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75" yWindow="510" windowWidth="14385" windowHeight="10185" tabRatio="882" firstSheet="5" activeTab="19"/>
  </bookViews>
  <sheets>
    <sheet name="пр.1дох.22" sheetId="1" r:id="rId1"/>
    <sheet name="Пр.1.1. дох.22-23" sheetId="12" state="hidden" r:id="rId2"/>
    <sheet name="Пр.1.1. дох.23-24" sheetId="19" r:id="rId3"/>
    <sheet name="пр.4.1. рдпр 22-23" sheetId="13" state="hidden" r:id="rId4"/>
    <sheet name="пр.4.1. рдпр 22-23 (2)" sheetId="20" state="hidden" r:id="rId5"/>
    <sheet name="пр.2 Рд,пр 22" sheetId="2" r:id="rId6"/>
    <sheet name="пр.2 Рд,пр 23-24" sheetId="31" r:id="rId7"/>
    <sheet name="Пр.3 Рд,пр, ЦС,ВР 22" sheetId="3" r:id="rId8"/>
    <sheet name="пр.5.1.рдпрцс 22-23" sheetId="14" state="hidden" r:id="rId9"/>
    <sheet name="пр.5.1.рдпрцс 22-23 (2)" sheetId="21" state="hidden" r:id="rId10"/>
    <sheet name="Пр.3.1 Рд,пр, ЦС,ВР 23-24" sheetId="30" r:id="rId11"/>
    <sheet name="Пр.4 ведом.22" sheetId="4" r:id="rId12"/>
    <sheet name="Прил.№5 ведомств.старая" sheetId="10" state="hidden" r:id="rId13"/>
    <sheet name="пр.6.1.ведом.22-23" sheetId="15" state="hidden" r:id="rId14"/>
    <sheet name="пр.6.1.ведом.22-23 (2)" sheetId="22" state="hidden" r:id="rId15"/>
    <sheet name="Пр.4.1 ведом.23-24 " sheetId="29" r:id="rId16"/>
    <sheet name="пр.5 МП 22" sheetId="5" r:id="rId17"/>
    <sheet name="прил.№6 МП старая" sheetId="11" state="hidden" r:id="rId18"/>
    <sheet name="пр.7.1.МП 22-23" sheetId="16" state="hidden" r:id="rId19"/>
    <sheet name="пр.5.1. МП 23-24" sheetId="32" r:id="rId20"/>
    <sheet name="пр.6 публ. 22" sheetId="6" r:id="rId21"/>
    <sheet name="пр.8.1.публ.22-23" sheetId="17" state="hidden" r:id="rId22"/>
    <sheet name="пр.7.1.МП 22-23 (2)" sheetId="23" state="hidden" r:id="rId23"/>
    <sheet name="пр.7 ист-ки 22" sheetId="7" state="hidden" r:id="rId24"/>
    <sheet name="пр.8.1.ист-ки 22-23  (2)" sheetId="24" state="hidden" r:id="rId25"/>
    <sheet name="пр.8.1.ист-ки 22-23 " sheetId="18" state="hidden" r:id="rId26"/>
    <sheet name="пр.6.1 публ. 23" sheetId="33" r:id="rId27"/>
    <sheet name="Лист1" sheetId="25" r:id="rId28"/>
  </sheets>
  <externalReferences>
    <externalReference r:id="rId29"/>
  </externalReferences>
  <definedNames>
    <definedName name="_xlnm._FilterDatabase" localSheetId="0" hidden="1">пр.1дох.22!$A$1:$C$197</definedName>
    <definedName name="_xlnm._FilterDatabase" localSheetId="7" hidden="1">'Пр.3 Рд,пр, ЦС,ВР 22'!$A$7:$F$1072</definedName>
    <definedName name="_xlnm._FilterDatabase" localSheetId="10" hidden="1">'Пр.3.1 Рд,пр, ЦС,ВР 23-24'!$A$7:$F$1069</definedName>
    <definedName name="_xlnm._FilterDatabase" localSheetId="11" hidden="1">'Пр.4 ведом.22'!$A$8:$G$1208</definedName>
    <definedName name="_xlnm._FilterDatabase" localSheetId="15" hidden="1">'Пр.4.1 ведом.23-24 '!$A$7:$K$1172</definedName>
    <definedName name="_xlnm._FilterDatabase" localSheetId="8" hidden="1">'пр.5.1.рдпрцс 22-23'!$A$7:$G$972</definedName>
    <definedName name="_xlnm._FilterDatabase" localSheetId="9" hidden="1">'пр.5.1.рдпрцс 22-23 (2)'!$A$7:$G$972</definedName>
    <definedName name="_xlnm.Print_Area" localSheetId="1">'Пр.1.1. дох.22-23'!$A$1:$D$155</definedName>
    <definedName name="_xlnm.Print_Area" localSheetId="2">'Пр.1.1. дох.23-24'!$A$1:$D$158</definedName>
    <definedName name="_xlnm.Print_Area" localSheetId="0">пр.1дох.22!$A$1:$I$197</definedName>
    <definedName name="_xlnm.Print_Area" localSheetId="5">'пр.2 Рд,пр 22'!$A$1:$D$53</definedName>
    <definedName name="_xlnm.Print_Area" localSheetId="6">'пр.2 Рд,пр 23-24'!$A$1:$E$54</definedName>
    <definedName name="_xlnm.Print_Area" localSheetId="7">'Пр.3 Рд,пр, ЦС,ВР 22'!$A$1:$F$1070</definedName>
    <definedName name="_xlnm.Print_Area" localSheetId="10">'Пр.3.1 Рд,пр, ЦС,ВР 23-24'!$A$1:$G$1067</definedName>
    <definedName name="_xlnm.Print_Area" localSheetId="11">'Пр.4 ведом.22'!$A$1:$G$1171</definedName>
    <definedName name="_xlnm.Print_Area" localSheetId="15">'Пр.4.1 ведом.23-24 '!$A$1:$H$1172</definedName>
    <definedName name="_xlnm.Print_Area" localSheetId="16">'пр.5 МП 22'!$A$1:$G$960</definedName>
    <definedName name="_xlnm.Print_Area" localSheetId="19">'пр.5.1. МП 23-24'!$A$1:$H$953</definedName>
    <definedName name="_xlnm.Print_Area" localSheetId="8">'пр.5.1.рдпрцс 22-23'!$A$1:$G$970</definedName>
    <definedName name="_xlnm.Print_Area" localSheetId="9">'пр.5.1.рдпрцс 22-23 (2)'!$A$1:$G$970</definedName>
    <definedName name="_xlnm.Print_Area" localSheetId="13">'пр.6.1.ведом.22-23'!$A$1:$AM$1108</definedName>
    <definedName name="_xlnm.Print_Area" localSheetId="14">'пр.6.1.ведом.22-23 (2)'!$A$1:$AM$1108</definedName>
    <definedName name="_xlnm.Print_Area" localSheetId="23">'пр.7 ист-ки 22'!$A$1:$C$15</definedName>
    <definedName name="_xlnm.Print_Area" localSheetId="18">'пр.7.1.МП 22-23'!$A$1:$H$893</definedName>
    <definedName name="_xlnm.Print_Area" localSheetId="22">'пр.7.1.МП 22-23 (2)'!$A$1:$H$893</definedName>
    <definedName name="_xlnm.Print_Area" localSheetId="12">'Прил.№5 ведомств.старая'!$A$1:$H$975</definedName>
    <definedName name="_xlnm.Print_Area" localSheetId="17">'прил.№6 МП старая'!$A$1:$G$534</definedName>
  </definedNames>
  <calcPr calcId="145621"/>
</workbook>
</file>

<file path=xl/calcChain.xml><?xml version="1.0" encoding="utf-8"?>
<calcChain xmlns="http://schemas.openxmlformats.org/spreadsheetml/2006/main">
  <c r="H54" i="29" l="1"/>
  <c r="G54" i="29"/>
  <c r="G835" i="29"/>
  <c r="H711" i="29"/>
  <c r="S10" i="25"/>
  <c r="H631" i="29"/>
  <c r="G631" i="29"/>
  <c r="H617" i="29"/>
  <c r="G617" i="29"/>
  <c r="G616" i="4" l="1"/>
  <c r="G630" i="4"/>
  <c r="D6" i="25"/>
  <c r="G6" i="25"/>
  <c r="G5" i="25"/>
  <c r="I6" i="25"/>
  <c r="H39" i="33" l="1"/>
  <c r="G39" i="33"/>
  <c r="G38" i="33" s="1"/>
  <c r="G37" i="33" s="1"/>
  <c r="G36" i="33" s="1"/>
  <c r="G35" i="33" s="1"/>
  <c r="H33" i="33"/>
  <c r="G33" i="33"/>
  <c r="H27" i="33"/>
  <c r="G27" i="33"/>
  <c r="H15" i="33"/>
  <c r="H14" i="33" s="1"/>
  <c r="H13" i="33" s="1"/>
  <c r="H12" i="33" s="1"/>
  <c r="H11" i="33" s="1"/>
  <c r="H16" i="33" s="1"/>
  <c r="G15" i="33"/>
  <c r="H44" i="33"/>
  <c r="H43" i="33"/>
  <c r="H42" i="33" s="1"/>
  <c r="H41" i="33" s="1"/>
  <c r="H40" i="33"/>
  <c r="H38" i="33"/>
  <c r="H37" i="33" s="1"/>
  <c r="H36" i="33" s="1"/>
  <c r="H35" i="33" s="1"/>
  <c r="H34" i="33"/>
  <c r="H32" i="33" s="1"/>
  <c r="H31" i="33" s="1"/>
  <c r="H30" i="33" s="1"/>
  <c r="H29" i="33" s="1"/>
  <c r="H28" i="33"/>
  <c r="H26" i="33"/>
  <c r="H25" i="33" s="1"/>
  <c r="H24" i="33" s="1"/>
  <c r="H23" i="33" s="1"/>
  <c r="H21" i="33"/>
  <c r="H20" i="33" s="1"/>
  <c r="H19" i="33" s="1"/>
  <c r="H18" i="33" s="1"/>
  <c r="H17" i="33" s="1"/>
  <c r="G44" i="33"/>
  <c r="G43" i="33" s="1"/>
  <c r="G42" i="33" s="1"/>
  <c r="G41" i="33" s="1"/>
  <c r="G40" i="33"/>
  <c r="G34" i="33"/>
  <c r="G32" i="33" s="1"/>
  <c r="G31" i="33" s="1"/>
  <c r="G30" i="33" s="1"/>
  <c r="G29" i="33" s="1"/>
  <c r="G28" i="33"/>
  <c r="G26" i="33"/>
  <c r="G25" i="33" s="1"/>
  <c r="G24" i="33" s="1"/>
  <c r="G23" i="33" s="1"/>
  <c r="G21" i="33"/>
  <c r="G20" i="33" s="1"/>
  <c r="G19" i="33" s="1"/>
  <c r="G18" i="33" s="1"/>
  <c r="G17" i="33" s="1"/>
  <c r="G14" i="33"/>
  <c r="G13" i="33" s="1"/>
  <c r="G12" i="33" s="1"/>
  <c r="G11" i="33" s="1"/>
  <c r="G16" i="33" s="1"/>
  <c r="J33" i="25"/>
  <c r="J31" i="25" s="1"/>
  <c r="G983" i="4"/>
  <c r="G171" i="4"/>
  <c r="H6" i="25"/>
  <c r="G374" i="4"/>
  <c r="G418" i="4"/>
  <c r="H47" i="33" l="1"/>
  <c r="G47" i="33"/>
  <c r="G772" i="4"/>
  <c r="G779" i="30"/>
  <c r="G778" i="30" s="1"/>
  <c r="F779" i="30"/>
  <c r="F778" i="30" s="1"/>
  <c r="G775" i="30"/>
  <c r="G774" i="30" s="1"/>
  <c r="F775" i="30"/>
  <c r="F774" i="30" s="1"/>
  <c r="H802" i="29"/>
  <c r="G802" i="29"/>
  <c r="H797" i="29"/>
  <c r="G777" i="30" s="1"/>
  <c r="G776" i="30" s="1"/>
  <c r="G797" i="29"/>
  <c r="G796" i="29" s="1"/>
  <c r="H794" i="29"/>
  <c r="H798" i="29"/>
  <c r="G798" i="29"/>
  <c r="G794" i="29"/>
  <c r="F1021" i="30"/>
  <c r="F1020" i="30" s="1"/>
  <c r="H892" i="29"/>
  <c r="G892" i="29"/>
  <c r="H886" i="29"/>
  <c r="H889" i="29"/>
  <c r="G1025" i="30" s="1"/>
  <c r="G1024" i="30" s="1"/>
  <c r="G889" i="29"/>
  <c r="F1025" i="30" s="1"/>
  <c r="F1024" i="30" s="1"/>
  <c r="H887" i="29"/>
  <c r="G1023" i="30" s="1"/>
  <c r="G1022" i="30" s="1"/>
  <c r="G887" i="29"/>
  <c r="G886" i="29" s="1"/>
  <c r="H885" i="29"/>
  <c r="H884" i="29" s="1"/>
  <c r="G888" i="29"/>
  <c r="G884" i="29"/>
  <c r="F1024" i="3"/>
  <c r="F1023" i="3" s="1"/>
  <c r="F1026" i="3"/>
  <c r="F1025" i="3" s="1"/>
  <c r="F1028" i="3"/>
  <c r="F1027" i="3" s="1"/>
  <c r="G891" i="4"/>
  <c r="G887" i="4"/>
  <c r="G885" i="4"/>
  <c r="G883" i="4"/>
  <c r="F782" i="3"/>
  <c r="F781" i="3" s="1"/>
  <c r="F780" i="3"/>
  <c r="F779" i="3" s="1"/>
  <c r="F778" i="3"/>
  <c r="F777" i="3" s="1"/>
  <c r="G801" i="4"/>
  <c r="G795" i="4"/>
  <c r="G797" i="4"/>
  <c r="G793" i="4"/>
  <c r="G339" i="5" l="1"/>
  <c r="F697" i="3"/>
  <c r="F696" i="3" s="1"/>
  <c r="F695" i="3" s="1"/>
  <c r="F694" i="3" s="1"/>
  <c r="F777" i="30"/>
  <c r="F776" i="30" s="1"/>
  <c r="F773" i="30" s="1"/>
  <c r="H796" i="29"/>
  <c r="H793" i="29" s="1"/>
  <c r="G792" i="4"/>
  <c r="G882" i="4"/>
  <c r="G773" i="30"/>
  <c r="G793" i="29"/>
  <c r="H888" i="29"/>
  <c r="H883" i="29" s="1"/>
  <c r="F1023" i="30"/>
  <c r="F1022" i="30" s="1"/>
  <c r="F1019" i="30" s="1"/>
  <c r="G1021" i="30"/>
  <c r="G1020" i="30" s="1"/>
  <c r="G1019" i="30" s="1"/>
  <c r="G883" i="29"/>
  <c r="F1022" i="3"/>
  <c r="F776" i="3"/>
  <c r="G340" i="5" l="1"/>
  <c r="G338" i="5"/>
  <c r="G337" i="5" s="1"/>
  <c r="G336" i="5" s="1"/>
  <c r="G335" i="5" s="1"/>
  <c r="G334" i="5" s="1"/>
  <c r="H33" i="25"/>
  <c r="H31" i="25" s="1"/>
  <c r="G33" i="25"/>
  <c r="G31" i="25" s="1"/>
  <c r="F33" i="25"/>
  <c r="F31" i="25" s="1"/>
  <c r="C33" i="25"/>
  <c r="C31" i="25" s="1"/>
  <c r="D33" i="25"/>
  <c r="D31" i="25" s="1"/>
  <c r="B33" i="25"/>
  <c r="B31" i="25" s="1"/>
  <c r="H924" i="29"/>
  <c r="H950" i="29"/>
  <c r="H952" i="29"/>
  <c r="G924" i="29"/>
  <c r="G952" i="29"/>
  <c r="G9" i="29" l="1"/>
  <c r="H835" i="29"/>
  <c r="H9" i="29"/>
  <c r="G923" i="4"/>
  <c r="G951" i="4"/>
  <c r="H955" i="32" l="1"/>
  <c r="H816" i="32"/>
  <c r="H815" i="32" s="1"/>
  <c r="G816" i="32"/>
  <c r="G817" i="32" s="1"/>
  <c r="H766" i="32"/>
  <c r="H767" i="32" s="1"/>
  <c r="G766" i="32"/>
  <c r="G767" i="32" s="1"/>
  <c r="H226" i="32"/>
  <c r="H943" i="32"/>
  <c r="H942" i="32" s="1"/>
  <c r="H941" i="32" s="1"/>
  <c r="H940" i="32" s="1"/>
  <c r="H939" i="32" s="1"/>
  <c r="G943" i="32"/>
  <c r="G942" i="32" s="1"/>
  <c r="G941" i="32" s="1"/>
  <c r="G940" i="32" s="1"/>
  <c r="G939" i="32" s="1"/>
  <c r="G937" i="32" s="1"/>
  <c r="H935" i="32"/>
  <c r="H934" i="32" s="1"/>
  <c r="H933" i="32" s="1"/>
  <c r="H932" i="32" s="1"/>
  <c r="H931" i="32" s="1"/>
  <c r="G935" i="32"/>
  <c r="G934" i="32" s="1"/>
  <c r="G933" i="32" s="1"/>
  <c r="G932" i="32" s="1"/>
  <c r="G931" i="32" s="1"/>
  <c r="H893" i="32"/>
  <c r="G893" i="32"/>
  <c r="G892" i="32" s="1"/>
  <c r="G891" i="32" s="1"/>
  <c r="G890" i="32" s="1"/>
  <c r="G889" i="32" s="1"/>
  <c r="G888" i="32" s="1"/>
  <c r="H886" i="32"/>
  <c r="H885" i="32" s="1"/>
  <c r="H884" i="32" s="1"/>
  <c r="H883" i="32" s="1"/>
  <c r="H882" i="32" s="1"/>
  <c r="G886" i="32"/>
  <c r="G885" i="32" s="1"/>
  <c r="G884" i="32" s="1"/>
  <c r="H880" i="32"/>
  <c r="H881" i="32" s="1"/>
  <c r="G880" i="32"/>
  <c r="H874" i="32"/>
  <c r="H875" i="32" s="1"/>
  <c r="G874" i="32"/>
  <c r="H868" i="32"/>
  <c r="H869" i="32" s="1"/>
  <c r="G868" i="32"/>
  <c r="H864" i="32"/>
  <c r="H863" i="32" s="1"/>
  <c r="H862" i="32" s="1"/>
  <c r="G864" i="32"/>
  <c r="H859" i="32"/>
  <c r="G859" i="32"/>
  <c r="G858" i="32" s="1"/>
  <c r="G857" i="32" s="1"/>
  <c r="G856" i="32" s="1"/>
  <c r="H854" i="32"/>
  <c r="H853" i="32" s="1"/>
  <c r="H852" i="32" s="1"/>
  <c r="H851" i="32" s="1"/>
  <c r="G854" i="32"/>
  <c r="H847" i="32"/>
  <c r="G847" i="32"/>
  <c r="G848" i="32" s="1"/>
  <c r="H843" i="32"/>
  <c r="G843" i="32"/>
  <c r="G844" i="32" s="1"/>
  <c r="H819" i="32"/>
  <c r="G819" i="32"/>
  <c r="H823" i="32"/>
  <c r="G823" i="32"/>
  <c r="H729" i="32"/>
  <c r="G729" i="32"/>
  <c r="H703" i="32"/>
  <c r="G703" i="32"/>
  <c r="H685" i="32"/>
  <c r="G685" i="32"/>
  <c r="H664" i="32"/>
  <c r="H663" i="32" s="1"/>
  <c r="H662" i="32" s="1"/>
  <c r="G664" i="32"/>
  <c r="G663" i="32" s="1"/>
  <c r="G662" i="32" s="1"/>
  <c r="H659" i="32"/>
  <c r="H658" i="32" s="1"/>
  <c r="H657" i="32" s="1"/>
  <c r="H656" i="32" s="1"/>
  <c r="G659" i="32"/>
  <c r="G660" i="32" s="1"/>
  <c r="H653" i="32"/>
  <c r="H652" i="32" s="1"/>
  <c r="H651" i="32" s="1"/>
  <c r="H650" i="32" s="1"/>
  <c r="G653" i="32"/>
  <c r="G652" i="32" s="1"/>
  <c r="G651" i="32" s="1"/>
  <c r="G650" i="32" s="1"/>
  <c r="H648" i="32"/>
  <c r="H649" i="32" s="1"/>
  <c r="G648" i="32"/>
  <c r="H643" i="32"/>
  <c r="H642" i="32" s="1"/>
  <c r="H641" i="32" s="1"/>
  <c r="H640" i="32" s="1"/>
  <c r="G643" i="32"/>
  <c r="G644" i="32" s="1"/>
  <c r="H631" i="32"/>
  <c r="H630" i="32" s="1"/>
  <c r="H629" i="32" s="1"/>
  <c r="H628" i="32" s="1"/>
  <c r="H627" i="32" s="1"/>
  <c r="G631" i="32"/>
  <c r="G630" i="32" s="1"/>
  <c r="G629" i="32" s="1"/>
  <c r="G628" i="32" s="1"/>
  <c r="G627" i="32" s="1"/>
  <c r="H601" i="32"/>
  <c r="H600" i="32" s="1"/>
  <c r="H599" i="32" s="1"/>
  <c r="H598" i="32" s="1"/>
  <c r="H597" i="32" s="1"/>
  <c r="G601" i="32"/>
  <c r="G602" i="32" s="1"/>
  <c r="H594" i="32"/>
  <c r="G594" i="32"/>
  <c r="H587" i="32"/>
  <c r="H588" i="32" s="1"/>
  <c r="G587" i="32"/>
  <c r="G588" i="32" s="1"/>
  <c r="H583" i="32"/>
  <c r="H584" i="32" s="1"/>
  <c r="G583" i="32"/>
  <c r="G584" i="32" s="1"/>
  <c r="H577" i="32"/>
  <c r="H578" i="32" s="1"/>
  <c r="G577" i="32"/>
  <c r="G578" i="32" s="1"/>
  <c r="H573" i="32"/>
  <c r="H574" i="32" s="1"/>
  <c r="G573" i="32"/>
  <c r="G572" i="32" s="1"/>
  <c r="G571" i="32" s="1"/>
  <c r="H566" i="32"/>
  <c r="G566" i="32"/>
  <c r="G565" i="32" s="1"/>
  <c r="G564" i="32" s="1"/>
  <c r="G563" i="32" s="1"/>
  <c r="G562" i="32" s="1"/>
  <c r="H560" i="32"/>
  <c r="G560" i="32"/>
  <c r="G561" i="32" s="1"/>
  <c r="H554" i="32"/>
  <c r="G554" i="32"/>
  <c r="G553" i="32" s="1"/>
  <c r="G552" i="32" s="1"/>
  <c r="G551" i="32" s="1"/>
  <c r="G550" i="32" s="1"/>
  <c r="H544" i="32"/>
  <c r="G544" i="32"/>
  <c r="G545" i="32" s="1"/>
  <c r="H535" i="32"/>
  <c r="H534" i="32" s="1"/>
  <c r="G535" i="32"/>
  <c r="H531" i="32"/>
  <c r="H530" i="32" s="1"/>
  <c r="G531" i="32"/>
  <c r="G532" i="29"/>
  <c r="H524" i="32"/>
  <c r="G524" i="32"/>
  <c r="G523" i="32" s="1"/>
  <c r="H521" i="32"/>
  <c r="H522" i="32" s="1"/>
  <c r="G521" i="32"/>
  <c r="G518" i="32"/>
  <c r="G517" i="32" s="1"/>
  <c r="H492" i="32"/>
  <c r="G492" i="32"/>
  <c r="G493" i="32" s="1"/>
  <c r="H489" i="32"/>
  <c r="H488" i="32" s="1"/>
  <c r="G489" i="32"/>
  <c r="G486" i="32"/>
  <c r="G485" i="32" s="1"/>
  <c r="H457" i="32"/>
  <c r="H458" i="32" s="1"/>
  <c r="G457" i="32"/>
  <c r="G456" i="32" s="1"/>
  <c r="H454" i="32"/>
  <c r="G454" i="32"/>
  <c r="H447" i="32"/>
  <c r="H446" i="32" s="1"/>
  <c r="H445" i="32" s="1"/>
  <c r="H444" i="32" s="1"/>
  <c r="H443" i="32" s="1"/>
  <c r="H442" i="32" s="1"/>
  <c r="G447" i="32"/>
  <c r="G446" i="32" s="1"/>
  <c r="G445" i="32" s="1"/>
  <c r="G444" i="32" s="1"/>
  <c r="G443" i="32" s="1"/>
  <c r="G442" i="32" s="1"/>
  <c r="H425" i="32"/>
  <c r="H426" i="32" s="1"/>
  <c r="G425" i="32"/>
  <c r="G424" i="32" s="1"/>
  <c r="G423" i="32" s="1"/>
  <c r="G410" i="32"/>
  <c r="H402" i="32"/>
  <c r="H403" i="32" s="1"/>
  <c r="G402" i="32"/>
  <c r="H394" i="32"/>
  <c r="H395" i="32" s="1"/>
  <c r="G394" i="32"/>
  <c r="G395" i="32" s="1"/>
  <c r="H383" i="32"/>
  <c r="H382" i="32" s="1"/>
  <c r="G383" i="32"/>
  <c r="G384" i="32" s="1"/>
  <c r="H380" i="32"/>
  <c r="H381" i="32" s="1"/>
  <c r="G380" i="32"/>
  <c r="G381" i="32" s="1"/>
  <c r="H375" i="32"/>
  <c r="H374" i="32" s="1"/>
  <c r="H373" i="32" s="1"/>
  <c r="G375" i="32"/>
  <c r="G374" i="32" s="1"/>
  <c r="G373" i="32" s="1"/>
  <c r="H368" i="32"/>
  <c r="H369" i="32" s="1"/>
  <c r="G368" i="32"/>
  <c r="G369" i="32" s="1"/>
  <c r="H360" i="32"/>
  <c r="H361" i="32" s="1"/>
  <c r="G360" i="32"/>
  <c r="G361" i="32" s="1"/>
  <c r="H352" i="32"/>
  <c r="H353" i="32" s="1"/>
  <c r="H273" i="32"/>
  <c r="H272" i="32" s="1"/>
  <c r="H271" i="32" s="1"/>
  <c r="H270" i="32" s="1"/>
  <c r="G273" i="32"/>
  <c r="G272" i="32" s="1"/>
  <c r="G271" i="32" s="1"/>
  <c r="G270" i="32" s="1"/>
  <c r="H268" i="32"/>
  <c r="H269" i="32" s="1"/>
  <c r="G268" i="32"/>
  <c r="G269" i="32" s="1"/>
  <c r="H259" i="32"/>
  <c r="H260" i="32" s="1"/>
  <c r="G259" i="32"/>
  <c r="G260" i="32" s="1"/>
  <c r="H255" i="32"/>
  <c r="H254" i="32" s="1"/>
  <c r="H253" i="32" s="1"/>
  <c r="G255" i="32"/>
  <c r="G254" i="32" s="1"/>
  <c r="G253" i="32" s="1"/>
  <c r="H237" i="32"/>
  <c r="H236" i="32" s="1"/>
  <c r="H235" i="32" s="1"/>
  <c r="H222" i="32" s="1"/>
  <c r="G237" i="32"/>
  <c r="G236" i="32" s="1"/>
  <c r="G235" i="32" s="1"/>
  <c r="H219" i="32"/>
  <c r="H220" i="32" s="1"/>
  <c r="G219" i="32"/>
  <c r="G218" i="32" s="1"/>
  <c r="G217" i="32" s="1"/>
  <c r="H204" i="32"/>
  <c r="H205" i="32" s="1"/>
  <c r="G204" i="32"/>
  <c r="G205" i="32" s="1"/>
  <c r="H200" i="32"/>
  <c r="G200" i="32"/>
  <c r="G201" i="32" s="1"/>
  <c r="H191" i="32"/>
  <c r="H192" i="32" s="1"/>
  <c r="G191" i="32"/>
  <c r="G192" i="32" s="1"/>
  <c r="H183" i="32"/>
  <c r="H182" i="32" s="1"/>
  <c r="H181" i="32" s="1"/>
  <c r="G183" i="32"/>
  <c r="G182" i="32" s="1"/>
  <c r="G181" i="32" s="1"/>
  <c r="H174" i="32"/>
  <c r="H175" i="32" s="1"/>
  <c r="G174" i="32"/>
  <c r="G175" i="32" s="1"/>
  <c r="H66" i="32"/>
  <c r="H65" i="32" s="1"/>
  <c r="H64" i="32" s="1"/>
  <c r="H63" i="32" s="1"/>
  <c r="H62" i="32" s="1"/>
  <c r="H61" i="32" s="1"/>
  <c r="H60" i="32" s="1"/>
  <c r="H67" i="32" s="1"/>
  <c r="G66" i="32"/>
  <c r="G65" i="32" s="1"/>
  <c r="G64" i="32" s="1"/>
  <c r="G63" i="32" s="1"/>
  <c r="G62" i="32" s="1"/>
  <c r="G61" i="32" s="1"/>
  <c r="G60" i="32" s="1"/>
  <c r="G67" i="32" s="1"/>
  <c r="H145" i="32"/>
  <c r="H146" i="32" s="1"/>
  <c r="G145" i="32"/>
  <c r="G146" i="32" s="1"/>
  <c r="H139" i="32"/>
  <c r="H138" i="32" s="1"/>
  <c r="H137" i="32" s="1"/>
  <c r="H136" i="32" s="1"/>
  <c r="H135" i="32" s="1"/>
  <c r="G139" i="32"/>
  <c r="G140" i="32" s="1"/>
  <c r="H132" i="32"/>
  <c r="H133" i="32" s="1"/>
  <c r="G132" i="32"/>
  <c r="G131" i="32" s="1"/>
  <c r="H122" i="32"/>
  <c r="H123" i="32" s="1"/>
  <c r="G122" i="32"/>
  <c r="G123" i="32" s="1"/>
  <c r="H81" i="32"/>
  <c r="H82" i="32" s="1"/>
  <c r="G81" i="32"/>
  <c r="H58" i="32"/>
  <c r="G58" i="32"/>
  <c r="G59" i="32" s="1"/>
  <c r="H48" i="32"/>
  <c r="G48" i="32"/>
  <c r="G47" i="32" s="1"/>
  <c r="G46" i="32" s="1"/>
  <c r="H37" i="32"/>
  <c r="H36" i="32" s="1"/>
  <c r="H35" i="32" s="1"/>
  <c r="G37" i="32"/>
  <c r="H25" i="32"/>
  <c r="H26" i="32" s="1"/>
  <c r="G25" i="32"/>
  <c r="G24" i="32" s="1"/>
  <c r="H22" i="32"/>
  <c r="H952" i="32"/>
  <c r="H927" i="32"/>
  <c r="H926" i="32" s="1"/>
  <c r="H925" i="32" s="1"/>
  <c r="H924" i="32" s="1"/>
  <c r="H923" i="32" s="1"/>
  <c r="H920" i="32"/>
  <c r="H919" i="32"/>
  <c r="H918" i="32" s="1"/>
  <c r="H917" i="32" s="1"/>
  <c r="H916" i="32" s="1"/>
  <c r="H915" i="32" s="1"/>
  <c r="H914" i="32" s="1"/>
  <c r="H904" i="32"/>
  <c r="H905" i="32" s="1"/>
  <c r="H900" i="32"/>
  <c r="H901" i="32" s="1"/>
  <c r="H873" i="32"/>
  <c r="H872" i="32" s="1"/>
  <c r="H871" i="32" s="1"/>
  <c r="H870" i="32" s="1"/>
  <c r="H835" i="32"/>
  <c r="H831" i="32"/>
  <c r="H827" i="32"/>
  <c r="H808" i="32"/>
  <c r="H809" i="32" s="1"/>
  <c r="H801" i="32"/>
  <c r="H794" i="32"/>
  <c r="H795" i="32" s="1"/>
  <c r="H787" i="32"/>
  <c r="H780" i="32"/>
  <c r="H781" i="32" s="1"/>
  <c r="H773" i="32"/>
  <c r="H758" i="32"/>
  <c r="H759" i="32" s="1"/>
  <c r="H736" i="32"/>
  <c r="H735" i="32" s="1"/>
  <c r="H734" i="32" s="1"/>
  <c r="H733" i="32" s="1"/>
  <c r="H732" i="32" s="1"/>
  <c r="H731" i="32" s="1"/>
  <c r="H725" i="32"/>
  <c r="H714" i="32"/>
  <c r="H715" i="32" s="1"/>
  <c r="H710" i="32"/>
  <c r="H711" i="32" s="1"/>
  <c r="H699" i="32"/>
  <c r="H695" i="32"/>
  <c r="H692" i="32"/>
  <c r="H693" i="32" s="1"/>
  <c r="H678" i="32"/>
  <c r="H677" i="32" s="1"/>
  <c r="H676" i="32" s="1"/>
  <c r="H675" i="32" s="1"/>
  <c r="H674" i="32" s="1"/>
  <c r="H673" i="32" s="1"/>
  <c r="H671" i="32"/>
  <c r="H669" i="32"/>
  <c r="H668" i="32" s="1"/>
  <c r="H667" i="32" s="1"/>
  <c r="H666" i="32" s="1"/>
  <c r="H638" i="32"/>
  <c r="H637" i="32" s="1"/>
  <c r="H636" i="32" s="1"/>
  <c r="H635" i="32" s="1"/>
  <c r="H634" i="32" s="1"/>
  <c r="H633" i="32" s="1"/>
  <c r="H623" i="32"/>
  <c r="H624" i="32" s="1"/>
  <c r="H619" i="32"/>
  <c r="H620" i="32" s="1"/>
  <c r="H612" i="32"/>
  <c r="H605" i="32"/>
  <c r="H606" i="32" s="1"/>
  <c r="H547" i="32"/>
  <c r="H548" i="32" s="1"/>
  <c r="H538" i="32"/>
  <c r="H512" i="32"/>
  <c r="H511" i="32" s="1"/>
  <c r="H510" i="32" s="1"/>
  <c r="H513" i="32" s="1"/>
  <c r="H496" i="32"/>
  <c r="H495" i="32" s="1"/>
  <c r="H494" i="32" s="1"/>
  <c r="H497" i="32" s="1"/>
  <c r="H471" i="32"/>
  <c r="H470" i="32" s="1"/>
  <c r="H469" i="32" s="1"/>
  <c r="H468" i="32" s="1"/>
  <c r="H467" i="32" s="1"/>
  <c r="H466" i="32" s="1"/>
  <c r="H472" i="32" s="1"/>
  <c r="H464" i="32"/>
  <c r="H436" i="32"/>
  <c r="H429" i="32"/>
  <c r="H430" i="32" s="1"/>
  <c r="H421" i="32"/>
  <c r="H422" i="32" s="1"/>
  <c r="H417" i="32"/>
  <c r="H418" i="32" s="1"/>
  <c r="H387" i="32"/>
  <c r="H388" i="32" s="1"/>
  <c r="H346" i="32"/>
  <c r="H345" i="32" s="1"/>
  <c r="H344" i="32" s="1"/>
  <c r="H343" i="32" s="1"/>
  <c r="H342" i="32" s="1"/>
  <c r="H341" i="32" s="1"/>
  <c r="H347" i="32" s="1"/>
  <c r="H339" i="32"/>
  <c r="H338" i="32" s="1"/>
  <c r="H337" i="32" s="1"/>
  <c r="H336" i="32" s="1"/>
  <c r="H335" i="32" s="1"/>
  <c r="H334" i="32" s="1"/>
  <c r="H340" i="32" s="1"/>
  <c r="H332" i="32"/>
  <c r="H333" i="32" s="1"/>
  <c r="H325" i="32"/>
  <c r="H326" i="32" s="1"/>
  <c r="H320" i="32"/>
  <c r="H321" i="32" s="1"/>
  <c r="H313" i="32"/>
  <c r="H312" i="32" s="1"/>
  <c r="H311" i="32" s="1"/>
  <c r="H310" i="32" s="1"/>
  <c r="H309" i="32" s="1"/>
  <c r="H308" i="32" s="1"/>
  <c r="H314" i="32" s="1"/>
  <c r="H306" i="32"/>
  <c r="H305" i="32" s="1"/>
  <c r="H304" i="32" s="1"/>
  <c r="H264" i="32"/>
  <c r="H265" i="32" s="1"/>
  <c r="H251" i="32"/>
  <c r="H252" i="32" s="1"/>
  <c r="H233" i="32"/>
  <c r="H234" i="32" s="1"/>
  <c r="H229" i="32"/>
  <c r="H230" i="32" s="1"/>
  <c r="H224" i="32"/>
  <c r="H223" i="32" s="1"/>
  <c r="H215" i="32"/>
  <c r="H216" i="32" s="1"/>
  <c r="H211" i="32"/>
  <c r="H212" i="32" s="1"/>
  <c r="H167" i="32"/>
  <c r="H166" i="32" s="1"/>
  <c r="H165" i="32" s="1"/>
  <c r="H168" i="32" s="1"/>
  <c r="H129" i="32"/>
  <c r="H130" i="32" s="1"/>
  <c r="H119" i="32"/>
  <c r="H120" i="32" s="1"/>
  <c r="H111" i="32"/>
  <c r="H112" i="32" s="1"/>
  <c r="H95" i="32"/>
  <c r="H96" i="32" s="1"/>
  <c r="H88" i="32"/>
  <c r="H89" i="32" s="1"/>
  <c r="H74" i="32"/>
  <c r="H41" i="32"/>
  <c r="H42" i="32" s="1"/>
  <c r="H28" i="32"/>
  <c r="H15" i="32"/>
  <c r="H16" i="32" s="1"/>
  <c r="G927" i="32"/>
  <c r="G926" i="32" s="1"/>
  <c r="G925" i="32" s="1"/>
  <c r="G924" i="32" s="1"/>
  <c r="G923" i="32" s="1"/>
  <c r="G921" i="32" s="1"/>
  <c r="G928" i="32" s="1"/>
  <c r="G920" i="32"/>
  <c r="G919" i="32"/>
  <c r="G918" i="32" s="1"/>
  <c r="G917" i="32" s="1"/>
  <c r="G916" i="32" s="1"/>
  <c r="G915" i="32" s="1"/>
  <c r="G914" i="32" s="1"/>
  <c r="G904" i="32"/>
  <c r="G835" i="32"/>
  <c r="G831" i="32"/>
  <c r="G827" i="32"/>
  <c r="G765" i="32"/>
  <c r="G764" i="32" s="1"/>
  <c r="G763" i="32" s="1"/>
  <c r="G762" i="32" s="1"/>
  <c r="G761" i="32" s="1"/>
  <c r="G736" i="32"/>
  <c r="G737" i="32" s="1"/>
  <c r="G699" i="32"/>
  <c r="G678" i="32"/>
  <c r="G677" i="32" s="1"/>
  <c r="G676" i="32" s="1"/>
  <c r="G679" i="32" s="1"/>
  <c r="G671" i="32"/>
  <c r="G669" i="32"/>
  <c r="G668" i="32" s="1"/>
  <c r="G667" i="32" s="1"/>
  <c r="G666" i="32" s="1"/>
  <c r="G638" i="32"/>
  <c r="G637" i="32" s="1"/>
  <c r="G636" i="32" s="1"/>
  <c r="G635" i="32" s="1"/>
  <c r="G634" i="32" s="1"/>
  <c r="G633" i="32" s="1"/>
  <c r="G624" i="32"/>
  <c r="G622" i="32"/>
  <c r="G621" i="32" s="1"/>
  <c r="G620" i="32"/>
  <c r="G618" i="32"/>
  <c r="G617" i="32" s="1"/>
  <c r="G616" i="32" s="1"/>
  <c r="G615" i="32" s="1"/>
  <c r="G614" i="32" s="1"/>
  <c r="G606" i="32"/>
  <c r="G604" i="32"/>
  <c r="G603" i="32" s="1"/>
  <c r="G538" i="32"/>
  <c r="G539" i="32" s="1"/>
  <c r="G512" i="32"/>
  <c r="G511" i="32" s="1"/>
  <c r="G510" i="32" s="1"/>
  <c r="G513" i="32" s="1"/>
  <c r="K498" i="32"/>
  <c r="G496" i="32"/>
  <c r="G495" i="32" s="1"/>
  <c r="G494" i="32" s="1"/>
  <c r="G497" i="32" s="1"/>
  <c r="G471" i="32"/>
  <c r="G470" i="32" s="1"/>
  <c r="G469" i="32" s="1"/>
  <c r="G468" i="32" s="1"/>
  <c r="G467" i="32" s="1"/>
  <c r="G466" i="32" s="1"/>
  <c r="G472" i="32" s="1"/>
  <c r="G436" i="32"/>
  <c r="G429" i="32"/>
  <c r="G430" i="32" s="1"/>
  <c r="G421" i="32"/>
  <c r="G422" i="32" s="1"/>
  <c r="G417" i="32"/>
  <c r="G418" i="32" s="1"/>
  <c r="G387" i="32"/>
  <c r="G388" i="32" s="1"/>
  <c r="G346" i="32"/>
  <c r="G345" i="32" s="1"/>
  <c r="G344" i="32" s="1"/>
  <c r="G343" i="32" s="1"/>
  <c r="G342" i="32" s="1"/>
  <c r="G341" i="32" s="1"/>
  <c r="G347" i="32" s="1"/>
  <c r="G339" i="32"/>
  <c r="G338" i="32" s="1"/>
  <c r="G337" i="32" s="1"/>
  <c r="G336" i="32" s="1"/>
  <c r="G335" i="32" s="1"/>
  <c r="G334" i="32" s="1"/>
  <c r="G340" i="32" s="1"/>
  <c r="G332" i="32"/>
  <c r="G333" i="32" s="1"/>
  <c r="G325" i="32"/>
  <c r="G326" i="32" s="1"/>
  <c r="G320" i="32"/>
  <c r="G321" i="32" s="1"/>
  <c r="G313" i="32"/>
  <c r="G312" i="32" s="1"/>
  <c r="G311" i="32" s="1"/>
  <c r="G310" i="32" s="1"/>
  <c r="G309" i="32" s="1"/>
  <c r="G308" i="32" s="1"/>
  <c r="G314" i="32" s="1"/>
  <c r="G306" i="32"/>
  <c r="G305" i="32" s="1"/>
  <c r="G304" i="32" s="1"/>
  <c r="G264" i="32"/>
  <c r="G265" i="32" s="1"/>
  <c r="G251" i="32"/>
  <c r="G252" i="32" s="1"/>
  <c r="G233" i="32"/>
  <c r="G234" i="32" s="1"/>
  <c r="G229" i="32"/>
  <c r="G230" i="32" s="1"/>
  <c r="G225" i="32"/>
  <c r="G226" i="32" s="1"/>
  <c r="G215" i="32"/>
  <c r="G216" i="32" s="1"/>
  <c r="G211" i="32"/>
  <c r="G212" i="32" s="1"/>
  <c r="G167" i="32"/>
  <c r="G166" i="32" s="1"/>
  <c r="G165" i="32" s="1"/>
  <c r="G168" i="32" s="1"/>
  <c r="G129" i="32"/>
  <c r="G130" i="32" s="1"/>
  <c r="G119" i="32"/>
  <c r="G120" i="32" s="1"/>
  <c r="G112" i="32"/>
  <c r="G95" i="32"/>
  <c r="G88" i="32"/>
  <c r="G89" i="32" s="1"/>
  <c r="G74" i="32"/>
  <c r="G73" i="32" s="1"/>
  <c r="G72" i="32" s="1"/>
  <c r="G71" i="32" s="1"/>
  <c r="G70" i="32" s="1"/>
  <c r="G69" i="32" s="1"/>
  <c r="G28" i="32"/>
  <c r="G15" i="32"/>
  <c r="G16" i="32" s="1"/>
  <c r="G20" i="30"/>
  <c r="G19" i="30" s="1"/>
  <c r="G18" i="30" s="1"/>
  <c r="F20" i="30"/>
  <c r="F19" i="30" s="1"/>
  <c r="F18" i="30" s="1"/>
  <c r="E45" i="31"/>
  <c r="E16" i="31"/>
  <c r="E55" i="31"/>
  <c r="E19" i="31"/>
  <c r="D19" i="31"/>
  <c r="G8" i="30"/>
  <c r="F8" i="30"/>
  <c r="G115" i="30"/>
  <c r="G114" i="30" s="1"/>
  <c r="G113" i="30" s="1"/>
  <c r="G110" i="30"/>
  <c r="G109" i="30" s="1"/>
  <c r="G15" i="30"/>
  <c r="G14" i="30" s="1"/>
  <c r="G917" i="30"/>
  <c r="G916" i="30" s="1"/>
  <c r="G915" i="30" s="1"/>
  <c r="G914" i="30" s="1"/>
  <c r="G913" i="30" s="1"/>
  <c r="G912" i="30" s="1"/>
  <c r="E43" i="31" s="1"/>
  <c r="F917" i="30"/>
  <c r="F916" i="30" s="1"/>
  <c r="F915" i="30" s="1"/>
  <c r="F914" i="30" s="1"/>
  <c r="F913" i="30" s="1"/>
  <c r="F912" i="30" s="1"/>
  <c r="D43" i="31" s="1"/>
  <c r="G924" i="30"/>
  <c r="G923" i="30" s="1"/>
  <c r="G922" i="30" s="1"/>
  <c r="G921" i="30" s="1"/>
  <c r="G920" i="30" s="1"/>
  <c r="F924" i="30"/>
  <c r="F923" i="30" s="1"/>
  <c r="F922" i="30" s="1"/>
  <c r="F921" i="30" s="1"/>
  <c r="F920" i="30" s="1"/>
  <c r="G1066" i="30"/>
  <c r="G1065" i="30" s="1"/>
  <c r="G1064" i="30" s="1"/>
  <c r="G1063" i="30" s="1"/>
  <c r="G1062" i="30" s="1"/>
  <c r="F1066" i="30"/>
  <c r="F1065" i="30" s="1"/>
  <c r="F1064" i="30" s="1"/>
  <c r="F1063" i="30" s="1"/>
  <c r="F1062" i="30" s="1"/>
  <c r="G1061" i="30"/>
  <c r="G1060" i="30" s="1"/>
  <c r="G1059" i="30" s="1"/>
  <c r="F1061" i="30"/>
  <c r="F1060" i="30" s="1"/>
  <c r="F1059" i="30" s="1"/>
  <c r="G1058" i="30"/>
  <c r="G1057" i="30" s="1"/>
  <c r="F1058" i="30"/>
  <c r="F1057" i="30" s="1"/>
  <c r="G1056" i="30"/>
  <c r="G1055" i="30" s="1"/>
  <c r="F1056" i="30"/>
  <c r="F1055" i="30" s="1"/>
  <c r="F1054" i="30"/>
  <c r="F1053" i="30" s="1"/>
  <c r="G1047" i="30"/>
  <c r="G1046" i="30" s="1"/>
  <c r="F1047" i="30"/>
  <c r="F1046" i="30" s="1"/>
  <c r="G1045" i="30"/>
  <c r="G1044" i="30" s="1"/>
  <c r="F1045" i="30"/>
  <c r="F1044" i="30" s="1"/>
  <c r="G1040" i="30"/>
  <c r="G1039" i="30" s="1"/>
  <c r="G1038" i="30" s="1"/>
  <c r="F1040" i="30"/>
  <c r="F1039" i="30" s="1"/>
  <c r="F1038" i="30" s="1"/>
  <c r="F1033" i="30"/>
  <c r="F1032" i="30" s="1"/>
  <c r="G1028" i="30"/>
  <c r="G1027" i="30" s="1"/>
  <c r="G1026" i="30" s="1"/>
  <c r="F1028" i="30"/>
  <c r="F1027" i="30" s="1"/>
  <c r="F1026" i="30" s="1"/>
  <c r="F1018" i="30"/>
  <c r="F1017" i="30" s="1"/>
  <c r="F1016" i="30" s="1"/>
  <c r="G1012" i="30"/>
  <c r="G1011" i="30" s="1"/>
  <c r="G1010" i="30" s="1"/>
  <c r="G1009" i="30" s="1"/>
  <c r="G1008" i="30" s="1"/>
  <c r="F1012" i="30"/>
  <c r="F1011" i="30" s="1"/>
  <c r="F1010" i="30" s="1"/>
  <c r="F1009" i="30" s="1"/>
  <c r="F1008" i="30" s="1"/>
  <c r="G1003" i="30"/>
  <c r="G1002" i="30" s="1"/>
  <c r="G1001" i="30" s="1"/>
  <c r="G1000" i="30" s="1"/>
  <c r="F1003" i="30"/>
  <c r="F1002" i="30" s="1"/>
  <c r="F1001" i="30" s="1"/>
  <c r="F1000" i="30" s="1"/>
  <c r="G999" i="30"/>
  <c r="G998" i="30" s="1"/>
  <c r="G997" i="30" s="1"/>
  <c r="G996" i="30" s="1"/>
  <c r="F999" i="30"/>
  <c r="F998" i="30" s="1"/>
  <c r="F997" i="30" s="1"/>
  <c r="F996" i="30" s="1"/>
  <c r="G995" i="30"/>
  <c r="G994" i="30" s="1"/>
  <c r="G993" i="30" s="1"/>
  <c r="G992" i="30" s="1"/>
  <c r="F995" i="30"/>
  <c r="F994" i="30" s="1"/>
  <c r="F993" i="30" s="1"/>
  <c r="F992" i="30" s="1"/>
  <c r="G981" i="30"/>
  <c r="G980" i="30" s="1"/>
  <c r="G979" i="30" s="1"/>
  <c r="F981" i="30"/>
  <c r="F971" i="30"/>
  <c r="F970" i="30" s="1"/>
  <c r="F969" i="30" s="1"/>
  <c r="F968" i="30" s="1"/>
  <c r="G959" i="30"/>
  <c r="G958" i="30" s="1"/>
  <c r="F959" i="30"/>
  <c r="F958" i="30" s="1"/>
  <c r="G957" i="30"/>
  <c r="G956" i="30" s="1"/>
  <c r="F957" i="30"/>
  <c r="F956" i="30" s="1"/>
  <c r="G946" i="30"/>
  <c r="F946" i="30"/>
  <c r="G941" i="30"/>
  <c r="G940" i="30" s="1"/>
  <c r="G939" i="30" s="1"/>
  <c r="G938" i="30" s="1"/>
  <c r="F941" i="30"/>
  <c r="F940" i="30" s="1"/>
  <c r="F939" i="30" s="1"/>
  <c r="F938" i="30" s="1"/>
  <c r="G937" i="30"/>
  <c r="G936" i="30" s="1"/>
  <c r="F937" i="30"/>
  <c r="F936" i="30" s="1"/>
  <c r="G931" i="30"/>
  <c r="G930" i="30" s="1"/>
  <c r="F931" i="30"/>
  <c r="F930" i="30" s="1"/>
  <c r="G910" i="30"/>
  <c r="G909" i="30" s="1"/>
  <c r="G908" i="30" s="1"/>
  <c r="G906" i="30" s="1"/>
  <c r="F910" i="30"/>
  <c r="F909" i="30" s="1"/>
  <c r="F908" i="30" s="1"/>
  <c r="F906" i="30" s="1"/>
  <c r="G905" i="30"/>
  <c r="G904" i="30" s="1"/>
  <c r="G903" i="30" s="1"/>
  <c r="G902" i="30" s="1"/>
  <c r="G901" i="30" s="1"/>
  <c r="G900" i="30" s="1"/>
  <c r="F905" i="30"/>
  <c r="F904" i="30" s="1"/>
  <c r="F903" i="30" s="1"/>
  <c r="F902" i="30" s="1"/>
  <c r="F901" i="30" s="1"/>
  <c r="F900" i="30" s="1"/>
  <c r="G895" i="30"/>
  <c r="G894" i="30" s="1"/>
  <c r="F895" i="30"/>
  <c r="F894" i="30" s="1"/>
  <c r="G893" i="30"/>
  <c r="G892" i="30" s="1"/>
  <c r="F893" i="30"/>
  <c r="F892" i="30" s="1"/>
  <c r="F891" i="30"/>
  <c r="F890" i="30" s="1"/>
  <c r="G888" i="30"/>
  <c r="G887" i="30" s="1"/>
  <c r="G886" i="30" s="1"/>
  <c r="F888" i="30"/>
  <c r="F887" i="30" s="1"/>
  <c r="F886" i="30" s="1"/>
  <c r="G883" i="30"/>
  <c r="G882" i="30" s="1"/>
  <c r="G881" i="30" s="1"/>
  <c r="F883" i="30"/>
  <c r="F882" i="30" s="1"/>
  <c r="F881" i="30" s="1"/>
  <c r="F880" i="30"/>
  <c r="F879" i="30" s="1"/>
  <c r="F878" i="30" s="1"/>
  <c r="G877" i="30"/>
  <c r="G876" i="30" s="1"/>
  <c r="F877" i="30"/>
  <c r="F876" i="30" s="1"/>
  <c r="F875" i="30"/>
  <c r="F874" i="30" s="1"/>
  <c r="G869" i="30"/>
  <c r="G868" i="30" s="1"/>
  <c r="G867" i="30" s="1"/>
  <c r="G866" i="30" s="1"/>
  <c r="G865" i="30" s="1"/>
  <c r="F869" i="30"/>
  <c r="F868" i="30" s="1"/>
  <c r="F867" i="30" s="1"/>
  <c r="F866" i="30" s="1"/>
  <c r="F865" i="30" s="1"/>
  <c r="G864" i="30"/>
  <c r="G863" i="30" s="1"/>
  <c r="G862" i="30" s="1"/>
  <c r="G861" i="30" s="1"/>
  <c r="G860" i="30" s="1"/>
  <c r="F864" i="30"/>
  <c r="F863" i="30" s="1"/>
  <c r="F862" i="30" s="1"/>
  <c r="F861" i="30" s="1"/>
  <c r="F860" i="30" s="1"/>
  <c r="G859" i="30"/>
  <c r="G858" i="30" s="1"/>
  <c r="G857" i="30" s="1"/>
  <c r="F859" i="30"/>
  <c r="F858" i="30" s="1"/>
  <c r="F857" i="30" s="1"/>
  <c r="G856" i="30"/>
  <c r="G855" i="30" s="1"/>
  <c r="G854" i="30" s="1"/>
  <c r="F856" i="30"/>
  <c r="F855" i="30" s="1"/>
  <c r="F854" i="30" s="1"/>
  <c r="F845" i="30"/>
  <c r="F844" i="30" s="1"/>
  <c r="F843" i="30" s="1"/>
  <c r="G842" i="30"/>
  <c r="G841" i="30" s="1"/>
  <c r="G840" i="30" s="1"/>
  <c r="F842" i="30"/>
  <c r="F841" i="30" s="1"/>
  <c r="F840" i="30" s="1"/>
  <c r="G838" i="30"/>
  <c r="G837" i="30" s="1"/>
  <c r="G836" i="30" s="1"/>
  <c r="G835" i="30" s="1"/>
  <c r="F838" i="30"/>
  <c r="F837" i="30" s="1"/>
  <c r="F836" i="30" s="1"/>
  <c r="F835" i="30" s="1"/>
  <c r="G834" i="30"/>
  <c r="G833" i="30" s="1"/>
  <c r="G832" i="30" s="1"/>
  <c r="F834" i="30"/>
  <c r="F833" i="30" s="1"/>
  <c r="F832" i="30" s="1"/>
  <c r="G831" i="30"/>
  <c r="G830" i="30" s="1"/>
  <c r="G829" i="30" s="1"/>
  <c r="F831" i="30"/>
  <c r="F830" i="30" s="1"/>
  <c r="F829" i="30" s="1"/>
  <c r="G827" i="30"/>
  <c r="G826" i="30" s="1"/>
  <c r="G825" i="30" s="1"/>
  <c r="G824" i="30" s="1"/>
  <c r="F827" i="30"/>
  <c r="F826" i="30" s="1"/>
  <c r="F825" i="30" s="1"/>
  <c r="F824" i="30" s="1"/>
  <c r="G821" i="30"/>
  <c r="G820" i="30" s="1"/>
  <c r="F821" i="30"/>
  <c r="F820" i="30" s="1"/>
  <c r="G803" i="30"/>
  <c r="G802" i="30" s="1"/>
  <c r="G801" i="30" s="1"/>
  <c r="F803" i="30"/>
  <c r="F802" i="30" s="1"/>
  <c r="F801" i="30" s="1"/>
  <c r="G800" i="30"/>
  <c r="G799" i="30" s="1"/>
  <c r="F800" i="30"/>
  <c r="F799" i="30" s="1"/>
  <c r="G796" i="30"/>
  <c r="G795" i="30" s="1"/>
  <c r="F796" i="30"/>
  <c r="F795" i="30" s="1"/>
  <c r="G792" i="30"/>
  <c r="G791" i="30" s="1"/>
  <c r="F792" i="30"/>
  <c r="F791" i="30" s="1"/>
  <c r="G782" i="30"/>
  <c r="G781" i="30" s="1"/>
  <c r="G780" i="30" s="1"/>
  <c r="F782" i="30"/>
  <c r="F781" i="30" s="1"/>
  <c r="F780" i="30" s="1"/>
  <c r="G772" i="30"/>
  <c r="G771" i="30" s="1"/>
  <c r="F772" i="30"/>
  <c r="F771" i="30" s="1"/>
  <c r="G770" i="30"/>
  <c r="G769" i="30" s="1"/>
  <c r="F770" i="30"/>
  <c r="F769" i="30" s="1"/>
  <c r="G759" i="30"/>
  <c r="G758" i="30" s="1"/>
  <c r="G757" i="30" s="1"/>
  <c r="G756" i="30" s="1"/>
  <c r="F759" i="30"/>
  <c r="F758" i="30" s="1"/>
  <c r="F757" i="30" s="1"/>
  <c r="F756" i="30" s="1"/>
  <c r="G753" i="30"/>
  <c r="G752" i="30" s="1"/>
  <c r="F753" i="30"/>
  <c r="F752" i="30" s="1"/>
  <c r="G746" i="30"/>
  <c r="G745" i="30" s="1"/>
  <c r="G744" i="30" s="1"/>
  <c r="F746" i="30"/>
  <c r="F745" i="30" s="1"/>
  <c r="F744" i="30" s="1"/>
  <c r="G739" i="30"/>
  <c r="G738" i="30" s="1"/>
  <c r="G737" i="30" s="1"/>
  <c r="F739" i="30"/>
  <c r="F738" i="30" s="1"/>
  <c r="F737" i="30" s="1"/>
  <c r="G736" i="30"/>
  <c r="G735" i="30" s="1"/>
  <c r="G734" i="30" s="1"/>
  <c r="F736" i="30"/>
  <c r="F735" i="30" s="1"/>
  <c r="F734" i="30" s="1"/>
  <c r="G731" i="30"/>
  <c r="F731" i="30"/>
  <c r="F730" i="30" s="1"/>
  <c r="F729" i="30" s="1"/>
  <c r="F727" i="30" s="1"/>
  <c r="G726" i="30"/>
  <c r="G725" i="30" s="1"/>
  <c r="G724" i="30" s="1"/>
  <c r="F726" i="30"/>
  <c r="F725" i="30" s="1"/>
  <c r="F724" i="30" s="1"/>
  <c r="G723" i="30"/>
  <c r="G722" i="30" s="1"/>
  <c r="G721" i="30" s="1"/>
  <c r="F723" i="30"/>
  <c r="F722" i="30" s="1"/>
  <c r="F721" i="30" s="1"/>
  <c r="G719" i="30"/>
  <c r="G718" i="30" s="1"/>
  <c r="G717" i="30" s="1"/>
  <c r="G716" i="30" s="1"/>
  <c r="F719" i="30"/>
  <c r="F718" i="30" s="1"/>
  <c r="F717" i="30" s="1"/>
  <c r="F716" i="30" s="1"/>
  <c r="G713" i="30"/>
  <c r="G712" i="30" s="1"/>
  <c r="F713" i="30"/>
  <c r="F712" i="30" s="1"/>
  <c r="G710" i="30"/>
  <c r="G709" i="30" s="1"/>
  <c r="G708" i="30" s="1"/>
  <c r="F710" i="30"/>
  <c r="F709" i="30" s="1"/>
  <c r="F708" i="30" s="1"/>
  <c r="G703" i="30"/>
  <c r="G702" i="30" s="1"/>
  <c r="F703" i="30"/>
  <c r="F702" i="30" s="1"/>
  <c r="G701" i="30"/>
  <c r="G700" i="30" s="1"/>
  <c r="F701" i="30"/>
  <c r="F700" i="30" s="1"/>
  <c r="F699" i="30"/>
  <c r="F698" i="30" s="1"/>
  <c r="G694" i="30"/>
  <c r="G693" i="30" s="1"/>
  <c r="G692" i="30" s="1"/>
  <c r="G691" i="30" s="1"/>
  <c r="F694" i="30"/>
  <c r="F693" i="30" s="1"/>
  <c r="F692" i="30" s="1"/>
  <c r="F691" i="30" s="1"/>
  <c r="G686" i="30"/>
  <c r="G685" i="30" s="1"/>
  <c r="G684" i="30" s="1"/>
  <c r="F686" i="30"/>
  <c r="F685" i="30" s="1"/>
  <c r="F684" i="30" s="1"/>
  <c r="G683" i="30"/>
  <c r="G682" i="30" s="1"/>
  <c r="G681" i="30" s="1"/>
  <c r="F683" i="30"/>
  <c r="F682" i="30" s="1"/>
  <c r="F681" i="30" s="1"/>
  <c r="G670" i="30"/>
  <c r="G669" i="30" s="1"/>
  <c r="G668" i="30" s="1"/>
  <c r="G667" i="30" s="1"/>
  <c r="G666" i="30" s="1"/>
  <c r="F670" i="30"/>
  <c r="F669" i="30" s="1"/>
  <c r="F668" i="30" s="1"/>
  <c r="F667" i="30" s="1"/>
  <c r="F666" i="30" s="1"/>
  <c r="G665" i="30"/>
  <c r="G664" i="30" s="1"/>
  <c r="G663" i="30" s="1"/>
  <c r="G662" i="30" s="1"/>
  <c r="G661" i="30" s="1"/>
  <c r="F665" i="30"/>
  <c r="F664" i="30" s="1"/>
  <c r="F663" i="30" s="1"/>
  <c r="F662" i="30" s="1"/>
  <c r="F661" i="30" s="1"/>
  <c r="G660" i="30"/>
  <c r="G659" i="30" s="1"/>
  <c r="G658" i="30" s="1"/>
  <c r="G657" i="30" s="1"/>
  <c r="G615" i="30"/>
  <c r="G614" i="30" s="1"/>
  <c r="G613" i="30" s="1"/>
  <c r="F615" i="30"/>
  <c r="F614" i="30" s="1"/>
  <c r="F613" i="30" s="1"/>
  <c r="G608" i="30"/>
  <c r="G607" i="30" s="1"/>
  <c r="G606" i="30" s="1"/>
  <c r="F608" i="30"/>
  <c r="F607" i="30" s="1"/>
  <c r="F606" i="30" s="1"/>
  <c r="G592" i="30"/>
  <c r="G591" i="30" s="1"/>
  <c r="G590" i="30" s="1"/>
  <c r="F592" i="30"/>
  <c r="F591" i="30" s="1"/>
  <c r="F590" i="30" s="1"/>
  <c r="G586" i="30"/>
  <c r="G585" i="30" s="1"/>
  <c r="G584" i="30" s="1"/>
  <c r="F586" i="30"/>
  <c r="F585" i="30" s="1"/>
  <c r="F584" i="30" s="1"/>
  <c r="G576" i="30"/>
  <c r="G575" i="30" s="1"/>
  <c r="G574" i="30" s="1"/>
  <c r="G573" i="30" s="1"/>
  <c r="G572" i="30" s="1"/>
  <c r="F576" i="30"/>
  <c r="F575" i="30" s="1"/>
  <c r="F574" i="30" s="1"/>
  <c r="F573" i="30" s="1"/>
  <c r="F572" i="30" s="1"/>
  <c r="G571" i="30"/>
  <c r="G570" i="30" s="1"/>
  <c r="G569" i="30" s="1"/>
  <c r="G568" i="30" s="1"/>
  <c r="G567" i="30" s="1"/>
  <c r="F571" i="30"/>
  <c r="F570" i="30" s="1"/>
  <c r="F569" i="30" s="1"/>
  <c r="F568" i="30" s="1"/>
  <c r="F567" i="30" s="1"/>
  <c r="G550" i="30"/>
  <c r="G549" i="30" s="1"/>
  <c r="G548" i="30" s="1"/>
  <c r="F550" i="30"/>
  <c r="F549" i="30" s="1"/>
  <c r="F548" i="30" s="1"/>
  <c r="G547" i="30"/>
  <c r="G546" i="30" s="1"/>
  <c r="G545" i="30" s="1"/>
  <c r="F547" i="30"/>
  <c r="F546" i="30" s="1"/>
  <c r="F545" i="30" s="1"/>
  <c r="G540" i="30"/>
  <c r="G539" i="30" s="1"/>
  <c r="G538" i="30" s="1"/>
  <c r="F540" i="30"/>
  <c r="F539" i="30" s="1"/>
  <c r="F538" i="30" s="1"/>
  <c r="G527" i="30"/>
  <c r="G526" i="30" s="1"/>
  <c r="G525" i="30" s="1"/>
  <c r="F527" i="30"/>
  <c r="F526" i="30" s="1"/>
  <c r="F525" i="30" s="1"/>
  <c r="G504" i="30"/>
  <c r="F504" i="30"/>
  <c r="F494" i="30"/>
  <c r="F493" i="30" s="1"/>
  <c r="G491" i="30"/>
  <c r="G490" i="30" s="1"/>
  <c r="G489" i="30" s="1"/>
  <c r="F491" i="30"/>
  <c r="F490" i="30" s="1"/>
  <c r="F489" i="30" s="1"/>
  <c r="F483" i="30"/>
  <c r="F482" i="30" s="1"/>
  <c r="F481" i="30" s="1"/>
  <c r="G478" i="30"/>
  <c r="G477" i="30" s="1"/>
  <c r="F478" i="30"/>
  <c r="F477" i="30" s="1"/>
  <c r="F476" i="30"/>
  <c r="F475" i="30" s="1"/>
  <c r="G457" i="30"/>
  <c r="G456" i="30" s="1"/>
  <c r="G455" i="30" s="1"/>
  <c r="G454" i="30" s="1"/>
  <c r="F457" i="30"/>
  <c r="F456" i="30" s="1"/>
  <c r="F455" i="30" s="1"/>
  <c r="F454" i="30" s="1"/>
  <c r="G453" i="30"/>
  <c r="G452" i="30" s="1"/>
  <c r="G451" i="30" s="1"/>
  <c r="F453" i="30"/>
  <c r="F452" i="30" s="1"/>
  <c r="F451" i="30" s="1"/>
  <c r="G435" i="30"/>
  <c r="G434" i="30" s="1"/>
  <c r="G433" i="30" s="1"/>
  <c r="F435" i="30"/>
  <c r="F434" i="30" s="1"/>
  <c r="F433" i="30" s="1"/>
  <c r="G423" i="30"/>
  <c r="G422" i="30" s="1"/>
  <c r="G421" i="30" s="1"/>
  <c r="F423" i="30"/>
  <c r="F422" i="30" s="1"/>
  <c r="F421" i="30" s="1"/>
  <c r="G414" i="30"/>
  <c r="G413" i="30" s="1"/>
  <c r="G412" i="30" s="1"/>
  <c r="G411" i="30" s="1"/>
  <c r="G410" i="30" s="1"/>
  <c r="F414" i="30"/>
  <c r="F413" i="30" s="1"/>
  <c r="F412" i="30" s="1"/>
  <c r="F411" i="30" s="1"/>
  <c r="F410" i="30" s="1"/>
  <c r="G403" i="30"/>
  <c r="G402" i="30" s="1"/>
  <c r="G401" i="30" s="1"/>
  <c r="G400" i="30" s="1"/>
  <c r="F403" i="30"/>
  <c r="F402" i="30" s="1"/>
  <c r="F401" i="30" s="1"/>
  <c r="F400" i="30" s="1"/>
  <c r="G399" i="30"/>
  <c r="G398" i="30" s="1"/>
  <c r="G397" i="30" s="1"/>
  <c r="G396" i="30" s="1"/>
  <c r="F399" i="30"/>
  <c r="F398" i="30" s="1"/>
  <c r="F397" i="30" s="1"/>
  <c r="F396" i="30" s="1"/>
  <c r="G395" i="30"/>
  <c r="G394" i="30" s="1"/>
  <c r="G393" i="30" s="1"/>
  <c r="G392" i="30" s="1"/>
  <c r="F395" i="30"/>
  <c r="F394" i="30" s="1"/>
  <c r="F393" i="30" s="1"/>
  <c r="F392" i="30" s="1"/>
  <c r="G391" i="30"/>
  <c r="G390" i="30" s="1"/>
  <c r="G389" i="30" s="1"/>
  <c r="G388" i="30" s="1"/>
  <c r="F391" i="30"/>
  <c r="F390" i="30" s="1"/>
  <c r="F389" i="30" s="1"/>
  <c r="F388" i="30" s="1"/>
  <c r="G387" i="30"/>
  <c r="G386" i="30" s="1"/>
  <c r="G385" i="30" s="1"/>
  <c r="G384" i="30" s="1"/>
  <c r="F387" i="30"/>
  <c r="F386" i="30" s="1"/>
  <c r="F385" i="30" s="1"/>
  <c r="F384" i="30" s="1"/>
  <c r="G383" i="30"/>
  <c r="G382" i="30" s="1"/>
  <c r="G381" i="30" s="1"/>
  <c r="G380" i="30" s="1"/>
  <c r="F383" i="30"/>
  <c r="F382" i="30" s="1"/>
  <c r="F381" i="30" s="1"/>
  <c r="F380" i="30" s="1"/>
  <c r="G379" i="30"/>
  <c r="G378" i="30" s="1"/>
  <c r="G377" i="30" s="1"/>
  <c r="G376" i="30" s="1"/>
  <c r="F379" i="30"/>
  <c r="F378" i="30" s="1"/>
  <c r="F377" i="30" s="1"/>
  <c r="F376" i="30" s="1"/>
  <c r="G343" i="30"/>
  <c r="G342" i="30" s="1"/>
  <c r="G341" i="30" s="1"/>
  <c r="G340" i="30"/>
  <c r="G339" i="30" s="1"/>
  <c r="G338" i="30" s="1"/>
  <c r="F340" i="30"/>
  <c r="F339" i="30" s="1"/>
  <c r="F338" i="30" s="1"/>
  <c r="G337" i="30"/>
  <c r="G336" i="30" s="1"/>
  <c r="G335" i="30" s="1"/>
  <c r="F337" i="30"/>
  <c r="F336" i="30" s="1"/>
  <c r="F335" i="30" s="1"/>
  <c r="G325" i="30"/>
  <c r="G324" i="30" s="1"/>
  <c r="G323" i="30" s="1"/>
  <c r="G322" i="30" s="1"/>
  <c r="G321" i="30" s="1"/>
  <c r="F325" i="30"/>
  <c r="F324" i="30" s="1"/>
  <c r="F323" i="30" s="1"/>
  <c r="F322" i="30" s="1"/>
  <c r="F321" i="30" s="1"/>
  <c r="G312" i="30"/>
  <c r="G311" i="30" s="1"/>
  <c r="G310" i="30" s="1"/>
  <c r="G309" i="30" s="1"/>
  <c r="F311" i="30"/>
  <c r="F310" i="30" s="1"/>
  <c r="F309" i="30" s="1"/>
  <c r="F312" i="30"/>
  <c r="G302" i="30"/>
  <c r="G301" i="30" s="1"/>
  <c r="F302" i="30"/>
  <c r="F301" i="30" s="1"/>
  <c r="G300" i="30"/>
  <c r="G299" i="30" s="1"/>
  <c r="F300" i="30"/>
  <c r="F299" i="30" s="1"/>
  <c r="G292" i="30"/>
  <c r="G291" i="30" s="1"/>
  <c r="F292" i="30"/>
  <c r="F291" i="30" s="1"/>
  <c r="G290" i="30"/>
  <c r="G289" i="30" s="1"/>
  <c r="G280" i="30"/>
  <c r="G279" i="30" s="1"/>
  <c r="G278" i="30" s="1"/>
  <c r="G277" i="30" s="1"/>
  <c r="G276" i="30" s="1"/>
  <c r="G275" i="30" s="1"/>
  <c r="E25" i="31" s="1"/>
  <c r="F280" i="30"/>
  <c r="F279" i="30" s="1"/>
  <c r="F278" i="30" s="1"/>
  <c r="F277" i="30" s="1"/>
  <c r="F276" i="30" s="1"/>
  <c r="F275" i="30" s="1"/>
  <c r="D25" i="31" s="1"/>
  <c r="G202" i="29"/>
  <c r="F270" i="30" s="1"/>
  <c r="F269" i="30" s="1"/>
  <c r="F268" i="30" s="1"/>
  <c r="F267" i="30" s="1"/>
  <c r="G246" i="30"/>
  <c r="G245" i="30" s="1"/>
  <c r="G244" i="30" s="1"/>
  <c r="F246" i="30"/>
  <c r="F245" i="30" s="1"/>
  <c r="F244" i="30" s="1"/>
  <c r="G255" i="30"/>
  <c r="G254" i="30" s="1"/>
  <c r="G253" i="30" s="1"/>
  <c r="F255" i="30"/>
  <c r="F254" i="30" s="1"/>
  <c r="F253" i="30" s="1"/>
  <c r="G252" i="30"/>
  <c r="G251" i="30" s="1"/>
  <c r="F252" i="30"/>
  <c r="F250" i="30"/>
  <c r="F249" i="30" s="1"/>
  <c r="G243" i="30"/>
  <c r="G242" i="30" s="1"/>
  <c r="G241" i="30" s="1"/>
  <c r="F243" i="30"/>
  <c r="F242" i="30" s="1"/>
  <c r="F241" i="30" s="1"/>
  <c r="G229" i="30"/>
  <c r="G228" i="30" s="1"/>
  <c r="G227" i="30" s="1"/>
  <c r="G226" i="30" s="1"/>
  <c r="G225" i="30" s="1"/>
  <c r="F229" i="30"/>
  <c r="F228" i="30" s="1"/>
  <c r="F227" i="30" s="1"/>
  <c r="F226" i="30" s="1"/>
  <c r="F225" i="30" s="1"/>
  <c r="G224" i="30"/>
  <c r="G223" i="30" s="1"/>
  <c r="G222" i="30" s="1"/>
  <c r="G221" i="30" s="1"/>
  <c r="G220" i="30" s="1"/>
  <c r="F224" i="30"/>
  <c r="F223" i="30" s="1"/>
  <c r="F222" i="30" s="1"/>
  <c r="F221" i="30" s="1"/>
  <c r="F220" i="30" s="1"/>
  <c r="G214" i="30"/>
  <c r="G213" i="30" s="1"/>
  <c r="G212" i="30" s="1"/>
  <c r="G211" i="30" s="1"/>
  <c r="F214" i="30"/>
  <c r="F213" i="30" s="1"/>
  <c r="F212" i="30" s="1"/>
  <c r="F211" i="30" s="1"/>
  <c r="G210" i="30"/>
  <c r="G209" i="30" s="1"/>
  <c r="G208" i="30" s="1"/>
  <c r="G207" i="30" s="1"/>
  <c r="F210" i="30"/>
  <c r="F209" i="30" s="1"/>
  <c r="F208" i="30" s="1"/>
  <c r="F207" i="30" s="1"/>
  <c r="G196" i="30"/>
  <c r="G195" i="30" s="1"/>
  <c r="G194" i="30" s="1"/>
  <c r="F193" i="30"/>
  <c r="F192" i="30" s="1"/>
  <c r="F191" i="30" s="1"/>
  <c r="F196" i="30"/>
  <c r="F195" i="30" s="1"/>
  <c r="F194" i="30" s="1"/>
  <c r="G193" i="30"/>
  <c r="G192" i="30" s="1"/>
  <c r="G191" i="30" s="1"/>
  <c r="G188" i="30"/>
  <c r="G187" i="30" s="1"/>
  <c r="G186" i="30" s="1"/>
  <c r="G185" i="30" s="1"/>
  <c r="F188" i="30"/>
  <c r="F187" i="30" s="1"/>
  <c r="F186" i="30" s="1"/>
  <c r="F185" i="30" s="1"/>
  <c r="G172" i="30"/>
  <c r="G171" i="30" s="1"/>
  <c r="G170" i="30" s="1"/>
  <c r="F172" i="30"/>
  <c r="F171" i="30" s="1"/>
  <c r="F170" i="30" s="1"/>
  <c r="G169" i="30"/>
  <c r="G168" i="30" s="1"/>
  <c r="F169" i="30"/>
  <c r="F168" i="30" s="1"/>
  <c r="F167" i="30"/>
  <c r="F166" i="30" s="1"/>
  <c r="G158" i="30"/>
  <c r="G157" i="30" s="1"/>
  <c r="F158" i="30"/>
  <c r="F157" i="30" s="1"/>
  <c r="G154" i="30"/>
  <c r="G153" i="30" s="1"/>
  <c r="F154" i="30"/>
  <c r="F153" i="30" s="1"/>
  <c r="G152" i="30"/>
  <c r="G151" i="30" s="1"/>
  <c r="F152" i="30"/>
  <c r="F151" i="30" s="1"/>
  <c r="F150" i="30"/>
  <c r="F149" i="30" s="1"/>
  <c r="G147" i="30"/>
  <c r="G146" i="30" s="1"/>
  <c r="G145" i="30" s="1"/>
  <c r="F147" i="30"/>
  <c r="F146" i="30" s="1"/>
  <c r="F145" i="30" s="1"/>
  <c r="G141" i="30"/>
  <c r="G140" i="30" s="1"/>
  <c r="G139" i="30" s="1"/>
  <c r="G138" i="30" s="1"/>
  <c r="G137" i="30" s="1"/>
  <c r="G136" i="30" s="1"/>
  <c r="E17" i="31" s="1"/>
  <c r="F141" i="30"/>
  <c r="F140" i="30" s="1"/>
  <c r="F139" i="30" s="1"/>
  <c r="F138" i="30" s="1"/>
  <c r="F137" i="30" s="1"/>
  <c r="F136" i="30" s="1"/>
  <c r="D17" i="31" s="1"/>
  <c r="F124" i="30"/>
  <c r="F123" i="30" s="1"/>
  <c r="F122" i="30" s="1"/>
  <c r="G121" i="30"/>
  <c r="G120" i="30" s="1"/>
  <c r="F121" i="30"/>
  <c r="F119" i="30"/>
  <c r="F118" i="30" s="1"/>
  <c r="F110" i="30"/>
  <c r="F109" i="30" s="1"/>
  <c r="F108" i="30"/>
  <c r="F107" i="30" s="1"/>
  <c r="F120" i="30"/>
  <c r="F115" i="30"/>
  <c r="F114" i="30" s="1"/>
  <c r="F113" i="30" s="1"/>
  <c r="G112" i="30"/>
  <c r="G111" i="30" s="1"/>
  <c r="F112" i="30"/>
  <c r="F111" i="30" s="1"/>
  <c r="G102" i="30"/>
  <c r="G101" i="30" s="1"/>
  <c r="G100" i="30" s="1"/>
  <c r="G99" i="30" s="1"/>
  <c r="F102" i="30"/>
  <c r="F101" i="30" s="1"/>
  <c r="F100" i="30" s="1"/>
  <c r="F99" i="30" s="1"/>
  <c r="G89" i="30"/>
  <c r="G88" i="30" s="1"/>
  <c r="G87" i="30" s="1"/>
  <c r="G86" i="30" s="1"/>
  <c r="F89" i="30"/>
  <c r="F88" i="30" s="1"/>
  <c r="F87" i="30" s="1"/>
  <c r="F86" i="30" s="1"/>
  <c r="G95" i="30"/>
  <c r="G94" i="30" s="1"/>
  <c r="F95" i="30"/>
  <c r="F94" i="30" s="1"/>
  <c r="G93" i="30"/>
  <c r="G92" i="30" s="1"/>
  <c r="F93" i="30"/>
  <c r="F92" i="30" s="1"/>
  <c r="G84" i="30"/>
  <c r="G83" i="30" s="1"/>
  <c r="F84" i="30"/>
  <c r="F83" i="30" s="1"/>
  <c r="G82" i="30"/>
  <c r="G81" i="30" s="1"/>
  <c r="F82" i="30"/>
  <c r="F81" i="30" s="1"/>
  <c r="G79" i="30"/>
  <c r="G78" i="30" s="1"/>
  <c r="G77" i="30" s="1"/>
  <c r="F79" i="30"/>
  <c r="F78" i="30" s="1"/>
  <c r="F77" i="30" s="1"/>
  <c r="G76" i="30"/>
  <c r="G75" i="30" s="1"/>
  <c r="F76" i="30"/>
  <c r="F75" i="30" s="1"/>
  <c r="G74" i="30"/>
  <c r="G73" i="30" s="1"/>
  <c r="F74" i="30"/>
  <c r="F73" i="30" s="1"/>
  <c r="G69" i="30"/>
  <c r="G68" i="30" s="1"/>
  <c r="F69" i="30"/>
  <c r="F68" i="30" s="1"/>
  <c r="G59" i="30"/>
  <c r="G58" i="30" s="1"/>
  <c r="G57" i="30" s="1"/>
  <c r="F59" i="30"/>
  <c r="F58" i="30" s="1"/>
  <c r="F57" i="30" s="1"/>
  <c r="G56" i="30"/>
  <c r="G55" i="30" s="1"/>
  <c r="G54" i="30" s="1"/>
  <c r="F56" i="30"/>
  <c r="F55" i="30" s="1"/>
  <c r="F54" i="30" s="1"/>
  <c r="G53" i="30"/>
  <c r="G52" i="30" s="1"/>
  <c r="F53" i="30"/>
  <c r="F52" i="30" s="1"/>
  <c r="G49" i="30"/>
  <c r="G48" i="30" s="1"/>
  <c r="F49" i="30"/>
  <c r="F48" i="30" s="1"/>
  <c r="F47" i="30"/>
  <c r="F46" i="30" s="1"/>
  <c r="F36" i="30"/>
  <c r="F35" i="30" s="1"/>
  <c r="G33" i="30"/>
  <c r="G32" i="30" s="1"/>
  <c r="F33" i="30"/>
  <c r="F32" i="30" s="1"/>
  <c r="F31" i="30"/>
  <c r="F30" i="30" s="1"/>
  <c r="G25" i="30"/>
  <c r="G24" i="30" s="1"/>
  <c r="G23" i="30" s="1"/>
  <c r="G22" i="30" s="1"/>
  <c r="G21" i="30" s="1"/>
  <c r="F25" i="30"/>
  <c r="F24" i="30" s="1"/>
  <c r="F23" i="30" s="1"/>
  <c r="F15" i="30"/>
  <c r="F14" i="30" s="1"/>
  <c r="G1007" i="30"/>
  <c r="G1006" i="30" s="1"/>
  <c r="G1005" i="30" s="1"/>
  <c r="G1004" i="30" s="1"/>
  <c r="G988" i="30"/>
  <c r="G987" i="30" s="1"/>
  <c r="G986" i="30"/>
  <c r="G984" i="30"/>
  <c r="G983" i="30" s="1"/>
  <c r="G982" i="30" s="1"/>
  <c r="G978" i="30"/>
  <c r="G977" i="30"/>
  <c r="G976" i="30" s="1"/>
  <c r="G975" i="30"/>
  <c r="G974" i="30"/>
  <c r="G973" i="30" s="1"/>
  <c r="G951" i="30"/>
  <c r="G950" i="30" s="1"/>
  <c r="G949" i="30" s="1"/>
  <c r="G948" i="30" s="1"/>
  <c r="G947" i="30" s="1"/>
  <c r="G944" i="30"/>
  <c r="G943" i="30" s="1"/>
  <c r="G942" i="30" s="1"/>
  <c r="G935" i="30"/>
  <c r="G929" i="30"/>
  <c r="G928" i="30" s="1"/>
  <c r="G899" i="30"/>
  <c r="G898" i="30" s="1"/>
  <c r="G897" i="30" s="1"/>
  <c r="G896" i="30" s="1"/>
  <c r="G853" i="30"/>
  <c r="G852" i="30" s="1"/>
  <c r="G851" i="30" s="1"/>
  <c r="G849" i="30"/>
  <c r="G848" i="30" s="1"/>
  <c r="G847" i="30" s="1"/>
  <c r="G846" i="30" s="1"/>
  <c r="G845" i="30"/>
  <c r="G844" i="30" s="1"/>
  <c r="G843" i="30" s="1"/>
  <c r="G823" i="30"/>
  <c r="G822" i="30" s="1"/>
  <c r="G817" i="30"/>
  <c r="G816" i="30" s="1"/>
  <c r="G815" i="30" s="1"/>
  <c r="G790" i="30"/>
  <c r="G789" i="30" s="1"/>
  <c r="G787" i="30"/>
  <c r="G786" i="30" s="1"/>
  <c r="G785" i="30" s="1"/>
  <c r="G749" i="30"/>
  <c r="G748" i="30" s="1"/>
  <c r="G747" i="30" s="1"/>
  <c r="G715" i="30"/>
  <c r="G714" i="30" s="1"/>
  <c r="G706" i="30"/>
  <c r="G705" i="30" s="1"/>
  <c r="G704" i="30" s="1"/>
  <c r="G690" i="30"/>
  <c r="G689" i="30" s="1"/>
  <c r="G688" i="30" s="1"/>
  <c r="G687" i="30" s="1"/>
  <c r="G679" i="30"/>
  <c r="G678" i="30" s="1"/>
  <c r="G677" i="30" s="1"/>
  <c r="G656" i="30"/>
  <c r="G655" i="30" s="1"/>
  <c r="G654" i="30" s="1"/>
  <c r="G653" i="30" s="1"/>
  <c r="G652" i="30" s="1"/>
  <c r="G651" i="30"/>
  <c r="G650" i="30" s="1"/>
  <c r="G649" i="30" s="1"/>
  <c r="G648" i="30" s="1"/>
  <c r="G647" i="30"/>
  <c r="G646" i="30" s="1"/>
  <c r="G645" i="30" s="1"/>
  <c r="G644" i="30" s="1"/>
  <c r="G643" i="30"/>
  <c r="G642" i="30" s="1"/>
  <c r="G641" i="30" s="1"/>
  <c r="G640" i="30" s="1"/>
  <c r="G639" i="30"/>
  <c r="G638" i="30" s="1"/>
  <c r="G637" i="30" s="1"/>
  <c r="G636" i="30" s="1"/>
  <c r="G635" i="30"/>
  <c r="G634" i="30" s="1"/>
  <c r="G633" i="30" s="1"/>
  <c r="G632" i="30" s="1"/>
  <c r="G627" i="30"/>
  <c r="G626" i="30" s="1"/>
  <c r="G625" i="30" s="1"/>
  <c r="G624" i="30" s="1"/>
  <c r="G623" i="30"/>
  <c r="G622" i="30" s="1"/>
  <c r="G621" i="30" s="1"/>
  <c r="G620" i="30" s="1"/>
  <c r="G612" i="30"/>
  <c r="G611" i="30" s="1"/>
  <c r="G610" i="30" s="1"/>
  <c r="G605" i="30"/>
  <c r="G604" i="30" s="1"/>
  <c r="G603" i="30" s="1"/>
  <c r="G602" i="30"/>
  <c r="G601" i="30" s="1"/>
  <c r="G600" i="30" s="1"/>
  <c r="G598" i="30"/>
  <c r="G597" i="30" s="1"/>
  <c r="G566" i="30"/>
  <c r="G565" i="30" s="1"/>
  <c r="G564" i="30" s="1"/>
  <c r="G563" i="30" s="1"/>
  <c r="G562" i="30"/>
  <c r="G561" i="30" s="1"/>
  <c r="G560" i="30" s="1"/>
  <c r="G559" i="30" s="1"/>
  <c r="G544" i="30"/>
  <c r="G543" i="30" s="1"/>
  <c r="G542" i="30" s="1"/>
  <c r="G537" i="30"/>
  <c r="G536" i="30" s="1"/>
  <c r="G535" i="30" s="1"/>
  <c r="G534" i="30"/>
  <c r="G533" i="30" s="1"/>
  <c r="G532" i="30" s="1"/>
  <c r="G516" i="30"/>
  <c r="G515" i="30" s="1"/>
  <c r="G514" i="30" s="1"/>
  <c r="G513" i="30" s="1"/>
  <c r="G512" i="30" s="1"/>
  <c r="G511" i="30"/>
  <c r="G510" i="30" s="1"/>
  <c r="G509" i="30"/>
  <c r="G508" i="30" s="1"/>
  <c r="G506" i="30"/>
  <c r="G505" i="30"/>
  <c r="G502" i="30"/>
  <c r="G501" i="30" s="1"/>
  <c r="G480" i="30"/>
  <c r="G479" i="30" s="1"/>
  <c r="G470" i="30"/>
  <c r="G469" i="30" s="1"/>
  <c r="G468" i="30" s="1"/>
  <c r="G467" i="30" s="1"/>
  <c r="G450" i="30"/>
  <c r="G449" i="30" s="1"/>
  <c r="G448" i="30" s="1"/>
  <c r="G443" i="30"/>
  <c r="G442" i="30" s="1"/>
  <c r="G441" i="30" s="1"/>
  <c r="G440" i="30"/>
  <c r="G439" i="30" s="1"/>
  <c r="G432" i="30"/>
  <c r="G431" i="30" s="1"/>
  <c r="G430" i="30" s="1"/>
  <c r="G429" i="30"/>
  <c r="G428" i="30"/>
  <c r="G419" i="30"/>
  <c r="G418" i="30" s="1"/>
  <c r="G417" i="30" s="1"/>
  <c r="G416" i="30" s="1"/>
  <c r="G374" i="30"/>
  <c r="G373" i="30" s="1"/>
  <c r="G372" i="30" s="1"/>
  <c r="G371" i="30"/>
  <c r="G370" i="30" s="1"/>
  <c r="G369" i="30"/>
  <c r="G368" i="30" s="1"/>
  <c r="G366" i="30"/>
  <c r="G365" i="30" s="1"/>
  <c r="G364" i="30" s="1"/>
  <c r="G363" i="30"/>
  <c r="G362" i="30" s="1"/>
  <c r="G361" i="30"/>
  <c r="G360" i="30" s="1"/>
  <c r="G357" i="30"/>
  <c r="G356" i="30" s="1"/>
  <c r="G352" i="30"/>
  <c r="G351" i="30"/>
  <c r="G349" i="30"/>
  <c r="G348" i="30" s="1"/>
  <c r="G334" i="30"/>
  <c r="G333" i="30" s="1"/>
  <c r="G332" i="30"/>
  <c r="G331" i="30" s="1"/>
  <c r="G320" i="30"/>
  <c r="G319" i="30" s="1"/>
  <c r="G318" i="30" s="1"/>
  <c r="G317" i="30" s="1"/>
  <c r="G316" i="30"/>
  <c r="G315" i="30" s="1"/>
  <c r="G314" i="30" s="1"/>
  <c r="G313" i="30" s="1"/>
  <c r="G308" i="30"/>
  <c r="G307" i="30" s="1"/>
  <c r="G306" i="30" s="1"/>
  <c r="G305" i="30" s="1"/>
  <c r="G294" i="30"/>
  <c r="G293" i="30" s="1"/>
  <c r="G286" i="30"/>
  <c r="G285" i="30" s="1"/>
  <c r="G284" i="30" s="1"/>
  <c r="G283" i="30" s="1"/>
  <c r="G274" i="30"/>
  <c r="G273" i="30" s="1"/>
  <c r="G272" i="30" s="1"/>
  <c r="G271" i="30" s="1"/>
  <c r="G263" i="30"/>
  <c r="G262" i="30" s="1"/>
  <c r="G261" i="30" s="1"/>
  <c r="G260" i="30"/>
  <c r="G259" i="30" s="1"/>
  <c r="G258" i="30" s="1"/>
  <c r="G236" i="30"/>
  <c r="G235" i="30" s="1"/>
  <c r="G234" i="30" s="1"/>
  <c r="G233" i="30" s="1"/>
  <c r="G232" i="30" s="1"/>
  <c r="G231" i="30" s="1"/>
  <c r="G230" i="30" s="1"/>
  <c r="G219" i="30"/>
  <c r="G218" i="30" s="1"/>
  <c r="G217" i="30" s="1"/>
  <c r="G205" i="30"/>
  <c r="G204" i="30" s="1"/>
  <c r="G203" i="30" s="1"/>
  <c r="G202" i="30"/>
  <c r="G201" i="30" s="1"/>
  <c r="G200" i="30" s="1"/>
  <c r="G199" i="30"/>
  <c r="G198" i="30" s="1"/>
  <c r="G197" i="30" s="1"/>
  <c r="G183" i="30"/>
  <c r="G182" i="30" s="1"/>
  <c r="G163" i="30"/>
  <c r="G162" i="30" s="1"/>
  <c r="G161" i="30" s="1"/>
  <c r="G160" i="30"/>
  <c r="G159" i="30" s="1"/>
  <c r="G135" i="30"/>
  <c r="G134" i="30" s="1"/>
  <c r="G133" i="30"/>
  <c r="G132" i="30" s="1"/>
  <c r="G127" i="30"/>
  <c r="G126" i="30" s="1"/>
  <c r="G125" i="30" s="1"/>
  <c r="G97" i="30"/>
  <c r="G96" i="30" s="1"/>
  <c r="G71" i="30"/>
  <c r="G70" i="30" s="1"/>
  <c r="G65" i="30"/>
  <c r="G64" i="30" s="1"/>
  <c r="G63" i="30"/>
  <c r="G62" i="30" s="1"/>
  <c r="G61" i="30" s="1"/>
  <c r="G51" i="30"/>
  <c r="G50" i="30" s="1"/>
  <c r="G41" i="30"/>
  <c r="G40" i="30" s="1"/>
  <c r="G39" i="30" s="1"/>
  <c r="G38" i="30"/>
  <c r="G37" i="30" s="1"/>
  <c r="F1007" i="30"/>
  <c r="F1006" i="30" s="1"/>
  <c r="F1005" i="30" s="1"/>
  <c r="F1004" i="30" s="1"/>
  <c r="F988" i="30"/>
  <c r="F987" i="30" s="1"/>
  <c r="F986" i="30"/>
  <c r="F984" i="30"/>
  <c r="F983" i="30" s="1"/>
  <c r="F982" i="30" s="1"/>
  <c r="F980" i="30"/>
  <c r="F979" i="30" s="1"/>
  <c r="F978" i="30"/>
  <c r="F977" i="30"/>
  <c r="F976" i="30" s="1"/>
  <c r="F975" i="30"/>
  <c r="F974" i="30"/>
  <c r="F973" i="30" s="1"/>
  <c r="F944" i="30"/>
  <c r="F943" i="30" s="1"/>
  <c r="F942" i="30" s="1"/>
  <c r="F935" i="30"/>
  <c r="F934" i="30" s="1"/>
  <c r="F929" i="30"/>
  <c r="F928" i="30" s="1"/>
  <c r="F899" i="30"/>
  <c r="F898" i="30" s="1"/>
  <c r="F897" i="30" s="1"/>
  <c r="F896" i="30" s="1"/>
  <c r="F853" i="30"/>
  <c r="F852" i="30" s="1"/>
  <c r="F851" i="30" s="1"/>
  <c r="F823" i="30"/>
  <c r="F822" i="30" s="1"/>
  <c r="F817" i="30"/>
  <c r="F816" i="30" s="1"/>
  <c r="F815" i="30" s="1"/>
  <c r="F790" i="30"/>
  <c r="F789" i="30" s="1"/>
  <c r="F787" i="30"/>
  <c r="F786" i="30" s="1"/>
  <c r="F785" i="30" s="1"/>
  <c r="F749" i="30"/>
  <c r="F748" i="30" s="1"/>
  <c r="F747" i="30" s="1"/>
  <c r="F715" i="30"/>
  <c r="F714" i="30" s="1"/>
  <c r="F706" i="30"/>
  <c r="F705" i="30" s="1"/>
  <c r="F704" i="30" s="1"/>
  <c r="F690" i="30"/>
  <c r="F689" i="30" s="1"/>
  <c r="F688" i="30" s="1"/>
  <c r="F687" i="30" s="1"/>
  <c r="F679" i="30"/>
  <c r="F678" i="30" s="1"/>
  <c r="F677" i="30" s="1"/>
  <c r="F656" i="30"/>
  <c r="F655" i="30" s="1"/>
  <c r="F654" i="30" s="1"/>
  <c r="F653" i="30" s="1"/>
  <c r="F652" i="30" s="1"/>
  <c r="F651" i="30"/>
  <c r="F650" i="30" s="1"/>
  <c r="F649" i="30" s="1"/>
  <c r="F648" i="30" s="1"/>
  <c r="F647" i="30"/>
  <c r="F646" i="30" s="1"/>
  <c r="F645" i="30" s="1"/>
  <c r="F644" i="30" s="1"/>
  <c r="F643" i="30"/>
  <c r="F642" i="30" s="1"/>
  <c r="F641" i="30" s="1"/>
  <c r="F640" i="30" s="1"/>
  <c r="F639" i="30"/>
  <c r="F638" i="30" s="1"/>
  <c r="F637" i="30" s="1"/>
  <c r="F636" i="30" s="1"/>
  <c r="F635" i="30"/>
  <c r="F634" i="30" s="1"/>
  <c r="F633" i="30" s="1"/>
  <c r="F632" i="30" s="1"/>
  <c r="F627" i="30"/>
  <c r="F626" i="30" s="1"/>
  <c r="F625" i="30" s="1"/>
  <c r="F624" i="30" s="1"/>
  <c r="F623" i="30"/>
  <c r="F622" i="30" s="1"/>
  <c r="F621" i="30" s="1"/>
  <c r="F620" i="30" s="1"/>
  <c r="F612" i="30"/>
  <c r="F611" i="30" s="1"/>
  <c r="F610" i="30" s="1"/>
  <c r="F605" i="30"/>
  <c r="F604" i="30" s="1"/>
  <c r="F603" i="30" s="1"/>
  <c r="F602" i="30"/>
  <c r="F601" i="30" s="1"/>
  <c r="F600" i="30" s="1"/>
  <c r="F599" i="30"/>
  <c r="F598" i="30" s="1"/>
  <c r="F597" i="30" s="1"/>
  <c r="F566" i="30"/>
  <c r="F565" i="30" s="1"/>
  <c r="F564" i="30" s="1"/>
  <c r="F563" i="30" s="1"/>
  <c r="F562" i="30"/>
  <c r="F561" i="30" s="1"/>
  <c r="F560" i="30" s="1"/>
  <c r="F559" i="30" s="1"/>
  <c r="F544" i="30"/>
  <c r="F543" i="30" s="1"/>
  <c r="F542" i="30" s="1"/>
  <c r="F537" i="30"/>
  <c r="F536" i="30" s="1"/>
  <c r="F535" i="30" s="1"/>
  <c r="F534" i="30"/>
  <c r="F533" i="30" s="1"/>
  <c r="F532" i="30" s="1"/>
  <c r="F516" i="30"/>
  <c r="F515" i="30" s="1"/>
  <c r="F514" i="30" s="1"/>
  <c r="F513" i="30" s="1"/>
  <c r="F512" i="30" s="1"/>
  <c r="F511" i="30"/>
  <c r="F510" i="30" s="1"/>
  <c r="F509" i="30"/>
  <c r="F508" i="30" s="1"/>
  <c r="F505" i="30"/>
  <c r="F480" i="30"/>
  <c r="F479" i="30" s="1"/>
  <c r="F470" i="30"/>
  <c r="F469" i="30" s="1"/>
  <c r="F468" i="30" s="1"/>
  <c r="F467" i="30" s="1"/>
  <c r="F450" i="30"/>
  <c r="F449" i="30" s="1"/>
  <c r="F448" i="30" s="1"/>
  <c r="F443" i="30"/>
  <c r="F442" i="30" s="1"/>
  <c r="F441" i="30" s="1"/>
  <c r="F432" i="30"/>
  <c r="F431" i="30" s="1"/>
  <c r="F430" i="30" s="1"/>
  <c r="F428" i="30"/>
  <c r="F419" i="30"/>
  <c r="F418" i="30" s="1"/>
  <c r="F417" i="30" s="1"/>
  <c r="F416" i="30" s="1"/>
  <c r="F374" i="30"/>
  <c r="F373" i="30" s="1"/>
  <c r="F372" i="30" s="1"/>
  <c r="F371" i="30"/>
  <c r="F370" i="30" s="1"/>
  <c r="F369" i="30"/>
  <c r="F368" i="30" s="1"/>
  <c r="F366" i="30"/>
  <c r="F365" i="30" s="1"/>
  <c r="F364" i="30" s="1"/>
  <c r="F363" i="30"/>
  <c r="F362" i="30" s="1"/>
  <c r="F361" i="30"/>
  <c r="F360" i="30" s="1"/>
  <c r="F357" i="30"/>
  <c r="F356" i="30" s="1"/>
  <c r="F352" i="30"/>
  <c r="F351" i="30"/>
  <c r="F349" i="30"/>
  <c r="F348" i="30" s="1"/>
  <c r="F334" i="30"/>
  <c r="F333" i="30" s="1"/>
  <c r="F332" i="30"/>
  <c r="F331" i="30" s="1"/>
  <c r="F320" i="30"/>
  <c r="F319" i="30" s="1"/>
  <c r="F318" i="30" s="1"/>
  <c r="F317" i="30" s="1"/>
  <c r="F316" i="30"/>
  <c r="F315" i="30" s="1"/>
  <c r="F314" i="30" s="1"/>
  <c r="F313" i="30" s="1"/>
  <c r="F308" i="30"/>
  <c r="F307" i="30" s="1"/>
  <c r="F306" i="30" s="1"/>
  <c r="F305" i="30" s="1"/>
  <c r="F294" i="30"/>
  <c r="F293" i="30" s="1"/>
  <c r="F286" i="30"/>
  <c r="F285" i="30" s="1"/>
  <c r="F284" i="30" s="1"/>
  <c r="F283" i="30" s="1"/>
  <c r="F274" i="30"/>
  <c r="F273" i="30" s="1"/>
  <c r="F272" i="30" s="1"/>
  <c r="F271" i="30" s="1"/>
  <c r="F263" i="30"/>
  <c r="F262" i="30" s="1"/>
  <c r="F261" i="30" s="1"/>
  <c r="F251" i="30"/>
  <c r="F236" i="30"/>
  <c r="F235" i="30" s="1"/>
  <c r="F234" i="30" s="1"/>
  <c r="F233" i="30" s="1"/>
  <c r="F232" i="30" s="1"/>
  <c r="F231" i="30" s="1"/>
  <c r="F230" i="30" s="1"/>
  <c r="F219" i="30"/>
  <c r="F218" i="30" s="1"/>
  <c r="F217" i="30" s="1"/>
  <c r="F205" i="30"/>
  <c r="F204" i="30" s="1"/>
  <c r="F203" i="30" s="1"/>
  <c r="F202" i="30"/>
  <c r="F201" i="30" s="1"/>
  <c r="F200" i="30" s="1"/>
  <c r="F199" i="30"/>
  <c r="F198" i="30" s="1"/>
  <c r="F197" i="30" s="1"/>
  <c r="F183" i="30"/>
  <c r="F182" i="30" s="1"/>
  <c r="F160" i="30"/>
  <c r="F159" i="30" s="1"/>
  <c r="F135" i="30"/>
  <c r="F134" i="30" s="1"/>
  <c r="F133" i="30"/>
  <c r="F132" i="30" s="1"/>
  <c r="F127" i="30"/>
  <c r="F126" i="30" s="1"/>
  <c r="F125" i="30" s="1"/>
  <c r="F97" i="30"/>
  <c r="F96" i="30" s="1"/>
  <c r="F71" i="30"/>
  <c r="F70" i="30" s="1"/>
  <c r="F65" i="30"/>
  <c r="F64" i="30" s="1"/>
  <c r="F63" i="30"/>
  <c r="F41" i="30"/>
  <c r="F40" i="30" s="1"/>
  <c r="F39" i="30" s="1"/>
  <c r="F38" i="30"/>
  <c r="F37" i="30" s="1"/>
  <c r="G655" i="5"/>
  <c r="G654" i="5" s="1"/>
  <c r="G653" i="5" s="1"/>
  <c r="G652" i="5" s="1"/>
  <c r="G666" i="5"/>
  <c r="G667" i="5" s="1"/>
  <c r="G638" i="5"/>
  <c r="G639" i="5" s="1"/>
  <c r="G626" i="5"/>
  <c r="G627" i="5" s="1"/>
  <c r="G471" i="5"/>
  <c r="G472" i="5" s="1"/>
  <c r="H765" i="32" l="1"/>
  <c r="H764" i="32" s="1"/>
  <c r="H763" i="32" s="1"/>
  <c r="H762" i="32" s="1"/>
  <c r="H761" i="32" s="1"/>
  <c r="G632" i="32"/>
  <c r="H520" i="32"/>
  <c r="F1015" i="30"/>
  <c r="F1014" i="30" s="1"/>
  <c r="G751" i="32"/>
  <c r="G752" i="32" s="1"/>
  <c r="G600" i="32"/>
  <c r="G599" i="32" s="1"/>
  <c r="G598" i="32" s="1"/>
  <c r="G597" i="32" s="1"/>
  <c r="G642" i="32"/>
  <c r="G641" i="32" s="1"/>
  <c r="G640" i="32" s="1"/>
  <c r="H201" i="32"/>
  <c r="H199" i="32"/>
  <c r="H198" i="32" s="1"/>
  <c r="G228" i="32"/>
  <c r="G227" i="32" s="1"/>
  <c r="G257" i="30"/>
  <c r="G256" i="30" s="1"/>
  <c r="G250" i="32"/>
  <c r="G249" i="32" s="1"/>
  <c r="H386" i="32"/>
  <c r="H385" i="32" s="1"/>
  <c r="G656" i="5"/>
  <c r="H622" i="32"/>
  <c r="H621" i="32" s="1"/>
  <c r="F350" i="30"/>
  <c r="F347" i="30" s="1"/>
  <c r="H420" i="32"/>
  <c r="H419" i="32" s="1"/>
  <c r="G214" i="32"/>
  <c r="G213" i="32" s="1"/>
  <c r="F367" i="30"/>
  <c r="G75" i="32"/>
  <c r="H737" i="32"/>
  <c r="G427" i="30"/>
  <c r="G330" i="30"/>
  <c r="G329" i="30" s="1"/>
  <c r="G328" i="30" s="1"/>
  <c r="G327" i="30" s="1"/>
  <c r="E29" i="31" s="1"/>
  <c r="F507" i="30"/>
  <c r="H691" i="32"/>
  <c r="H713" i="32"/>
  <c r="H712" i="32" s="1"/>
  <c r="H546" i="32"/>
  <c r="G359" i="30"/>
  <c r="G367" i="30"/>
  <c r="G507" i="30"/>
  <c r="F743" i="30"/>
  <c r="G927" i="30"/>
  <c r="G926" i="30" s="1"/>
  <c r="H855" i="32"/>
  <c r="G87" i="32"/>
  <c r="G86" i="32" s="1"/>
  <c r="G85" i="32" s="1"/>
  <c r="G84" i="32" s="1"/>
  <c r="G83" i="32" s="1"/>
  <c r="G324" i="32"/>
  <c r="G323" i="32" s="1"/>
  <c r="G322" i="32" s="1"/>
  <c r="G416" i="32"/>
  <c r="G415" i="32" s="1"/>
  <c r="G428" i="32"/>
  <c r="G427" i="32" s="1"/>
  <c r="G448" i="32"/>
  <c r="G894" i="32"/>
  <c r="H94" i="32"/>
  <c r="H93" i="32" s="1"/>
  <c r="H92" i="32" s="1"/>
  <c r="H91" i="32" s="1"/>
  <c r="H90" i="32" s="1"/>
  <c r="H118" i="32"/>
  <c r="H210" i="32"/>
  <c r="H209" i="32" s="1"/>
  <c r="H232" i="32"/>
  <c r="H231" i="32" s="1"/>
  <c r="H899" i="32"/>
  <c r="H898" i="32" s="1"/>
  <c r="G210" i="32"/>
  <c r="G209" i="32" s="1"/>
  <c r="G224" i="32"/>
  <c r="G223" i="32" s="1"/>
  <c r="G232" i="32"/>
  <c r="G231" i="32" s="1"/>
  <c r="G386" i="32"/>
  <c r="G385" i="32" s="1"/>
  <c r="G420" i="32"/>
  <c r="G419" i="32" s="1"/>
  <c r="G537" i="32"/>
  <c r="G567" i="32"/>
  <c r="G675" i="32"/>
  <c r="G674" i="32" s="1"/>
  <c r="G673" i="32" s="1"/>
  <c r="G735" i="32"/>
  <c r="G734" i="32" s="1"/>
  <c r="G733" i="32" s="1"/>
  <c r="G732" i="32" s="1"/>
  <c r="G731" i="32" s="1"/>
  <c r="G815" i="32"/>
  <c r="G846" i="32"/>
  <c r="G845" i="32" s="1"/>
  <c r="G922" i="32"/>
  <c r="H14" i="32"/>
  <c r="H13" i="32" s="1"/>
  <c r="H40" i="32"/>
  <c r="H39" i="32" s="1"/>
  <c r="H34" i="32" s="1"/>
  <c r="H33" i="32" s="1"/>
  <c r="H32" i="32" s="1"/>
  <c r="H110" i="32"/>
  <c r="H109" i="32" s="1"/>
  <c r="H128" i="32"/>
  <c r="H214" i="32"/>
  <c r="H213" i="32" s="1"/>
  <c r="H228" i="32"/>
  <c r="H227" i="32" s="1"/>
  <c r="H250" i="32"/>
  <c r="H249" i="32" s="1"/>
  <c r="H324" i="32"/>
  <c r="H323" i="32" s="1"/>
  <c r="H322" i="32" s="1"/>
  <c r="H416" i="32"/>
  <c r="H415" i="32" s="1"/>
  <c r="H428" i="32"/>
  <c r="H427" i="32" s="1"/>
  <c r="H604" i="32"/>
  <c r="H603" i="32" s="1"/>
  <c r="H596" i="32" s="1"/>
  <c r="H618" i="32"/>
  <c r="H617" i="32" s="1"/>
  <c r="H709" i="32"/>
  <c r="H757" i="32"/>
  <c r="H756" i="32" s="1"/>
  <c r="H755" i="32" s="1"/>
  <c r="H754" i="32" s="1"/>
  <c r="H753" i="32" s="1"/>
  <c r="H779" i="32"/>
  <c r="H778" i="32" s="1"/>
  <c r="H777" i="32" s="1"/>
  <c r="H776" i="32" s="1"/>
  <c r="H775" i="32" s="1"/>
  <c r="H793" i="32"/>
  <c r="H792" i="32" s="1"/>
  <c r="H791" i="32" s="1"/>
  <c r="H790" i="32" s="1"/>
  <c r="H789" i="32" s="1"/>
  <c r="H807" i="32"/>
  <c r="H806" i="32" s="1"/>
  <c r="H805" i="32" s="1"/>
  <c r="H804" i="32" s="1"/>
  <c r="H803" i="32" s="1"/>
  <c r="H903" i="32"/>
  <c r="H902" i="32" s="1"/>
  <c r="G14" i="32"/>
  <c r="G13" i="32" s="1"/>
  <c r="G519" i="32"/>
  <c r="G582" i="32"/>
  <c r="G581" i="32" s="1"/>
  <c r="J571" i="32" s="1"/>
  <c r="G658" i="32"/>
  <c r="G657" i="32" s="1"/>
  <c r="G656" i="32" s="1"/>
  <c r="G750" i="32"/>
  <c r="G749" i="32" s="1"/>
  <c r="G748" i="32" s="1"/>
  <c r="G747" i="32" s="1"/>
  <c r="G746" i="32" s="1"/>
  <c r="G426" i="32"/>
  <c r="G555" i="32"/>
  <c r="G574" i="32"/>
  <c r="G586" i="32"/>
  <c r="G585" i="32" s="1"/>
  <c r="G654" i="32"/>
  <c r="G842" i="32"/>
  <c r="G841" i="32" s="1"/>
  <c r="G860" i="32"/>
  <c r="G382" i="32"/>
  <c r="G525" i="32"/>
  <c r="H576" i="32"/>
  <c r="H575" i="32" s="1"/>
  <c r="H865" i="32"/>
  <c r="H879" i="32"/>
  <c r="H878" i="32" s="1"/>
  <c r="H877" i="32" s="1"/>
  <c r="H876" i="32" s="1"/>
  <c r="H536" i="32"/>
  <c r="H586" i="32"/>
  <c r="H585" i="32" s="1"/>
  <c r="H867" i="32"/>
  <c r="H866" i="32" s="1"/>
  <c r="H861" i="32" s="1"/>
  <c r="G220" i="32"/>
  <c r="G238" i="32"/>
  <c r="G258" i="32"/>
  <c r="G257" i="32" s="1"/>
  <c r="G274" i="32"/>
  <c r="H24" i="32"/>
  <c r="H38" i="32"/>
  <c r="H424" i="32"/>
  <c r="H423" i="32" s="1"/>
  <c r="H532" i="32"/>
  <c r="H572" i="32"/>
  <c r="H571" i="32" s="1"/>
  <c r="H582" i="32"/>
  <c r="H581" i="32" s="1"/>
  <c r="H602" i="32"/>
  <c r="H644" i="32"/>
  <c r="H817" i="32"/>
  <c r="G57" i="32"/>
  <c r="G56" i="32" s="1"/>
  <c r="G55" i="32" s="1"/>
  <c r="G54" i="32" s="1"/>
  <c r="G458" i="32"/>
  <c r="G487" i="32"/>
  <c r="G543" i="32"/>
  <c r="G542" i="32" s="1"/>
  <c r="G559" i="32"/>
  <c r="G558" i="32" s="1"/>
  <c r="G557" i="32" s="1"/>
  <c r="G556" i="32" s="1"/>
  <c r="H490" i="32"/>
  <c r="H632" i="32"/>
  <c r="H654" i="32"/>
  <c r="G491" i="32"/>
  <c r="G576" i="32"/>
  <c r="G575" i="32" s="1"/>
  <c r="G570" i="32" s="1"/>
  <c r="G569" i="32" s="1"/>
  <c r="H80" i="32"/>
  <c r="H79" i="32" s="1"/>
  <c r="H78" i="32" s="1"/>
  <c r="H77" i="32" s="1"/>
  <c r="H76" i="32" s="1"/>
  <c r="H144" i="32"/>
  <c r="H143" i="32" s="1"/>
  <c r="H142" i="32" s="1"/>
  <c r="H141" i="32" s="1"/>
  <c r="H134" i="32" s="1"/>
  <c r="H456" i="32"/>
  <c r="H660" i="32"/>
  <c r="G596" i="32"/>
  <c r="H218" i="32"/>
  <c r="H217" i="32" s="1"/>
  <c r="H238" i="32"/>
  <c r="H256" i="32"/>
  <c r="H274" i="32"/>
  <c r="H448" i="32"/>
  <c r="G26" i="32"/>
  <c r="H190" i="32"/>
  <c r="H189" i="32" s="1"/>
  <c r="H384" i="32"/>
  <c r="G49" i="32"/>
  <c r="G121" i="32"/>
  <c r="H258" i="32"/>
  <c r="H257" i="32" s="1"/>
  <c r="G190" i="32"/>
  <c r="G189" i="32" s="1"/>
  <c r="H140" i="32"/>
  <c r="G53" i="32"/>
  <c r="G133" i="32"/>
  <c r="G256" i="32"/>
  <c r="H221" i="32"/>
  <c r="H23" i="32"/>
  <c r="H21" i="32"/>
  <c r="H29" i="32"/>
  <c r="H27" i="32"/>
  <c r="H20" i="32" s="1"/>
  <c r="H19" i="32" s="1"/>
  <c r="H18" i="32" s="1"/>
  <c r="H17" i="32" s="1"/>
  <c r="H49" i="32"/>
  <c r="H47" i="32"/>
  <c r="H46" i="32" s="1"/>
  <c r="H59" i="32"/>
  <c r="H57" i="32"/>
  <c r="H56" i="32" s="1"/>
  <c r="H75" i="32"/>
  <c r="H73" i="32"/>
  <c r="H72" i="32" s="1"/>
  <c r="H71" i="32" s="1"/>
  <c r="H70" i="32" s="1"/>
  <c r="H69" i="32" s="1"/>
  <c r="H184" i="32"/>
  <c r="H307" i="32"/>
  <c r="H303" i="32"/>
  <c r="H302" i="32" s="1"/>
  <c r="H301" i="32" s="1"/>
  <c r="H376" i="32"/>
  <c r="H372" i="32"/>
  <c r="H930" i="32"/>
  <c r="H929" i="32"/>
  <c r="H936" i="32" s="1"/>
  <c r="H922" i="32"/>
  <c r="H921" i="32"/>
  <c r="H928" i="32" s="1"/>
  <c r="H938" i="32"/>
  <c r="H937" i="32"/>
  <c r="H437" i="32"/>
  <c r="H435" i="32"/>
  <c r="H434" i="32" s="1"/>
  <c r="H455" i="32"/>
  <c r="H453" i="32"/>
  <c r="H465" i="32"/>
  <c r="H463" i="32"/>
  <c r="H462" i="32" s="1"/>
  <c r="H461" i="32" s="1"/>
  <c r="H460" i="32" s="1"/>
  <c r="H459" i="32" s="1"/>
  <c r="H479" i="32"/>
  <c r="H477" i="32"/>
  <c r="H476" i="32" s="1"/>
  <c r="H475" i="32" s="1"/>
  <c r="H474" i="32" s="1"/>
  <c r="H473" i="32" s="1"/>
  <c r="H493" i="32"/>
  <c r="H491" i="32"/>
  <c r="H525" i="32"/>
  <c r="H523" i="32"/>
  <c r="H545" i="32"/>
  <c r="H543" i="32"/>
  <c r="H542" i="32" s="1"/>
  <c r="H555" i="32"/>
  <c r="H553" i="32"/>
  <c r="H552" i="32" s="1"/>
  <c r="H551" i="32" s="1"/>
  <c r="H550" i="32" s="1"/>
  <c r="H567" i="32"/>
  <c r="H565" i="32"/>
  <c r="H564" i="32" s="1"/>
  <c r="H563" i="32" s="1"/>
  <c r="H562" i="32" s="1"/>
  <c r="H595" i="32"/>
  <c r="H593" i="32"/>
  <c r="H592" i="32" s="1"/>
  <c r="H591" i="32" s="1"/>
  <c r="H590" i="32" s="1"/>
  <c r="H589" i="32" s="1"/>
  <c r="H665" i="32"/>
  <c r="H661" i="32"/>
  <c r="H655" i="32" s="1"/>
  <c r="H679" i="32"/>
  <c r="H824" i="32"/>
  <c r="H822" i="32"/>
  <c r="H821" i="32" s="1"/>
  <c r="H832" i="32"/>
  <c r="H830" i="32"/>
  <c r="H829" i="32" s="1"/>
  <c r="H848" i="32"/>
  <c r="H846" i="32"/>
  <c r="H845" i="32" s="1"/>
  <c r="H887" i="32"/>
  <c r="H87" i="32"/>
  <c r="H86" i="32" s="1"/>
  <c r="H85" i="32" s="1"/>
  <c r="H84" i="32" s="1"/>
  <c r="H83" i="32" s="1"/>
  <c r="H121" i="32"/>
  <c r="H131" i="32"/>
  <c r="H173" i="32"/>
  <c r="H172" i="32" s="1"/>
  <c r="H203" i="32"/>
  <c r="H202" i="32" s="1"/>
  <c r="H263" i="32"/>
  <c r="H262" i="32" s="1"/>
  <c r="H267" i="32"/>
  <c r="H266" i="32" s="1"/>
  <c r="H319" i="32"/>
  <c r="H318" i="32" s="1"/>
  <c r="H317" i="32" s="1"/>
  <c r="H331" i="32"/>
  <c r="H330" i="32" s="1"/>
  <c r="H329" i="32" s="1"/>
  <c r="H328" i="32" s="1"/>
  <c r="H327" i="32" s="1"/>
  <c r="H351" i="32"/>
  <c r="H350" i="32" s="1"/>
  <c r="H349" i="32" s="1"/>
  <c r="H348" i="32" s="1"/>
  <c r="H359" i="32"/>
  <c r="H358" i="32" s="1"/>
  <c r="H357" i="32" s="1"/>
  <c r="H356" i="32" s="1"/>
  <c r="H367" i="32"/>
  <c r="H366" i="32" s="1"/>
  <c r="H365" i="32" s="1"/>
  <c r="H379" i="32"/>
  <c r="H378" i="32" s="1"/>
  <c r="H377" i="32" s="1"/>
  <c r="H393" i="32"/>
  <c r="H392" i="32" s="1"/>
  <c r="H391" i="32" s="1"/>
  <c r="H390" i="32" s="1"/>
  <c r="H389" i="32" s="1"/>
  <c r="H401" i="32"/>
  <c r="H400" i="32" s="1"/>
  <c r="H399" i="32" s="1"/>
  <c r="H398" i="32" s="1"/>
  <c r="H539" i="32"/>
  <c r="H537" i="32"/>
  <c r="H533" i="32" s="1"/>
  <c r="H529" i="32" s="1"/>
  <c r="H528" i="32" s="1"/>
  <c r="H527" i="32" s="1"/>
  <c r="H561" i="32"/>
  <c r="H559" i="32"/>
  <c r="H558" i="32" s="1"/>
  <c r="H613" i="32"/>
  <c r="H611" i="32"/>
  <c r="H610" i="32" s="1"/>
  <c r="H609" i="32" s="1"/>
  <c r="H608" i="32" s="1"/>
  <c r="H607" i="32" s="1"/>
  <c r="H647" i="32"/>
  <c r="H646" i="32" s="1"/>
  <c r="H645" i="32" s="1"/>
  <c r="H639" i="32" s="1"/>
  <c r="H686" i="32"/>
  <c r="H684" i="32"/>
  <c r="H683" i="32" s="1"/>
  <c r="H696" i="32"/>
  <c r="H694" i="32"/>
  <c r="H700" i="32"/>
  <c r="H698" i="32"/>
  <c r="H697" i="32" s="1"/>
  <c r="H704" i="32"/>
  <c r="H702" i="32"/>
  <c r="H701" i="32" s="1"/>
  <c r="H726" i="32"/>
  <c r="H724" i="32"/>
  <c r="H723" i="32" s="1"/>
  <c r="H730" i="32"/>
  <c r="H728" i="32"/>
  <c r="H727" i="32" s="1"/>
  <c r="H820" i="32"/>
  <c r="H818" i="32"/>
  <c r="H814" i="32" s="1"/>
  <c r="H828" i="32"/>
  <c r="H826" i="32"/>
  <c r="H825" i="32" s="1"/>
  <c r="H836" i="32"/>
  <c r="H834" i="32"/>
  <c r="H833" i="32" s="1"/>
  <c r="H844" i="32"/>
  <c r="H842" i="32"/>
  <c r="H841" i="32" s="1"/>
  <c r="H774" i="32"/>
  <c r="H772" i="32"/>
  <c r="H771" i="32" s="1"/>
  <c r="H770" i="32" s="1"/>
  <c r="H769" i="32" s="1"/>
  <c r="H768" i="32" s="1"/>
  <c r="H788" i="32"/>
  <c r="H786" i="32"/>
  <c r="H785" i="32" s="1"/>
  <c r="H784" i="32" s="1"/>
  <c r="H783" i="32" s="1"/>
  <c r="H782" i="32" s="1"/>
  <c r="H802" i="32"/>
  <c r="H800" i="32"/>
  <c r="H799" i="32" s="1"/>
  <c r="H798" i="32" s="1"/>
  <c r="H797" i="32" s="1"/>
  <c r="H796" i="32" s="1"/>
  <c r="H860" i="32"/>
  <c r="H858" i="32"/>
  <c r="H857" i="32" s="1"/>
  <c r="H856" i="32" s="1"/>
  <c r="H894" i="32"/>
  <c r="H892" i="32"/>
  <c r="H891" i="32" s="1"/>
  <c r="H890" i="32" s="1"/>
  <c r="H889" i="32" s="1"/>
  <c r="H888" i="32" s="1"/>
  <c r="G38" i="32"/>
  <c r="G36" i="32"/>
  <c r="G35" i="32" s="1"/>
  <c r="G82" i="32"/>
  <c r="G80" i="32"/>
  <c r="G79" i="32" s="1"/>
  <c r="G78" i="32" s="1"/>
  <c r="G77" i="32" s="1"/>
  <c r="G76" i="32" s="1"/>
  <c r="G96" i="32"/>
  <c r="G94" i="32"/>
  <c r="G93" i="32" s="1"/>
  <c r="G92" i="32" s="1"/>
  <c r="G91" i="32" s="1"/>
  <c r="G90" i="32" s="1"/>
  <c r="G184" i="32"/>
  <c r="G307" i="32"/>
  <c r="G303" i="32"/>
  <c r="G302" i="32" s="1"/>
  <c r="G301" i="32" s="1"/>
  <c r="G376" i="32"/>
  <c r="G372" i="32"/>
  <c r="G29" i="32"/>
  <c r="G27" i="32"/>
  <c r="G665" i="32"/>
  <c r="G661" i="32"/>
  <c r="G437" i="32"/>
  <c r="G435" i="32"/>
  <c r="G434" i="32" s="1"/>
  <c r="G455" i="32"/>
  <c r="G453" i="32"/>
  <c r="G452" i="32" s="1"/>
  <c r="G451" i="32" s="1"/>
  <c r="G450" i="32" s="1"/>
  <c r="G449" i="32" s="1"/>
  <c r="G465" i="32"/>
  <c r="G463" i="32"/>
  <c r="G462" i="32" s="1"/>
  <c r="G461" i="32" s="1"/>
  <c r="G460" i="32" s="1"/>
  <c r="G459" i="32" s="1"/>
  <c r="G479" i="32"/>
  <c r="G477" i="32"/>
  <c r="G476" i="32" s="1"/>
  <c r="G475" i="32" s="1"/>
  <c r="G474" i="32" s="1"/>
  <c r="G473" i="32" s="1"/>
  <c r="G490" i="32"/>
  <c r="G488" i="32"/>
  <c r="G522" i="32"/>
  <c r="G520" i="32"/>
  <c r="G516" i="32" s="1"/>
  <c r="G515" i="32" s="1"/>
  <c r="G514" i="32" s="1"/>
  <c r="G532" i="32"/>
  <c r="G530" i="32"/>
  <c r="G536" i="32"/>
  <c r="G534" i="32"/>
  <c r="G649" i="32"/>
  <c r="G647" i="32"/>
  <c r="G646" i="32" s="1"/>
  <c r="G645" i="32" s="1"/>
  <c r="G639" i="32" s="1"/>
  <c r="G686" i="32"/>
  <c r="G684" i="32"/>
  <c r="G683" i="32" s="1"/>
  <c r="G700" i="32"/>
  <c r="G698" i="32"/>
  <c r="G697" i="32" s="1"/>
  <c r="G704" i="32"/>
  <c r="G702" i="32"/>
  <c r="G701" i="32" s="1"/>
  <c r="G730" i="32"/>
  <c r="G728" i="32"/>
  <c r="G727" i="32" s="1"/>
  <c r="G875" i="32"/>
  <c r="G873" i="32"/>
  <c r="G872" i="32" s="1"/>
  <c r="G871" i="32" s="1"/>
  <c r="G870" i="32" s="1"/>
  <c r="G887" i="32"/>
  <c r="G883" i="32"/>
  <c r="G882" i="32" s="1"/>
  <c r="G929" i="32"/>
  <c r="G936" i="32" s="1"/>
  <c r="G930" i="32"/>
  <c r="G944" i="32"/>
  <c r="G110" i="32"/>
  <c r="G109" i="32" s="1"/>
  <c r="G118" i="32"/>
  <c r="G117" i="32" s="1"/>
  <c r="G116" i="32" s="1"/>
  <c r="G115" i="32" s="1"/>
  <c r="G114" i="32" s="1"/>
  <c r="G128" i="32"/>
  <c r="G127" i="32" s="1"/>
  <c r="G126" i="32" s="1"/>
  <c r="G125" i="32" s="1"/>
  <c r="G124" i="32" s="1"/>
  <c r="G138" i="32"/>
  <c r="G137" i="32" s="1"/>
  <c r="G136" i="32" s="1"/>
  <c r="G135" i="32" s="1"/>
  <c r="G144" i="32"/>
  <c r="G143" i="32" s="1"/>
  <c r="G142" i="32" s="1"/>
  <c r="G141" i="32" s="1"/>
  <c r="G173" i="32"/>
  <c r="G172" i="32" s="1"/>
  <c r="G199" i="32"/>
  <c r="G198" i="32" s="1"/>
  <c r="G203" i="32"/>
  <c r="G202" i="32" s="1"/>
  <c r="G263" i="32"/>
  <c r="G262" i="32" s="1"/>
  <c r="G267" i="32"/>
  <c r="G266" i="32" s="1"/>
  <c r="G319" i="32"/>
  <c r="G318" i="32" s="1"/>
  <c r="G317" i="32" s="1"/>
  <c r="G331" i="32"/>
  <c r="G330" i="32" s="1"/>
  <c r="G329" i="32" s="1"/>
  <c r="G328" i="32" s="1"/>
  <c r="G327" i="32" s="1"/>
  <c r="G359" i="32"/>
  <c r="G358" i="32" s="1"/>
  <c r="G357" i="32" s="1"/>
  <c r="G356" i="32" s="1"/>
  <c r="G367" i="32"/>
  <c r="G366" i="32" s="1"/>
  <c r="G365" i="32" s="1"/>
  <c r="G379" i="32"/>
  <c r="G393" i="32"/>
  <c r="G392" i="32" s="1"/>
  <c r="G391" i="32" s="1"/>
  <c r="G390" i="32" s="1"/>
  <c r="G389" i="32" s="1"/>
  <c r="G403" i="32"/>
  <c r="G401" i="32"/>
  <c r="G400" i="32" s="1"/>
  <c r="G399" i="32" s="1"/>
  <c r="G398" i="32" s="1"/>
  <c r="G411" i="32"/>
  <c r="G409" i="32"/>
  <c r="G408" i="32" s="1"/>
  <c r="G407" i="32" s="1"/>
  <c r="G406" i="32" s="1"/>
  <c r="G405" i="32" s="1"/>
  <c r="G595" i="32"/>
  <c r="G593" i="32"/>
  <c r="G592" i="32" s="1"/>
  <c r="G591" i="32" s="1"/>
  <c r="G590" i="32" s="1"/>
  <c r="G589" i="32" s="1"/>
  <c r="G905" i="32"/>
  <c r="G903" i="32"/>
  <c r="G902" i="32" s="1"/>
  <c r="G938" i="32"/>
  <c r="G820" i="32"/>
  <c r="G818" i="32"/>
  <c r="G824" i="32"/>
  <c r="G822" i="32"/>
  <c r="G821" i="32" s="1"/>
  <c r="G828" i="32"/>
  <c r="G826" i="32"/>
  <c r="G825" i="32" s="1"/>
  <c r="G832" i="32"/>
  <c r="G830" i="32"/>
  <c r="G829" i="32" s="1"/>
  <c r="G836" i="32"/>
  <c r="G834" i="32"/>
  <c r="G833" i="32" s="1"/>
  <c r="G855" i="32"/>
  <c r="G853" i="32"/>
  <c r="G852" i="32" s="1"/>
  <c r="G851" i="32" s="1"/>
  <c r="G865" i="32"/>
  <c r="G863" i="32"/>
  <c r="G862" i="32" s="1"/>
  <c r="G869" i="32"/>
  <c r="G867" i="32"/>
  <c r="G866" i="32" s="1"/>
  <c r="G881" i="32"/>
  <c r="G879" i="32"/>
  <c r="G878" i="32" s="1"/>
  <c r="G877" i="32" s="1"/>
  <c r="G876" i="32" s="1"/>
  <c r="F933" i="30"/>
  <c r="F932" i="30" s="1"/>
  <c r="E10" i="31"/>
  <c r="D10" i="31"/>
  <c r="G156" i="30"/>
  <c r="G155" i="30" s="1"/>
  <c r="F248" i="30"/>
  <c r="F247" i="30" s="1"/>
  <c r="G819" i="30"/>
  <c r="G818" i="30" s="1"/>
  <c r="G131" i="30"/>
  <c r="G130" i="30" s="1"/>
  <c r="G129" i="30" s="1"/>
  <c r="G128" i="30" s="1"/>
  <c r="G350" i="30"/>
  <c r="G347" i="30" s="1"/>
  <c r="G503" i="30"/>
  <c r="G500" i="30" s="1"/>
  <c r="G711" i="30"/>
  <c r="G707" i="30" s="1"/>
  <c r="F819" i="30"/>
  <c r="F818" i="30" s="1"/>
  <c r="G907" i="30"/>
  <c r="G972" i="30"/>
  <c r="F1052" i="30"/>
  <c r="F1051" i="30" s="1"/>
  <c r="F1050" i="30" s="1"/>
  <c r="F1049" i="30" s="1"/>
  <c r="F1048" i="30" s="1"/>
  <c r="D51" i="31" s="1"/>
  <c r="D50" i="31" s="1"/>
  <c r="G1043" i="30"/>
  <c r="G1042" i="30" s="1"/>
  <c r="G1041" i="30" s="1"/>
  <c r="F1043" i="30"/>
  <c r="F1042" i="30" s="1"/>
  <c r="F1041" i="30" s="1"/>
  <c r="F907" i="30"/>
  <c r="G955" i="30"/>
  <c r="G954" i="30" s="1"/>
  <c r="G953" i="30" s="1"/>
  <c r="F955" i="30"/>
  <c r="F954" i="30" s="1"/>
  <c r="F953" i="30" s="1"/>
  <c r="G733" i="30"/>
  <c r="G732" i="30" s="1"/>
  <c r="G768" i="30"/>
  <c r="G767" i="30" s="1"/>
  <c r="F873" i="30"/>
  <c r="F872" i="30" s="1"/>
  <c r="F871" i="30" s="1"/>
  <c r="F850" i="30"/>
  <c r="G839" i="30"/>
  <c r="F839" i="30"/>
  <c r="G828" i="30"/>
  <c r="G609" i="30"/>
  <c r="F733" i="30"/>
  <c r="F732" i="30" s="1"/>
  <c r="G788" i="30"/>
  <c r="G784" i="30" s="1"/>
  <c r="G680" i="30"/>
  <c r="F609" i="30"/>
  <c r="G541" i="30"/>
  <c r="G447" i="30"/>
  <c r="G375" i="30"/>
  <c r="F375" i="30"/>
  <c r="G304" i="30"/>
  <c r="G303" i="30" s="1"/>
  <c r="F330" i="30"/>
  <c r="F266" i="30"/>
  <c r="F265" i="30" s="1"/>
  <c r="D24" i="31" s="1"/>
  <c r="F474" i="30"/>
  <c r="F596" i="30"/>
  <c r="F697" i="30"/>
  <c r="F696" i="30" s="1"/>
  <c r="F720" i="30"/>
  <c r="F788" i="30"/>
  <c r="F784" i="30" s="1"/>
  <c r="F828" i="30"/>
  <c r="G531" i="30"/>
  <c r="G596" i="30"/>
  <c r="G720" i="30"/>
  <c r="F34" i="30"/>
  <c r="F359" i="30"/>
  <c r="F531" i="30"/>
  <c r="F541" i="30"/>
  <c r="F680" i="30"/>
  <c r="G743" i="30"/>
  <c r="G67" i="30"/>
  <c r="G298" i="30"/>
  <c r="G297" i="30" s="1"/>
  <c r="G296" i="30" s="1"/>
  <c r="G288" i="30"/>
  <c r="G287" i="30" s="1"/>
  <c r="G282" i="30" s="1"/>
  <c r="G281" i="30" s="1"/>
  <c r="E26" i="31" s="1"/>
  <c r="G206" i="30"/>
  <c r="F240" i="30"/>
  <c r="G190" i="30"/>
  <c r="G189" i="30" s="1"/>
  <c r="F190" i="30"/>
  <c r="F189" i="30" s="1"/>
  <c r="F80" i="30"/>
  <c r="F91" i="30"/>
  <c r="F90" i="30" s="1"/>
  <c r="F85" i="30" s="1"/>
  <c r="F29" i="30"/>
  <c r="F148" i="30"/>
  <c r="F144" i="30" s="1"/>
  <c r="F106" i="30"/>
  <c r="F105" i="30" s="1"/>
  <c r="F117" i="30"/>
  <c r="F116" i="30" s="1"/>
  <c r="G91" i="30"/>
  <c r="G90" i="30" s="1"/>
  <c r="G85" i="30" s="1"/>
  <c r="G80" i="30"/>
  <c r="G72" i="30"/>
  <c r="F72" i="30"/>
  <c r="G216" i="30"/>
  <c r="G215" i="30"/>
  <c r="G240" i="30"/>
  <c r="G730" i="30"/>
  <c r="G729" i="30" s="1"/>
  <c r="G727" i="30" s="1"/>
  <c r="G728" i="30"/>
  <c r="G850" i="30"/>
  <c r="G934" i="30"/>
  <c r="G933" i="30"/>
  <c r="G932" i="30" s="1"/>
  <c r="F22" i="30"/>
  <c r="F21" i="30" s="1"/>
  <c r="F67" i="30"/>
  <c r="F131" i="30"/>
  <c r="F130" i="30" s="1"/>
  <c r="F129" i="30" s="1"/>
  <c r="F128" i="30" s="1"/>
  <c r="F156" i="30"/>
  <c r="F165" i="30"/>
  <c r="F206" i="30"/>
  <c r="F216" i="30"/>
  <c r="F215" i="30"/>
  <c r="F298" i="30"/>
  <c r="F304" i="30"/>
  <c r="F303" i="30" s="1"/>
  <c r="F447" i="30"/>
  <c r="F62" i="30"/>
  <c r="F61" i="30" s="1"/>
  <c r="F711" i="30"/>
  <c r="F707" i="30" s="1"/>
  <c r="F768" i="30"/>
  <c r="F889" i="30"/>
  <c r="F885" i="30" s="1"/>
  <c r="F884" i="30" s="1"/>
  <c r="F927" i="30"/>
  <c r="F926" i="30" s="1"/>
  <c r="F972" i="30"/>
  <c r="L965" i="30"/>
  <c r="F728" i="30"/>
  <c r="G665" i="5"/>
  <c r="G664" i="5" s="1"/>
  <c r="G663" i="5" s="1"/>
  <c r="G637" i="5"/>
  <c r="G636" i="5" s="1"/>
  <c r="G635" i="5" s="1"/>
  <c r="G634" i="5" s="1"/>
  <c r="G625" i="5"/>
  <c r="G624" i="5" s="1"/>
  <c r="G470" i="5"/>
  <c r="G469" i="5" s="1"/>
  <c r="G468" i="5" s="1"/>
  <c r="G467" i="5" s="1"/>
  <c r="G466" i="5" s="1"/>
  <c r="C65" i="1"/>
  <c r="C67" i="1"/>
  <c r="C69" i="1"/>
  <c r="C71" i="1"/>
  <c r="C64" i="1" l="1"/>
  <c r="H127" i="32"/>
  <c r="H126" i="32" s="1"/>
  <c r="H125" i="32" s="1"/>
  <c r="H124" i="32" s="1"/>
  <c r="G248" i="32"/>
  <c r="F766" i="30"/>
  <c r="F767" i="30"/>
  <c r="G316" i="32"/>
  <c r="G315" i="32" s="1"/>
  <c r="H616" i="32"/>
  <c r="H615" i="32" s="1"/>
  <c r="H614" i="32" s="1"/>
  <c r="G484" i="32"/>
  <c r="G483" i="32" s="1"/>
  <c r="G482" i="32" s="1"/>
  <c r="G861" i="32"/>
  <c r="G549" i="32"/>
  <c r="H248" i="32"/>
  <c r="G655" i="32"/>
  <c r="G626" i="32" s="1"/>
  <c r="G625" i="32" s="1"/>
  <c r="H570" i="32"/>
  <c r="H569" i="32" s="1"/>
  <c r="G580" i="32"/>
  <c r="G579" i="32" s="1"/>
  <c r="H580" i="32"/>
  <c r="H579" i="32" s="1"/>
  <c r="H626" i="32"/>
  <c r="H625" i="32" s="1"/>
  <c r="H541" i="32"/>
  <c r="H540" i="32" s="1"/>
  <c r="H526" i="32" s="1"/>
  <c r="H897" i="32"/>
  <c r="H896" i="32" s="1"/>
  <c r="H895" i="32" s="1"/>
  <c r="G414" i="32"/>
  <c r="G413" i="32" s="1"/>
  <c r="G412" i="32" s="1"/>
  <c r="G208" i="32"/>
  <c r="G207" i="32" s="1"/>
  <c r="F358" i="30"/>
  <c r="H117" i="32"/>
  <c r="H116" i="32" s="1"/>
  <c r="H115" i="32" s="1"/>
  <c r="H114" i="32" s="1"/>
  <c r="G222" i="32"/>
  <c r="G221" i="32" s="1"/>
  <c r="G533" i="32"/>
  <c r="G529" i="32" s="1"/>
  <c r="G528" i="32" s="1"/>
  <c r="G527" i="32" s="1"/>
  <c r="H208" i="32"/>
  <c r="H207" i="32" s="1"/>
  <c r="H206" i="32" s="1"/>
  <c r="H414" i="32"/>
  <c r="H413" i="32" s="1"/>
  <c r="H412" i="32" s="1"/>
  <c r="G499" i="30"/>
  <c r="G925" i="30"/>
  <c r="G919" i="30" s="1"/>
  <c r="G918" i="30" s="1"/>
  <c r="E44" i="31" s="1"/>
  <c r="H316" i="32"/>
  <c r="H315" i="32" s="1"/>
  <c r="G358" i="30"/>
  <c r="G840" i="32"/>
  <c r="G839" i="32" s="1"/>
  <c r="G838" i="32" s="1"/>
  <c r="G814" i="32"/>
  <c r="G813" i="32" s="1"/>
  <c r="G812" i="32" s="1"/>
  <c r="G811" i="32" s="1"/>
  <c r="G810" i="32" s="1"/>
  <c r="G68" i="32"/>
  <c r="G12" i="32"/>
  <c r="G11" i="32" s="1"/>
  <c r="G10" i="32"/>
  <c r="H12" i="32"/>
  <c r="H11" i="32" s="1"/>
  <c r="H10" i="32"/>
  <c r="H9" i="32" s="1"/>
  <c r="H760" i="32"/>
  <c r="G378" i="32"/>
  <c r="G377" i="32" s="1"/>
  <c r="G371" i="32" s="1"/>
  <c r="G370" i="32" s="1"/>
  <c r="H840" i="32"/>
  <c r="H839" i="32" s="1"/>
  <c r="H838" i="32" s="1"/>
  <c r="H452" i="32"/>
  <c r="H451" i="32" s="1"/>
  <c r="H450" i="32" s="1"/>
  <c r="H449" i="32" s="1"/>
  <c r="H813" i="32"/>
  <c r="H812" i="32" s="1"/>
  <c r="H811" i="32" s="1"/>
  <c r="H810" i="32" s="1"/>
  <c r="G261" i="32"/>
  <c r="H261" i="32"/>
  <c r="H722" i="32"/>
  <c r="H721" i="32" s="1"/>
  <c r="H720" i="32" s="1"/>
  <c r="H557" i="32"/>
  <c r="H556" i="32" s="1"/>
  <c r="H549" i="32"/>
  <c r="H397" i="32"/>
  <c r="H396" i="32"/>
  <c r="H355" i="32"/>
  <c r="H354" i="32"/>
  <c r="H850" i="32"/>
  <c r="H849" i="32" s="1"/>
  <c r="H363" i="32"/>
  <c r="H364" i="32"/>
  <c r="H197" i="32"/>
  <c r="H944" i="32"/>
  <c r="H371" i="32"/>
  <c r="H370" i="32" s="1"/>
  <c r="H68" i="32"/>
  <c r="H55" i="32"/>
  <c r="H54" i="32" s="1"/>
  <c r="H53" i="32"/>
  <c r="G850" i="32"/>
  <c r="G849" i="32" s="1"/>
  <c r="G355" i="32"/>
  <c r="G354" i="32"/>
  <c r="G397" i="32"/>
  <c r="G396" i="32"/>
  <c r="G363" i="32"/>
  <c r="G364" i="32"/>
  <c r="G197" i="32"/>
  <c r="G134" i="32"/>
  <c r="G113" i="32" s="1"/>
  <c r="F925" i="30"/>
  <c r="F919" i="30" s="1"/>
  <c r="F918" i="30" s="1"/>
  <c r="D44" i="31" s="1"/>
  <c r="G766" i="30"/>
  <c r="F28" i="30"/>
  <c r="F27" i="30" s="1"/>
  <c r="F26" i="30" s="1"/>
  <c r="D13" i="31" s="1"/>
  <c r="F695" i="30"/>
  <c r="F870" i="30"/>
  <c r="L804" i="30"/>
  <c r="F239" i="30"/>
  <c r="G60" i="30"/>
  <c r="G295" i="30"/>
  <c r="F60" i="30"/>
  <c r="L9" i="30" s="1"/>
  <c r="F104" i="30"/>
  <c r="F103" i="30" s="1"/>
  <c r="D15" i="31" s="1"/>
  <c r="F297" i="30"/>
  <c r="F164" i="30"/>
  <c r="Q8" i="25"/>
  <c r="Q10" i="25"/>
  <c r="U10" i="25" s="1"/>
  <c r="P10" i="25" s="1"/>
  <c r="O21" i="25"/>
  <c r="M21" i="25" s="1"/>
  <c r="J21" i="25" s="1"/>
  <c r="N21" i="25"/>
  <c r="R23" i="25"/>
  <c r="S22" i="25"/>
  <c r="P22" i="25" s="1"/>
  <c r="P21" i="25"/>
  <c r="P20" i="25"/>
  <c r="P19" i="25"/>
  <c r="P18" i="25"/>
  <c r="U17" i="25"/>
  <c r="S17" i="25" s="1"/>
  <c r="T17" i="25"/>
  <c r="U16" i="25"/>
  <c r="S16" i="25" s="1"/>
  <c r="P16" i="25" s="1"/>
  <c r="T16" i="25"/>
  <c r="U15" i="25"/>
  <c r="S15" i="25" s="1"/>
  <c r="P15" i="25" s="1"/>
  <c r="T15" i="25"/>
  <c r="U14" i="25"/>
  <c r="S14" i="25" s="1"/>
  <c r="P14" i="25" s="1"/>
  <c r="T14" i="25"/>
  <c r="U13" i="25"/>
  <c r="S13" i="25" s="1"/>
  <c r="P13" i="25" s="1"/>
  <c r="T13" i="25"/>
  <c r="U12" i="25"/>
  <c r="S12" i="25" s="1"/>
  <c r="P12" i="25" s="1"/>
  <c r="T12" i="25"/>
  <c r="U11" i="25"/>
  <c r="S11" i="25" s="1"/>
  <c r="P11" i="25" s="1"/>
  <c r="U9" i="25"/>
  <c r="S9" i="25" s="1"/>
  <c r="P9" i="25" s="1"/>
  <c r="P8" i="25"/>
  <c r="U6" i="25"/>
  <c r="S6" i="25" s="1"/>
  <c r="P6" i="25" s="1"/>
  <c r="U5" i="25"/>
  <c r="S5" i="25" s="1"/>
  <c r="P5" i="25" s="1"/>
  <c r="K8" i="25"/>
  <c r="J8" i="25" s="1"/>
  <c r="K4" i="25"/>
  <c r="O4" i="25" s="1"/>
  <c r="K10" i="25"/>
  <c r="O10" i="25" s="1"/>
  <c r="O17" i="25"/>
  <c r="M17" i="25" s="1"/>
  <c r="J17" i="25" s="1"/>
  <c r="N17" i="25"/>
  <c r="O16" i="25"/>
  <c r="M16" i="25" s="1"/>
  <c r="J16" i="25" s="1"/>
  <c r="N16" i="25"/>
  <c r="O15" i="25"/>
  <c r="M15" i="25" s="1"/>
  <c r="J15" i="25" s="1"/>
  <c r="N15" i="25"/>
  <c r="O14" i="25"/>
  <c r="N14" i="25"/>
  <c r="O13" i="25"/>
  <c r="M13" i="25" s="1"/>
  <c r="J13" i="25" s="1"/>
  <c r="N13" i="25"/>
  <c r="O12" i="25"/>
  <c r="M12" i="25" s="1"/>
  <c r="J12" i="25" s="1"/>
  <c r="N12" i="25"/>
  <c r="O11" i="25"/>
  <c r="M11" i="25" s="1"/>
  <c r="J11" i="25" s="1"/>
  <c r="O9" i="25"/>
  <c r="O6" i="25"/>
  <c r="O5" i="25"/>
  <c r="M5" i="25" s="1"/>
  <c r="J5" i="25" s="1"/>
  <c r="M14" i="25"/>
  <c r="J14" i="25" s="1"/>
  <c r="L23" i="25"/>
  <c r="M22" i="25"/>
  <c r="J22" i="25" s="1"/>
  <c r="J20" i="25"/>
  <c r="J19" i="25"/>
  <c r="J18" i="25"/>
  <c r="G751" i="29"/>
  <c r="G972" i="29"/>
  <c r="F343" i="30" s="1"/>
  <c r="F342" i="30" s="1"/>
  <c r="F341" i="30" s="1"/>
  <c r="F329" i="30" s="1"/>
  <c r="F328" i="30" s="1"/>
  <c r="F327" i="30" s="1"/>
  <c r="D29" i="31" s="1"/>
  <c r="H1166" i="29"/>
  <c r="G36" i="30" s="1"/>
  <c r="G35" i="30" s="1"/>
  <c r="G34" i="30" s="1"/>
  <c r="H1161" i="29"/>
  <c r="G31" i="30" s="1"/>
  <c r="G30" i="30" s="1"/>
  <c r="G29" i="30" s="1"/>
  <c r="H1123" i="29"/>
  <c r="G494" i="30" s="1"/>
  <c r="G493" i="30" s="1"/>
  <c r="H1112" i="29"/>
  <c r="G483" i="30" s="1"/>
  <c r="G482" i="30" s="1"/>
  <c r="G481" i="30" s="1"/>
  <c r="H1105" i="29"/>
  <c r="G476" i="30" s="1"/>
  <c r="G475" i="30" s="1"/>
  <c r="G474" i="30" s="1"/>
  <c r="H922" i="29"/>
  <c r="G150" i="30" s="1"/>
  <c r="G149" i="30" s="1"/>
  <c r="G148" i="30" s="1"/>
  <c r="G144" i="30" s="1"/>
  <c r="G1033" i="30"/>
  <c r="G1032" i="30" s="1"/>
  <c r="H882" i="29"/>
  <c r="G1018" i="30" s="1"/>
  <c r="G1017" i="30" s="1"/>
  <c r="G1016" i="30" s="1"/>
  <c r="H862" i="29"/>
  <c r="G862" i="29"/>
  <c r="H784" i="29"/>
  <c r="G784" i="29"/>
  <c r="G735" i="29"/>
  <c r="G711" i="29"/>
  <c r="H699" i="29"/>
  <c r="G699" i="29"/>
  <c r="H675" i="29"/>
  <c r="H607" i="29"/>
  <c r="G607" i="29"/>
  <c r="H542" i="29"/>
  <c r="H531" i="29"/>
  <c r="G124" i="30" s="1"/>
  <c r="G123" i="30" s="1"/>
  <c r="G122" i="30" s="1"/>
  <c r="H526" i="29"/>
  <c r="G119" i="30" s="1"/>
  <c r="H505" i="29"/>
  <c r="H458" i="29"/>
  <c r="G891" i="30" s="1"/>
  <c r="G890" i="30" s="1"/>
  <c r="G889" i="30" s="1"/>
  <c r="G885" i="30" s="1"/>
  <c r="G884" i="30" s="1"/>
  <c r="H443" i="29"/>
  <c r="G880" i="30" s="1"/>
  <c r="G879" i="30" s="1"/>
  <c r="G878" i="30" s="1"/>
  <c r="H438" i="29"/>
  <c r="G875" i="30" s="1"/>
  <c r="G874" i="30" s="1"/>
  <c r="G873" i="30" s="1"/>
  <c r="G373" i="29"/>
  <c r="G303" i="4"/>
  <c r="G568" i="32" l="1"/>
  <c r="H113" i="32"/>
  <c r="G247" i="32"/>
  <c r="G246" i="32" s="1"/>
  <c r="H837" i="32"/>
  <c r="G206" i="32"/>
  <c r="G1015" i="30"/>
  <c r="G1014" i="30" s="1"/>
  <c r="G530" i="30"/>
  <c r="G529" i="30" s="1"/>
  <c r="G528" i="30" s="1"/>
  <c r="G524" i="30" s="1"/>
  <c r="H178" i="32"/>
  <c r="H244" i="32"/>
  <c r="G764" i="30"/>
  <c r="G763" i="30" s="1"/>
  <c r="G762" i="30" s="1"/>
  <c r="G761" i="30" s="1"/>
  <c r="G760" i="30" s="1"/>
  <c r="F631" i="30"/>
  <c r="F630" i="30" s="1"/>
  <c r="F629" i="30" s="1"/>
  <c r="F628" i="30" s="1"/>
  <c r="G299" i="32"/>
  <c r="G298" i="32" s="1"/>
  <c r="G297" i="32" s="1"/>
  <c r="G296" i="32" s="1"/>
  <c r="G295" i="32" s="1"/>
  <c r="G294" i="32" s="1"/>
  <c r="G300" i="32" s="1"/>
  <c r="H662" i="29"/>
  <c r="H158" i="32" s="1"/>
  <c r="G158" i="32"/>
  <c r="F582" i="30"/>
  <c r="F581" i="30" s="1"/>
  <c r="F580" i="30" s="1"/>
  <c r="F579" i="30" s="1"/>
  <c r="F619" i="30"/>
  <c r="F618" i="30" s="1"/>
  <c r="F617" i="30" s="1"/>
  <c r="F616" i="30" s="1"/>
  <c r="G285" i="32"/>
  <c r="G352" i="32"/>
  <c r="F660" i="30"/>
  <c r="F659" i="30" s="1"/>
  <c r="F658" i="30" s="1"/>
  <c r="F657" i="30" s="1"/>
  <c r="H600" i="29"/>
  <c r="H153" i="32" s="1"/>
  <c r="F523" i="30"/>
  <c r="F522" i="30" s="1"/>
  <c r="F521" i="30" s="1"/>
  <c r="F520" i="30" s="1"/>
  <c r="G153" i="32"/>
  <c r="H299" i="32"/>
  <c r="H298" i="32" s="1"/>
  <c r="H297" i="32" s="1"/>
  <c r="H296" i="32" s="1"/>
  <c r="H295" i="32" s="1"/>
  <c r="H294" i="32" s="1"/>
  <c r="H300" i="32" s="1"/>
  <c r="G631" i="30"/>
  <c r="G630" i="30" s="1"/>
  <c r="G629" i="30" s="1"/>
  <c r="G628" i="30" s="1"/>
  <c r="H751" i="29"/>
  <c r="H163" i="32" s="1"/>
  <c r="F676" i="30"/>
  <c r="F675" i="30" s="1"/>
  <c r="F674" i="30" s="1"/>
  <c r="F673" i="30" s="1"/>
  <c r="F672" i="30" s="1"/>
  <c r="F671" i="30" s="1"/>
  <c r="D36" i="31" s="1"/>
  <c r="G163" i="32"/>
  <c r="H195" i="32"/>
  <c r="G595" i="30"/>
  <c r="G594" i="30" s="1"/>
  <c r="G593" i="30" s="1"/>
  <c r="H373" i="29"/>
  <c r="G810" i="30" s="1"/>
  <c r="G809" i="30" s="1"/>
  <c r="G502" i="32"/>
  <c r="F810" i="30"/>
  <c r="F809" i="30" s="1"/>
  <c r="G178" i="32"/>
  <c r="F530" i="30"/>
  <c r="F529" i="30" s="1"/>
  <c r="F528" i="30" s="1"/>
  <c r="F524" i="30" s="1"/>
  <c r="H285" i="32"/>
  <c r="G619" i="30"/>
  <c r="G618" i="30" s="1"/>
  <c r="G617" i="30" s="1"/>
  <c r="G616" i="30" s="1"/>
  <c r="G244" i="32"/>
  <c r="F764" i="30"/>
  <c r="F763" i="30" s="1"/>
  <c r="F762" i="30" s="1"/>
  <c r="F761" i="30" s="1"/>
  <c r="F760" i="30" s="1"/>
  <c r="H247" i="32"/>
  <c r="H246" i="32" s="1"/>
  <c r="H568" i="32"/>
  <c r="G1054" i="30"/>
  <c r="G1053" i="30" s="1"/>
  <c r="G1052" i="30" s="1"/>
  <c r="G1051" i="30" s="1"/>
  <c r="G1050" i="30" s="1"/>
  <c r="G1049" i="30" s="1"/>
  <c r="G1048" i="30" s="1"/>
  <c r="E51" i="31" s="1"/>
  <c r="E50" i="31" s="1"/>
  <c r="H518" i="32"/>
  <c r="G971" i="30"/>
  <c r="G970" i="30" s="1"/>
  <c r="G969" i="30" s="1"/>
  <c r="G968" i="30" s="1"/>
  <c r="H410" i="32"/>
  <c r="G582" i="30"/>
  <c r="G581" i="30" s="1"/>
  <c r="G580" i="30" s="1"/>
  <c r="G579" i="30" s="1"/>
  <c r="H362" i="32"/>
  <c r="J482" i="32"/>
  <c r="G362" i="32"/>
  <c r="E27" i="31"/>
  <c r="D41" i="31"/>
  <c r="G872" i="30"/>
  <c r="G871" i="30" s="1"/>
  <c r="G28" i="30"/>
  <c r="G27" i="30" s="1"/>
  <c r="G26" i="30" s="1"/>
  <c r="E13" i="31" s="1"/>
  <c r="G118" i="30"/>
  <c r="G117" i="30"/>
  <c r="G116" i="30" s="1"/>
  <c r="F296" i="30"/>
  <c r="F295" i="30" s="1"/>
  <c r="L264" i="30"/>
  <c r="P17" i="25"/>
  <c r="Q23" i="25"/>
  <c r="Q24" i="25" s="1"/>
  <c r="U4" i="25"/>
  <c r="S4" i="25" s="1"/>
  <c r="S23" i="25" s="1"/>
  <c r="M4" i="25"/>
  <c r="J4" i="25" s="1"/>
  <c r="M9" i="25"/>
  <c r="J9" i="25" s="1"/>
  <c r="K23" i="25"/>
  <c r="K24" i="25" s="1"/>
  <c r="M6" i="25"/>
  <c r="J6" i="25" s="1"/>
  <c r="M10" i="25"/>
  <c r="J10" i="25" s="1"/>
  <c r="G676" i="30" l="1"/>
  <c r="G675" i="30" s="1"/>
  <c r="G674" i="30" s="1"/>
  <c r="G673" i="30" s="1"/>
  <c r="G672" i="30" s="1"/>
  <c r="G523" i="30"/>
  <c r="G522" i="30" s="1"/>
  <c r="G521" i="30" s="1"/>
  <c r="G520" i="30" s="1"/>
  <c r="H245" i="32"/>
  <c r="H243" i="32"/>
  <c r="H242" i="32" s="1"/>
  <c r="H241" i="32" s="1"/>
  <c r="H240" i="32" s="1"/>
  <c r="H239" i="32" s="1"/>
  <c r="H502" i="32"/>
  <c r="H501" i="32" s="1"/>
  <c r="G154" i="32"/>
  <c r="G152" i="32"/>
  <c r="G151" i="32" s="1"/>
  <c r="G150" i="32" s="1"/>
  <c r="G149" i="32" s="1"/>
  <c r="G353" i="32"/>
  <c r="G351" i="32"/>
  <c r="G350" i="32" s="1"/>
  <c r="G349" i="32" s="1"/>
  <c r="G348" i="32" s="1"/>
  <c r="G159" i="32"/>
  <c r="G157" i="32"/>
  <c r="G156" i="32" s="1"/>
  <c r="G155" i="32" s="1"/>
  <c r="H179" i="32"/>
  <c r="H177" i="32"/>
  <c r="H176" i="32" s="1"/>
  <c r="H171" i="32" s="1"/>
  <c r="G162" i="32"/>
  <c r="G161" i="32" s="1"/>
  <c r="G160" i="32" s="1"/>
  <c r="G164" i="32"/>
  <c r="G245" i="32"/>
  <c r="G243" i="32"/>
  <c r="G242" i="32" s="1"/>
  <c r="G241" i="32" s="1"/>
  <c r="G240" i="32" s="1"/>
  <c r="G239" i="32" s="1"/>
  <c r="G179" i="32"/>
  <c r="G177" i="32"/>
  <c r="G176" i="32" s="1"/>
  <c r="G171" i="32" s="1"/>
  <c r="H284" i="32"/>
  <c r="H283" i="32" s="1"/>
  <c r="H282" i="32" s="1"/>
  <c r="H286" i="32"/>
  <c r="G501" i="32"/>
  <c r="G503" i="32"/>
  <c r="H196" i="32"/>
  <c r="H194" i="32"/>
  <c r="H193" i="32" s="1"/>
  <c r="G286" i="32"/>
  <c r="G284" i="32"/>
  <c r="G283" i="32" s="1"/>
  <c r="G282" i="32" s="1"/>
  <c r="H517" i="32"/>
  <c r="H516" i="32" s="1"/>
  <c r="H515" i="32" s="1"/>
  <c r="H514" i="32" s="1"/>
  <c r="H519" i="32"/>
  <c r="H411" i="32"/>
  <c r="H409" i="32"/>
  <c r="H408" i="32" s="1"/>
  <c r="H407" i="32" s="1"/>
  <c r="H406" i="32" s="1"/>
  <c r="H405" i="32" s="1"/>
  <c r="H164" i="32"/>
  <c r="H162" i="32"/>
  <c r="H161" i="32" s="1"/>
  <c r="H160" i="32" s="1"/>
  <c r="H159" i="32"/>
  <c r="H157" i="32"/>
  <c r="H156" i="32" s="1"/>
  <c r="H155" i="32" s="1"/>
  <c r="H154" i="32"/>
  <c r="H152" i="32"/>
  <c r="H151" i="32" s="1"/>
  <c r="H150" i="32" s="1"/>
  <c r="H149" i="32" s="1"/>
  <c r="D27" i="31"/>
  <c r="G870" i="30"/>
  <c r="T18" i="25"/>
  <c r="P4" i="25"/>
  <c r="P23" i="25" s="1"/>
  <c r="J23" i="25"/>
  <c r="M23" i="25"/>
  <c r="H503" i="32" l="1"/>
  <c r="G148" i="32"/>
  <c r="H148" i="32"/>
  <c r="E41" i="31"/>
  <c r="H304" i="29"/>
  <c r="H486" i="32" s="1"/>
  <c r="H179" i="29"/>
  <c r="H130" i="29"/>
  <c r="G167" i="30" s="1"/>
  <c r="G166" i="30" s="1"/>
  <c r="G165" i="30" s="1"/>
  <c r="G164" i="30" s="1"/>
  <c r="G143" i="30" s="1"/>
  <c r="H109" i="29"/>
  <c r="H108" i="29" s="1"/>
  <c r="H107" i="29" s="1"/>
  <c r="H1187" i="29"/>
  <c r="H1170" i="29"/>
  <c r="H1169" i="29" s="1"/>
  <c r="H1167" i="29"/>
  <c r="H1165" i="29"/>
  <c r="H1162" i="29"/>
  <c r="H1160" i="29"/>
  <c r="H1153" i="29"/>
  <c r="G964" i="30" s="1"/>
  <c r="G963" i="30" s="1"/>
  <c r="G962" i="30" s="1"/>
  <c r="G961" i="30" s="1"/>
  <c r="G960" i="30" s="1"/>
  <c r="G952" i="30" s="1"/>
  <c r="H1144" i="29"/>
  <c r="H1143" i="29" s="1"/>
  <c r="H1142" i="29" s="1"/>
  <c r="H1141" i="29" s="1"/>
  <c r="H1139" i="29"/>
  <c r="H1137" i="29"/>
  <c r="H1135" i="29"/>
  <c r="H1132" i="29" s="1"/>
  <c r="H1131" i="29"/>
  <c r="H1130" i="29" s="1"/>
  <c r="H1127" i="29"/>
  <c r="H1125" i="29"/>
  <c r="G496" i="30" s="1"/>
  <c r="H1122" i="29"/>
  <c r="H1119" i="29"/>
  <c r="H1118" i="29" s="1"/>
  <c r="H1115" i="29"/>
  <c r="H1111" i="29"/>
  <c r="H1110" i="29" s="1"/>
  <c r="H1108" i="29"/>
  <c r="H1106" i="29"/>
  <c r="H1104" i="29"/>
  <c r="H1098" i="29"/>
  <c r="H1097" i="29" s="1"/>
  <c r="H1096" i="29" s="1"/>
  <c r="H1095" i="29"/>
  <c r="H1090" i="29"/>
  <c r="H1085" i="29"/>
  <c r="H1084" i="29" s="1"/>
  <c r="H1083" i="29" s="1"/>
  <c r="H1081" i="29"/>
  <c r="H1080" i="29" s="1"/>
  <c r="H1078" i="29"/>
  <c r="H1077" i="29" s="1"/>
  <c r="H1075" i="29"/>
  <c r="H1071" i="29"/>
  <c r="H1070" i="29" s="1"/>
  <c r="H1069" i="29"/>
  <c r="H1068" i="29" s="1"/>
  <c r="H1067" i="29"/>
  <c r="H1063" i="29"/>
  <c r="H1062" i="29" s="1"/>
  <c r="H1060" i="29"/>
  <c r="H1059" i="29" s="1"/>
  <c r="H1058" i="29"/>
  <c r="H1056" i="29" s="1"/>
  <c r="H1055" i="29"/>
  <c r="H1051" i="29"/>
  <c r="H1050" i="29" s="1"/>
  <c r="H1047" i="29"/>
  <c r="H1046" i="29" s="1"/>
  <c r="H1045" i="29" s="1"/>
  <c r="H1042" i="29"/>
  <c r="H1041" i="29" s="1"/>
  <c r="H1040" i="29" s="1"/>
  <c r="H1039" i="29" s="1"/>
  <c r="H1037" i="29"/>
  <c r="H1031" i="29"/>
  <c r="H1030" i="29" s="1"/>
  <c r="H1029" i="29" s="1"/>
  <c r="H1027" i="29"/>
  <c r="H1026" i="29" s="1"/>
  <c r="H1025" i="29" s="1"/>
  <c r="H1023" i="29"/>
  <c r="H1022" i="29" s="1"/>
  <c r="H1021" i="29" s="1"/>
  <c r="H1019" i="29"/>
  <c r="H1018" i="29" s="1"/>
  <c r="H1017" i="29" s="1"/>
  <c r="H1015" i="29"/>
  <c r="H1014" i="29" s="1"/>
  <c r="H1013" i="29" s="1"/>
  <c r="H1011" i="29"/>
  <c r="H1010" i="29" s="1"/>
  <c r="H1009" i="29" s="1"/>
  <c r="H1007" i="29"/>
  <c r="H1006" i="29" s="1"/>
  <c r="H1005" i="29" s="1"/>
  <c r="H1002" i="29"/>
  <c r="H1001" i="29" s="1"/>
  <c r="H999" i="29"/>
  <c r="H997" i="29"/>
  <c r="H994" i="29"/>
  <c r="H993" i="29" s="1"/>
  <c r="H991" i="29"/>
  <c r="H989" i="29"/>
  <c r="H985" i="29"/>
  <c r="H984" i="29"/>
  <c r="G355" i="30" s="1"/>
  <c r="G354" i="30" s="1"/>
  <c r="G353" i="30" s="1"/>
  <c r="G346" i="30" s="1"/>
  <c r="G345" i="30" s="1"/>
  <c r="H979" i="29"/>
  <c r="H977" i="29"/>
  <c r="H971" i="29"/>
  <c r="H970" i="29" s="1"/>
  <c r="H968" i="29"/>
  <c r="H967" i="29" s="1"/>
  <c r="H965" i="29"/>
  <c r="H964" i="29" s="1"/>
  <c r="H962" i="29"/>
  <c r="H960" i="29"/>
  <c r="H953" i="29"/>
  <c r="H951" i="29"/>
  <c r="H949" i="29"/>
  <c r="H945" i="29"/>
  <c r="H944" i="29" s="1"/>
  <c r="H943" i="29" s="1"/>
  <c r="H939" i="29"/>
  <c r="H938" i="29" s="1"/>
  <c r="H937" i="29" s="1"/>
  <c r="H936" i="29" s="1"/>
  <c r="H935" i="29" s="1"/>
  <c r="H932" i="29"/>
  <c r="H931" i="29" s="1"/>
  <c r="H930" i="29" s="1"/>
  <c r="H929" i="29" s="1"/>
  <c r="H928" i="29" s="1"/>
  <c r="H927" i="29" s="1"/>
  <c r="H925" i="29"/>
  <c r="H923" i="29"/>
  <c r="H921" i="29"/>
  <c r="H918" i="29"/>
  <c r="H917" i="29" s="1"/>
  <c r="H910" i="29"/>
  <c r="H908" i="29"/>
  <c r="H903" i="29"/>
  <c r="H902" i="29" s="1"/>
  <c r="G1037" i="30"/>
  <c r="G1036" i="30" s="1"/>
  <c r="H900" i="29"/>
  <c r="H896" i="29"/>
  <c r="H891" i="29"/>
  <c r="H890" i="29" s="1"/>
  <c r="H881" i="29"/>
  <c r="H880" i="29" s="1"/>
  <c r="H875" i="29"/>
  <c r="H874" i="29" s="1"/>
  <c r="H873" i="29" s="1"/>
  <c r="H872" i="29" s="1"/>
  <c r="H870" i="29"/>
  <c r="H869" i="29" s="1"/>
  <c r="H868" i="29" s="1"/>
  <c r="H866" i="29"/>
  <c r="H865" i="29" s="1"/>
  <c r="H864" i="29" s="1"/>
  <c r="H861" i="29"/>
  <c r="H860" i="29" s="1"/>
  <c r="H858" i="29"/>
  <c r="H857" i="29" s="1"/>
  <c r="H856" i="29" s="1"/>
  <c r="H855" i="29"/>
  <c r="H851" i="29"/>
  <c r="H850" i="29" s="1"/>
  <c r="H847" i="29"/>
  <c r="H846" i="29"/>
  <c r="H844" i="29"/>
  <c r="H843" i="29" s="1"/>
  <c r="H841" i="29"/>
  <c r="H840" i="29" s="1"/>
  <c r="H838" i="29"/>
  <c r="H837" i="29" s="1"/>
  <c r="H834" i="29"/>
  <c r="H833" i="29" s="1"/>
  <c r="H832" i="29" s="1"/>
  <c r="H827" i="29"/>
  <c r="H826" i="29" s="1"/>
  <c r="H825" i="29" s="1"/>
  <c r="H824" i="29" s="1"/>
  <c r="H823" i="29" s="1"/>
  <c r="H822" i="29" s="1"/>
  <c r="H819" i="29"/>
  <c r="H818" i="29" s="1"/>
  <c r="H816" i="29"/>
  <c r="H812" i="29"/>
  <c r="H808" i="29"/>
  <c r="H806" i="29"/>
  <c r="H801" i="29"/>
  <c r="H800" i="29" s="1"/>
  <c r="H791" i="29"/>
  <c r="H789" i="29"/>
  <c r="H783" i="29"/>
  <c r="H782" i="29" s="1"/>
  <c r="H781" i="29" s="1"/>
  <c r="H780" i="29" s="1"/>
  <c r="H779" i="29" s="1"/>
  <c r="H777" i="29"/>
  <c r="H776" i="29" s="1"/>
  <c r="H772" i="29"/>
  <c r="H771" i="29" s="1"/>
  <c r="H770" i="29" s="1"/>
  <c r="H768" i="29"/>
  <c r="H767" i="29" s="1"/>
  <c r="H766" i="29" s="1"/>
  <c r="H764" i="29"/>
  <c r="H763" i="29" s="1"/>
  <c r="H762" i="29" s="1"/>
  <c r="H760" i="29"/>
  <c r="H759" i="29" s="1"/>
  <c r="H757" i="29"/>
  <c r="H756" i="29" s="1"/>
  <c r="H753" i="29"/>
  <c r="H752" i="29" s="1"/>
  <c r="H750" i="29"/>
  <c r="H749" i="29" s="1"/>
  <c r="H744" i="29"/>
  <c r="H743" i="29" s="1"/>
  <c r="H742" i="29" s="1"/>
  <c r="H741" i="29" s="1"/>
  <c r="H739" i="29"/>
  <c r="H738" i="29" s="1"/>
  <c r="H737" i="29" s="1"/>
  <c r="H736" i="29" s="1"/>
  <c r="H734" i="29"/>
  <c r="H733" i="29" s="1"/>
  <c r="H732" i="29" s="1"/>
  <c r="H730" i="29"/>
  <c r="H729" i="29" s="1"/>
  <c r="H728" i="29" s="1"/>
  <c r="H726" i="29"/>
  <c r="H725" i="29" s="1"/>
  <c r="H724" i="29" s="1"/>
  <c r="H722" i="29"/>
  <c r="H721" i="29" s="1"/>
  <c r="H720" i="29" s="1"/>
  <c r="H718" i="29"/>
  <c r="H717" i="29" s="1"/>
  <c r="H716" i="29" s="1"/>
  <c r="H714" i="29"/>
  <c r="H713" i="29" s="1"/>
  <c r="H712" i="29" s="1"/>
  <c r="H710" i="29"/>
  <c r="H709" i="29" s="1"/>
  <c r="H708" i="29" s="1"/>
  <c r="H706" i="29"/>
  <c r="H705" i="29" s="1"/>
  <c r="H704" i="29" s="1"/>
  <c r="H702" i="29"/>
  <c r="H701" i="29" s="1"/>
  <c r="H700" i="29" s="1"/>
  <c r="H698" i="29"/>
  <c r="H697" i="29" s="1"/>
  <c r="H696" i="29" s="1"/>
  <c r="H694" i="29"/>
  <c r="H693" i="29" s="1"/>
  <c r="H691" i="29"/>
  <c r="H690" i="29" s="1"/>
  <c r="H687" i="29"/>
  <c r="H686" i="29" s="1"/>
  <c r="H684" i="29"/>
  <c r="H683" i="29" s="1"/>
  <c r="H681" i="29"/>
  <c r="H680" i="29" s="1"/>
  <c r="H678" i="29"/>
  <c r="H677" i="29" s="1"/>
  <c r="H674" i="29"/>
  <c r="H673" i="29" s="1"/>
  <c r="H671" i="29"/>
  <c r="H670" i="29" s="1"/>
  <c r="H669" i="29"/>
  <c r="H665" i="29"/>
  <c r="H664" i="29" s="1"/>
  <c r="H661" i="29"/>
  <c r="H660" i="29" s="1"/>
  <c r="H659" i="29" s="1"/>
  <c r="H655" i="29"/>
  <c r="H654" i="29" s="1"/>
  <c r="H650" i="29"/>
  <c r="H649" i="29" s="1"/>
  <c r="H648" i="29" s="1"/>
  <c r="H647" i="29" s="1"/>
  <c r="H645" i="29"/>
  <c r="H644" i="29" s="1"/>
  <c r="H643" i="29" s="1"/>
  <c r="H641" i="29"/>
  <c r="H640" i="29" s="1"/>
  <c r="H639" i="29" s="1"/>
  <c r="H637" i="29"/>
  <c r="H636" i="29" s="1"/>
  <c r="H635" i="29"/>
  <c r="H626" i="29"/>
  <c r="H625" i="29" s="1"/>
  <c r="H623" i="29"/>
  <c r="H622" i="29" s="1"/>
  <c r="H620" i="29"/>
  <c r="H619" i="29" s="1"/>
  <c r="H616" i="29"/>
  <c r="H615" i="29" s="1"/>
  <c r="H613" i="29"/>
  <c r="H612" i="29" s="1"/>
  <c r="H610" i="29"/>
  <c r="H609" i="29" s="1"/>
  <c r="H606" i="29"/>
  <c r="H605" i="29" s="1"/>
  <c r="H603" i="29"/>
  <c r="H602" i="29" s="1"/>
  <c r="H599" i="29"/>
  <c r="H598" i="29" s="1"/>
  <c r="H597" i="29" s="1"/>
  <c r="H592" i="29"/>
  <c r="H591" i="29" s="1"/>
  <c r="H590" i="29" s="1"/>
  <c r="H589" i="29" s="1"/>
  <c r="H588" i="29" s="1"/>
  <c r="H587" i="29" s="1"/>
  <c r="H585" i="29"/>
  <c r="H584" i="29" s="1"/>
  <c r="H583" i="29" s="1"/>
  <c r="H582" i="29" s="1"/>
  <c r="H581" i="29" s="1"/>
  <c r="H580" i="29" s="1"/>
  <c r="H578" i="29"/>
  <c r="H577" i="29" s="1"/>
  <c r="H575" i="29"/>
  <c r="H574" i="29" s="1"/>
  <c r="H568" i="29"/>
  <c r="H567" i="29" s="1"/>
  <c r="H566" i="29" s="1"/>
  <c r="H565" i="29" s="1"/>
  <c r="H1227" i="29" s="1"/>
  <c r="H564" i="29"/>
  <c r="H563" i="29" s="1"/>
  <c r="H562" i="29" s="1"/>
  <c r="H560" i="29"/>
  <c r="H558" i="29"/>
  <c r="H552" i="29"/>
  <c r="H551" i="29" s="1"/>
  <c r="H550" i="29" s="1"/>
  <c r="H548" i="29"/>
  <c r="H547" i="29" s="1"/>
  <c r="H545" i="29"/>
  <c r="H543" i="29"/>
  <c r="H541" i="29"/>
  <c r="H533" i="29"/>
  <c r="H532" i="29" s="1"/>
  <c r="H530" i="29"/>
  <c r="H529" i="29" s="1"/>
  <c r="H527" i="29"/>
  <c r="H525" i="29"/>
  <c r="H517" i="29"/>
  <c r="H516" i="29" s="1"/>
  <c r="H512" i="29"/>
  <c r="H511" i="29" s="1"/>
  <c r="H510" i="29" s="1"/>
  <c r="H508" i="29"/>
  <c r="H506" i="29"/>
  <c r="H504" i="29"/>
  <c r="H497" i="29"/>
  <c r="H496" i="29" s="1"/>
  <c r="H495" i="29" s="1"/>
  <c r="H493" i="29"/>
  <c r="H491" i="29"/>
  <c r="H490" i="29"/>
  <c r="H489" i="29" s="1"/>
  <c r="H487" i="29"/>
  <c r="H484" i="29" s="1"/>
  <c r="H483" i="29" s="1"/>
  <c r="H485" i="29"/>
  <c r="H480" i="29"/>
  <c r="H479" i="29" s="1"/>
  <c r="H478" i="29" s="1"/>
  <c r="H477" i="29" s="1"/>
  <c r="H472" i="29"/>
  <c r="H471" i="29" s="1"/>
  <c r="H469" i="29" s="1"/>
  <c r="H470" i="29"/>
  <c r="H467" i="29"/>
  <c r="H466" i="29" s="1"/>
  <c r="H465" i="29" s="1"/>
  <c r="H464" i="29" s="1"/>
  <c r="H463" i="29" s="1"/>
  <c r="H433" i="29" s="1"/>
  <c r="H461" i="29"/>
  <c r="H459" i="29"/>
  <c r="H457" i="29"/>
  <c r="H454" i="29"/>
  <c r="H453" i="29" s="1"/>
  <c r="H450" i="29"/>
  <c r="H449" i="29" s="1"/>
  <c r="H448" i="29" s="1"/>
  <c r="H445" i="29"/>
  <c r="H444" i="29" s="1"/>
  <c r="H442" i="29"/>
  <c r="H441" i="29" s="1"/>
  <c r="H439" i="29"/>
  <c r="H437" i="29"/>
  <c r="H431" i="29"/>
  <c r="H430" i="29" s="1"/>
  <c r="H429" i="29" s="1"/>
  <c r="H428" i="29" s="1"/>
  <c r="H426" i="29"/>
  <c r="H425" i="29" s="1"/>
  <c r="H423" i="29" s="1"/>
  <c r="H424" i="29"/>
  <c r="H421" i="29"/>
  <c r="H420" i="29" s="1"/>
  <c r="H418" i="29"/>
  <c r="H417" i="29" s="1"/>
  <c r="H415" i="29"/>
  <c r="H414" i="29" s="1"/>
  <c r="H412" i="29"/>
  <c r="H411" i="29" s="1"/>
  <c r="H410" i="29" s="1"/>
  <c r="H409" i="29" s="1"/>
  <c r="H407" i="29"/>
  <c r="H406" i="29" s="1"/>
  <c r="H404" i="29"/>
  <c r="H403" i="29" s="1"/>
  <c r="H400" i="29"/>
  <c r="H399" i="29" s="1"/>
  <c r="H398" i="29" s="1"/>
  <c r="H396" i="29"/>
  <c r="H395" i="29" s="1"/>
  <c r="H393" i="29"/>
  <c r="H392" i="29" s="1"/>
  <c r="H389" i="29"/>
  <c r="H388" i="29" s="1"/>
  <c r="H387" i="29" s="1"/>
  <c r="H385" i="29"/>
  <c r="H383" i="29"/>
  <c r="H379" i="29"/>
  <c r="H378" i="29" s="1"/>
  <c r="H377" i="29"/>
  <c r="H375" i="29"/>
  <c r="H374" i="29"/>
  <c r="H372" i="29"/>
  <c r="H365" i="29"/>
  <c r="H364" i="29" s="1"/>
  <c r="H363" i="29" s="1"/>
  <c r="H362" i="29" s="1"/>
  <c r="H360" i="29"/>
  <c r="H359" i="29" s="1"/>
  <c r="H358" i="29" s="1"/>
  <c r="H357" i="29"/>
  <c r="H354" i="29"/>
  <c r="H350" i="29"/>
  <c r="H349" i="29" s="1"/>
  <c r="H347" i="29"/>
  <c r="H346" i="29" s="1"/>
  <c r="H340" i="29"/>
  <c r="H339" i="29" s="1"/>
  <c r="H338" i="29" s="1"/>
  <c r="H335" i="29"/>
  <c r="H334" i="29" s="1"/>
  <c r="H332" i="29" s="1"/>
  <c r="H333" i="29"/>
  <c r="H330" i="29"/>
  <c r="H329" i="29" s="1"/>
  <c r="H327" i="29"/>
  <c r="H326" i="29" s="1"/>
  <c r="H323" i="29"/>
  <c r="H322" i="29" s="1"/>
  <c r="H321" i="29" s="1"/>
  <c r="H319" i="29"/>
  <c r="H317" i="29"/>
  <c r="H314" i="29"/>
  <c r="H313" i="29" s="1"/>
  <c r="H310" i="29"/>
  <c r="H309" i="29" s="1"/>
  <c r="H307" i="29"/>
  <c r="H305" i="29"/>
  <c r="H296" i="29"/>
  <c r="H295" i="29" s="1"/>
  <c r="H294" i="29" s="1"/>
  <c r="H292" i="29"/>
  <c r="H291" i="29" s="1"/>
  <c r="H290" i="29" s="1"/>
  <c r="H288" i="29"/>
  <c r="H287" i="29" s="1"/>
  <c r="H284" i="29"/>
  <c r="H283" i="29" s="1"/>
  <c r="H282" i="29" s="1"/>
  <c r="H276" i="29"/>
  <c r="H275" i="29" s="1"/>
  <c r="H273" i="29" s="1"/>
  <c r="H271" i="29"/>
  <c r="H270" i="29" s="1"/>
  <c r="H268" i="29"/>
  <c r="H267" i="29" s="1"/>
  <c r="H265" i="29"/>
  <c r="H264" i="29" s="1"/>
  <c r="H262" i="29"/>
  <c r="H261" i="29" s="1"/>
  <c r="H259" i="29"/>
  <c r="H258" i="29" s="1"/>
  <c r="H254" i="29"/>
  <c r="H253" i="29"/>
  <c r="H252" i="29"/>
  <c r="H249" i="29"/>
  <c r="H248" i="29" s="1"/>
  <c r="H247" i="29" s="1"/>
  <c r="H239" i="29"/>
  <c r="H237" i="29"/>
  <c r="H231" i="29"/>
  <c r="H230" i="29" s="1"/>
  <c r="H229" i="29" s="1"/>
  <c r="H228" i="29" s="1"/>
  <c r="H225" i="29"/>
  <c r="H224" i="29" s="1"/>
  <c r="H223" i="29" s="1"/>
  <c r="H222" i="29" s="1"/>
  <c r="H221" i="29" s="1"/>
  <c r="H218" i="29"/>
  <c r="H217" i="29" s="1"/>
  <c r="H216" i="29" s="1"/>
  <c r="H215" i="29" s="1"/>
  <c r="H1214" i="29" s="1"/>
  <c r="H213" i="29"/>
  <c r="H211" i="29"/>
  <c r="H205" i="29"/>
  <c r="H204" i="29" s="1"/>
  <c r="H203" i="29" s="1"/>
  <c r="H202" i="29"/>
  <c r="H194" i="29"/>
  <c r="H192" i="29"/>
  <c r="H191" i="29" s="1"/>
  <c r="H189" i="29"/>
  <c r="H188" i="29" s="1"/>
  <c r="H187" i="29" s="1"/>
  <c r="H183" i="29"/>
  <c r="H182" i="29" s="1"/>
  <c r="H180" i="29"/>
  <c r="H174" i="29"/>
  <c r="H173" i="29" s="1"/>
  <c r="H171" i="29"/>
  <c r="H170" i="29" s="1"/>
  <c r="H164" i="29"/>
  <c r="H163" i="29" s="1"/>
  <c r="H162" i="29" s="1"/>
  <c r="H161" i="29" s="1"/>
  <c r="H160" i="29" s="1"/>
  <c r="H159" i="29" s="1"/>
  <c r="H1184" i="29" s="1"/>
  <c r="H157" i="29"/>
  <c r="H156" i="29" s="1"/>
  <c r="H154" i="29" s="1"/>
  <c r="H1229" i="29" s="1"/>
  <c r="H152" i="29"/>
  <c r="H151" i="29" s="1"/>
  <c r="H149" i="29" s="1"/>
  <c r="H1228" i="29" s="1"/>
  <c r="H147" i="29"/>
  <c r="H146" i="29" s="1"/>
  <c r="H145" i="29" s="1"/>
  <c r="H143" i="29"/>
  <c r="H142" i="29" s="1"/>
  <c r="H141" i="29" s="1"/>
  <c r="H138" i="29"/>
  <c r="H137" i="29" s="1"/>
  <c r="H136" i="29" s="1"/>
  <c r="H134" i="29"/>
  <c r="H133" i="29" s="1"/>
  <c r="H131" i="29"/>
  <c r="H125" i="29"/>
  <c r="H124" i="29" s="1"/>
  <c r="H123" i="29" s="1"/>
  <c r="H119" i="29"/>
  <c r="H117" i="29"/>
  <c r="H111" i="29"/>
  <c r="H110" i="29" s="1"/>
  <c r="H102" i="29"/>
  <c r="H101" i="29" s="1"/>
  <c r="H100" i="29" s="1"/>
  <c r="H98" i="29"/>
  <c r="H97" i="29" s="1"/>
  <c r="H95" i="29"/>
  <c r="H93" i="29"/>
  <c r="H89" i="29"/>
  <c r="H88" i="29" s="1"/>
  <c r="H87" i="29" s="1"/>
  <c r="H84" i="29"/>
  <c r="H82" i="29"/>
  <c r="H79" i="29"/>
  <c r="H77" i="29"/>
  <c r="H74" i="29"/>
  <c r="H72" i="29"/>
  <c r="H69" i="29"/>
  <c r="H68" i="29" s="1"/>
  <c r="H65" i="29"/>
  <c r="H64" i="29" s="1"/>
  <c r="H62" i="29"/>
  <c r="H61" i="29" s="1"/>
  <c r="H59" i="29"/>
  <c r="H58" i="29"/>
  <c r="H57" i="29" s="1"/>
  <c r="H55" i="29"/>
  <c r="H47" i="29"/>
  <c r="H46" i="29" s="1"/>
  <c r="H45" i="29" s="1"/>
  <c r="H44" i="29" s="1"/>
  <c r="H42" i="29"/>
  <c r="H41" i="29" s="1"/>
  <c r="H40" i="29"/>
  <c r="H37" i="29"/>
  <c r="H29" i="29"/>
  <c r="H28" i="29" s="1"/>
  <c r="H27" i="29" s="1"/>
  <c r="H26" i="29" s="1"/>
  <c r="H25" i="29" s="1"/>
  <c r="H23" i="29"/>
  <c r="H22" i="29" s="1"/>
  <c r="H20" i="29"/>
  <c r="H18" i="29"/>
  <c r="AK1187" i="29"/>
  <c r="AJ1187" i="29"/>
  <c r="AI1187" i="29"/>
  <c r="AH1187" i="29"/>
  <c r="AG1187" i="29"/>
  <c r="AF1187" i="29"/>
  <c r="G1187" i="29"/>
  <c r="AL1186" i="29"/>
  <c r="AN1186" i="29" s="1"/>
  <c r="AL1185" i="29"/>
  <c r="G1170" i="29"/>
  <c r="G1169" i="29" s="1"/>
  <c r="G1167" i="29"/>
  <c r="G1165" i="29"/>
  <c r="G1162" i="29"/>
  <c r="G1160" i="29"/>
  <c r="G1153" i="29"/>
  <c r="G1144" i="29"/>
  <c r="G1143" i="29" s="1"/>
  <c r="G1142" i="29" s="1"/>
  <c r="G1141" i="29" s="1"/>
  <c r="G1139" i="29"/>
  <c r="G1137" i="29"/>
  <c r="G1135" i="29"/>
  <c r="G1132" i="29" s="1"/>
  <c r="G1131" i="29"/>
  <c r="G1130" i="29" s="1"/>
  <c r="G1127" i="29"/>
  <c r="F498" i="30" s="1"/>
  <c r="F497" i="30" s="1"/>
  <c r="G1125" i="29"/>
  <c r="F496" i="30" s="1"/>
  <c r="G1122" i="29"/>
  <c r="G1119" i="29"/>
  <c r="G1118" i="29" s="1"/>
  <c r="G1115" i="29"/>
  <c r="G1111" i="29"/>
  <c r="G1110" i="29" s="1"/>
  <c r="G1108" i="29"/>
  <c r="G1106" i="29"/>
  <c r="G1104" i="29"/>
  <c r="G1098" i="29"/>
  <c r="G1097" i="29" s="1"/>
  <c r="G1096" i="29" s="1"/>
  <c r="G1095" i="29"/>
  <c r="G1090" i="29"/>
  <c r="G1089" i="29" s="1"/>
  <c r="G1088" i="29" s="1"/>
  <c r="G1087" i="29" s="1"/>
  <c r="G1085" i="29"/>
  <c r="G1084" i="29" s="1"/>
  <c r="G1083" i="29" s="1"/>
  <c r="G1081" i="29"/>
  <c r="G1080" i="29" s="1"/>
  <c r="G1078" i="29"/>
  <c r="G1077" i="29" s="1"/>
  <c r="G1075" i="29"/>
  <c r="G1074" i="29" s="1"/>
  <c r="G1073" i="29" s="1"/>
  <c r="G1071" i="29"/>
  <c r="G1070" i="29" s="1"/>
  <c r="G1069" i="29"/>
  <c r="G1068" i="29" s="1"/>
  <c r="G1067" i="29"/>
  <c r="G1063" i="29"/>
  <c r="G1062" i="29" s="1"/>
  <c r="G1060" i="29"/>
  <c r="G1059" i="29" s="1"/>
  <c r="G1058" i="29"/>
  <c r="G1056" i="29" s="1"/>
  <c r="G1055" i="29"/>
  <c r="G1051" i="29"/>
  <c r="G1050" i="29" s="1"/>
  <c r="G1047" i="29"/>
  <c r="G1046" i="29" s="1"/>
  <c r="G1045" i="29" s="1"/>
  <c r="G1042" i="29"/>
  <c r="G1041" i="29" s="1"/>
  <c r="G1040" i="29" s="1"/>
  <c r="G1039" i="29" s="1"/>
  <c r="G1037" i="29"/>
  <c r="G1031" i="29"/>
  <c r="G1030" i="29" s="1"/>
  <c r="G1029" i="29" s="1"/>
  <c r="G1027" i="29"/>
  <c r="G1026" i="29" s="1"/>
  <c r="G1025" i="29" s="1"/>
  <c r="G1023" i="29"/>
  <c r="G1022" i="29" s="1"/>
  <c r="G1021" i="29" s="1"/>
  <c r="G1019" i="29"/>
  <c r="G1018" i="29" s="1"/>
  <c r="G1017" i="29" s="1"/>
  <c r="G1015" i="29"/>
  <c r="G1014" i="29" s="1"/>
  <c r="G1013" i="29" s="1"/>
  <c r="G1011" i="29"/>
  <c r="G1010" i="29" s="1"/>
  <c r="G1009" i="29" s="1"/>
  <c r="G1007" i="29"/>
  <c r="G1006" i="29" s="1"/>
  <c r="G1005" i="29" s="1"/>
  <c r="G1002" i="29"/>
  <c r="G1001" i="29" s="1"/>
  <c r="G999" i="29"/>
  <c r="G997" i="29"/>
  <c r="G994" i="29"/>
  <c r="G993" i="29" s="1"/>
  <c r="G991" i="29"/>
  <c r="G989" i="29"/>
  <c r="G985" i="29"/>
  <c r="G984" i="29"/>
  <c r="G979" i="29"/>
  <c r="G977" i="29"/>
  <c r="G971" i="29"/>
  <c r="G970" i="29" s="1"/>
  <c r="G968" i="29"/>
  <c r="G967" i="29" s="1"/>
  <c r="G965" i="29"/>
  <c r="G964" i="29" s="1"/>
  <c r="G962" i="29"/>
  <c r="G960" i="29"/>
  <c r="G953" i="29"/>
  <c r="G951" i="29"/>
  <c r="G950" i="29"/>
  <c r="G945" i="29"/>
  <c r="G944" i="29" s="1"/>
  <c r="G943" i="29" s="1"/>
  <c r="G939" i="29"/>
  <c r="G938" i="29" s="1"/>
  <c r="G937" i="29" s="1"/>
  <c r="G936" i="29" s="1"/>
  <c r="G935" i="29" s="1"/>
  <c r="G932" i="29"/>
  <c r="G931" i="29" s="1"/>
  <c r="G930" i="29" s="1"/>
  <c r="G929" i="29" s="1"/>
  <c r="G928" i="29" s="1"/>
  <c r="G927" i="29" s="1"/>
  <c r="G925" i="29"/>
  <c r="G923" i="29"/>
  <c r="G921" i="29"/>
  <c r="G918" i="29"/>
  <c r="G917" i="29" s="1"/>
  <c r="G910" i="29"/>
  <c r="G908" i="29"/>
  <c r="G903" i="29"/>
  <c r="G902" i="29" s="1"/>
  <c r="F1037" i="30"/>
  <c r="F1036" i="30" s="1"/>
  <c r="F1035" i="30"/>
  <c r="F1034" i="30" s="1"/>
  <c r="G898" i="29"/>
  <c r="G896" i="29"/>
  <c r="G891" i="29"/>
  <c r="G890" i="29" s="1"/>
  <c r="G881" i="29"/>
  <c r="G880" i="29" s="1"/>
  <c r="G875" i="29"/>
  <c r="G874" i="29" s="1"/>
  <c r="G873" i="29" s="1"/>
  <c r="G872" i="29" s="1"/>
  <c r="G870" i="29"/>
  <c r="G869" i="29" s="1"/>
  <c r="G868" i="29" s="1"/>
  <c r="G866" i="29"/>
  <c r="G865" i="29" s="1"/>
  <c r="G864" i="29" s="1"/>
  <c r="G861" i="29"/>
  <c r="G860" i="29" s="1"/>
  <c r="G858" i="29"/>
  <c r="G857" i="29" s="1"/>
  <c r="G856" i="29" s="1"/>
  <c r="G855" i="29"/>
  <c r="G851" i="29"/>
  <c r="G850" i="29" s="1"/>
  <c r="G847" i="29"/>
  <c r="G846" i="29"/>
  <c r="G844" i="29"/>
  <c r="G843" i="29" s="1"/>
  <c r="G841" i="29"/>
  <c r="G840" i="29" s="1"/>
  <c r="G838" i="29"/>
  <c r="G837" i="29" s="1"/>
  <c r="G834" i="29"/>
  <c r="G833" i="29" s="1"/>
  <c r="G832" i="29" s="1"/>
  <c r="G827" i="29"/>
  <c r="G826" i="29" s="1"/>
  <c r="G825" i="29" s="1"/>
  <c r="G824" i="29" s="1"/>
  <c r="G823" i="29" s="1"/>
  <c r="G822" i="29" s="1"/>
  <c r="G819" i="29"/>
  <c r="G818" i="29" s="1"/>
  <c r="G816" i="29"/>
  <c r="G812" i="29"/>
  <c r="G808" i="29"/>
  <c r="G806" i="29"/>
  <c r="G801" i="29"/>
  <c r="G800" i="29" s="1"/>
  <c r="G791" i="29"/>
  <c r="G789" i="29"/>
  <c r="G783" i="29"/>
  <c r="G782" i="29" s="1"/>
  <c r="G781" i="29" s="1"/>
  <c r="G780" i="29" s="1"/>
  <c r="G779" i="29" s="1"/>
  <c r="G777" i="29"/>
  <c r="G776" i="29" s="1"/>
  <c r="G772" i="29"/>
  <c r="G771" i="29" s="1"/>
  <c r="G770" i="29" s="1"/>
  <c r="G768" i="29"/>
  <c r="G767" i="29" s="1"/>
  <c r="G766" i="29" s="1"/>
  <c r="G764" i="29"/>
  <c r="G763" i="29" s="1"/>
  <c r="G762" i="29" s="1"/>
  <c r="G760" i="29"/>
  <c r="G759" i="29" s="1"/>
  <c r="G757" i="29"/>
  <c r="G756" i="29" s="1"/>
  <c r="G753" i="29"/>
  <c r="G752" i="29" s="1"/>
  <c r="G750" i="29"/>
  <c r="G749" i="29" s="1"/>
  <c r="G744" i="29"/>
  <c r="G743" i="29" s="1"/>
  <c r="G742" i="29" s="1"/>
  <c r="G741" i="29" s="1"/>
  <c r="G739" i="29"/>
  <c r="G738" i="29" s="1"/>
  <c r="G737" i="29" s="1"/>
  <c r="G736" i="29" s="1"/>
  <c r="G734" i="29"/>
  <c r="G733" i="29" s="1"/>
  <c r="G732" i="29" s="1"/>
  <c r="G730" i="29"/>
  <c r="G729" i="29" s="1"/>
  <c r="G728" i="29" s="1"/>
  <c r="G726" i="29"/>
  <c r="G725" i="29" s="1"/>
  <c r="G724" i="29" s="1"/>
  <c r="G722" i="29"/>
  <c r="G721" i="29" s="1"/>
  <c r="G720" i="29" s="1"/>
  <c r="G718" i="29"/>
  <c r="G717" i="29" s="1"/>
  <c r="G716" i="29" s="1"/>
  <c r="G714" i="29"/>
  <c r="G713" i="29" s="1"/>
  <c r="G712" i="29" s="1"/>
  <c r="G710" i="29"/>
  <c r="G709" i="29" s="1"/>
  <c r="G708" i="29" s="1"/>
  <c r="G706" i="29"/>
  <c r="G705" i="29" s="1"/>
  <c r="G704" i="29" s="1"/>
  <c r="G702" i="29"/>
  <c r="G701" i="29" s="1"/>
  <c r="G700" i="29" s="1"/>
  <c r="G698" i="29"/>
  <c r="G697" i="29" s="1"/>
  <c r="G696" i="29" s="1"/>
  <c r="G694" i="29"/>
  <c r="G693" i="29" s="1"/>
  <c r="G691" i="29"/>
  <c r="G690" i="29" s="1"/>
  <c r="G687" i="29"/>
  <c r="G686" i="29" s="1"/>
  <c r="G684" i="29"/>
  <c r="G683" i="29" s="1"/>
  <c r="G681" i="29"/>
  <c r="G680" i="29" s="1"/>
  <c r="G678" i="29"/>
  <c r="G677" i="29" s="1"/>
  <c r="G675" i="29"/>
  <c r="G671" i="29"/>
  <c r="G670" i="29" s="1"/>
  <c r="G669" i="29"/>
  <c r="G665" i="29"/>
  <c r="G664" i="29" s="1"/>
  <c r="G661" i="29"/>
  <c r="G660" i="29" s="1"/>
  <c r="G659" i="29" s="1"/>
  <c r="G655" i="29"/>
  <c r="G654" i="29" s="1"/>
  <c r="G650" i="29"/>
  <c r="G649" i="29" s="1"/>
  <c r="G648" i="29" s="1"/>
  <c r="G647" i="29" s="1"/>
  <c r="G645" i="29"/>
  <c r="G644" i="29" s="1"/>
  <c r="G643" i="29" s="1"/>
  <c r="G641" i="29"/>
  <c r="G640" i="29" s="1"/>
  <c r="G639" i="29" s="1"/>
  <c r="G637" i="29"/>
  <c r="G636" i="29" s="1"/>
  <c r="G635" i="29"/>
  <c r="G626" i="29"/>
  <c r="G625" i="29" s="1"/>
  <c r="G623" i="29"/>
  <c r="G622" i="29" s="1"/>
  <c r="G620" i="29"/>
  <c r="G619" i="29" s="1"/>
  <c r="G616" i="29"/>
  <c r="G615" i="29" s="1"/>
  <c r="G613" i="29"/>
  <c r="G612" i="29" s="1"/>
  <c r="G610" i="29"/>
  <c r="G609" i="29" s="1"/>
  <c r="G606" i="29"/>
  <c r="G605" i="29" s="1"/>
  <c r="G603" i="29"/>
  <c r="G602" i="29" s="1"/>
  <c r="G599" i="29"/>
  <c r="G598" i="29" s="1"/>
  <c r="G597" i="29" s="1"/>
  <c r="G592" i="29"/>
  <c r="G591" i="29" s="1"/>
  <c r="G590" i="29" s="1"/>
  <c r="G589" i="29" s="1"/>
  <c r="G588" i="29" s="1"/>
  <c r="G587" i="29" s="1"/>
  <c r="G585" i="29"/>
  <c r="G584" i="29" s="1"/>
  <c r="G583" i="29" s="1"/>
  <c r="G582" i="29" s="1"/>
  <c r="G581" i="29" s="1"/>
  <c r="G580" i="29" s="1"/>
  <c r="G578" i="29"/>
  <c r="G577" i="29" s="1"/>
  <c r="G575" i="29"/>
  <c r="G574" i="29" s="1"/>
  <c r="G568" i="29"/>
  <c r="G567" i="29" s="1"/>
  <c r="G566" i="29" s="1"/>
  <c r="G565" i="29" s="1"/>
  <c r="G1227" i="29" s="1"/>
  <c r="G564" i="29"/>
  <c r="G563" i="29" s="1"/>
  <c r="G562" i="29" s="1"/>
  <c r="G560" i="29"/>
  <c r="G558" i="29"/>
  <c r="G552" i="29"/>
  <c r="G551" i="29" s="1"/>
  <c r="G550" i="29" s="1"/>
  <c r="G548" i="29"/>
  <c r="G547" i="29" s="1"/>
  <c r="G545" i="29"/>
  <c r="G543" i="29"/>
  <c r="G541" i="29"/>
  <c r="G533" i="29"/>
  <c r="G530" i="29"/>
  <c r="G529" i="29" s="1"/>
  <c r="G527" i="29"/>
  <c r="G525" i="29"/>
  <c r="G517" i="29"/>
  <c r="G516" i="29" s="1"/>
  <c r="G512" i="29"/>
  <c r="G511" i="29" s="1"/>
  <c r="G510" i="29" s="1"/>
  <c r="G508" i="29"/>
  <c r="G506" i="29"/>
  <c r="G504" i="29"/>
  <c r="G497" i="29"/>
  <c r="G496" i="29" s="1"/>
  <c r="G495" i="29" s="1"/>
  <c r="G493" i="29"/>
  <c r="G491" i="29"/>
  <c r="G490" i="29"/>
  <c r="G489" i="29" s="1"/>
  <c r="G487" i="29"/>
  <c r="G484" i="29" s="1"/>
  <c r="G483" i="29" s="1"/>
  <c r="G485" i="29"/>
  <c r="G480" i="29"/>
  <c r="G479" i="29" s="1"/>
  <c r="G478" i="29" s="1"/>
  <c r="G477" i="29" s="1"/>
  <c r="G472" i="29"/>
  <c r="G471" i="29" s="1"/>
  <c r="G469" i="29" s="1"/>
  <c r="G470" i="29"/>
  <c r="G467" i="29"/>
  <c r="G466" i="29" s="1"/>
  <c r="G465" i="29" s="1"/>
  <c r="G464" i="29" s="1"/>
  <c r="G463" i="29" s="1"/>
  <c r="G461" i="29"/>
  <c r="G459" i="29"/>
  <c r="G457" i="29"/>
  <c r="G454" i="29"/>
  <c r="G453" i="29" s="1"/>
  <c r="G450" i="29"/>
  <c r="G449" i="29" s="1"/>
  <c r="G448" i="29" s="1"/>
  <c r="G445" i="29"/>
  <c r="G444" i="29" s="1"/>
  <c r="G442" i="29"/>
  <c r="G441" i="29" s="1"/>
  <c r="G439" i="29"/>
  <c r="G437" i="29"/>
  <c r="G431" i="29"/>
  <c r="G430" i="29" s="1"/>
  <c r="G429" i="29" s="1"/>
  <c r="G428" i="29" s="1"/>
  <c r="G426" i="29"/>
  <c r="G425" i="29" s="1"/>
  <c r="G423" i="29" s="1"/>
  <c r="G424" i="29"/>
  <c r="G421" i="29"/>
  <c r="G420" i="29" s="1"/>
  <c r="G418" i="29"/>
  <c r="G417" i="29" s="1"/>
  <c r="G415" i="29"/>
  <c r="G414" i="29" s="1"/>
  <c r="G412" i="29"/>
  <c r="G411" i="29" s="1"/>
  <c r="G410" i="29" s="1"/>
  <c r="G409" i="29" s="1"/>
  <c r="G407" i="29"/>
  <c r="G406" i="29" s="1"/>
  <c r="G404" i="29"/>
  <c r="G403" i="29" s="1"/>
  <c r="G400" i="29"/>
  <c r="G399" i="29" s="1"/>
  <c r="G398" i="29" s="1"/>
  <c r="G396" i="29"/>
  <c r="G395" i="29" s="1"/>
  <c r="G393" i="29"/>
  <c r="G392" i="29" s="1"/>
  <c r="G389" i="29"/>
  <c r="G388" i="29" s="1"/>
  <c r="G387" i="29" s="1"/>
  <c r="G385" i="29"/>
  <c r="G383" i="29"/>
  <c r="G379" i="29"/>
  <c r="G378" i="29" s="1"/>
  <c r="G377" i="29"/>
  <c r="G375" i="29"/>
  <c r="G372" i="29"/>
  <c r="G365" i="29"/>
  <c r="G364" i="29" s="1"/>
  <c r="G363" i="29" s="1"/>
  <c r="G362" i="29" s="1"/>
  <c r="G360" i="29"/>
  <c r="G359" i="29" s="1"/>
  <c r="G358" i="29" s="1"/>
  <c r="G357" i="29"/>
  <c r="G354" i="29"/>
  <c r="G350" i="29"/>
  <c r="G349" i="29" s="1"/>
  <c r="G347" i="29"/>
  <c r="G346" i="29" s="1"/>
  <c r="G340" i="29"/>
  <c r="G339" i="29" s="1"/>
  <c r="G335" i="29"/>
  <c r="G334" i="29" s="1"/>
  <c r="G332" i="29" s="1"/>
  <c r="G333" i="29"/>
  <c r="G330" i="29"/>
  <c r="G329" i="29" s="1"/>
  <c r="G327" i="29"/>
  <c r="G326" i="29" s="1"/>
  <c r="G323" i="29"/>
  <c r="G322" i="29" s="1"/>
  <c r="G321" i="29" s="1"/>
  <c r="G319" i="29"/>
  <c r="G317" i="29"/>
  <c r="G314" i="29"/>
  <c r="G313" i="29" s="1"/>
  <c r="G310" i="29"/>
  <c r="G309" i="29" s="1"/>
  <c r="G307" i="29"/>
  <c r="G305" i="29"/>
  <c r="G303" i="29"/>
  <c r="G296" i="29"/>
  <c r="G295" i="29" s="1"/>
  <c r="G294" i="29" s="1"/>
  <c r="G292" i="29"/>
  <c r="G291" i="29" s="1"/>
  <c r="G290" i="29" s="1"/>
  <c r="G288" i="29"/>
  <c r="G287" i="29" s="1"/>
  <c r="G284" i="29"/>
  <c r="G283" i="29" s="1"/>
  <c r="G282" i="29" s="1"/>
  <c r="G276" i="29"/>
  <c r="G275" i="29" s="1"/>
  <c r="G271" i="29"/>
  <c r="G270" i="29" s="1"/>
  <c r="G268" i="29"/>
  <c r="G267" i="29" s="1"/>
  <c r="G265" i="29"/>
  <c r="G264" i="29" s="1"/>
  <c r="G262" i="29"/>
  <c r="G261" i="29" s="1"/>
  <c r="G259" i="29"/>
  <c r="G258" i="29" s="1"/>
  <c r="G254" i="29"/>
  <c r="G253" i="29"/>
  <c r="G252" i="29"/>
  <c r="G249" i="29"/>
  <c r="G248" i="29" s="1"/>
  <c r="G247" i="29" s="1"/>
  <c r="G239" i="29"/>
  <c r="G237" i="29"/>
  <c r="G231" i="29"/>
  <c r="G230" i="29" s="1"/>
  <c r="G229" i="29" s="1"/>
  <c r="G228" i="29" s="1"/>
  <c r="G225" i="29"/>
  <c r="G224" i="29" s="1"/>
  <c r="G223" i="29" s="1"/>
  <c r="G222" i="29" s="1"/>
  <c r="G221" i="29" s="1"/>
  <c r="G218" i="29"/>
  <c r="G217" i="29" s="1"/>
  <c r="G216" i="29" s="1"/>
  <c r="G215" i="29" s="1"/>
  <c r="G1214" i="29" s="1"/>
  <c r="G213" i="29"/>
  <c r="G211" i="29"/>
  <c r="G205" i="29"/>
  <c r="G204" i="29" s="1"/>
  <c r="G203" i="29" s="1"/>
  <c r="G201" i="29"/>
  <c r="G200" i="29" s="1"/>
  <c r="G199" i="29" s="1"/>
  <c r="G194" i="29"/>
  <c r="G192" i="29"/>
  <c r="G191" i="29" s="1"/>
  <c r="G189" i="29"/>
  <c r="G188" i="29" s="1"/>
  <c r="G187" i="29" s="1"/>
  <c r="G183" i="29"/>
  <c r="G182" i="29" s="1"/>
  <c r="G180" i="29"/>
  <c r="G178" i="29"/>
  <c r="G174" i="29"/>
  <c r="G173" i="29" s="1"/>
  <c r="G171" i="29"/>
  <c r="G170" i="29" s="1"/>
  <c r="G164" i="29"/>
  <c r="G163" i="29" s="1"/>
  <c r="G162" i="29" s="1"/>
  <c r="G161" i="29" s="1"/>
  <c r="G160" i="29" s="1"/>
  <c r="G159" i="29" s="1"/>
  <c r="G1184" i="29" s="1"/>
  <c r="G157" i="29"/>
  <c r="G156" i="29" s="1"/>
  <c r="G152" i="29"/>
  <c r="G151" i="29" s="1"/>
  <c r="G147" i="29"/>
  <c r="G146" i="29" s="1"/>
  <c r="G145" i="29" s="1"/>
  <c r="G143" i="29"/>
  <c r="G142" i="29" s="1"/>
  <c r="G141" i="29" s="1"/>
  <c r="G138" i="29"/>
  <c r="G137" i="29" s="1"/>
  <c r="G136" i="29" s="1"/>
  <c r="G134" i="29"/>
  <c r="G133" i="29" s="1"/>
  <c r="G131" i="29"/>
  <c r="G129" i="29"/>
  <c r="G125" i="29"/>
  <c r="G124" i="29" s="1"/>
  <c r="G123" i="29" s="1"/>
  <c r="G119" i="29"/>
  <c r="G117" i="29"/>
  <c r="G111" i="29"/>
  <c r="G110" i="29" s="1"/>
  <c r="G108" i="29"/>
  <c r="G107" i="29" s="1"/>
  <c r="G102" i="29"/>
  <c r="G101" i="29" s="1"/>
  <c r="G100" i="29" s="1"/>
  <c r="G98" i="29"/>
  <c r="G97" i="29" s="1"/>
  <c r="G95" i="29"/>
  <c r="G93" i="29"/>
  <c r="G89" i="29"/>
  <c r="G88" i="29" s="1"/>
  <c r="G87" i="29" s="1"/>
  <c r="G84" i="29"/>
  <c r="G82" i="29"/>
  <c r="G79" i="29"/>
  <c r="G77" i="29"/>
  <c r="G74" i="29"/>
  <c r="G72" i="29"/>
  <c r="G69" i="29"/>
  <c r="G68" i="29" s="1"/>
  <c r="G65" i="29"/>
  <c r="G64" i="29" s="1"/>
  <c r="G62" i="29"/>
  <c r="G61" i="29" s="1"/>
  <c r="G59" i="29"/>
  <c r="G58" i="29"/>
  <c r="G57" i="29" s="1"/>
  <c r="G55" i="29"/>
  <c r="G53" i="29"/>
  <c r="G47" i="29"/>
  <c r="G46" i="29" s="1"/>
  <c r="G45" i="29" s="1"/>
  <c r="G44" i="29" s="1"/>
  <c r="G42" i="29"/>
  <c r="G41" i="29" s="1"/>
  <c r="G40" i="29"/>
  <c r="G37" i="29"/>
  <c r="G29" i="29"/>
  <c r="G28" i="29" s="1"/>
  <c r="G27" i="29" s="1"/>
  <c r="G26" i="29" s="1"/>
  <c r="G25" i="29" s="1"/>
  <c r="G23" i="29"/>
  <c r="G22" i="29" s="1"/>
  <c r="G20" i="29"/>
  <c r="G18" i="29"/>
  <c r="G16" i="29"/>
  <c r="G1126" i="29" l="1"/>
  <c r="H879" i="29"/>
  <c r="G879" i="29"/>
  <c r="H1152" i="29"/>
  <c r="H1151" i="29" s="1"/>
  <c r="H1150" i="29" s="1"/>
  <c r="H1149" i="29" s="1"/>
  <c r="H1148" i="29" s="1"/>
  <c r="H1147" i="29" s="1"/>
  <c r="H1146" i="29" s="1"/>
  <c r="F1031" i="30"/>
  <c r="F1030" i="30" s="1"/>
  <c r="F1029" i="30" s="1"/>
  <c r="F1013" i="30" s="1"/>
  <c r="D49" i="31" s="1"/>
  <c r="G634" i="29"/>
  <c r="G633" i="29" s="1"/>
  <c r="G292" i="32"/>
  <c r="G291" i="32" s="1"/>
  <c r="G290" i="32" s="1"/>
  <c r="G289" i="32" s="1"/>
  <c r="G288" i="32" s="1"/>
  <c r="F558" i="30"/>
  <c r="F557" i="30" s="1"/>
  <c r="F556" i="30" s="1"/>
  <c r="F555" i="30" s="1"/>
  <c r="G668" i="29"/>
  <c r="G667" i="29" s="1"/>
  <c r="G187" i="32"/>
  <c r="F589" i="30"/>
  <c r="F588" i="30" s="1"/>
  <c r="F587" i="30" s="1"/>
  <c r="G983" i="29"/>
  <c r="F355" i="30"/>
  <c r="F354" i="30" s="1"/>
  <c r="F353" i="30" s="1"/>
  <c r="F346" i="30" s="1"/>
  <c r="F345" i="30" s="1"/>
  <c r="G707" i="32"/>
  <c r="F438" i="30"/>
  <c r="F437" i="30" s="1"/>
  <c r="G589" i="30"/>
  <c r="G588" i="30" s="1"/>
  <c r="G587" i="30" s="1"/>
  <c r="G583" i="30" s="1"/>
  <c r="G578" i="30" s="1"/>
  <c r="G577" i="30" s="1"/>
  <c r="E35" i="31" s="1"/>
  <c r="H187" i="32"/>
  <c r="G39" i="29"/>
  <c r="G36" i="29" s="1"/>
  <c r="G35" i="29" s="1"/>
  <c r="G34" i="29" s="1"/>
  <c r="G33" i="29" s="1"/>
  <c r="F17" i="30"/>
  <c r="F16" i="30" s="1"/>
  <c r="F13" i="30" s="1"/>
  <c r="F12" i="30" s="1"/>
  <c r="F11" i="30" s="1"/>
  <c r="F10" i="30" s="1"/>
  <c r="D12" i="31" s="1"/>
  <c r="G718" i="32"/>
  <c r="F446" i="30"/>
  <c r="F445" i="30" s="1"/>
  <c r="F444" i="30" s="1"/>
  <c r="F495" i="30"/>
  <c r="F492" i="30"/>
  <c r="F488" i="30" s="1"/>
  <c r="H201" i="29"/>
  <c r="H200" i="29" s="1"/>
  <c r="H199" i="29" s="1"/>
  <c r="H198" i="29" s="1"/>
  <c r="H1222" i="29" s="1"/>
  <c r="G270" i="30"/>
  <c r="G269" i="30" s="1"/>
  <c r="G268" i="30" s="1"/>
  <c r="G267" i="30" s="1"/>
  <c r="G266" i="30" s="1"/>
  <c r="G265" i="30" s="1"/>
  <c r="H751" i="32"/>
  <c r="G812" i="30"/>
  <c r="G811" i="30" s="1"/>
  <c r="H505" i="32"/>
  <c r="G495" i="30"/>
  <c r="G376" i="29"/>
  <c r="G508" i="32"/>
  <c r="F814" i="30"/>
  <c r="F813" i="30" s="1"/>
  <c r="G674" i="29"/>
  <c r="G673" i="29" s="1"/>
  <c r="G195" i="32"/>
  <c r="F595" i="30"/>
  <c r="F594" i="30" s="1"/>
  <c r="F593" i="30" s="1"/>
  <c r="G900" i="29"/>
  <c r="G949" i="29"/>
  <c r="G948" i="29" s="1"/>
  <c r="F290" i="30"/>
  <c r="F289" i="30" s="1"/>
  <c r="F288" i="30" s="1"/>
  <c r="F287" i="30" s="1"/>
  <c r="F282" i="30" s="1"/>
  <c r="F281" i="30" s="1"/>
  <c r="G22" i="32"/>
  <c r="G743" i="32"/>
  <c r="F461" i="30"/>
  <c r="F460" i="30" s="1"/>
  <c r="F459" i="30" s="1"/>
  <c r="F458" i="30" s="1"/>
  <c r="G1114" i="29"/>
  <c r="G1113" i="29" s="1"/>
  <c r="F486" i="30"/>
  <c r="F485" i="30" s="1"/>
  <c r="F484" i="30" s="1"/>
  <c r="F473" i="30" s="1"/>
  <c r="F472" i="30" s="1"/>
  <c r="G1152" i="29"/>
  <c r="G1151" i="29" s="1"/>
  <c r="G1150" i="29" s="1"/>
  <c r="G1149" i="29" s="1"/>
  <c r="G1148" i="29" s="1"/>
  <c r="G1147" i="29" s="1"/>
  <c r="G1146" i="29" s="1"/>
  <c r="F964" i="30"/>
  <c r="F963" i="30" s="1"/>
  <c r="F962" i="30" s="1"/>
  <c r="F961" i="30" s="1"/>
  <c r="F960" i="30" s="1"/>
  <c r="F952" i="30" s="1"/>
  <c r="D46" i="31" s="1"/>
  <c r="H39" i="29"/>
  <c r="H36" i="29" s="1"/>
  <c r="H35" i="29" s="1"/>
  <c r="H34" i="29" s="1"/>
  <c r="H33" i="29" s="1"/>
  <c r="G17" i="30"/>
  <c r="G16" i="30" s="1"/>
  <c r="G13" i="30" s="1"/>
  <c r="G12" i="30" s="1"/>
  <c r="G11" i="30" s="1"/>
  <c r="G10" i="30" s="1"/>
  <c r="E12" i="31" s="1"/>
  <c r="H376" i="29"/>
  <c r="H371" i="29" s="1"/>
  <c r="H370" i="29" s="1"/>
  <c r="H508" i="32"/>
  <c r="G814" i="30"/>
  <c r="G813" i="30" s="1"/>
  <c r="H630" i="29"/>
  <c r="H629" i="29" s="1"/>
  <c r="H628" i="29" s="1"/>
  <c r="G554" i="30"/>
  <c r="G553" i="30" s="1"/>
  <c r="G552" i="30" s="1"/>
  <c r="G551" i="30" s="1"/>
  <c r="H280" i="32"/>
  <c r="H1114" i="29"/>
  <c r="H1113" i="29" s="1"/>
  <c r="G486" i="30"/>
  <c r="G485" i="30" s="1"/>
  <c r="G484" i="30" s="1"/>
  <c r="G473" i="30" s="1"/>
  <c r="G472" i="30" s="1"/>
  <c r="H1126" i="29"/>
  <c r="G498" i="30"/>
  <c r="G497" i="30" s="1"/>
  <c r="E46" i="31"/>
  <c r="E42" i="31" s="1"/>
  <c r="G911" i="30"/>
  <c r="G251" i="29"/>
  <c r="G250" i="29" s="1"/>
  <c r="G246" i="29" s="1"/>
  <c r="G245" i="29" s="1"/>
  <c r="G244" i="29" s="1"/>
  <c r="G107" i="32"/>
  <c r="F181" i="30"/>
  <c r="F180" i="30" s="1"/>
  <c r="F179" i="30" s="1"/>
  <c r="G814" i="29"/>
  <c r="F798" i="30"/>
  <c r="F797" i="30" s="1"/>
  <c r="F794" i="30" s="1"/>
  <c r="F793" i="30" s="1"/>
  <c r="F783" i="30" s="1"/>
  <c r="F765" i="30" s="1"/>
  <c r="D38" i="31" s="1"/>
  <c r="G912" i="32"/>
  <c r="G911" i="32" s="1"/>
  <c r="G910" i="32" s="1"/>
  <c r="G909" i="32" s="1"/>
  <c r="G908" i="32" s="1"/>
  <c r="G907" i="32" s="1"/>
  <c r="G906" i="32" s="1"/>
  <c r="G913" i="32" s="1"/>
  <c r="F466" i="30"/>
  <c r="F465" i="30" s="1"/>
  <c r="F464" i="30" s="1"/>
  <c r="H251" i="29"/>
  <c r="H250" i="29" s="1"/>
  <c r="H107" i="32"/>
  <c r="G181" i="30"/>
  <c r="G180" i="30" s="1"/>
  <c r="G179" i="30" s="1"/>
  <c r="H356" i="29"/>
  <c r="H353" i="29" s="1"/>
  <c r="H352" i="29" s="1"/>
  <c r="H51" i="32"/>
  <c r="G755" i="30"/>
  <c r="G754" i="30" s="1"/>
  <c r="G751" i="30" s="1"/>
  <c r="G750" i="30" s="1"/>
  <c r="G742" i="30" s="1"/>
  <c r="G741" i="30" s="1"/>
  <c r="G740" i="30" s="1"/>
  <c r="E37" i="31" s="1"/>
  <c r="H814" i="29"/>
  <c r="H811" i="29" s="1"/>
  <c r="H810" i="29" s="1"/>
  <c r="G798" i="30"/>
  <c r="G797" i="30" s="1"/>
  <c r="G794" i="30" s="1"/>
  <c r="G793" i="30" s="1"/>
  <c r="G783" i="30" s="1"/>
  <c r="G765" i="30" s="1"/>
  <c r="E38" i="31" s="1"/>
  <c r="H898" i="29"/>
  <c r="G1035" i="30"/>
  <c r="G1034" i="30" s="1"/>
  <c r="G1031" i="30" s="1"/>
  <c r="G1030" i="30" s="1"/>
  <c r="G1029" i="30" s="1"/>
  <c r="G1013" i="30" s="1"/>
  <c r="E49" i="31" s="1"/>
  <c r="H1094" i="29"/>
  <c r="H1093" i="29" s="1"/>
  <c r="H1092" i="29" s="1"/>
  <c r="H1091" i="29" s="1"/>
  <c r="H1226" i="29" s="1"/>
  <c r="H912" i="32"/>
  <c r="H911" i="32" s="1"/>
  <c r="H910" i="32" s="1"/>
  <c r="H909" i="32" s="1"/>
  <c r="H908" i="32" s="1"/>
  <c r="H907" i="32" s="1"/>
  <c r="H906" i="32" s="1"/>
  <c r="H913" i="32" s="1"/>
  <c r="G466" i="30"/>
  <c r="G465" i="30" s="1"/>
  <c r="G464" i="30" s="1"/>
  <c r="G356" i="29"/>
  <c r="G353" i="29" s="1"/>
  <c r="G352" i="29" s="1"/>
  <c r="G51" i="32"/>
  <c r="F755" i="30"/>
  <c r="F754" i="30" s="1"/>
  <c r="F751" i="30" s="1"/>
  <c r="F750" i="30" s="1"/>
  <c r="F742" i="30" s="1"/>
  <c r="F741" i="30" s="1"/>
  <c r="F740" i="30" s="1"/>
  <c r="D37" i="31" s="1"/>
  <c r="G374" i="29"/>
  <c r="G505" i="32"/>
  <c r="F812" i="30"/>
  <c r="F811" i="30" s="1"/>
  <c r="F178" i="30"/>
  <c r="F177" i="30" s="1"/>
  <c r="F176" i="30" s="1"/>
  <c r="F175" i="30" s="1"/>
  <c r="F174" i="30" s="1"/>
  <c r="F173" i="30" s="1"/>
  <c r="G103" i="32"/>
  <c r="G630" i="29"/>
  <c r="G629" i="29" s="1"/>
  <c r="G628" i="29" s="1"/>
  <c r="G280" i="32"/>
  <c r="F554" i="30"/>
  <c r="F553" i="30" s="1"/>
  <c r="F552" i="30" s="1"/>
  <c r="F551" i="30" s="1"/>
  <c r="G854" i="29"/>
  <c r="G853" i="29" s="1"/>
  <c r="G849" i="29" s="1"/>
  <c r="F991" i="30"/>
  <c r="F990" i="30" s="1"/>
  <c r="G440" i="32"/>
  <c r="G1036" i="29"/>
  <c r="G1035" i="29" s="1"/>
  <c r="G1034" i="29" s="1"/>
  <c r="G1033" i="29" s="1"/>
  <c r="G951" i="32"/>
  <c r="F408" i="30"/>
  <c r="F407" i="30" s="1"/>
  <c r="F406" i="30" s="1"/>
  <c r="F405" i="30" s="1"/>
  <c r="F404" i="30" s="1"/>
  <c r="G1054" i="29"/>
  <c r="G1053" i="29" s="1"/>
  <c r="G689" i="32"/>
  <c r="F426" i="30"/>
  <c r="F425" i="30" s="1"/>
  <c r="G1066" i="29"/>
  <c r="G1065" i="29" s="1"/>
  <c r="G1094" i="29"/>
  <c r="G1093" i="29" s="1"/>
  <c r="G1092" i="29" s="1"/>
  <c r="G1091" i="29" s="1"/>
  <c r="G1226" i="29" s="1"/>
  <c r="H103" i="32"/>
  <c r="G178" i="30"/>
  <c r="G177" i="30" s="1"/>
  <c r="G176" i="30" s="1"/>
  <c r="H634" i="29"/>
  <c r="H633" i="29" s="1"/>
  <c r="H632" i="29" s="1"/>
  <c r="G558" i="30"/>
  <c r="G557" i="30" s="1"/>
  <c r="G556" i="30" s="1"/>
  <c r="G555" i="30" s="1"/>
  <c r="H292" i="32"/>
  <c r="H291" i="32" s="1"/>
  <c r="H290" i="32" s="1"/>
  <c r="H289" i="32" s="1"/>
  <c r="H288" i="32" s="1"/>
  <c r="H668" i="29"/>
  <c r="H667" i="29" s="1"/>
  <c r="H854" i="29"/>
  <c r="H853" i="29" s="1"/>
  <c r="H440" i="32"/>
  <c r="G991" i="30"/>
  <c r="G990" i="30" s="1"/>
  <c r="G989" i="30" s="1"/>
  <c r="G985" i="30" s="1"/>
  <c r="G967" i="30" s="1"/>
  <c r="G966" i="30" s="1"/>
  <c r="H983" i="29"/>
  <c r="H1230" i="29"/>
  <c r="H951" i="32"/>
  <c r="H950" i="32" s="1"/>
  <c r="H949" i="32" s="1"/>
  <c r="H948" i="32" s="1"/>
  <c r="H947" i="32" s="1"/>
  <c r="H946" i="32" s="1"/>
  <c r="H945" i="32" s="1"/>
  <c r="G408" i="30"/>
  <c r="G407" i="30" s="1"/>
  <c r="G406" i="30" s="1"/>
  <c r="G405" i="30" s="1"/>
  <c r="G404" i="30" s="1"/>
  <c r="G344" i="30" s="1"/>
  <c r="H1054" i="29"/>
  <c r="H689" i="32"/>
  <c r="G426" i="30"/>
  <c r="G425" i="30" s="1"/>
  <c r="G424" i="30" s="1"/>
  <c r="H1066" i="29"/>
  <c r="H1065" i="29" s="1"/>
  <c r="G438" i="30"/>
  <c r="G437" i="30" s="1"/>
  <c r="G436" i="30" s="1"/>
  <c r="H707" i="32"/>
  <c r="H1074" i="29"/>
  <c r="H1073" i="29" s="1"/>
  <c r="H718" i="32"/>
  <c r="G446" i="30"/>
  <c r="G445" i="30" s="1"/>
  <c r="G444" i="30" s="1"/>
  <c r="H1089" i="29"/>
  <c r="H1088" i="29" s="1"/>
  <c r="H1087" i="29" s="1"/>
  <c r="H743" i="32"/>
  <c r="G461" i="30"/>
  <c r="G460" i="30" s="1"/>
  <c r="G459" i="30" s="1"/>
  <c r="G458" i="30" s="1"/>
  <c r="H485" i="32"/>
  <c r="H484" i="32" s="1"/>
  <c r="H483" i="32" s="1"/>
  <c r="H482" i="32" s="1"/>
  <c r="H487" i="32"/>
  <c r="G198" i="29"/>
  <c r="G1222" i="29" s="1"/>
  <c r="H303" i="29"/>
  <c r="G699" i="30"/>
  <c r="G698" i="30" s="1"/>
  <c r="G697" i="30" s="1"/>
  <c r="G696" i="30" s="1"/>
  <c r="G695" i="30" s="1"/>
  <c r="G671" i="30" s="1"/>
  <c r="H755" i="29"/>
  <c r="H178" i="29"/>
  <c r="H177" i="29" s="1"/>
  <c r="H176" i="29" s="1"/>
  <c r="G250" i="30"/>
  <c r="G249" i="30" s="1"/>
  <c r="G248" i="30" s="1"/>
  <c r="G247" i="30" s="1"/>
  <c r="G239" i="30" s="1"/>
  <c r="G238" i="30" s="1"/>
  <c r="G748" i="29"/>
  <c r="H71" i="29"/>
  <c r="H76" i="29"/>
  <c r="H129" i="29"/>
  <c r="H128" i="29" s="1"/>
  <c r="H127" i="29" s="1"/>
  <c r="H122" i="29" s="1"/>
  <c r="H524" i="29"/>
  <c r="H523" i="29" s="1"/>
  <c r="H522" i="29" s="1"/>
  <c r="H521" i="29" s="1"/>
  <c r="H520" i="29" s="1"/>
  <c r="H519" i="29" s="1"/>
  <c r="H540" i="29"/>
  <c r="H539" i="29" s="1"/>
  <c r="H538" i="29" s="1"/>
  <c r="H537" i="29" s="1"/>
  <c r="G140" i="29"/>
  <c r="G907" i="29"/>
  <c r="G906" i="29" s="1"/>
  <c r="G905" i="29" s="1"/>
  <c r="H116" i="29"/>
  <c r="H115" i="29" s="1"/>
  <c r="H114" i="29" s="1"/>
  <c r="H113" i="29" s="1"/>
  <c r="H155" i="29"/>
  <c r="H190" i="29"/>
  <c r="H186" i="29" s="1"/>
  <c r="H185" i="29" s="1"/>
  <c r="G382" i="29"/>
  <c r="G381" i="29" s="1"/>
  <c r="G573" i="29"/>
  <c r="G572" i="29" s="1"/>
  <c r="G571" i="29" s="1"/>
  <c r="G570" i="29" s="1"/>
  <c r="G805" i="29"/>
  <c r="G804" i="29" s="1"/>
  <c r="H274" i="29"/>
  <c r="H302" i="29"/>
  <c r="H301" i="29" s="1"/>
  <c r="H391" i="29"/>
  <c r="H1159" i="29"/>
  <c r="H16" i="29"/>
  <c r="H15" i="29" s="1"/>
  <c r="H14" i="29" s="1"/>
  <c r="H13" i="29" s="1"/>
  <c r="H12" i="29" s="1"/>
  <c r="H11" i="29" s="1"/>
  <c r="G108" i="30"/>
  <c r="G107" i="30" s="1"/>
  <c r="G106" i="30" s="1"/>
  <c r="G105" i="30" s="1"/>
  <c r="G104" i="30" s="1"/>
  <c r="G103" i="30" s="1"/>
  <c r="E15" i="31" s="1"/>
  <c r="H53" i="29"/>
  <c r="H52" i="29" s="1"/>
  <c r="H51" i="29" s="1"/>
  <c r="G47" i="30"/>
  <c r="G46" i="30" s="1"/>
  <c r="G45" i="30" s="1"/>
  <c r="G44" i="30" s="1"/>
  <c r="G43" i="30" s="1"/>
  <c r="G42" i="30" s="1"/>
  <c r="H402" i="29"/>
  <c r="G524" i="29"/>
  <c r="G523" i="29" s="1"/>
  <c r="G522" i="29" s="1"/>
  <c r="G521" i="29" s="1"/>
  <c r="G520" i="29" s="1"/>
  <c r="G519" i="29" s="1"/>
  <c r="G788" i="29"/>
  <c r="G895" i="29"/>
  <c r="G894" i="29" s="1"/>
  <c r="G893" i="29" s="1"/>
  <c r="G920" i="29"/>
  <c r="G916" i="29" s="1"/>
  <c r="G915" i="29" s="1"/>
  <c r="G914" i="29" s="1"/>
  <c r="G913" i="29" s="1"/>
  <c r="G1136" i="29"/>
  <c r="G1159" i="29"/>
  <c r="G1164" i="29"/>
  <c r="H92" i="29"/>
  <c r="H91" i="29" s="1"/>
  <c r="H86" i="29" s="1"/>
  <c r="H1215" i="29" s="1"/>
  <c r="H140" i="29"/>
  <c r="H210" i="29"/>
  <c r="H209" i="29" s="1"/>
  <c r="H208" i="29" s="1"/>
  <c r="H207" i="29" s="1"/>
  <c r="H456" i="29"/>
  <c r="H452" i="29" s="1"/>
  <c r="H447" i="29" s="1"/>
  <c r="H503" i="29"/>
  <c r="H502" i="29" s="1"/>
  <c r="H501" i="29" s="1"/>
  <c r="H557" i="29"/>
  <c r="H556" i="29" s="1"/>
  <c r="H555" i="29" s="1"/>
  <c r="H554" i="29" s="1"/>
  <c r="H689" i="29"/>
  <c r="H748" i="29"/>
  <c r="H747" i="29" s="1"/>
  <c r="H805" i="29"/>
  <c r="H804" i="29" s="1"/>
  <c r="H907" i="29"/>
  <c r="H906" i="29" s="1"/>
  <c r="H905" i="29" s="1"/>
  <c r="H988" i="29"/>
  <c r="H1036" i="29"/>
  <c r="H1035" i="29" s="1"/>
  <c r="H1034" i="29" s="1"/>
  <c r="H1033" i="29" s="1"/>
  <c r="H1164" i="29"/>
  <c r="H1129" i="29"/>
  <c r="G1129" i="29"/>
  <c r="G1128" i="29" s="1"/>
  <c r="H1103" i="29"/>
  <c r="H976" i="29"/>
  <c r="H948" i="29"/>
  <c r="H947" i="29" s="1"/>
  <c r="H849" i="29"/>
  <c r="G1230" i="29"/>
  <c r="G92" i="29"/>
  <c r="G91" i="29" s="1"/>
  <c r="G86" i="29" s="1"/>
  <c r="G1215" i="29" s="1"/>
  <c r="G116" i="29"/>
  <c r="G115" i="29" s="1"/>
  <c r="G114" i="29" s="1"/>
  <c r="G113" i="29" s="1"/>
  <c r="G190" i="29"/>
  <c r="G186" i="29" s="1"/>
  <c r="G185" i="29" s="1"/>
  <c r="G210" i="29"/>
  <c r="G209" i="29" s="1"/>
  <c r="G208" i="29" s="1"/>
  <c r="G207" i="29" s="1"/>
  <c r="G436" i="29"/>
  <c r="G435" i="29" s="1"/>
  <c r="G434" i="29" s="1"/>
  <c r="G503" i="29"/>
  <c r="G502" i="29" s="1"/>
  <c r="G501" i="29" s="1"/>
  <c r="G982" i="29"/>
  <c r="G996" i="29"/>
  <c r="H150" i="29"/>
  <c r="H236" i="29"/>
  <c r="H235" i="29" s="1"/>
  <c r="H1202" i="29" s="1"/>
  <c r="H316" i="29"/>
  <c r="H312" i="29" s="1"/>
  <c r="H608" i="29"/>
  <c r="H618" i="29"/>
  <c r="H788" i="29"/>
  <c r="H836" i="29"/>
  <c r="H878" i="29"/>
  <c r="H959" i="29"/>
  <c r="H958" i="29" s="1"/>
  <c r="H957" i="29" s="1"/>
  <c r="H956" i="29" s="1"/>
  <c r="H663" i="29"/>
  <c r="H1076" i="29"/>
  <c r="G632" i="29"/>
  <c r="H169" i="29"/>
  <c r="H257" i="29"/>
  <c r="H256" i="29" s="1"/>
  <c r="H1224" i="29" s="1"/>
  <c r="H325" i="29"/>
  <c r="H345" i="29"/>
  <c r="H344" i="29" s="1"/>
  <c r="H343" i="29" s="1"/>
  <c r="H342" i="29" s="1"/>
  <c r="H1205" i="29"/>
  <c r="H895" i="29"/>
  <c r="H894" i="29" s="1"/>
  <c r="H893" i="29" s="1"/>
  <c r="H982" i="29"/>
  <c r="H996" i="29"/>
  <c r="H676" i="29"/>
  <c r="H601" i="29"/>
  <c r="H573" i="29"/>
  <c r="H572" i="29" s="1"/>
  <c r="H571" i="29" s="1"/>
  <c r="H570" i="29" s="1"/>
  <c r="H482" i="29"/>
  <c r="H476" i="29" s="1"/>
  <c r="H475" i="29" s="1"/>
  <c r="H474" i="29" s="1"/>
  <c r="G302" i="29"/>
  <c r="G301" i="29" s="1"/>
  <c r="G236" i="29"/>
  <c r="G235" i="29" s="1"/>
  <c r="G234" i="29" s="1"/>
  <c r="G233" i="29" s="1"/>
  <c r="H106" i="29"/>
  <c r="H105" i="29" s="1"/>
  <c r="H104" i="29" s="1"/>
  <c r="G71" i="29"/>
  <c r="H1216" i="29"/>
  <c r="H227" i="29"/>
  <c r="H286" i="29"/>
  <c r="H281" i="29" s="1"/>
  <c r="H280" i="29" s="1"/>
  <c r="H279" i="29" s="1"/>
  <c r="H278" i="29" s="1"/>
  <c r="H1220" i="29"/>
  <c r="H246" i="29"/>
  <c r="H245" i="29" s="1"/>
  <c r="H244" i="29" s="1"/>
  <c r="H1004" i="29"/>
  <c r="H1223" i="29" s="1"/>
  <c r="H337" i="29"/>
  <c r="H382" i="29"/>
  <c r="H381" i="29" s="1"/>
  <c r="H413" i="29"/>
  <c r="H515" i="29"/>
  <c r="H514" i="29"/>
  <c r="H1124" i="29"/>
  <c r="H1121" i="29"/>
  <c r="H1117" i="29" s="1"/>
  <c r="H81" i="29"/>
  <c r="H653" i="29"/>
  <c r="H652" i="29"/>
  <c r="H774" i="29"/>
  <c r="H775" i="29"/>
  <c r="H1053" i="29"/>
  <c r="H1136" i="29"/>
  <c r="H436" i="29"/>
  <c r="H435" i="29" s="1"/>
  <c r="H434" i="29" s="1"/>
  <c r="H920" i="29"/>
  <c r="H916" i="29" s="1"/>
  <c r="H915" i="29" s="1"/>
  <c r="H914" i="29" s="1"/>
  <c r="H913" i="29" s="1"/>
  <c r="G273" i="29"/>
  <c r="G274" i="29"/>
  <c r="G150" i="29"/>
  <c r="G149" i="29"/>
  <c r="G1228" i="29" s="1"/>
  <c r="G676" i="29"/>
  <c r="G128" i="29"/>
  <c r="G127" i="29" s="1"/>
  <c r="G122" i="29" s="1"/>
  <c r="G155" i="29"/>
  <c r="G154" i="29"/>
  <c r="G1229" i="29" s="1"/>
  <c r="G653" i="29"/>
  <c r="G652" i="29"/>
  <c r="G169" i="29"/>
  <c r="G325" i="29"/>
  <c r="G618" i="29"/>
  <c r="G540" i="29"/>
  <c r="G539" i="29" s="1"/>
  <c r="G538" i="29" s="1"/>
  <c r="G537" i="29" s="1"/>
  <c r="G608" i="29"/>
  <c r="G1205" i="29"/>
  <c r="G959" i="29"/>
  <c r="G958" i="29" s="1"/>
  <c r="G957" i="29" s="1"/>
  <c r="G956" i="29" s="1"/>
  <c r="G1076" i="29"/>
  <c r="G52" i="29"/>
  <c r="G51" i="29" s="1"/>
  <c r="G76" i="29"/>
  <c r="G177" i="29"/>
  <c r="G176" i="29" s="1"/>
  <c r="G316" i="29"/>
  <c r="G312" i="29" s="1"/>
  <c r="G345" i="29"/>
  <c r="G344" i="29" s="1"/>
  <c r="G343" i="29" s="1"/>
  <c r="G342" i="29" s="1"/>
  <c r="G391" i="29"/>
  <c r="G557" i="29"/>
  <c r="G556" i="29" s="1"/>
  <c r="G555" i="29" s="1"/>
  <c r="G554" i="29" s="1"/>
  <c r="G601" i="29"/>
  <c r="G689" i="29"/>
  <c r="G878" i="29"/>
  <c r="G81" i="29"/>
  <c r="G257" i="29"/>
  <c r="G256" i="29" s="1"/>
  <c r="G1224" i="29" s="1"/>
  <c r="G402" i="29"/>
  <c r="G15" i="29"/>
  <c r="G14" i="29" s="1"/>
  <c r="G13" i="29" s="1"/>
  <c r="G12" i="29" s="1"/>
  <c r="G11" i="29" s="1"/>
  <c r="G106" i="29"/>
  <c r="G105" i="29" s="1"/>
  <c r="G104" i="29" s="1"/>
  <c r="G1220" i="29"/>
  <c r="G413" i="29"/>
  <c r="G456" i="29"/>
  <c r="G452" i="29" s="1"/>
  <c r="G447" i="29" s="1"/>
  <c r="G836" i="29"/>
  <c r="G1004" i="29"/>
  <c r="G1223" i="29" s="1"/>
  <c r="G338" i="29"/>
  <c r="G337" i="29"/>
  <c r="G482" i="29"/>
  <c r="G476" i="29" s="1"/>
  <c r="G475" i="29" s="1"/>
  <c r="G474" i="29" s="1"/>
  <c r="G1216" i="29"/>
  <c r="G227" i="29"/>
  <c r="G774" i="29"/>
  <c r="G775" i="29"/>
  <c r="G515" i="29"/>
  <c r="G514" i="29"/>
  <c r="G286" i="29"/>
  <c r="G281" i="29" s="1"/>
  <c r="G280" i="29" s="1"/>
  <c r="G279" i="29" s="1"/>
  <c r="G278" i="29" s="1"/>
  <c r="G1124" i="29"/>
  <c r="G1121" i="29"/>
  <c r="G1117" i="29" s="1"/>
  <c r="G755" i="29"/>
  <c r="G811" i="29"/>
  <c r="G810" i="29" s="1"/>
  <c r="G976" i="29"/>
  <c r="G988" i="29"/>
  <c r="AL1187" i="29"/>
  <c r="G1103" i="29"/>
  <c r="G1102" i="29" l="1"/>
  <c r="G1101" i="29" s="1"/>
  <c r="H787" i="29"/>
  <c r="H786" i="29" s="1"/>
  <c r="G787" i="29"/>
  <c r="G786" i="29" s="1"/>
  <c r="H803" i="29"/>
  <c r="G663" i="29"/>
  <c r="G371" i="29"/>
  <c r="G370" i="29" s="1"/>
  <c r="G369" i="29" s="1"/>
  <c r="G368" i="29" s="1"/>
  <c r="G420" i="30"/>
  <c r="G415" i="30" s="1"/>
  <c r="F808" i="30"/>
  <c r="F807" i="30" s="1"/>
  <c r="F806" i="30" s="1"/>
  <c r="F805" i="30" s="1"/>
  <c r="F804" i="30" s="1"/>
  <c r="K804" i="30" s="1"/>
  <c r="F344" i="30"/>
  <c r="D30" i="31" s="1"/>
  <c r="G947" i="29"/>
  <c r="G942" i="29"/>
  <c r="G941" i="29" s="1"/>
  <c r="G934" i="29" s="1"/>
  <c r="E30" i="31"/>
  <c r="H744" i="32"/>
  <c r="H742" i="32"/>
  <c r="H741" i="32" s="1"/>
  <c r="H740" i="32" s="1"/>
  <c r="H739" i="32" s="1"/>
  <c r="H738" i="32" s="1"/>
  <c r="G439" i="32"/>
  <c r="G438" i="32" s="1"/>
  <c r="G433" i="32" s="1"/>
  <c r="G432" i="32" s="1"/>
  <c r="G431" i="32" s="1"/>
  <c r="G404" i="32" s="1"/>
  <c r="G441" i="32"/>
  <c r="G281" i="32"/>
  <c r="G279" i="32"/>
  <c r="G278" i="32" s="1"/>
  <c r="G277" i="32" s="1"/>
  <c r="G276" i="32" s="1"/>
  <c r="G275" i="32" s="1"/>
  <c r="G108" i="32"/>
  <c r="G106" i="32"/>
  <c r="G105" i="32" s="1"/>
  <c r="D26" i="31"/>
  <c r="D23" i="31" s="1"/>
  <c r="F264" i="30"/>
  <c r="K264" i="30" s="1"/>
  <c r="G808" i="30"/>
  <c r="G807" i="30" s="1"/>
  <c r="G806" i="30" s="1"/>
  <c r="G805" i="30" s="1"/>
  <c r="H688" i="32"/>
  <c r="H687" i="32" s="1"/>
  <c r="H690" i="32"/>
  <c r="G504" i="32"/>
  <c r="G506" i="32"/>
  <c r="H108" i="32"/>
  <c r="H106" i="32"/>
  <c r="H105" i="32" s="1"/>
  <c r="H281" i="32"/>
  <c r="H279" i="32"/>
  <c r="H278" i="32" s="1"/>
  <c r="H277" i="32" s="1"/>
  <c r="H276" i="32" s="1"/>
  <c r="H275" i="32" s="1"/>
  <c r="H509" i="32"/>
  <c r="H507" i="32"/>
  <c r="G492" i="30"/>
  <c r="G488" i="30" s="1"/>
  <c r="G487" i="30" s="1"/>
  <c r="G471" i="30" s="1"/>
  <c r="E32" i="31" s="1"/>
  <c r="H752" i="32"/>
  <c r="H750" i="32"/>
  <c r="H749" i="32" s="1"/>
  <c r="H748" i="32" s="1"/>
  <c r="H747" i="32" s="1"/>
  <c r="H746" i="32" s="1"/>
  <c r="H745" i="32" s="1"/>
  <c r="G831" i="29"/>
  <c r="G1218" i="29" s="1"/>
  <c r="H1158" i="29"/>
  <c r="H1157" i="29" s="1"/>
  <c r="H1156" i="29" s="1"/>
  <c r="H1155" i="29" s="1"/>
  <c r="H1154" i="29" s="1"/>
  <c r="G175" i="30"/>
  <c r="G174" i="30" s="1"/>
  <c r="G173" i="30" s="1"/>
  <c r="G142" i="30" s="1"/>
  <c r="E18" i="31" s="1"/>
  <c r="G104" i="32"/>
  <c r="G102" i="32"/>
  <c r="G101" i="32" s="1"/>
  <c r="G463" i="30"/>
  <c r="G462" i="30"/>
  <c r="G409" i="30" s="1"/>
  <c r="H52" i="32"/>
  <c r="H50" i="32"/>
  <c r="H45" i="32" s="1"/>
  <c r="H44" i="32" s="1"/>
  <c r="H43" i="32" s="1"/>
  <c r="H31" i="32" s="1"/>
  <c r="G519" i="30"/>
  <c r="G518" i="30" s="1"/>
  <c r="E34" i="31" s="1"/>
  <c r="G744" i="32"/>
  <c r="G742" i="32"/>
  <c r="G741" i="32" s="1"/>
  <c r="G740" i="32" s="1"/>
  <c r="G739" i="32" s="1"/>
  <c r="G738" i="32" s="1"/>
  <c r="E24" i="31"/>
  <c r="E23" i="31" s="1"/>
  <c r="G264" i="30"/>
  <c r="F583" i="30"/>
  <c r="F578" i="30" s="1"/>
  <c r="F577" i="30" s="1"/>
  <c r="D35" i="31" s="1"/>
  <c r="G293" i="32"/>
  <c r="G287" i="32"/>
  <c r="H439" i="32"/>
  <c r="H438" i="32" s="1"/>
  <c r="H433" i="32" s="1"/>
  <c r="H432" i="32" s="1"/>
  <c r="H431" i="32" s="1"/>
  <c r="H404" i="32" s="1"/>
  <c r="H441" i="32"/>
  <c r="G52" i="32"/>
  <c r="G50" i="32"/>
  <c r="G45" i="32" s="1"/>
  <c r="G44" i="32" s="1"/>
  <c r="G43" i="32" s="1"/>
  <c r="G194" i="32"/>
  <c r="G193" i="32" s="1"/>
  <c r="G196" i="32"/>
  <c r="H188" i="32"/>
  <c r="H186" i="32"/>
  <c r="H185" i="32" s="1"/>
  <c r="H180" i="32" s="1"/>
  <c r="H170" i="32" s="1"/>
  <c r="H169" i="32" s="1"/>
  <c r="H706" i="32"/>
  <c r="H705" i="32" s="1"/>
  <c r="H708" i="32"/>
  <c r="H1102" i="29"/>
  <c r="H1101" i="29" s="1"/>
  <c r="H719" i="32"/>
  <c r="H717" i="32"/>
  <c r="H716" i="32" s="1"/>
  <c r="E48" i="31"/>
  <c r="E47" i="31" s="1"/>
  <c r="G965" i="30"/>
  <c r="H287" i="32"/>
  <c r="H293" i="32"/>
  <c r="H104" i="32"/>
  <c r="H102" i="32"/>
  <c r="H101" i="32" s="1"/>
  <c r="H100" i="32" s="1"/>
  <c r="H99" i="32" s="1"/>
  <c r="H98" i="32" s="1"/>
  <c r="H97" i="32" s="1"/>
  <c r="G688" i="32"/>
  <c r="G690" i="32"/>
  <c r="F519" i="30"/>
  <c r="F518" i="30" s="1"/>
  <c r="F463" i="30"/>
  <c r="F462" i="30"/>
  <c r="L326" i="30"/>
  <c r="G23" i="32"/>
  <c r="G21" i="32"/>
  <c r="G20" i="32"/>
  <c r="G19" i="32" s="1"/>
  <c r="G18" i="32" s="1"/>
  <c r="G17" i="32" s="1"/>
  <c r="G9" i="32" s="1"/>
  <c r="G507" i="32"/>
  <c r="G509" i="32"/>
  <c r="H506" i="32"/>
  <c r="H504" i="32"/>
  <c r="G717" i="32"/>
  <c r="G716" i="32" s="1"/>
  <c r="G719" i="32"/>
  <c r="G708" i="32"/>
  <c r="G706" i="32"/>
  <c r="G188" i="32"/>
  <c r="G186" i="32"/>
  <c r="G185" i="32" s="1"/>
  <c r="E14" i="31"/>
  <c r="G237" i="30"/>
  <c r="E22" i="31"/>
  <c r="E21" i="31" s="1"/>
  <c r="G10" i="29"/>
  <c r="H10" i="29"/>
  <c r="E36" i="31"/>
  <c r="G197" i="29"/>
  <c r="G196" i="29" s="1"/>
  <c r="H1049" i="29"/>
  <c r="H1044" i="29" s="1"/>
  <c r="H1221" i="29" s="1"/>
  <c r="H500" i="29"/>
  <c r="H499" i="29" s="1"/>
  <c r="H1206" i="29" s="1"/>
  <c r="H942" i="29"/>
  <c r="H1211" i="29" s="1"/>
  <c r="G1202" i="29"/>
  <c r="H234" i="29"/>
  <c r="H233" i="29" s="1"/>
  <c r="H220" i="29" s="1"/>
  <c r="H1200" i="29" s="1"/>
  <c r="H1201" i="29" s="1"/>
  <c r="H121" i="29"/>
  <c r="H536" i="29"/>
  <c r="H535" i="29" s="1"/>
  <c r="G803" i="29"/>
  <c r="G500" i="29"/>
  <c r="G499" i="29" s="1"/>
  <c r="G1206" i="29" s="1"/>
  <c r="H67" i="29"/>
  <c r="H1176" i="29" s="1"/>
  <c r="H168" i="29"/>
  <c r="H167" i="29" s="1"/>
  <c r="H166" i="29" s="1"/>
  <c r="H1185" i="29" s="1"/>
  <c r="H1186" i="29" s="1"/>
  <c r="H975" i="29"/>
  <c r="H831" i="29"/>
  <c r="H1218" i="29" s="1"/>
  <c r="H987" i="29"/>
  <c r="H1193" i="29" s="1"/>
  <c r="G1158" i="29"/>
  <c r="G1157" i="29" s="1"/>
  <c r="G1156" i="29" s="1"/>
  <c r="G1155" i="29" s="1"/>
  <c r="G1154" i="29" s="1"/>
  <c r="H1128" i="29"/>
  <c r="H1116" i="29" s="1"/>
  <c r="H1190" i="29"/>
  <c r="H197" i="29"/>
  <c r="H196" i="29" s="1"/>
  <c r="H596" i="29"/>
  <c r="H595" i="29" s="1"/>
  <c r="H658" i="29"/>
  <c r="H657" i="29" s="1"/>
  <c r="H877" i="29"/>
  <c r="G1116" i="29"/>
  <c r="G1100" i="29" s="1"/>
  <c r="G975" i="29"/>
  <c r="G877" i="29"/>
  <c r="H1196" i="29"/>
  <c r="G987" i="29"/>
  <c r="G1190" i="29"/>
  <c r="G1049" i="29"/>
  <c r="G1044" i="29" s="1"/>
  <c r="G658" i="29"/>
  <c r="G657" i="29" s="1"/>
  <c r="G596" i="29"/>
  <c r="G595" i="29" s="1"/>
  <c r="G536" i="29"/>
  <c r="G535" i="29" s="1"/>
  <c r="H369" i="29"/>
  <c r="H368" i="29" s="1"/>
  <c r="H300" i="29"/>
  <c r="G300" i="29"/>
  <c r="G220" i="29"/>
  <c r="G1200" i="29" s="1"/>
  <c r="H1225" i="29"/>
  <c r="G67" i="29"/>
  <c r="H746" i="29"/>
  <c r="H1212" i="29"/>
  <c r="H243" i="29"/>
  <c r="H242" i="29" s="1"/>
  <c r="G1225" i="29"/>
  <c r="G121" i="29"/>
  <c r="G1196" i="29"/>
  <c r="G747" i="29"/>
  <c r="G746" i="29" s="1"/>
  <c r="G168" i="29"/>
  <c r="G167" i="29" s="1"/>
  <c r="G166" i="29" s="1"/>
  <c r="G1185" i="29" s="1"/>
  <c r="G1186" i="29" s="1"/>
  <c r="G1212" i="29"/>
  <c r="G243" i="29"/>
  <c r="G242" i="29" s="1"/>
  <c r="G433" i="29"/>
  <c r="D40" i="31" l="1"/>
  <c r="D39" i="31" s="1"/>
  <c r="H785" i="29"/>
  <c r="G785" i="29"/>
  <c r="G594" i="29" s="1"/>
  <c r="G1211" i="29"/>
  <c r="G1219" i="29"/>
  <c r="G9" i="30"/>
  <c r="G830" i="29"/>
  <c r="G829" i="29" s="1"/>
  <c r="G1203" i="29" s="1"/>
  <c r="G1204" i="29" s="1"/>
  <c r="G1176" i="29"/>
  <c r="H1100" i="29"/>
  <c r="G180" i="32"/>
  <c r="G170" i="32" s="1"/>
  <c r="G169" i="32" s="1"/>
  <c r="G147" i="32" s="1"/>
  <c r="H500" i="32"/>
  <c r="H499" i="32" s="1"/>
  <c r="H498" i="32" s="1"/>
  <c r="H481" i="32" s="1"/>
  <c r="H480" i="32" s="1"/>
  <c r="H147" i="32"/>
  <c r="H682" i="32"/>
  <c r="H681" i="32" s="1"/>
  <c r="H680" i="32" s="1"/>
  <c r="H672" i="32" s="1"/>
  <c r="E33" i="31"/>
  <c r="E11" i="31"/>
  <c r="G517" i="30"/>
  <c r="E31" i="31"/>
  <c r="E28" i="31" s="1"/>
  <c r="G326" i="30"/>
  <c r="E40" i="31"/>
  <c r="E39" i="31" s="1"/>
  <c r="G804" i="30"/>
  <c r="G500" i="32"/>
  <c r="G499" i="32" s="1"/>
  <c r="G498" i="32" s="1"/>
  <c r="G481" i="32" s="1"/>
  <c r="D34" i="31"/>
  <c r="D33" i="31" s="1"/>
  <c r="F517" i="30"/>
  <c r="L517" i="30" s="1"/>
  <c r="H30" i="32"/>
  <c r="G100" i="32"/>
  <c r="G99" i="32" s="1"/>
  <c r="G98" i="32" s="1"/>
  <c r="G97" i="32" s="1"/>
  <c r="H830" i="29"/>
  <c r="H829" i="29" s="1"/>
  <c r="H1203" i="29" s="1"/>
  <c r="H1204" i="29" s="1"/>
  <c r="H299" i="29"/>
  <c r="H298" i="29" s="1"/>
  <c r="H1219" i="29"/>
  <c r="H941" i="29"/>
  <c r="H934" i="29" s="1"/>
  <c r="H1188" i="29" s="1"/>
  <c r="H1189" i="29" s="1"/>
  <c r="H974" i="29"/>
  <c r="H973" i="29" s="1"/>
  <c r="H50" i="29"/>
  <c r="H49" i="29" s="1"/>
  <c r="H32" i="29" s="1"/>
  <c r="H1181" i="29" s="1"/>
  <c r="G1201" i="29"/>
  <c r="H1213" i="29"/>
  <c r="H1038" i="29"/>
  <c r="K121" i="29"/>
  <c r="H1209" i="29"/>
  <c r="G974" i="29"/>
  <c r="G973" i="29" s="1"/>
  <c r="G1221" i="29"/>
  <c r="G1038" i="29"/>
  <c r="H367" i="29"/>
  <c r="H1197" i="29" s="1"/>
  <c r="H594" i="29"/>
  <c r="G367" i="29"/>
  <c r="G1197" i="29" s="1"/>
  <c r="G299" i="29"/>
  <c r="G298" i="29" s="1"/>
  <c r="G50" i="29"/>
  <c r="G49" i="29" s="1"/>
  <c r="G32" i="29" s="1"/>
  <c r="G1213" i="29"/>
  <c r="G1188" i="29"/>
  <c r="G1189" i="29" s="1"/>
  <c r="H517" i="30" l="1"/>
  <c r="H955" i="29"/>
  <c r="H1191" i="29" s="1"/>
  <c r="H1192" i="29" s="1"/>
  <c r="I147" i="32"/>
  <c r="H953" i="32"/>
  <c r="H956" i="32" s="1"/>
  <c r="E52" i="31"/>
  <c r="E56" i="31" s="1"/>
  <c r="G1067" i="30"/>
  <c r="H1194" i="29"/>
  <c r="H1195" i="29" s="1"/>
  <c r="H821" i="29"/>
  <c r="G31" i="29"/>
  <c r="I10" i="29"/>
  <c r="H31" i="29"/>
  <c r="J10" i="29"/>
  <c r="G1231" i="29"/>
  <c r="G821" i="29"/>
  <c r="H1231" i="29"/>
  <c r="H241" i="29"/>
  <c r="G955" i="29"/>
  <c r="G1191" i="29" s="1"/>
  <c r="G1194" i="29"/>
  <c r="G1195" i="29" s="1"/>
  <c r="H586" i="29"/>
  <c r="G241" i="29"/>
  <c r="G1181" i="29"/>
  <c r="G586" i="29"/>
  <c r="H1208" i="29" l="1"/>
  <c r="H912" i="29"/>
  <c r="G912" i="29"/>
  <c r="G1172" i="29" s="1"/>
  <c r="G1175" i="29" s="1"/>
  <c r="H1207" i="29"/>
  <c r="H1172" i="29"/>
  <c r="H1175" i="29" s="1"/>
  <c r="G1207" i="29"/>
  <c r="E10" i="25" l="1"/>
  <c r="G480" i="4"/>
  <c r="F1002" i="3" l="1"/>
  <c r="D21" i="19" l="1"/>
  <c r="D20" i="19"/>
  <c r="D19" i="19"/>
  <c r="C21" i="19"/>
  <c r="C20" i="19"/>
  <c r="C19" i="19"/>
  <c r="D70" i="19" l="1"/>
  <c r="C70" i="19"/>
  <c r="D11" i="19" l="1"/>
  <c r="C11" i="19"/>
  <c r="D136" i="19"/>
  <c r="C136" i="19"/>
  <c r="C160" i="1"/>
  <c r="D102" i="19"/>
  <c r="C98" i="1" l="1"/>
  <c r="C20" i="1" l="1"/>
  <c r="C19" i="1"/>
  <c r="C18" i="1"/>
  <c r="G238" i="4" l="1"/>
  <c r="G606" i="4"/>
  <c r="G674" i="4"/>
  <c r="G195" i="5" s="1"/>
  <c r="H680" i="4"/>
  <c r="G196" i="5" l="1"/>
  <c r="G194" i="5"/>
  <c r="G193" i="5" s="1"/>
  <c r="G668" i="4"/>
  <c r="F883" i="3"/>
  <c r="F882" i="3" s="1"/>
  <c r="F881" i="3" s="1"/>
  <c r="F187" i="3"/>
  <c r="F186" i="3" s="1"/>
  <c r="F185" i="3" s="1"/>
  <c r="F184" i="3" s="1"/>
  <c r="F898" i="3" l="1"/>
  <c r="F897" i="3" s="1"/>
  <c r="F896" i="3"/>
  <c r="F895" i="3" s="1"/>
  <c r="F894" i="3"/>
  <c r="F893" i="3" s="1"/>
  <c r="F891" i="3"/>
  <c r="F890" i="3" s="1"/>
  <c r="F889" i="3" s="1"/>
  <c r="F856" i="3"/>
  <c r="F855" i="3" s="1"/>
  <c r="F854" i="3" s="1"/>
  <c r="G414" i="4"/>
  <c r="G413" i="4" s="1"/>
  <c r="F729" i="3"/>
  <c r="F664" i="3"/>
  <c r="F663" i="3" s="1"/>
  <c r="F662" i="3" s="1"/>
  <c r="F661" i="3" s="1"/>
  <c r="F660" i="3" s="1"/>
  <c r="F594" i="3"/>
  <c r="F593" i="3" s="1"/>
  <c r="F592" i="3" s="1"/>
  <c r="F529" i="3"/>
  <c r="F490" i="3"/>
  <c r="F489" i="3" s="1"/>
  <c r="F488" i="3" s="1"/>
  <c r="F482" i="3"/>
  <c r="F481" i="3" s="1"/>
  <c r="F480" i="3" s="1"/>
  <c r="C105" i="1"/>
  <c r="F126" i="3"/>
  <c r="F125" i="3" s="1"/>
  <c r="F124" i="3" s="1"/>
  <c r="F123" i="3"/>
  <c r="F122" i="3" s="1"/>
  <c r="F121" i="3" s="1"/>
  <c r="F120" i="3"/>
  <c r="F119" i="3" s="1"/>
  <c r="F118" i="3"/>
  <c r="G532" i="4"/>
  <c r="G531" i="4" s="1"/>
  <c r="F83" i="3"/>
  <c r="F81" i="3"/>
  <c r="F58" i="3"/>
  <c r="F52" i="3"/>
  <c r="F48" i="3"/>
  <c r="G83" i="4"/>
  <c r="G81" i="4"/>
  <c r="F32" i="3"/>
  <c r="F24" i="3"/>
  <c r="F14" i="3"/>
  <c r="G698" i="4"/>
  <c r="F618" i="3" s="1"/>
  <c r="G22" i="25"/>
  <c r="F892" i="3" l="1"/>
  <c r="F888" i="3" s="1"/>
  <c r="F116" i="3"/>
  <c r="F115" i="3" s="1"/>
  <c r="F117" i="3"/>
  <c r="G80" i="4"/>
  <c r="G1165" i="4"/>
  <c r="F35" i="3" s="1"/>
  <c r="F23" i="25"/>
  <c r="G288" i="4"/>
  <c r="D22" i="25"/>
  <c r="F859" i="3"/>
  <c r="F858" i="3" s="1"/>
  <c r="F857" i="3" s="1"/>
  <c r="E6" i="25"/>
  <c r="G407" i="4"/>
  <c r="E11" i="25"/>
  <c r="G673" i="4"/>
  <c r="G672" i="4" s="1"/>
  <c r="C111" i="1"/>
  <c r="C100" i="1"/>
  <c r="F848" i="3" l="1"/>
  <c r="F847" i="3" s="1"/>
  <c r="F846" i="3" s="1"/>
  <c r="G612" i="5"/>
  <c r="I11" i="25"/>
  <c r="G11" i="25" s="1"/>
  <c r="D11" i="25" s="1"/>
  <c r="G406" i="4"/>
  <c r="G405" i="4" s="1"/>
  <c r="G417" i="4"/>
  <c r="G416" i="4" s="1"/>
  <c r="G421" i="4"/>
  <c r="E5" i="25"/>
  <c r="I5" i="25" s="1"/>
  <c r="D5" i="25" s="1"/>
  <c r="G710" i="4"/>
  <c r="I10" i="25"/>
  <c r="G10" i="25" s="1"/>
  <c r="D10" i="25" s="1"/>
  <c r="G634" i="4"/>
  <c r="I12" i="25"/>
  <c r="G12" i="25" s="1"/>
  <c r="D12" i="25" s="1"/>
  <c r="H12" i="25"/>
  <c r="G254" i="4"/>
  <c r="G111" i="5" s="1"/>
  <c r="E9" i="25"/>
  <c r="C92" i="1"/>
  <c r="G1089" i="4"/>
  <c r="I13" i="25"/>
  <c r="G13" i="25" s="1"/>
  <c r="D13" i="25" s="1"/>
  <c r="H13" i="25"/>
  <c r="G248" i="4"/>
  <c r="D20" i="25"/>
  <c r="G251" i="4"/>
  <c r="I14" i="25"/>
  <c r="G14" i="25" s="1"/>
  <c r="D14" i="25" s="1"/>
  <c r="H14" i="25"/>
  <c r="E8" i="25"/>
  <c r="D8" i="25" s="1"/>
  <c r="H15" i="25"/>
  <c r="I15" i="25"/>
  <c r="G15" i="25" s="1"/>
  <c r="D15" i="25" s="1"/>
  <c r="G866" i="4"/>
  <c r="G485" i="5" s="1"/>
  <c r="I16" i="25"/>
  <c r="G16" i="25" s="1"/>
  <c r="D16" i="25" s="1"/>
  <c r="H16" i="25"/>
  <c r="G971" i="4"/>
  <c r="I17" i="25"/>
  <c r="G17" i="25" s="1"/>
  <c r="H17" i="25"/>
  <c r="G201" i="4"/>
  <c r="G783" i="4"/>
  <c r="D18" i="25"/>
  <c r="D21" i="25"/>
  <c r="D19" i="25"/>
  <c r="G734" i="4"/>
  <c r="E4" i="25"/>
  <c r="C88" i="1"/>
  <c r="C10" i="1"/>
  <c r="G1160" i="4"/>
  <c r="F30" i="3" s="1"/>
  <c r="G1152" i="4"/>
  <c r="G1126" i="4"/>
  <c r="F497" i="3" s="1"/>
  <c r="F496" i="3" s="1"/>
  <c r="G1124" i="4"/>
  <c r="F495" i="3" s="1"/>
  <c r="F494" i="3" s="1"/>
  <c r="G1122" i="4"/>
  <c r="F493" i="3" s="1"/>
  <c r="F492" i="3" s="1"/>
  <c r="G1104" i="4"/>
  <c r="G1074" i="4"/>
  <c r="G1066" i="4"/>
  <c r="G1054" i="4"/>
  <c r="G949" i="4"/>
  <c r="G921" i="4"/>
  <c r="G881" i="4"/>
  <c r="G834" i="4"/>
  <c r="G789" i="4"/>
  <c r="G541" i="4"/>
  <c r="F46" i="3" s="1"/>
  <c r="G372" i="4"/>
  <c r="G613" i="5" l="1"/>
  <c r="G611" i="5"/>
  <c r="G610" i="5" s="1"/>
  <c r="G486" i="5"/>
  <c r="G484" i="5"/>
  <c r="G483" i="5" s="1"/>
  <c r="G482" i="5" s="1"/>
  <c r="G481" i="5" s="1"/>
  <c r="G480" i="5" s="1"/>
  <c r="F659" i="3"/>
  <c r="F658" i="3" s="1"/>
  <c r="F657" i="3" s="1"/>
  <c r="F656" i="3" s="1"/>
  <c r="G359" i="5"/>
  <c r="E23" i="25"/>
  <c r="E24" i="25" s="1"/>
  <c r="D17" i="25"/>
  <c r="G865" i="4"/>
  <c r="G864" i="4" s="1"/>
  <c r="G863" i="4" s="1"/>
  <c r="F1006" i="3"/>
  <c r="F1005" i="3" s="1"/>
  <c r="F1004" i="3" s="1"/>
  <c r="F1003" i="3" s="1"/>
  <c r="G112" i="5"/>
  <c r="G110" i="5"/>
  <c r="G109" i="5" s="1"/>
  <c r="F491" i="3"/>
  <c r="F487" i="3" s="1"/>
  <c r="G252" i="4"/>
  <c r="F183" i="3"/>
  <c r="F182" i="3" s="1"/>
  <c r="F181" i="3" s="1"/>
  <c r="G253" i="4"/>
  <c r="I9" i="25"/>
  <c r="G9" i="25" s="1"/>
  <c r="D9" i="25" s="1"/>
  <c r="I4" i="25"/>
  <c r="G4" i="25" s="1"/>
  <c r="G1110" i="4"/>
  <c r="G1109" i="4" s="1"/>
  <c r="G441" i="4"/>
  <c r="G440" i="4" s="1"/>
  <c r="G360" i="5" l="1"/>
  <c r="G358" i="5"/>
  <c r="G357" i="5" s="1"/>
  <c r="G356" i="5" s="1"/>
  <c r="G355" i="5" s="1"/>
  <c r="H18" i="25"/>
  <c r="G23" i="25"/>
  <c r="D4" i="25"/>
  <c r="D23" i="25" s="1"/>
  <c r="G1114" i="4"/>
  <c r="G854" i="4"/>
  <c r="F989" i="30" s="1"/>
  <c r="F985" i="30" s="1"/>
  <c r="F967" i="30" s="1"/>
  <c r="F966" i="30" s="1"/>
  <c r="D48" i="31" l="1"/>
  <c r="D47" i="31" s="1"/>
  <c r="F965" i="30"/>
  <c r="G1125" i="4"/>
  <c r="G1120" i="4" s="1"/>
  <c r="G1118" i="4"/>
  <c r="G1117" i="4" s="1"/>
  <c r="G1094" i="4"/>
  <c r="G1036" i="4"/>
  <c r="G952" i="32" s="1"/>
  <c r="G950" i="32" s="1"/>
  <c r="G949" i="32" s="1"/>
  <c r="G948" i="32" s="1"/>
  <c r="G947" i="32" s="1"/>
  <c r="G946" i="32" s="1"/>
  <c r="G945" i="32" s="1"/>
  <c r="K965" i="30" l="1"/>
  <c r="H965" i="30"/>
  <c r="G1116" i="4"/>
  <c r="G733" i="4" l="1"/>
  <c r="G732" i="4" s="1"/>
  <c r="G731" i="4" s="1"/>
  <c r="F553" i="3" l="1"/>
  <c r="G526" i="4" l="1"/>
  <c r="G524" i="4"/>
  <c r="G453" i="4"/>
  <c r="G452" i="4" s="1"/>
  <c r="G523" i="4" l="1"/>
  <c r="G376" i="4" l="1"/>
  <c r="G137" i="4" l="1"/>
  <c r="G136" i="4" s="1"/>
  <c r="G135" i="4" s="1"/>
  <c r="G39" i="4" l="1"/>
  <c r="G68" i="4"/>
  <c r="G67" i="4" s="1"/>
  <c r="G17" i="4" l="1"/>
  <c r="G771" i="4" l="1"/>
  <c r="G770" i="4" s="1"/>
  <c r="G769" i="4" s="1"/>
  <c r="G529" i="4" l="1"/>
  <c r="G528" i="4" s="1"/>
  <c r="G522" i="4" s="1"/>
  <c r="G124" i="4" l="1"/>
  <c r="G123" i="4" s="1"/>
  <c r="G122" i="4" s="1"/>
  <c r="G521" i="4" l="1"/>
  <c r="G520" i="4" s="1"/>
  <c r="G519" i="4" s="1"/>
  <c r="G518" i="4" s="1"/>
  <c r="F159" i="3" l="1"/>
  <c r="F158" i="3" s="1"/>
  <c r="G559" i="4"/>
  <c r="F469" i="3" l="1"/>
  <c r="F468" i="3" s="1"/>
  <c r="F467" i="3" s="1"/>
  <c r="F466" i="3" s="1"/>
  <c r="H892" i="23" l="1"/>
  <c r="G892" i="23"/>
  <c r="G891" i="23" s="1"/>
  <c r="G890" i="23" s="1"/>
  <c r="G889" i="23" s="1"/>
  <c r="G888" i="23" s="1"/>
  <c r="G887" i="23" s="1"/>
  <c r="G886" i="23" s="1"/>
  <c r="G885" i="23" s="1"/>
  <c r="H891" i="23"/>
  <c r="H890" i="23" s="1"/>
  <c r="H889" i="23" s="1"/>
  <c r="H888" i="23" s="1"/>
  <c r="H887" i="23" s="1"/>
  <c r="H886" i="23" s="1"/>
  <c r="H885" i="23" s="1"/>
  <c r="H883" i="23"/>
  <c r="H882" i="23" s="1"/>
  <c r="H881" i="23" s="1"/>
  <c r="H880" i="23" s="1"/>
  <c r="H879" i="23" s="1"/>
  <c r="G883" i="23"/>
  <c r="G882" i="23"/>
  <c r="G881" i="23" s="1"/>
  <c r="G880" i="23" s="1"/>
  <c r="G879" i="23" s="1"/>
  <c r="H875" i="23"/>
  <c r="H874" i="23" s="1"/>
  <c r="H873" i="23" s="1"/>
  <c r="H872" i="23" s="1"/>
  <c r="H871" i="23" s="1"/>
  <c r="G875" i="23"/>
  <c r="G874" i="23" s="1"/>
  <c r="G873" i="23" s="1"/>
  <c r="G872" i="23" s="1"/>
  <c r="G871" i="23" s="1"/>
  <c r="H867" i="23"/>
  <c r="H868" i="23" s="1"/>
  <c r="G867" i="23"/>
  <c r="G866" i="23" s="1"/>
  <c r="G865" i="23" s="1"/>
  <c r="G864" i="23" s="1"/>
  <c r="G863" i="23" s="1"/>
  <c r="H844" i="23"/>
  <c r="G844" i="23"/>
  <c r="H843" i="23"/>
  <c r="H842" i="23" s="1"/>
  <c r="H841" i="23" s="1"/>
  <c r="H840" i="23" s="1"/>
  <c r="H845" i="23" s="1"/>
  <c r="G843" i="23"/>
  <c r="G842" i="23" s="1"/>
  <c r="G841" i="23" s="1"/>
  <c r="G840" i="23" s="1"/>
  <c r="G845" i="23" s="1"/>
  <c r="H838" i="23"/>
  <c r="H839" i="23" s="1"/>
  <c r="G838" i="23"/>
  <c r="G839" i="23" s="1"/>
  <c r="H837" i="23"/>
  <c r="H836" i="23" s="1"/>
  <c r="H835" i="23" s="1"/>
  <c r="H834" i="23" s="1"/>
  <c r="G837" i="23"/>
  <c r="G836" i="23" s="1"/>
  <c r="G835" i="23" s="1"/>
  <c r="G834" i="23" s="1"/>
  <c r="H832" i="23"/>
  <c r="H833" i="23" s="1"/>
  <c r="G832" i="23"/>
  <c r="G833" i="23" s="1"/>
  <c r="H831" i="23"/>
  <c r="H830" i="23" s="1"/>
  <c r="H829" i="23" s="1"/>
  <c r="H828" i="23" s="1"/>
  <c r="G831" i="23"/>
  <c r="G830" i="23" s="1"/>
  <c r="G829" i="23" s="1"/>
  <c r="G828" i="23" s="1"/>
  <c r="H826" i="23"/>
  <c r="H827" i="23" s="1"/>
  <c r="G826" i="23"/>
  <c r="G827" i="23" s="1"/>
  <c r="H825" i="23"/>
  <c r="H824" i="23" s="1"/>
  <c r="G825" i="23"/>
  <c r="G824" i="23" s="1"/>
  <c r="H823" i="23"/>
  <c r="G823" i="23"/>
  <c r="H822" i="23"/>
  <c r="G822" i="23"/>
  <c r="H821" i="23"/>
  <c r="H820" i="23" s="1"/>
  <c r="G821" i="23"/>
  <c r="G820" i="23" s="1"/>
  <c r="H817" i="23"/>
  <c r="H818" i="23" s="1"/>
  <c r="G817" i="23"/>
  <c r="G818" i="23" s="1"/>
  <c r="H812" i="23"/>
  <c r="H813" i="23" s="1"/>
  <c r="G812" i="23"/>
  <c r="G813" i="23" s="1"/>
  <c r="H811" i="23"/>
  <c r="H810" i="23" s="1"/>
  <c r="H809" i="23" s="1"/>
  <c r="G811" i="23"/>
  <c r="G810" i="23" s="1"/>
  <c r="G809" i="23" s="1"/>
  <c r="H801" i="23"/>
  <c r="H802" i="23" s="1"/>
  <c r="G801" i="23"/>
  <c r="G802" i="23" s="1"/>
  <c r="G793" i="23"/>
  <c r="G794" i="23" s="1"/>
  <c r="H785" i="23"/>
  <c r="H786" i="23" s="1"/>
  <c r="G785" i="23"/>
  <c r="G786" i="23" s="1"/>
  <c r="H781" i="23"/>
  <c r="H782" i="23" s="1"/>
  <c r="G781" i="23"/>
  <c r="G782" i="23" s="1"/>
  <c r="H778" i="23"/>
  <c r="G778" i="23"/>
  <c r="H776" i="23"/>
  <c r="H775" i="23" s="1"/>
  <c r="G776" i="23"/>
  <c r="G775" i="23" s="1"/>
  <c r="H773" i="23"/>
  <c r="H774" i="23" s="1"/>
  <c r="G773" i="23"/>
  <c r="G774" i="23" s="1"/>
  <c r="H772" i="23"/>
  <c r="G772" i="23"/>
  <c r="H770" i="23"/>
  <c r="H771" i="23" s="1"/>
  <c r="G770" i="23"/>
  <c r="G771" i="23" s="1"/>
  <c r="H767" i="23"/>
  <c r="H768" i="23" s="1"/>
  <c r="H717" i="23"/>
  <c r="H718" i="23" s="1"/>
  <c r="G717" i="23"/>
  <c r="G718" i="23" s="1"/>
  <c r="H716" i="23"/>
  <c r="H715" i="23" s="1"/>
  <c r="H714" i="23" s="1"/>
  <c r="H713" i="23" s="1"/>
  <c r="H712" i="23" s="1"/>
  <c r="G716" i="23"/>
  <c r="G715" i="23" s="1"/>
  <c r="G714" i="23" s="1"/>
  <c r="G713" i="23" s="1"/>
  <c r="G712" i="23" s="1"/>
  <c r="H709" i="23"/>
  <c r="H710" i="23" s="1"/>
  <c r="G709" i="23"/>
  <c r="H708" i="23"/>
  <c r="H707" i="23" s="1"/>
  <c r="H706" i="23" s="1"/>
  <c r="H705" i="23" s="1"/>
  <c r="H704" i="23" s="1"/>
  <c r="H694" i="23"/>
  <c r="G694" i="23"/>
  <c r="G695" i="23" s="1"/>
  <c r="H683" i="23"/>
  <c r="H684" i="23" s="1"/>
  <c r="G683" i="23"/>
  <c r="H682" i="23"/>
  <c r="H681" i="23" s="1"/>
  <c r="H679" i="23"/>
  <c r="H680" i="23" s="1"/>
  <c r="H672" i="23"/>
  <c r="H668" i="23"/>
  <c r="G668" i="23"/>
  <c r="G669" i="23" s="1"/>
  <c r="H664" i="23"/>
  <c r="G664" i="23"/>
  <c r="G665" i="23" s="1"/>
  <c r="H654" i="23"/>
  <c r="G654" i="23"/>
  <c r="G655" i="23" s="1"/>
  <c r="H650" i="23"/>
  <c r="G650" i="23"/>
  <c r="G651" i="23" s="1"/>
  <c r="H642" i="23"/>
  <c r="G642" i="23"/>
  <c r="G643" i="23" s="1"/>
  <c r="H636" i="23"/>
  <c r="H635" i="23" s="1"/>
  <c r="G636" i="23"/>
  <c r="G635" i="23" s="1"/>
  <c r="G634" i="23" s="1"/>
  <c r="G633" i="23" s="1"/>
  <c r="H634" i="23"/>
  <c r="H631" i="23"/>
  <c r="H632" i="23" s="1"/>
  <c r="G631" i="23"/>
  <c r="H630" i="23"/>
  <c r="H629" i="23" s="1"/>
  <c r="H628" i="23" s="1"/>
  <c r="H625" i="23"/>
  <c r="G625" i="23"/>
  <c r="H624" i="23"/>
  <c r="H623" i="23" s="1"/>
  <c r="H620" i="23"/>
  <c r="G620" i="23"/>
  <c r="G621" i="23" s="1"/>
  <c r="H615" i="23"/>
  <c r="H616" i="23" s="1"/>
  <c r="G615" i="23"/>
  <c r="H614" i="23"/>
  <c r="H613" i="23" s="1"/>
  <c r="H612" i="23" s="1"/>
  <c r="H609" i="23"/>
  <c r="H610" i="23" s="1"/>
  <c r="G609" i="23"/>
  <c r="H608" i="23"/>
  <c r="H607" i="23" s="1"/>
  <c r="H606" i="23" s="1"/>
  <c r="H605" i="23" s="1"/>
  <c r="H603" i="23"/>
  <c r="H604" i="23" s="1"/>
  <c r="G603" i="23"/>
  <c r="H602" i="23"/>
  <c r="H601" i="23" s="1"/>
  <c r="H600" i="23" s="1"/>
  <c r="H599" i="23" s="1"/>
  <c r="H595" i="23"/>
  <c r="H596" i="23" s="1"/>
  <c r="G595" i="23"/>
  <c r="H594" i="23"/>
  <c r="H593" i="23" s="1"/>
  <c r="H592" i="23" s="1"/>
  <c r="H591" i="23" s="1"/>
  <c r="H590" i="23" s="1"/>
  <c r="H588" i="23"/>
  <c r="H587" i="23" s="1"/>
  <c r="H586" i="23" s="1"/>
  <c r="H585" i="23" s="1"/>
  <c r="H584" i="23" s="1"/>
  <c r="H583" i="23" s="1"/>
  <c r="H589" i="23" s="1"/>
  <c r="G588" i="23"/>
  <c r="G587" i="23" s="1"/>
  <c r="G586" i="23" s="1"/>
  <c r="G585" i="23" s="1"/>
  <c r="G584" i="23" s="1"/>
  <c r="G583" i="23" s="1"/>
  <c r="G589" i="23" s="1"/>
  <c r="H574" i="23"/>
  <c r="G574" i="23"/>
  <c r="G575" i="23" s="1"/>
  <c r="G567" i="23"/>
  <c r="G563" i="23"/>
  <c r="G553" i="23"/>
  <c r="G549" i="23"/>
  <c r="G542" i="23"/>
  <c r="G543" i="23" s="1"/>
  <c r="G536" i="23"/>
  <c r="G537" i="23" s="1"/>
  <c r="G530" i="23"/>
  <c r="G531" i="23" s="1"/>
  <c r="H520" i="23"/>
  <c r="G520" i="23"/>
  <c r="G521" i="23" s="1"/>
  <c r="G500" i="23"/>
  <c r="G501" i="23" s="1"/>
  <c r="G497" i="23"/>
  <c r="G494" i="23"/>
  <c r="G495" i="23" s="1"/>
  <c r="G488" i="23"/>
  <c r="G489" i="23" s="1"/>
  <c r="G485" i="23"/>
  <c r="G482" i="23"/>
  <c r="G483" i="23" s="1"/>
  <c r="G473" i="23"/>
  <c r="G470" i="23"/>
  <c r="G471" i="23" s="1"/>
  <c r="G462" i="23"/>
  <c r="G461" i="23" s="1"/>
  <c r="G460" i="23" s="1"/>
  <c r="G459" i="23" s="1"/>
  <c r="G458" i="23" s="1"/>
  <c r="G457" i="23" s="1"/>
  <c r="G463" i="23" s="1"/>
  <c r="H452" i="23"/>
  <c r="G452" i="23"/>
  <c r="G438" i="23"/>
  <c r="G424" i="23"/>
  <c r="G423" i="23"/>
  <c r="G422" i="23"/>
  <c r="G421" i="23" s="1"/>
  <c r="G412" i="23"/>
  <c r="H385" i="23"/>
  <c r="G385" i="23"/>
  <c r="G386" i="23" s="1"/>
  <c r="H381" i="23"/>
  <c r="G381" i="23"/>
  <c r="G382" i="23" s="1"/>
  <c r="G369" i="23"/>
  <c r="G368" i="23" s="1"/>
  <c r="G367" i="23" s="1"/>
  <c r="G362" i="23"/>
  <c r="G363" i="23" s="1"/>
  <c r="H354" i="23"/>
  <c r="H355" i="23" s="1"/>
  <c r="G354" i="23"/>
  <c r="G355" i="23" s="1"/>
  <c r="H353" i="23"/>
  <c r="H352" i="23" s="1"/>
  <c r="G353" i="23"/>
  <c r="G352" i="23" s="1"/>
  <c r="G350" i="23"/>
  <c r="G351" i="23" s="1"/>
  <c r="G335" i="23"/>
  <c r="G334" i="23" s="1"/>
  <c r="G333" i="23" s="1"/>
  <c r="G332" i="23" s="1"/>
  <c r="G331" i="23" s="1"/>
  <c r="G330" i="23" s="1"/>
  <c r="G336" i="23" s="1"/>
  <c r="H321" i="23"/>
  <c r="H320" i="23" s="1"/>
  <c r="H319" i="23" s="1"/>
  <c r="H322" i="23" s="1"/>
  <c r="H317" i="23"/>
  <c r="H316" i="23" s="1"/>
  <c r="G317" i="23"/>
  <c r="G316" i="23" s="1"/>
  <c r="G315" i="23" s="1"/>
  <c r="H315" i="23"/>
  <c r="H310" i="23"/>
  <c r="H311" i="23" s="1"/>
  <c r="G310" i="23"/>
  <c r="G311" i="23" s="1"/>
  <c r="H309" i="23"/>
  <c r="H308" i="23" s="1"/>
  <c r="H307" i="23" s="1"/>
  <c r="H306" i="23" s="1"/>
  <c r="H305" i="23" s="1"/>
  <c r="G309" i="23"/>
  <c r="G308" i="23" s="1"/>
  <c r="G307" i="23" s="1"/>
  <c r="G306" i="23" s="1"/>
  <c r="G305" i="23" s="1"/>
  <c r="H303" i="23"/>
  <c r="G303" i="23"/>
  <c r="H296" i="23"/>
  <c r="H297" i="23" s="1"/>
  <c r="G296" i="23"/>
  <c r="G297" i="23" s="1"/>
  <c r="H295" i="23"/>
  <c r="H294" i="23" s="1"/>
  <c r="H293" i="23" s="1"/>
  <c r="H292" i="23" s="1"/>
  <c r="H291" i="23" s="1"/>
  <c r="G295" i="23"/>
  <c r="G294" i="23" s="1"/>
  <c r="G293" i="23" s="1"/>
  <c r="G292" i="23" s="1"/>
  <c r="G291" i="23" s="1"/>
  <c r="H282" i="23"/>
  <c r="H283" i="23" s="1"/>
  <c r="G282" i="23"/>
  <c r="G283" i="23" s="1"/>
  <c r="H281" i="23"/>
  <c r="H280" i="23" s="1"/>
  <c r="H279" i="23" s="1"/>
  <c r="G281" i="23"/>
  <c r="G280" i="23" s="1"/>
  <c r="G279" i="23" s="1"/>
  <c r="G277" i="23"/>
  <c r="G264" i="23"/>
  <c r="G265" i="23" s="1"/>
  <c r="H253" i="23"/>
  <c r="G253" i="23"/>
  <c r="G209" i="23"/>
  <c r="G205" i="23"/>
  <c r="H200" i="23"/>
  <c r="H201" i="23" s="1"/>
  <c r="G200" i="23"/>
  <c r="G201" i="23" s="1"/>
  <c r="H199" i="23"/>
  <c r="H198" i="23" s="1"/>
  <c r="G199" i="23"/>
  <c r="G198" i="23" s="1"/>
  <c r="G192" i="23"/>
  <c r="G193" i="23" s="1"/>
  <c r="H188" i="23"/>
  <c r="H189" i="23" s="1"/>
  <c r="G188" i="23"/>
  <c r="G189" i="23" s="1"/>
  <c r="H187" i="23"/>
  <c r="H186" i="23" s="1"/>
  <c r="G187" i="23"/>
  <c r="G186" i="23" s="1"/>
  <c r="G184" i="23"/>
  <c r="G185" i="23" s="1"/>
  <c r="H180" i="23"/>
  <c r="G180" i="23"/>
  <c r="H179" i="23"/>
  <c r="H178" i="23" s="1"/>
  <c r="H181" i="23" s="1"/>
  <c r="G179" i="23"/>
  <c r="G178" i="23" s="1"/>
  <c r="G181" i="23" s="1"/>
  <c r="H175" i="23"/>
  <c r="G175" i="23"/>
  <c r="G167" i="23"/>
  <c r="G163" i="23"/>
  <c r="G156" i="23"/>
  <c r="G157" i="23" s="1"/>
  <c r="G151" i="23"/>
  <c r="G146" i="23"/>
  <c r="G147" i="23" s="1"/>
  <c r="H138" i="23"/>
  <c r="H139" i="23" s="1"/>
  <c r="G138" i="23"/>
  <c r="G139" i="23" s="1"/>
  <c r="H137" i="23"/>
  <c r="H136" i="23" s="1"/>
  <c r="H135" i="23" s="1"/>
  <c r="H134" i="23" s="1"/>
  <c r="H132" i="23"/>
  <c r="H133" i="23" s="1"/>
  <c r="G125" i="23"/>
  <c r="G126" i="23" s="1"/>
  <c r="G122" i="23"/>
  <c r="G123" i="23" s="1"/>
  <c r="G115" i="23"/>
  <c r="G116" i="23" s="1"/>
  <c r="H107" i="23"/>
  <c r="H108" i="23" s="1"/>
  <c r="G107" i="23"/>
  <c r="G108" i="23" s="1"/>
  <c r="H106" i="23"/>
  <c r="H105" i="23" s="1"/>
  <c r="G106" i="23"/>
  <c r="G105" i="23" s="1"/>
  <c r="H103" i="23"/>
  <c r="H104" i="23" s="1"/>
  <c r="G103" i="23"/>
  <c r="G104" i="23" s="1"/>
  <c r="H102" i="23"/>
  <c r="H101" i="23" s="1"/>
  <c r="G102" i="23"/>
  <c r="G101" i="23" s="1"/>
  <c r="G100" i="23" s="1"/>
  <c r="G99" i="23" s="1"/>
  <c r="G98" i="23" s="1"/>
  <c r="G97" i="23" s="1"/>
  <c r="H100" i="23"/>
  <c r="H99" i="23" s="1"/>
  <c r="H98" i="23" s="1"/>
  <c r="H97" i="23" s="1"/>
  <c r="H95" i="23"/>
  <c r="H96" i="23" s="1"/>
  <c r="G95" i="23"/>
  <c r="G96" i="23" s="1"/>
  <c r="H94" i="23"/>
  <c r="H93" i="23" s="1"/>
  <c r="G94" i="23"/>
  <c r="G93" i="23" s="1"/>
  <c r="G92" i="23" s="1"/>
  <c r="G91" i="23" s="1"/>
  <c r="G90" i="23" s="1"/>
  <c r="H92" i="23"/>
  <c r="H91" i="23" s="1"/>
  <c r="H90" i="23" s="1"/>
  <c r="H51" i="23"/>
  <c r="H52" i="23" s="1"/>
  <c r="G22" i="23"/>
  <c r="H15" i="23"/>
  <c r="H16" i="23" s="1"/>
  <c r="G15" i="23"/>
  <c r="G16" i="23" s="1"/>
  <c r="H14" i="23"/>
  <c r="H13" i="23" s="1"/>
  <c r="H12" i="23" s="1"/>
  <c r="H11" i="23" s="1"/>
  <c r="G14" i="23"/>
  <c r="G13" i="23" s="1"/>
  <c r="G12" i="23" s="1"/>
  <c r="G11" i="23" s="1"/>
  <c r="H10" i="23"/>
  <c r="H1126" i="22"/>
  <c r="G1126" i="22"/>
  <c r="AG1097" i="22"/>
  <c r="AD1097" i="22"/>
  <c r="AC1097" i="22"/>
  <c r="AA1097" i="22"/>
  <c r="AA1096" i="22" s="1"/>
  <c r="W1097" i="22"/>
  <c r="S1097" i="22"/>
  <c r="Q1097" i="22"/>
  <c r="Q1096" i="22" s="1"/>
  <c r="P1096" i="22"/>
  <c r="H1093" i="22"/>
  <c r="H1092" i="22" s="1"/>
  <c r="G1092" i="22"/>
  <c r="H1091" i="22"/>
  <c r="G1091" i="22"/>
  <c r="G1090" i="22"/>
  <c r="H1090" i="22" s="1"/>
  <c r="H1089" i="22" s="1"/>
  <c r="H1088" i="22"/>
  <c r="H1087" i="22" s="1"/>
  <c r="G1087" i="22"/>
  <c r="G1082" i="22"/>
  <c r="H1082" i="22" s="1"/>
  <c r="G1081" i="22"/>
  <c r="H1081" i="22" s="1"/>
  <c r="G1080" i="22"/>
  <c r="H1080" i="22" s="1"/>
  <c r="H1079" i="22"/>
  <c r="H1078" i="22" s="1"/>
  <c r="G1078" i="22"/>
  <c r="H1077" i="22"/>
  <c r="H1076" i="22" s="1"/>
  <c r="G1076" i="22"/>
  <c r="G1075" i="22" s="1"/>
  <c r="H1074" i="22"/>
  <c r="H1073" i="22" s="1"/>
  <c r="G1073" i="22"/>
  <c r="H1072" i="22"/>
  <c r="H1071" i="22" s="1"/>
  <c r="G1071" i="22"/>
  <c r="H1065" i="22"/>
  <c r="H1064" i="22" s="1"/>
  <c r="G1065" i="22"/>
  <c r="G1064" i="22" s="1"/>
  <c r="H1062" i="22"/>
  <c r="H1061" i="22" s="1"/>
  <c r="H1060" i="22" s="1"/>
  <c r="H1059" i="22" s="1"/>
  <c r="G1062" i="22"/>
  <c r="G1061" i="22" s="1"/>
  <c r="H1057" i="22"/>
  <c r="H1056" i="22" s="1"/>
  <c r="G1057" i="22"/>
  <c r="G1056" i="22" s="1"/>
  <c r="H1054" i="22"/>
  <c r="G1054" i="22"/>
  <c r="H1052" i="22"/>
  <c r="G1052" i="22"/>
  <c r="G1051" i="22" s="1"/>
  <c r="H1051" i="22"/>
  <c r="G1045" i="22"/>
  <c r="H1045" i="22" s="1"/>
  <c r="H1036" i="22"/>
  <c r="H1035" i="22" s="1"/>
  <c r="G1036" i="22"/>
  <c r="G1035" i="22" s="1"/>
  <c r="G1034" i="22" s="1"/>
  <c r="G1033" i="22" s="1"/>
  <c r="H1034" i="22"/>
  <c r="H1033" i="22" s="1"/>
  <c r="H1032" i="22"/>
  <c r="H1031" i="22" s="1"/>
  <c r="G1031" i="22"/>
  <c r="H1030" i="22"/>
  <c r="G1030" i="22"/>
  <c r="H1029" i="22"/>
  <c r="H1028" i="22" s="1"/>
  <c r="G1028" i="22"/>
  <c r="H1027" i="22"/>
  <c r="H1026" i="22" s="1"/>
  <c r="H1025" i="22" s="1"/>
  <c r="H1024" i="22" s="1"/>
  <c r="G1026" i="22"/>
  <c r="G1025" i="22" s="1"/>
  <c r="G1024" i="22" s="1"/>
  <c r="G1023" i="22"/>
  <c r="H1023" i="22" s="1"/>
  <c r="G1022" i="22"/>
  <c r="H1022" i="22" s="1"/>
  <c r="G1021" i="22"/>
  <c r="H1021" i="22" s="1"/>
  <c r="H1020" i="22"/>
  <c r="H1019" i="22" s="1"/>
  <c r="H1018" i="22" s="1"/>
  <c r="G1019" i="22"/>
  <c r="G1018" i="22" s="1"/>
  <c r="H1015" i="22"/>
  <c r="H1014" i="22" s="1"/>
  <c r="H1013" i="22" s="1"/>
  <c r="G1014" i="22"/>
  <c r="G1013" i="22" s="1"/>
  <c r="G1012" i="22"/>
  <c r="G1011" i="22" s="1"/>
  <c r="G1010" i="22"/>
  <c r="G1009" i="22" s="1"/>
  <c r="H1008" i="22"/>
  <c r="H1007" i="22" s="1"/>
  <c r="G1007" i="22"/>
  <c r="G1002" i="22"/>
  <c r="H996" i="22"/>
  <c r="H995" i="22" s="1"/>
  <c r="G996" i="22"/>
  <c r="G995" i="22" s="1"/>
  <c r="G994" i="22"/>
  <c r="G690" i="23" s="1"/>
  <c r="G993" i="22"/>
  <c r="H993" i="22" s="1"/>
  <c r="G992" i="22"/>
  <c r="H992" i="22" s="1"/>
  <c r="H989" i="22"/>
  <c r="H988" i="22" s="1"/>
  <c r="G989" i="22"/>
  <c r="G988" i="22" s="1"/>
  <c r="G987" i="22"/>
  <c r="G679" i="23" s="1"/>
  <c r="H986" i="22"/>
  <c r="G986" i="22"/>
  <c r="H985" i="22"/>
  <c r="G985" i="22"/>
  <c r="G984" i="22"/>
  <c r="G675" i="23" s="1"/>
  <c r="G982" i="22"/>
  <c r="G672" i="23" s="1"/>
  <c r="H981" i="22"/>
  <c r="G981" i="22"/>
  <c r="H978" i="22"/>
  <c r="G978" i="22"/>
  <c r="G977" i="22" s="1"/>
  <c r="H977" i="22"/>
  <c r="H975" i="22"/>
  <c r="G975" i="22"/>
  <c r="G974" i="22" s="1"/>
  <c r="H974" i="22"/>
  <c r="G973" i="22"/>
  <c r="G972" i="22"/>
  <c r="G657" i="23" s="1"/>
  <c r="G971" i="22"/>
  <c r="H971" i="22" s="1"/>
  <c r="H969" i="22"/>
  <c r="H968" i="22" s="1"/>
  <c r="G969" i="22"/>
  <c r="G968" i="22" s="1"/>
  <c r="H966" i="22"/>
  <c r="H965" i="22" s="1"/>
  <c r="G966" i="22"/>
  <c r="G965" i="22" s="1"/>
  <c r="H962" i="22"/>
  <c r="G962" i="22"/>
  <c r="H961" i="22"/>
  <c r="H960" i="22" s="1"/>
  <c r="G961" i="22"/>
  <c r="G960" i="22" s="1"/>
  <c r="G958" i="22"/>
  <c r="H958" i="22" s="1"/>
  <c r="H957" i="22" s="1"/>
  <c r="H956" i="22" s="1"/>
  <c r="H955" i="22" s="1"/>
  <c r="H954" i="22" s="1"/>
  <c r="H951" i="22"/>
  <c r="H950" i="22" s="1"/>
  <c r="H949" i="22" s="1"/>
  <c r="H948" i="22" s="1"/>
  <c r="H1150" i="22" s="1"/>
  <c r="G951" i="22"/>
  <c r="G950" i="22" s="1"/>
  <c r="G949" i="22" s="1"/>
  <c r="G948" i="22" s="1"/>
  <c r="G1150" i="22" s="1"/>
  <c r="G947" i="22"/>
  <c r="G759" i="23" s="1"/>
  <c r="G946" i="22"/>
  <c r="H946" i="22" s="1"/>
  <c r="G945" i="22"/>
  <c r="G944" i="22" s="1"/>
  <c r="G943" i="22"/>
  <c r="G752" i="23" s="1"/>
  <c r="G942" i="22"/>
  <c r="H942" i="22" s="1"/>
  <c r="G941" i="22"/>
  <c r="G940" i="22" s="1"/>
  <c r="G939" i="22"/>
  <c r="G745" i="23" s="1"/>
  <c r="G938" i="22"/>
  <c r="H938" i="22" s="1"/>
  <c r="G937" i="22"/>
  <c r="G936" i="22" s="1"/>
  <c r="G935" i="22"/>
  <c r="G738" i="23" s="1"/>
  <c r="G934" i="22"/>
  <c r="H934" i="22" s="1"/>
  <c r="G933" i="22"/>
  <c r="G932" i="22" s="1"/>
  <c r="G931" i="22"/>
  <c r="G731" i="23" s="1"/>
  <c r="G930" i="22"/>
  <c r="H930" i="22" s="1"/>
  <c r="G929" i="22"/>
  <c r="G928" i="22" s="1"/>
  <c r="G927" i="22"/>
  <c r="G724" i="23" s="1"/>
  <c r="G926" i="22"/>
  <c r="H926" i="22" s="1"/>
  <c r="G925" i="22"/>
  <c r="G924" i="22" s="1"/>
  <c r="H922" i="22"/>
  <c r="H921" i="22" s="1"/>
  <c r="H920" i="22" s="1"/>
  <c r="G922" i="22"/>
  <c r="G921" i="22" s="1"/>
  <c r="G920" i="22" s="1"/>
  <c r="G918" i="22"/>
  <c r="H918" i="22" s="1"/>
  <c r="G917" i="22"/>
  <c r="H917" i="22" s="1"/>
  <c r="G916" i="22"/>
  <c r="H916" i="22" s="1"/>
  <c r="G915" i="22"/>
  <c r="H915" i="22" s="1"/>
  <c r="G914" i="22"/>
  <c r="H914" i="22" s="1"/>
  <c r="G913" i="22"/>
  <c r="H913" i="22" s="1"/>
  <c r="G912" i="22"/>
  <c r="H912" i="22" s="1"/>
  <c r="G911" i="22"/>
  <c r="H911" i="22" s="1"/>
  <c r="G910" i="22"/>
  <c r="H910" i="22" s="1"/>
  <c r="G909" i="22"/>
  <c r="H909" i="22" s="1"/>
  <c r="G908" i="22"/>
  <c r="H908" i="22" s="1"/>
  <c r="G907" i="22"/>
  <c r="H907" i="22" s="1"/>
  <c r="G906" i="22"/>
  <c r="H906" i="22" s="1"/>
  <c r="G905" i="22"/>
  <c r="H905" i="22" s="1"/>
  <c r="G904" i="22"/>
  <c r="H904" i="22" s="1"/>
  <c r="G903" i="22"/>
  <c r="H903" i="22" s="1"/>
  <c r="G901" i="22"/>
  <c r="H901" i="22" s="1"/>
  <c r="G900" i="22"/>
  <c r="H900" i="22" s="1"/>
  <c r="H899" i="22"/>
  <c r="G339" i="21" s="1"/>
  <c r="G338" i="21" s="1"/>
  <c r="G337" i="21" s="1"/>
  <c r="G899" i="22"/>
  <c r="H898" i="22"/>
  <c r="H897" i="22" s="1"/>
  <c r="G898" i="22"/>
  <c r="G897" i="22" s="1"/>
  <c r="G896" i="22"/>
  <c r="G895" i="22" s="1"/>
  <c r="H894" i="22"/>
  <c r="G893" i="22"/>
  <c r="H893" i="22" s="1"/>
  <c r="G888" i="22"/>
  <c r="G887" i="22" s="1"/>
  <c r="G886" i="22" s="1"/>
  <c r="H885" i="22"/>
  <c r="H884" i="22" s="1"/>
  <c r="H883" i="22" s="1"/>
  <c r="G884" i="22"/>
  <c r="G883" i="22" s="1"/>
  <c r="G882" i="22"/>
  <c r="H882" i="22" s="1"/>
  <c r="G881" i="22"/>
  <c r="H881" i="22" s="1"/>
  <c r="G880" i="22"/>
  <c r="H880" i="22" s="1"/>
  <c r="G879" i="22"/>
  <c r="H879" i="22" s="1"/>
  <c r="G878" i="22"/>
  <c r="H878" i="22" s="1"/>
  <c r="G873" i="22"/>
  <c r="G28" i="23" s="1"/>
  <c r="G872" i="22"/>
  <c r="H872" i="22" s="1"/>
  <c r="G871" i="22"/>
  <c r="G25" i="23" s="1"/>
  <c r="G26" i="23" s="1"/>
  <c r="H869" i="22"/>
  <c r="H868" i="22" s="1"/>
  <c r="G868" i="22"/>
  <c r="H864" i="22"/>
  <c r="G864" i="22"/>
  <c r="G863" i="22" s="1"/>
  <c r="G862" i="22" s="1"/>
  <c r="H863" i="22"/>
  <c r="H862" i="22" s="1"/>
  <c r="H859" i="22"/>
  <c r="H858" i="22" s="1"/>
  <c r="H857" i="22" s="1"/>
  <c r="H856" i="22" s="1"/>
  <c r="H855" i="22" s="1"/>
  <c r="H854" i="22" s="1"/>
  <c r="G858" i="22"/>
  <c r="G857" i="22" s="1"/>
  <c r="G856" i="22" s="1"/>
  <c r="G855" i="22" s="1"/>
  <c r="G854" i="22" s="1"/>
  <c r="G852" i="22"/>
  <c r="H852" i="22" s="1"/>
  <c r="H851" i="22" s="1"/>
  <c r="H850" i="22" s="1"/>
  <c r="H849" i="22" s="1"/>
  <c r="H848" i="22" s="1"/>
  <c r="H847" i="22" s="1"/>
  <c r="H846" i="22" s="1"/>
  <c r="G845" i="22"/>
  <c r="G844" i="22" s="1"/>
  <c r="H843" i="22"/>
  <c r="H842" i="22" s="1"/>
  <c r="G842" i="22"/>
  <c r="H841" i="22"/>
  <c r="H840" i="22" s="1"/>
  <c r="G840" i="22"/>
  <c r="H838" i="22"/>
  <c r="H837" i="22" s="1"/>
  <c r="H836" i="22" s="1"/>
  <c r="G837" i="22"/>
  <c r="G836" i="22" s="1"/>
  <c r="G830" i="22"/>
  <c r="G455" i="23" s="1"/>
  <c r="H827" i="22"/>
  <c r="G827" i="22"/>
  <c r="H823" i="22"/>
  <c r="H822" i="22" s="1"/>
  <c r="H821" i="22" s="1"/>
  <c r="G822" i="22"/>
  <c r="G821" i="22" s="1"/>
  <c r="G820" i="22"/>
  <c r="G819" i="22" s="1"/>
  <c r="H818" i="22"/>
  <c r="H817" i="22" s="1"/>
  <c r="G817" i="22"/>
  <c r="H816" i="22"/>
  <c r="H815" i="22" s="1"/>
  <c r="G815" i="22"/>
  <c r="H811" i="22"/>
  <c r="H810" i="22" s="1"/>
  <c r="H809" i="22" s="1"/>
  <c r="G810" i="22"/>
  <c r="G809" i="22" s="1"/>
  <c r="H808" i="22"/>
  <c r="H807" i="22" s="1"/>
  <c r="H806" i="22" s="1"/>
  <c r="G807" i="22"/>
  <c r="G806" i="22" s="1"/>
  <c r="H801" i="22"/>
  <c r="H800" i="22" s="1"/>
  <c r="H799" i="22" s="1"/>
  <c r="H798" i="22" s="1"/>
  <c r="G801" i="22"/>
  <c r="G800" i="22" s="1"/>
  <c r="G799" i="22" s="1"/>
  <c r="G798" i="22" s="1"/>
  <c r="H796" i="22"/>
  <c r="H795" i="22" s="1"/>
  <c r="H794" i="22" s="1"/>
  <c r="H793" i="22" s="1"/>
  <c r="G796" i="22"/>
  <c r="G795" i="22" s="1"/>
  <c r="G794" i="22" s="1"/>
  <c r="G793" i="22" s="1"/>
  <c r="I792" i="22"/>
  <c r="G792" i="22"/>
  <c r="G445" i="23" s="1"/>
  <c r="H788" i="22"/>
  <c r="H438" i="23" s="1"/>
  <c r="G787" i="22"/>
  <c r="G786" i="22" s="1"/>
  <c r="G785" i="22"/>
  <c r="G434" i="23" s="1"/>
  <c r="G784" i="22"/>
  <c r="H784" i="22" s="1"/>
  <c r="G783" i="22"/>
  <c r="H783" i="22" s="1"/>
  <c r="G781" i="22"/>
  <c r="G427" i="23" s="1"/>
  <c r="H777" i="22"/>
  <c r="H423" i="23" s="1"/>
  <c r="G776" i="22"/>
  <c r="G775" i="22" s="1"/>
  <c r="G774" i="22"/>
  <c r="G773" i="22"/>
  <c r="H773" i="22" s="1"/>
  <c r="G772" i="22"/>
  <c r="H770" i="22"/>
  <c r="H412" i="23" s="1"/>
  <c r="G769" i="22"/>
  <c r="G768" i="22" s="1"/>
  <c r="G767" i="22" s="1"/>
  <c r="H762" i="22"/>
  <c r="H761" i="22" s="1"/>
  <c r="H760" i="22" s="1"/>
  <c r="H759" i="22" s="1"/>
  <c r="H758" i="22" s="1"/>
  <c r="H757" i="22" s="1"/>
  <c r="G762" i="22"/>
  <c r="G761" i="22" s="1"/>
  <c r="G760" i="22" s="1"/>
  <c r="G759" i="22" s="1"/>
  <c r="G758" i="22" s="1"/>
  <c r="G757" i="22" s="1"/>
  <c r="H754" i="22"/>
  <c r="G754" i="22"/>
  <c r="H753" i="22"/>
  <c r="G753" i="22"/>
  <c r="G752" i="22"/>
  <c r="H752" i="22" s="1"/>
  <c r="G750" i="22"/>
  <c r="H750" i="22" s="1"/>
  <c r="H748" i="22"/>
  <c r="G747" i="22"/>
  <c r="H744" i="22"/>
  <c r="H743" i="22" s="1"/>
  <c r="G743" i="22"/>
  <c r="H742" i="22"/>
  <c r="H741" i="22" s="1"/>
  <c r="G742" i="22"/>
  <c r="G741" i="22" s="1"/>
  <c r="G739" i="22"/>
  <c r="H739" i="22" s="1"/>
  <c r="H738" i="22" s="1"/>
  <c r="H737" i="22" s="1"/>
  <c r="G736" i="22"/>
  <c r="G735" i="22" s="1"/>
  <c r="H734" i="22"/>
  <c r="H733" i="22" s="1"/>
  <c r="G733" i="22"/>
  <c r="H727" i="22"/>
  <c r="G727" i="22"/>
  <c r="G726" i="22" s="1"/>
  <c r="H726" i="22"/>
  <c r="H724" i="22"/>
  <c r="G724" i="22"/>
  <c r="G723" i="22" s="1"/>
  <c r="H723" i="22"/>
  <c r="H718" i="22"/>
  <c r="H717" i="22" s="1"/>
  <c r="H715" i="22" s="1"/>
  <c r="G718" i="22"/>
  <c r="G717" i="22" s="1"/>
  <c r="G716" i="22" s="1"/>
  <c r="H713" i="22"/>
  <c r="H712" i="22" s="1"/>
  <c r="H711" i="22" s="1"/>
  <c r="G713" i="22"/>
  <c r="G712" i="22" s="1"/>
  <c r="G711" i="22" s="1"/>
  <c r="G710" i="22"/>
  <c r="H710" i="22" s="1"/>
  <c r="G709" i="22"/>
  <c r="H709" i="22" s="1"/>
  <c r="G708" i="22"/>
  <c r="G706" i="22"/>
  <c r="H703" i="22"/>
  <c r="G632" i="21" s="1"/>
  <c r="G631" i="21" s="1"/>
  <c r="G630" i="21" s="1"/>
  <c r="G702" i="22"/>
  <c r="G701" i="22"/>
  <c r="H700" i="22"/>
  <c r="H205" i="23" s="1"/>
  <c r="G699" i="22"/>
  <c r="G698" i="22" s="1"/>
  <c r="H696" i="22"/>
  <c r="G695" i="22"/>
  <c r="G694" i="22" s="1"/>
  <c r="G693" i="22" s="1"/>
  <c r="H689" i="22"/>
  <c r="H688" i="22" s="1"/>
  <c r="G689" i="22"/>
  <c r="G688" i="22" s="1"/>
  <c r="G687" i="22" s="1"/>
  <c r="G686" i="22" s="1"/>
  <c r="H687" i="22"/>
  <c r="H686" i="22" s="1"/>
  <c r="H684" i="22"/>
  <c r="H683" i="22" s="1"/>
  <c r="G684" i="22"/>
  <c r="G683" i="22" s="1"/>
  <c r="G682" i="22" s="1"/>
  <c r="G681" i="22" s="1"/>
  <c r="H682" i="22"/>
  <c r="H681" i="22" s="1"/>
  <c r="H680" i="22"/>
  <c r="G680" i="22"/>
  <c r="H676" i="22"/>
  <c r="H675" i="22" s="1"/>
  <c r="G675" i="22"/>
  <c r="G674" i="22" s="1"/>
  <c r="G673" i="22" s="1"/>
  <c r="H672" i="22"/>
  <c r="H328" i="23" s="1"/>
  <c r="H327" i="23" s="1"/>
  <c r="H326" i="23" s="1"/>
  <c r="H325" i="23" s="1"/>
  <c r="H324" i="23" s="1"/>
  <c r="H323" i="23" s="1"/>
  <c r="H329" i="23" s="1"/>
  <c r="G672" i="22"/>
  <c r="H671" i="22"/>
  <c r="H670" i="22" s="1"/>
  <c r="H669" i="22" s="1"/>
  <c r="H667" i="22"/>
  <c r="G667" i="22"/>
  <c r="G666" i="22" s="1"/>
  <c r="H666" i="22"/>
  <c r="H664" i="22"/>
  <c r="G664" i="22"/>
  <c r="G663" i="22" s="1"/>
  <c r="G662" i="22" s="1"/>
  <c r="H663" i="22"/>
  <c r="H660" i="22"/>
  <c r="H659" i="22" s="1"/>
  <c r="H658" i="22" s="1"/>
  <c r="G660" i="22"/>
  <c r="G659" i="22"/>
  <c r="G658" i="22" s="1"/>
  <c r="H656" i="22"/>
  <c r="G656" i="22"/>
  <c r="G655" i="22" s="1"/>
  <c r="G654" i="22" s="1"/>
  <c r="H655" i="22"/>
  <c r="H654" i="22" s="1"/>
  <c r="H653" i="22"/>
  <c r="G586" i="21" s="1"/>
  <c r="G585" i="21" s="1"/>
  <c r="G584" i="21" s="1"/>
  <c r="G652" i="22"/>
  <c r="G651" i="22"/>
  <c r="G650" i="22"/>
  <c r="G273" i="23" s="1"/>
  <c r="G649" i="22"/>
  <c r="H649" i="22" s="1"/>
  <c r="G648" i="22"/>
  <c r="H648" i="22" s="1"/>
  <c r="G646" i="22"/>
  <c r="G643" i="22"/>
  <c r="G242" i="23" s="1"/>
  <c r="G642" i="22"/>
  <c r="H642" i="22" s="1"/>
  <c r="G641" i="22"/>
  <c r="H641" i="22" s="1"/>
  <c r="G640" i="22"/>
  <c r="F573" i="21" s="1"/>
  <c r="F572" i="21" s="1"/>
  <c r="F571" i="21" s="1"/>
  <c r="G639" i="22"/>
  <c r="H639" i="22" s="1"/>
  <c r="G638" i="22"/>
  <c r="H638" i="22" s="1"/>
  <c r="G637" i="22"/>
  <c r="G234" i="23" s="1"/>
  <c r="G636" i="22"/>
  <c r="H636" i="22" s="1"/>
  <c r="G635" i="22"/>
  <c r="H635" i="22" s="1"/>
  <c r="H632" i="22"/>
  <c r="H631" i="22" s="1"/>
  <c r="G632" i="22"/>
  <c r="G631" i="22" s="1"/>
  <c r="G630" i="22"/>
  <c r="F563" i="21" s="1"/>
  <c r="F562" i="21" s="1"/>
  <c r="F561" i="21" s="1"/>
  <c r="H627" i="22"/>
  <c r="H192" i="23" s="1"/>
  <c r="G626" i="22"/>
  <c r="G625" i="22" s="1"/>
  <c r="H623" i="22"/>
  <c r="G623" i="22"/>
  <c r="H622" i="22"/>
  <c r="G622" i="22"/>
  <c r="H621" i="22"/>
  <c r="G620" i="22"/>
  <c r="G619" i="22" s="1"/>
  <c r="H617" i="22"/>
  <c r="G617" i="22"/>
  <c r="G616" i="22" s="1"/>
  <c r="H616" i="22"/>
  <c r="H614" i="22"/>
  <c r="H151" i="23" s="1"/>
  <c r="G613" i="22"/>
  <c r="G612" i="22" s="1"/>
  <c r="G611" i="22" s="1"/>
  <c r="H607" i="22"/>
  <c r="H606" i="22" s="1"/>
  <c r="G607" i="22"/>
  <c r="G606" i="22" s="1"/>
  <c r="H602" i="22"/>
  <c r="H601" i="22" s="1"/>
  <c r="H600" i="22" s="1"/>
  <c r="H599" i="22" s="1"/>
  <c r="G602" i="22"/>
  <c r="G601" i="22" s="1"/>
  <c r="G600" i="22" s="1"/>
  <c r="G599" i="22" s="1"/>
  <c r="G598" i="22"/>
  <c r="G321" i="23" s="1"/>
  <c r="G320" i="23" s="1"/>
  <c r="G319" i="23" s="1"/>
  <c r="G322" i="23" s="1"/>
  <c r="H597" i="22"/>
  <c r="H596" i="22" s="1"/>
  <c r="H594" i="22"/>
  <c r="H593" i="22" s="1"/>
  <c r="G594" i="22"/>
  <c r="G593" i="22" s="1"/>
  <c r="G591" i="22"/>
  <c r="G587" i="22"/>
  <c r="G268" i="23" s="1"/>
  <c r="H584" i="22"/>
  <c r="G583" i="22"/>
  <c r="G582" i="22"/>
  <c r="G581" i="22"/>
  <c r="G260" i="23" s="1"/>
  <c r="G580" i="22"/>
  <c r="H580" i="22" s="1"/>
  <c r="G579" i="22"/>
  <c r="H579" i="22" s="1"/>
  <c r="H577" i="22"/>
  <c r="H228" i="23" s="1"/>
  <c r="G577" i="22"/>
  <c r="G228" i="23" s="1"/>
  <c r="H576" i="22"/>
  <c r="H575" i="22" s="1"/>
  <c r="G576" i="22"/>
  <c r="G575" i="22" s="1"/>
  <c r="G574" i="22"/>
  <c r="G224" i="23" s="1"/>
  <c r="G573" i="22"/>
  <c r="H573" i="22" s="1"/>
  <c r="G572" i="22"/>
  <c r="H572" i="22" s="1"/>
  <c r="G571" i="22"/>
  <c r="G220" i="23" s="1"/>
  <c r="G570" i="22"/>
  <c r="H570" i="22" s="1"/>
  <c r="G569" i="22"/>
  <c r="H569" i="22" s="1"/>
  <c r="H566" i="22"/>
  <c r="G566" i="22"/>
  <c r="H565" i="22"/>
  <c r="G565" i="22"/>
  <c r="H564" i="22"/>
  <c r="H171" i="23" s="1"/>
  <c r="G564" i="22"/>
  <c r="G171" i="23" s="1"/>
  <c r="H563" i="22"/>
  <c r="H562" i="22" s="1"/>
  <c r="G563" i="22"/>
  <c r="G562" i="22" s="1"/>
  <c r="H561" i="22"/>
  <c r="H167" i="23" s="1"/>
  <c r="G560" i="22"/>
  <c r="G559" i="22"/>
  <c r="H558" i="22"/>
  <c r="H163" i="23" s="1"/>
  <c r="G557" i="22"/>
  <c r="G556" i="22" s="1"/>
  <c r="H554" i="22"/>
  <c r="H146" i="23" s="1"/>
  <c r="G553" i="22"/>
  <c r="G552" i="22" s="1"/>
  <c r="G551" i="22" s="1"/>
  <c r="G547" i="22"/>
  <c r="H547" i="22" s="1"/>
  <c r="G546" i="22"/>
  <c r="H546" i="22" s="1"/>
  <c r="G545" i="22"/>
  <c r="H545" i="22" s="1"/>
  <c r="H543" i="22"/>
  <c r="G543" i="22"/>
  <c r="G542" i="22" s="1"/>
  <c r="G541" i="22" s="1"/>
  <c r="G540" i="22" s="1"/>
  <c r="G539" i="22" s="1"/>
  <c r="G538" i="22" s="1"/>
  <c r="H542" i="22"/>
  <c r="H541" i="22" s="1"/>
  <c r="H540" i="22" s="1"/>
  <c r="H539" i="22" s="1"/>
  <c r="H538" i="22" s="1"/>
  <c r="H535" i="22"/>
  <c r="H534" i="22" s="1"/>
  <c r="H533" i="22" s="1"/>
  <c r="H532" i="22" s="1"/>
  <c r="H531" i="22" s="1"/>
  <c r="G535" i="22"/>
  <c r="G534" i="22" s="1"/>
  <c r="G533" i="22" s="1"/>
  <c r="G532" i="22" s="1"/>
  <c r="G531" i="22" s="1"/>
  <c r="H529" i="22"/>
  <c r="G529" i="22"/>
  <c r="G528" i="22" s="1"/>
  <c r="H528" i="22"/>
  <c r="G527" i="22"/>
  <c r="G526" i="22" s="1"/>
  <c r="G525" i="22" s="1"/>
  <c r="G524" i="22" s="1"/>
  <c r="G523" i="22" s="1"/>
  <c r="G522" i="22" s="1"/>
  <c r="G521" i="22" s="1"/>
  <c r="H519" i="22"/>
  <c r="H518" i="22" s="1"/>
  <c r="H517" i="22" s="1"/>
  <c r="H516" i="22" s="1"/>
  <c r="H1147" i="22" s="1"/>
  <c r="G519" i="22"/>
  <c r="G518" i="22" s="1"/>
  <c r="G517" i="22" s="1"/>
  <c r="G515" i="22"/>
  <c r="H515" i="22" s="1"/>
  <c r="G514" i="22"/>
  <c r="H514" i="22" s="1"/>
  <c r="G513" i="22"/>
  <c r="H513" i="22" s="1"/>
  <c r="H512" i="22"/>
  <c r="H511" i="22" s="1"/>
  <c r="H510" i="22" s="1"/>
  <c r="G511" i="22"/>
  <c r="G510" i="22" s="1"/>
  <c r="H505" i="22"/>
  <c r="G505" i="22"/>
  <c r="H504" i="22"/>
  <c r="H503" i="22" s="1"/>
  <c r="G504" i="22"/>
  <c r="G503" i="22" s="1"/>
  <c r="H502" i="22"/>
  <c r="H501" i="22" s="1"/>
  <c r="H500" i="22" s="1"/>
  <c r="G501" i="22"/>
  <c r="G500" i="22"/>
  <c r="G499" i="22"/>
  <c r="G497" i="22"/>
  <c r="H497" i="22" s="1"/>
  <c r="H496" i="22" s="1"/>
  <c r="H495" i="22"/>
  <c r="H494" i="22" s="1"/>
  <c r="G494" i="22"/>
  <c r="H486" i="22"/>
  <c r="H485" i="22" s="1"/>
  <c r="G486" i="22"/>
  <c r="G485" i="22" s="1"/>
  <c r="H482" i="22"/>
  <c r="H542" i="23" s="1"/>
  <c r="G481" i="22"/>
  <c r="G480" i="22" s="1"/>
  <c r="G479" i="22" s="1"/>
  <c r="H478" i="22"/>
  <c r="G477" i="22"/>
  <c r="H476" i="22"/>
  <c r="H497" i="23" s="1"/>
  <c r="G475" i="22"/>
  <c r="H474" i="22"/>
  <c r="H494" i="23" s="1"/>
  <c r="G473" i="22"/>
  <c r="H466" i="22"/>
  <c r="G466" i="22"/>
  <c r="H465" i="22"/>
  <c r="H464" i="22" s="1"/>
  <c r="G465" i="22"/>
  <c r="G464" i="22" s="1"/>
  <c r="H463" i="22"/>
  <c r="H125" i="23" s="1"/>
  <c r="G462" i="22"/>
  <c r="H461" i="22"/>
  <c r="H122" i="23" s="1"/>
  <c r="G460" i="22"/>
  <c r="G459" i="22" s="1"/>
  <c r="G458" i="22" s="1"/>
  <c r="H457" i="22"/>
  <c r="H115" i="23" s="1"/>
  <c r="G456" i="22"/>
  <c r="G455" i="22" s="1"/>
  <c r="H452" i="22"/>
  <c r="H66" i="23" s="1"/>
  <c r="G452" i="22"/>
  <c r="H451" i="22"/>
  <c r="H450" i="22" s="1"/>
  <c r="H449" i="22" s="1"/>
  <c r="H448" i="22" s="1"/>
  <c r="H443" i="22"/>
  <c r="G443" i="22"/>
  <c r="G442" i="22" s="1"/>
  <c r="G440" i="22" s="1"/>
  <c r="H442" i="22"/>
  <c r="H441" i="22" s="1"/>
  <c r="H440" i="22" s="1"/>
  <c r="G441" i="22"/>
  <c r="G439" i="22"/>
  <c r="H438" i="22"/>
  <c r="H437" i="22" s="1"/>
  <c r="H436" i="22" s="1"/>
  <c r="H435" i="22" s="1"/>
  <c r="H434" i="22" s="1"/>
  <c r="G438" i="22"/>
  <c r="G437" i="22" s="1"/>
  <c r="G436" i="22" s="1"/>
  <c r="G435" i="22" s="1"/>
  <c r="G434" i="22" s="1"/>
  <c r="G433" i="22"/>
  <c r="H433" i="22" s="1"/>
  <c r="H432" i="22" s="1"/>
  <c r="H431" i="22" s="1"/>
  <c r="G430" i="22"/>
  <c r="G429" i="22" s="1"/>
  <c r="G428" i="22"/>
  <c r="G427" i="22" s="1"/>
  <c r="H426" i="22"/>
  <c r="G425" i="22"/>
  <c r="H421" i="22"/>
  <c r="G420" i="22"/>
  <c r="G419" i="22" s="1"/>
  <c r="G418" i="22"/>
  <c r="H418" i="22" s="1"/>
  <c r="G417" i="22"/>
  <c r="H417" i="22" s="1"/>
  <c r="H416" i="22"/>
  <c r="H415" i="22" s="1"/>
  <c r="H414" i="22" s="1"/>
  <c r="G415" i="22"/>
  <c r="G414" i="22" s="1"/>
  <c r="H409" i="22"/>
  <c r="H408" i="22" s="1"/>
  <c r="H407" i="22" s="1"/>
  <c r="H406" i="22" s="1"/>
  <c r="G409" i="22"/>
  <c r="G408" i="22" s="1"/>
  <c r="G407" i="22" s="1"/>
  <c r="G406" i="22" s="1"/>
  <c r="H404" i="22"/>
  <c r="H403" i="22" s="1"/>
  <c r="H401" i="22" s="1"/>
  <c r="G404" i="22"/>
  <c r="G403" i="22" s="1"/>
  <c r="G401" i="22" s="1"/>
  <c r="H402" i="22"/>
  <c r="G402" i="22"/>
  <c r="H399" i="22"/>
  <c r="H398" i="22" s="1"/>
  <c r="H397" i="22" s="1"/>
  <c r="G399" i="22"/>
  <c r="G398" i="22" s="1"/>
  <c r="G397" i="22" s="1"/>
  <c r="H395" i="22"/>
  <c r="G395" i="22"/>
  <c r="G394" i="22" s="1"/>
  <c r="G393" i="22" s="1"/>
  <c r="H394" i="22"/>
  <c r="H393" i="22" s="1"/>
  <c r="G392" i="22"/>
  <c r="G581" i="23" s="1"/>
  <c r="H387" i="22"/>
  <c r="H386" i="22" s="1"/>
  <c r="H385" i="22" s="1"/>
  <c r="G387" i="22"/>
  <c r="G386" i="22" s="1"/>
  <c r="G385" i="22" s="1"/>
  <c r="H384" i="22"/>
  <c r="G768" i="21" s="1"/>
  <c r="G767" i="21" s="1"/>
  <c r="G766" i="21" s="1"/>
  <c r="G383" i="22"/>
  <c r="G382" i="22" s="1"/>
  <c r="H381" i="22"/>
  <c r="H563" i="23" s="1"/>
  <c r="G380" i="22"/>
  <c r="G379" i="22" s="1"/>
  <c r="G378" i="22" s="1"/>
  <c r="H377" i="22"/>
  <c r="G761" i="21" s="1"/>
  <c r="G760" i="21" s="1"/>
  <c r="G759" i="21" s="1"/>
  <c r="G758" i="21" s="1"/>
  <c r="G376" i="22"/>
  <c r="G375" i="22" s="1"/>
  <c r="G374" i="22" s="1"/>
  <c r="G373" i="22"/>
  <c r="G372" i="22" s="1"/>
  <c r="H370" i="22"/>
  <c r="G370" i="22"/>
  <c r="H367" i="22"/>
  <c r="H488" i="23" s="1"/>
  <c r="G366" i="22"/>
  <c r="H365" i="22"/>
  <c r="G749" i="21" s="1"/>
  <c r="G748" i="21" s="1"/>
  <c r="G364" i="22"/>
  <c r="H363" i="22"/>
  <c r="H482" i="23" s="1"/>
  <c r="G362" i="22"/>
  <c r="G356" i="22"/>
  <c r="G58" i="23" s="1"/>
  <c r="G352" i="22"/>
  <c r="H351" i="22"/>
  <c r="G351" i="22"/>
  <c r="G350" i="22"/>
  <c r="G349" i="22" s="1"/>
  <c r="G346" i="22"/>
  <c r="G41" i="23" s="1"/>
  <c r="G345" i="22"/>
  <c r="H345" i="22" s="1"/>
  <c r="G344" i="22"/>
  <c r="H344" i="22" s="1"/>
  <c r="G343" i="22"/>
  <c r="G37" i="23" s="1"/>
  <c r="H335" i="22"/>
  <c r="G335" i="22"/>
  <c r="H334" i="22"/>
  <c r="H333" i="22" s="1"/>
  <c r="G334" i="22"/>
  <c r="G333" i="22" s="1"/>
  <c r="H332" i="22"/>
  <c r="G332" i="22"/>
  <c r="H330" i="22"/>
  <c r="G330" i="22"/>
  <c r="H329" i="22"/>
  <c r="G329" i="22"/>
  <c r="H328" i="22"/>
  <c r="G328" i="22"/>
  <c r="H327" i="22"/>
  <c r="G327" i="22"/>
  <c r="G326" i="22"/>
  <c r="G557" i="23" s="1"/>
  <c r="H323" i="22"/>
  <c r="G322" i="22"/>
  <c r="G321" i="22" s="1"/>
  <c r="H320" i="22"/>
  <c r="H549" i="23" s="1"/>
  <c r="G319" i="22"/>
  <c r="G318" i="22" s="1"/>
  <c r="H316" i="22"/>
  <c r="H530" i="23" s="1"/>
  <c r="G315" i="22"/>
  <c r="G314" i="22" s="1"/>
  <c r="G313" i="22" s="1"/>
  <c r="G312" i="22"/>
  <c r="G514" i="23" s="1"/>
  <c r="G311" i="22"/>
  <c r="H311" i="22" s="1"/>
  <c r="G310" i="22"/>
  <c r="G307" i="22"/>
  <c r="G303" i="22"/>
  <c r="G476" i="23" s="1"/>
  <c r="H301" i="22"/>
  <c r="H473" i="23" s="1"/>
  <c r="G300" i="22"/>
  <c r="H299" i="22"/>
  <c r="H470" i="23" s="1"/>
  <c r="G298" i="22"/>
  <c r="G297" i="22" s="1"/>
  <c r="G296" i="22" s="1"/>
  <c r="H291" i="22"/>
  <c r="H290" i="22" s="1"/>
  <c r="H289" i="22" s="1"/>
  <c r="G291" i="22"/>
  <c r="G290" i="22" s="1"/>
  <c r="G289" i="22" s="1"/>
  <c r="G288" i="22"/>
  <c r="G88" i="23" s="1"/>
  <c r="G287" i="22"/>
  <c r="H287" i="22" s="1"/>
  <c r="G286" i="22"/>
  <c r="G285" i="22" s="1"/>
  <c r="G284" i="22"/>
  <c r="G81" i="23" s="1"/>
  <c r="G280" i="22"/>
  <c r="G74" i="23" s="1"/>
  <c r="G279" i="22"/>
  <c r="H279" i="22" s="1"/>
  <c r="G278" i="22"/>
  <c r="G277" i="22" s="1"/>
  <c r="G272" i="22"/>
  <c r="G805" i="23" s="1"/>
  <c r="H267" i="22"/>
  <c r="H793" i="23" s="1"/>
  <c r="G266" i="22"/>
  <c r="G265" i="22" s="1"/>
  <c r="H263" i="22"/>
  <c r="G263" i="22"/>
  <c r="H262" i="22"/>
  <c r="G262" i="22"/>
  <c r="G261" i="22"/>
  <c r="F195" i="21" s="1"/>
  <c r="F194" i="21" s="1"/>
  <c r="F193" i="21" s="1"/>
  <c r="G260" i="22"/>
  <c r="H260" i="22" s="1"/>
  <c r="G259" i="22"/>
  <c r="H259" i="22" s="1"/>
  <c r="H257" i="22"/>
  <c r="H256" i="22" s="1"/>
  <c r="G257" i="22"/>
  <c r="G256" i="22" s="1"/>
  <c r="G255" i="22"/>
  <c r="G767" i="23" s="1"/>
  <c r="H254" i="22"/>
  <c r="H253" i="22" s="1"/>
  <c r="G254" i="22"/>
  <c r="G253" i="22"/>
  <c r="H249" i="22"/>
  <c r="H248" i="22" s="1"/>
  <c r="H247" i="22" s="1"/>
  <c r="H246" i="22" s="1"/>
  <c r="H245" i="22" s="1"/>
  <c r="G249" i="22"/>
  <c r="G248" i="22" s="1"/>
  <c r="G247" i="22" s="1"/>
  <c r="G246" i="22" s="1"/>
  <c r="G245" i="22" s="1"/>
  <c r="H241" i="22"/>
  <c r="H240" i="22" s="1"/>
  <c r="G240" i="22"/>
  <c r="H238" i="22"/>
  <c r="G238" i="22"/>
  <c r="G237" i="22" s="1"/>
  <c r="G236" i="22" s="1"/>
  <c r="H232" i="22"/>
  <c r="G232" i="22"/>
  <c r="H231" i="22"/>
  <c r="G231" i="22"/>
  <c r="G230" i="22"/>
  <c r="G229" i="22" s="1"/>
  <c r="G228" i="22" s="1"/>
  <c r="H224" i="22"/>
  <c r="H223" i="22" s="1"/>
  <c r="H222" i="22" s="1"/>
  <c r="H221" i="22" s="1"/>
  <c r="H220" i="22" s="1"/>
  <c r="H219" i="22" s="1"/>
  <c r="G223" i="22"/>
  <c r="G222" i="22" s="1"/>
  <c r="G221" i="22" s="1"/>
  <c r="G220" i="22" s="1"/>
  <c r="G219" i="22" s="1"/>
  <c r="H217" i="22"/>
  <c r="H350" i="23" s="1"/>
  <c r="G216" i="22"/>
  <c r="G212" i="22"/>
  <c r="G211" i="22" s="1"/>
  <c r="H211" i="22"/>
  <c r="G210" i="22"/>
  <c r="G209" i="22" s="1"/>
  <c r="G208" i="22" s="1"/>
  <c r="G207" i="22" s="1"/>
  <c r="H203" i="22"/>
  <c r="G203" i="22"/>
  <c r="G202" i="22" s="1"/>
  <c r="G201" i="22" s="1"/>
  <c r="H202" i="22"/>
  <c r="H201" i="22" s="1"/>
  <c r="H199" i="22"/>
  <c r="H198" i="22" s="1"/>
  <c r="G199" i="22"/>
  <c r="G198" i="22" s="1"/>
  <c r="H197" i="22"/>
  <c r="H702" i="23" s="1"/>
  <c r="G197" i="22"/>
  <c r="F255" i="21" s="1"/>
  <c r="F254" i="21" s="1"/>
  <c r="F253" i="21" s="1"/>
  <c r="G190" i="22"/>
  <c r="G189" i="22" s="1"/>
  <c r="G188" i="22" s="1"/>
  <c r="G187" i="22"/>
  <c r="H187" i="22" s="1"/>
  <c r="H186" i="22" s="1"/>
  <c r="H185" i="22"/>
  <c r="G243" i="21" s="1"/>
  <c r="G242" i="21" s="1"/>
  <c r="G184" i="22"/>
  <c r="H184" i="22" s="1"/>
  <c r="G181" i="22"/>
  <c r="G180" i="22" s="1"/>
  <c r="G179" i="22" s="1"/>
  <c r="G178" i="22"/>
  <c r="H178" i="22" s="1"/>
  <c r="G171" i="22"/>
  <c r="H171" i="22" s="1"/>
  <c r="G170" i="22"/>
  <c r="H170" i="22" s="1"/>
  <c r="G169" i="22"/>
  <c r="G168" i="22" s="1"/>
  <c r="G167" i="22" s="1"/>
  <c r="G166" i="22" s="1"/>
  <c r="G165" i="22" s="1"/>
  <c r="G1105" i="22" s="1"/>
  <c r="H163" i="22"/>
  <c r="G163" i="22"/>
  <c r="H162" i="22"/>
  <c r="H161" i="22" s="1"/>
  <c r="G162" i="22"/>
  <c r="G161" i="22" s="1"/>
  <c r="H160" i="22"/>
  <c r="H1149" i="22" s="1"/>
  <c r="G160" i="22"/>
  <c r="G1149" i="22" s="1"/>
  <c r="H158" i="22"/>
  <c r="G158" i="22"/>
  <c r="H157" i="22"/>
  <c r="H156" i="22" s="1"/>
  <c r="H155" i="22" s="1"/>
  <c r="H1148" i="22" s="1"/>
  <c r="G157" i="22"/>
  <c r="G156" i="22" s="1"/>
  <c r="G155" i="22" s="1"/>
  <c r="G1148" i="22" s="1"/>
  <c r="G154" i="22"/>
  <c r="G153" i="22" s="1"/>
  <c r="G152" i="22" s="1"/>
  <c r="G151" i="22" s="1"/>
  <c r="H149" i="22"/>
  <c r="G149" i="22"/>
  <c r="H148" i="22"/>
  <c r="H147" i="22" s="1"/>
  <c r="G148" i="22"/>
  <c r="G147" i="22" s="1"/>
  <c r="H144" i="22"/>
  <c r="G144" i="22"/>
  <c r="H143" i="22"/>
  <c r="G143" i="22"/>
  <c r="H142" i="22"/>
  <c r="G142" i="22"/>
  <c r="H141" i="22"/>
  <c r="G141" i="22"/>
  <c r="H140" i="22"/>
  <c r="H139" i="22" s="1"/>
  <c r="H138" i="22" s="1"/>
  <c r="G139" i="22"/>
  <c r="G138" i="22" s="1"/>
  <c r="H137" i="22"/>
  <c r="H136" i="22" s="1"/>
  <c r="G136" i="22"/>
  <c r="H135" i="22"/>
  <c r="H134" i="22" s="1"/>
  <c r="G134" i="22"/>
  <c r="G133" i="22" s="1"/>
  <c r="H128" i="22"/>
  <c r="G128" i="22"/>
  <c r="H126" i="22"/>
  <c r="G126" i="22"/>
  <c r="G125" i="22" s="1"/>
  <c r="G124" i="22" s="1"/>
  <c r="G123" i="22" s="1"/>
  <c r="G122" i="22" s="1"/>
  <c r="H125" i="22"/>
  <c r="H124" i="22" s="1"/>
  <c r="H123" i="22" s="1"/>
  <c r="H122" i="22" s="1"/>
  <c r="H121" i="22"/>
  <c r="H120" i="22" s="1"/>
  <c r="H119" i="22" s="1"/>
  <c r="G120" i="22"/>
  <c r="G119" i="22" s="1"/>
  <c r="H118" i="22"/>
  <c r="H117" i="22" s="1"/>
  <c r="H116" i="22" s="1"/>
  <c r="H115" i="22" s="1"/>
  <c r="H114" i="22" s="1"/>
  <c r="H113" i="22" s="1"/>
  <c r="G117" i="22"/>
  <c r="G116" i="22" s="1"/>
  <c r="G112" i="22"/>
  <c r="G396" i="23" s="1"/>
  <c r="G111" i="22"/>
  <c r="H111" i="22" s="1"/>
  <c r="G110" i="22"/>
  <c r="H110" i="22" s="1"/>
  <c r="G109" i="22"/>
  <c r="G392" i="23" s="1"/>
  <c r="H104" i="22"/>
  <c r="G104" i="22"/>
  <c r="G103" i="22" s="1"/>
  <c r="H103" i="22"/>
  <c r="H101" i="22"/>
  <c r="G101" i="22"/>
  <c r="G100" i="22" s="1"/>
  <c r="H100" i="22"/>
  <c r="G99" i="22"/>
  <c r="G377" i="23" s="1"/>
  <c r="G97" i="22"/>
  <c r="G374" i="23" s="1"/>
  <c r="H93" i="22"/>
  <c r="G89" i="21" s="1"/>
  <c r="G88" i="21" s="1"/>
  <c r="G87" i="21" s="1"/>
  <c r="G86" i="21" s="1"/>
  <c r="G92" i="22"/>
  <c r="G91" i="22" s="1"/>
  <c r="G90" i="22" s="1"/>
  <c r="H88" i="22"/>
  <c r="H87" i="22" s="1"/>
  <c r="G87" i="22"/>
  <c r="H86" i="22"/>
  <c r="H85" i="22" s="1"/>
  <c r="H84" i="22" s="1"/>
  <c r="G85" i="22"/>
  <c r="G83" i="22"/>
  <c r="G82" i="22" s="1"/>
  <c r="G81" i="22"/>
  <c r="G80" i="22" s="1"/>
  <c r="H77" i="22"/>
  <c r="G77" i="22"/>
  <c r="H75" i="22"/>
  <c r="H74" i="22" s="1"/>
  <c r="G75" i="22"/>
  <c r="G74" i="22" s="1"/>
  <c r="H72" i="22"/>
  <c r="H71" i="22" s="1"/>
  <c r="G72" i="22"/>
  <c r="G71" i="22" s="1"/>
  <c r="H69" i="22"/>
  <c r="H68" i="22" s="1"/>
  <c r="H67" i="22" s="1"/>
  <c r="G68" i="22"/>
  <c r="G67" i="22" s="1"/>
  <c r="H66" i="22"/>
  <c r="H65" i="22" s="1"/>
  <c r="G65" i="22"/>
  <c r="G64" i="22" s="1"/>
  <c r="H64" i="22" s="1"/>
  <c r="H63" i="22"/>
  <c r="H62" i="22" s="1"/>
  <c r="G62" i="22"/>
  <c r="H61" i="22"/>
  <c r="H60" i="22" s="1"/>
  <c r="G60" i="22"/>
  <c r="H59" i="22"/>
  <c r="H58" i="22" s="1"/>
  <c r="G58" i="22"/>
  <c r="H57" i="22"/>
  <c r="H56" i="22" s="1"/>
  <c r="G57" i="22"/>
  <c r="G56" i="22" s="1"/>
  <c r="G55" i="22" s="1"/>
  <c r="G54" i="22" s="1"/>
  <c r="H50" i="22"/>
  <c r="H49" i="22" s="1"/>
  <c r="G50" i="22"/>
  <c r="G49" i="22" s="1"/>
  <c r="G48" i="22"/>
  <c r="G43" i="22"/>
  <c r="G42" i="22" s="1"/>
  <c r="H40" i="22"/>
  <c r="H39" i="22" s="1"/>
  <c r="G39" i="22"/>
  <c r="H38" i="22"/>
  <c r="H37" i="22" s="1"/>
  <c r="G37" i="22"/>
  <c r="G36" i="22" s="1"/>
  <c r="H29" i="22"/>
  <c r="G29" i="22"/>
  <c r="G28" i="22" s="1"/>
  <c r="G27" i="22" s="1"/>
  <c r="G26" i="22" s="1"/>
  <c r="G25" i="22" s="1"/>
  <c r="H28" i="22"/>
  <c r="H27" i="22" s="1"/>
  <c r="H26" i="22" s="1"/>
  <c r="H25" i="22" s="1"/>
  <c r="H23" i="22"/>
  <c r="H22" i="22" s="1"/>
  <c r="G23" i="22"/>
  <c r="G22" i="22" s="1"/>
  <c r="H20" i="22"/>
  <c r="G20" i="22"/>
  <c r="H19" i="22"/>
  <c r="H18" i="22" s="1"/>
  <c r="G18" i="22"/>
  <c r="H17" i="22"/>
  <c r="H16" i="22" s="1"/>
  <c r="G16" i="22"/>
  <c r="G969" i="21"/>
  <c r="F969" i="21"/>
  <c r="F968" i="21" s="1"/>
  <c r="G968" i="21"/>
  <c r="G967" i="21" s="1"/>
  <c r="G966" i="21" s="1"/>
  <c r="G965" i="21" s="1"/>
  <c r="F967" i="21"/>
  <c r="F966" i="21" s="1"/>
  <c r="F965" i="21" s="1"/>
  <c r="G964" i="21"/>
  <c r="G963" i="21" s="1"/>
  <c r="G962" i="21" s="1"/>
  <c r="F964" i="21"/>
  <c r="F963" i="21" s="1"/>
  <c r="F962" i="21" s="1"/>
  <c r="G961" i="21"/>
  <c r="F961" i="21"/>
  <c r="F960" i="21" s="1"/>
  <c r="G960" i="21"/>
  <c r="G959" i="21"/>
  <c r="F959" i="21"/>
  <c r="F958" i="21" s="1"/>
  <c r="G958" i="21"/>
  <c r="G957" i="21"/>
  <c r="F957" i="21"/>
  <c r="F956" i="21" s="1"/>
  <c r="G956" i="21"/>
  <c r="F950" i="21"/>
  <c r="F949" i="21" s="1"/>
  <c r="G948" i="21"/>
  <c r="G947" i="21" s="1"/>
  <c r="F948" i="21"/>
  <c r="F947" i="21" s="1"/>
  <c r="F946" i="21" s="1"/>
  <c r="F945" i="21" s="1"/>
  <c r="F944" i="21" s="1"/>
  <c r="G943" i="21"/>
  <c r="F943" i="21"/>
  <c r="F942" i="21" s="1"/>
  <c r="F941" i="21" s="1"/>
  <c r="G942" i="21"/>
  <c r="G941" i="21" s="1"/>
  <c r="G938" i="21"/>
  <c r="G937" i="21" s="1"/>
  <c r="F938" i="21"/>
  <c r="F937" i="21" s="1"/>
  <c r="G936" i="21"/>
  <c r="G935" i="21" s="1"/>
  <c r="F936" i="21"/>
  <c r="F935" i="21" s="1"/>
  <c r="G931" i="21"/>
  <c r="F931" i="21"/>
  <c r="G930" i="21"/>
  <c r="G929" i="21" s="1"/>
  <c r="F930" i="21"/>
  <c r="F929" i="21" s="1"/>
  <c r="G928" i="21"/>
  <c r="G927" i="21" s="1"/>
  <c r="F928" i="21"/>
  <c r="F927" i="21" s="1"/>
  <c r="F926" i="21" s="1"/>
  <c r="F925" i="21" s="1"/>
  <c r="F924" i="21" s="1"/>
  <c r="G926" i="21"/>
  <c r="G922" i="21"/>
  <c r="G921" i="21" s="1"/>
  <c r="G920" i="21" s="1"/>
  <c r="G919" i="21" s="1"/>
  <c r="G918" i="21" s="1"/>
  <c r="F922" i="21"/>
  <c r="F921" i="21" s="1"/>
  <c r="F920" i="21" s="1"/>
  <c r="F919" i="21" s="1"/>
  <c r="F918" i="21" s="1"/>
  <c r="G917" i="21"/>
  <c r="G916" i="21" s="1"/>
  <c r="G915" i="21" s="1"/>
  <c r="G914" i="21" s="1"/>
  <c r="G913" i="21" s="1"/>
  <c r="F917" i="21"/>
  <c r="F916" i="21" s="1"/>
  <c r="F915" i="21" s="1"/>
  <c r="F914" i="21" s="1"/>
  <c r="F913" i="21" s="1"/>
  <c r="F912" i="21"/>
  <c r="F911" i="21" s="1"/>
  <c r="F910" i="21" s="1"/>
  <c r="F909" i="21" s="1"/>
  <c r="G908" i="21"/>
  <c r="F908" i="21"/>
  <c r="G907" i="21"/>
  <c r="G906" i="21" s="1"/>
  <c r="F907" i="21"/>
  <c r="F906" i="21" s="1"/>
  <c r="G905" i="21"/>
  <c r="F905" i="21"/>
  <c r="G904" i="21"/>
  <c r="F904" i="21"/>
  <c r="G903" i="21"/>
  <c r="F903" i="21"/>
  <c r="F902" i="21" s="1"/>
  <c r="F901" i="21"/>
  <c r="F900" i="21" s="1"/>
  <c r="F899" i="21" s="1"/>
  <c r="F898" i="21"/>
  <c r="F897" i="21"/>
  <c r="F896" i="21" s="1"/>
  <c r="G895" i="21"/>
  <c r="F895" i="21"/>
  <c r="G894" i="21"/>
  <c r="F894" i="21"/>
  <c r="G893" i="21"/>
  <c r="F893" i="21"/>
  <c r="G891" i="21"/>
  <c r="G890" i="21" s="1"/>
  <c r="G889" i="21" s="1"/>
  <c r="G888" i="21" s="1"/>
  <c r="F891" i="21"/>
  <c r="F890" i="21" s="1"/>
  <c r="F889" i="21" s="1"/>
  <c r="F888" i="21" s="1"/>
  <c r="F884" i="21"/>
  <c r="F883" i="21"/>
  <c r="F882" i="21" s="1"/>
  <c r="F881" i="21" s="1"/>
  <c r="F880" i="21" s="1"/>
  <c r="F879" i="21"/>
  <c r="F878" i="21" s="1"/>
  <c r="G877" i="21"/>
  <c r="G876" i="21" s="1"/>
  <c r="F877" i="21"/>
  <c r="F876" i="21" s="1"/>
  <c r="F875" i="21" s="1"/>
  <c r="F874" i="21" s="1"/>
  <c r="F873" i="21" s="1"/>
  <c r="G871" i="21"/>
  <c r="G870" i="21" s="1"/>
  <c r="G869" i="21" s="1"/>
  <c r="G868" i="21" s="1"/>
  <c r="G867" i="21" s="1"/>
  <c r="G866" i="21" s="1"/>
  <c r="F871" i="21"/>
  <c r="F870" i="21" s="1"/>
  <c r="F869" i="21" s="1"/>
  <c r="F868" i="21" s="1"/>
  <c r="F867" i="21" s="1"/>
  <c r="F866" i="21" s="1"/>
  <c r="G865" i="21"/>
  <c r="G864" i="21" s="1"/>
  <c r="G863" i="21" s="1"/>
  <c r="F865" i="21"/>
  <c r="F864" i="21" s="1"/>
  <c r="F863" i="21" s="1"/>
  <c r="G857" i="21"/>
  <c r="G856" i="21" s="1"/>
  <c r="G855" i="21" s="1"/>
  <c r="G854" i="21" s="1"/>
  <c r="F857" i="21"/>
  <c r="F856" i="21" s="1"/>
  <c r="F855" i="21" s="1"/>
  <c r="F854" i="21" s="1"/>
  <c r="G853" i="21"/>
  <c r="G852" i="21" s="1"/>
  <c r="F853" i="21"/>
  <c r="F852" i="21" s="1"/>
  <c r="G851" i="21"/>
  <c r="G850" i="21" s="1"/>
  <c r="G849" i="21" s="1"/>
  <c r="F851" i="21"/>
  <c r="F850" i="21" s="1"/>
  <c r="F849" i="21" s="1"/>
  <c r="G847" i="21"/>
  <c r="G846" i="21" s="1"/>
  <c r="G845" i="21" s="1"/>
  <c r="F847" i="21"/>
  <c r="F846" i="21" s="1"/>
  <c r="F845" i="21" s="1"/>
  <c r="G842" i="21"/>
  <c r="G841" i="21" s="1"/>
  <c r="G840" i="21" s="1"/>
  <c r="G839" i="21" s="1"/>
  <c r="G838" i="21" s="1"/>
  <c r="G835" i="21"/>
  <c r="G834" i="21" s="1"/>
  <c r="G833" i="21" s="1"/>
  <c r="G832" i="21" s="1"/>
  <c r="G831" i="21" s="1"/>
  <c r="G830" i="21" s="1"/>
  <c r="E42" i="20" s="1"/>
  <c r="F835" i="21"/>
  <c r="F834" i="21" s="1"/>
  <c r="F833" i="21" s="1"/>
  <c r="F832" i="21" s="1"/>
  <c r="F831" i="21" s="1"/>
  <c r="F830" i="21" s="1"/>
  <c r="G828" i="21"/>
  <c r="G827" i="21" s="1"/>
  <c r="G826" i="21" s="1"/>
  <c r="G825" i="21" s="1"/>
  <c r="G824" i="21" s="1"/>
  <c r="F828" i="21"/>
  <c r="F827" i="21" s="1"/>
  <c r="F826" i="21" s="1"/>
  <c r="F824" i="21" s="1"/>
  <c r="G823" i="21"/>
  <c r="G822" i="21" s="1"/>
  <c r="G821" i="21" s="1"/>
  <c r="G820" i="21" s="1"/>
  <c r="G819" i="21" s="1"/>
  <c r="G818" i="21" s="1"/>
  <c r="F817" i="21"/>
  <c r="F816" i="21" s="1"/>
  <c r="F815" i="21" s="1"/>
  <c r="F812" i="21"/>
  <c r="F811" i="21" s="1"/>
  <c r="F810" i="21"/>
  <c r="F809" i="21" s="1"/>
  <c r="F805" i="21"/>
  <c r="F804" i="21" s="1"/>
  <c r="F803" i="21" s="1"/>
  <c r="G802" i="21"/>
  <c r="F802" i="21"/>
  <c r="G801" i="21"/>
  <c r="F801" i="21"/>
  <c r="F800" i="21"/>
  <c r="F799" i="21" s="1"/>
  <c r="F798" i="21" s="1"/>
  <c r="G794" i="21"/>
  <c r="G793" i="21" s="1"/>
  <c r="G792" i="21" s="1"/>
  <c r="G791" i="21" s="1"/>
  <c r="G790" i="21" s="1"/>
  <c r="F794" i="21"/>
  <c r="F793" i="21" s="1"/>
  <c r="F792" i="21" s="1"/>
  <c r="F791" i="21" s="1"/>
  <c r="F790" i="21" s="1"/>
  <c r="G789" i="21"/>
  <c r="F789" i="21"/>
  <c r="G788" i="21"/>
  <c r="G787" i="21" s="1"/>
  <c r="G786" i="21" s="1"/>
  <c r="G785" i="21" s="1"/>
  <c r="F788" i="21"/>
  <c r="F787" i="21" s="1"/>
  <c r="F786" i="21" s="1"/>
  <c r="F785" i="21" s="1"/>
  <c r="G784" i="21"/>
  <c r="G783" i="21" s="1"/>
  <c r="G782" i="21" s="1"/>
  <c r="G781" i="21" s="1"/>
  <c r="F784" i="21"/>
  <c r="F783" i="21" s="1"/>
  <c r="F782" i="21" s="1"/>
  <c r="F781" i="21" s="1"/>
  <c r="G780" i="21"/>
  <c r="G779" i="21" s="1"/>
  <c r="G778" i="21" s="1"/>
  <c r="G777" i="21" s="1"/>
  <c r="F780" i="21"/>
  <c r="F779" i="21" s="1"/>
  <c r="F778" i="21" s="1"/>
  <c r="F777" i="21" s="1"/>
  <c r="F776" i="21"/>
  <c r="F775" i="21" s="1"/>
  <c r="F774" i="21" s="1"/>
  <c r="F773" i="21" s="1"/>
  <c r="G772" i="21"/>
  <c r="G771" i="21" s="1"/>
  <c r="G770" i="21" s="1"/>
  <c r="G769" i="21" s="1"/>
  <c r="F772" i="21"/>
  <c r="F771" i="21" s="1"/>
  <c r="F770" i="21" s="1"/>
  <c r="F769" i="21" s="1"/>
  <c r="F768" i="21"/>
  <c r="F767" i="21" s="1"/>
  <c r="F766" i="21" s="1"/>
  <c r="G765" i="21"/>
  <c r="F765" i="21"/>
  <c r="G764" i="21"/>
  <c r="G763" i="21" s="1"/>
  <c r="F764" i="21"/>
  <c r="F763" i="21" s="1"/>
  <c r="F762" i="21" s="1"/>
  <c r="F761" i="21"/>
  <c r="F760" i="21" s="1"/>
  <c r="F759" i="21" s="1"/>
  <c r="F758" i="21" s="1"/>
  <c r="G755" i="21"/>
  <c r="F755" i="21"/>
  <c r="G754" i="21"/>
  <c r="F754" i="21"/>
  <c r="F751" i="21"/>
  <c r="F750" i="21"/>
  <c r="F749" i="21"/>
  <c r="F748" i="21"/>
  <c r="F747" i="21"/>
  <c r="F746" i="21" s="1"/>
  <c r="G740" i="21"/>
  <c r="F740" i="21"/>
  <c r="G739" i="21"/>
  <c r="G738" i="21" s="1"/>
  <c r="F739" i="21"/>
  <c r="F738" i="21" s="1"/>
  <c r="G737" i="21"/>
  <c r="G736" i="21" s="1"/>
  <c r="F737" i="21"/>
  <c r="F736" i="21" s="1"/>
  <c r="G735" i="21"/>
  <c r="G734" i="21" s="1"/>
  <c r="G733" i="21"/>
  <c r="G732" i="21" s="1"/>
  <c r="F733" i="21"/>
  <c r="F732" i="21" s="1"/>
  <c r="G729" i="21"/>
  <c r="G728" i="21" s="1"/>
  <c r="G727" i="21" s="1"/>
  <c r="G726" i="21" s="1"/>
  <c r="F729" i="21"/>
  <c r="F728" i="21" s="1"/>
  <c r="F727" i="21" s="1"/>
  <c r="F726" i="21" s="1"/>
  <c r="G724" i="21"/>
  <c r="G723" i="21"/>
  <c r="G722" i="21" s="1"/>
  <c r="F721" i="21"/>
  <c r="F720" i="21" s="1"/>
  <c r="F719" i="21"/>
  <c r="F718" i="21" s="1"/>
  <c r="F717" i="21" s="1"/>
  <c r="G713" i="21"/>
  <c r="G712" i="21" s="1"/>
  <c r="G711" i="21" s="1"/>
  <c r="G710" i="21" s="1"/>
  <c r="G709" i="21" s="1"/>
  <c r="F713" i="21"/>
  <c r="F712" i="21" s="1"/>
  <c r="F711" i="21" s="1"/>
  <c r="F710" i="21" s="1"/>
  <c r="F709" i="21" s="1"/>
  <c r="G704" i="21"/>
  <c r="G703" i="21" s="1"/>
  <c r="F698" i="21"/>
  <c r="G698" i="21" s="1"/>
  <c r="F697" i="21"/>
  <c r="G697" i="21" s="1"/>
  <c r="F696" i="21"/>
  <c r="G696" i="21" s="1"/>
  <c r="G688" i="21"/>
  <c r="F688" i="21"/>
  <c r="G687" i="21"/>
  <c r="G686" i="21" s="1"/>
  <c r="F687" i="21"/>
  <c r="F686" i="21" s="1"/>
  <c r="G685" i="21"/>
  <c r="G684" i="21" s="1"/>
  <c r="G683" i="21" s="1"/>
  <c r="G682" i="21" s="1"/>
  <c r="G681" i="21" s="1"/>
  <c r="F685" i="21"/>
  <c r="F684" i="21" s="1"/>
  <c r="F683" i="21" s="1"/>
  <c r="G680" i="21"/>
  <c r="F680" i="21"/>
  <c r="G679" i="21"/>
  <c r="G678" i="21" s="1"/>
  <c r="G676" i="21" s="1"/>
  <c r="F679" i="21"/>
  <c r="F678" i="21" s="1"/>
  <c r="F676" i="21" s="1"/>
  <c r="G677" i="21"/>
  <c r="F677" i="21"/>
  <c r="F672" i="21"/>
  <c r="F671" i="21" s="1"/>
  <c r="F670" i="21" s="1"/>
  <c r="F669" i="21"/>
  <c r="F668" i="21" s="1"/>
  <c r="F667" i="21" s="1"/>
  <c r="F665" i="21"/>
  <c r="F664" i="21" s="1"/>
  <c r="F663" i="21" s="1"/>
  <c r="F662" i="21" s="1"/>
  <c r="F661" i="21"/>
  <c r="G661" i="21" s="1"/>
  <c r="F660" i="21"/>
  <c r="G660" i="21" s="1"/>
  <c r="F652" i="21"/>
  <c r="F651" i="21" s="1"/>
  <c r="G650" i="21"/>
  <c r="F650" i="21"/>
  <c r="G649" i="21"/>
  <c r="F649" i="21"/>
  <c r="G648" i="21"/>
  <c r="F648" i="21"/>
  <c r="G647" i="21"/>
  <c r="F647" i="21"/>
  <c r="G643" i="21"/>
  <c r="G642" i="21" s="1"/>
  <c r="G641" i="21" s="1"/>
  <c r="G640" i="21" s="1"/>
  <c r="F643" i="21"/>
  <c r="F642" i="21" s="1"/>
  <c r="F641" i="21" s="1"/>
  <c r="F640" i="21" s="1"/>
  <c r="F639" i="21"/>
  <c r="G639" i="21" s="1"/>
  <c r="F638" i="21"/>
  <c r="G638" i="21" s="1"/>
  <c r="F637" i="21"/>
  <c r="G637" i="21" s="1"/>
  <c r="G636" i="21" s="1"/>
  <c r="F635" i="21"/>
  <c r="F634" i="21" s="1"/>
  <c r="F633" i="21" s="1"/>
  <c r="F632" i="21"/>
  <c r="F631" i="21" s="1"/>
  <c r="F630" i="21" s="1"/>
  <c r="G629" i="21"/>
  <c r="G628" i="21" s="1"/>
  <c r="G627" i="21" s="1"/>
  <c r="F629" i="21"/>
  <c r="F628" i="21" s="1"/>
  <c r="F627" i="21" s="1"/>
  <c r="G625" i="21"/>
  <c r="G624" i="21" s="1"/>
  <c r="G623" i="21" s="1"/>
  <c r="G622" i="21" s="1"/>
  <c r="F625" i="21"/>
  <c r="F624" i="21" s="1"/>
  <c r="F623" i="21" s="1"/>
  <c r="F622" i="21" s="1"/>
  <c r="G619" i="21"/>
  <c r="G618" i="21" s="1"/>
  <c r="G617" i="21" s="1"/>
  <c r="G616" i="21" s="1"/>
  <c r="G615" i="21" s="1"/>
  <c r="F619" i="21"/>
  <c r="F618" i="21" s="1"/>
  <c r="F617" i="21" s="1"/>
  <c r="F616" i="21" s="1"/>
  <c r="F615" i="21" s="1"/>
  <c r="F614" i="21"/>
  <c r="F613" i="21" s="1"/>
  <c r="F612" i="21" s="1"/>
  <c r="F611" i="21" s="1"/>
  <c r="F610" i="21" s="1"/>
  <c r="G609" i="21"/>
  <c r="G608" i="21" s="1"/>
  <c r="G607" i="21" s="1"/>
  <c r="G606" i="21" s="1"/>
  <c r="F609" i="21"/>
  <c r="F608" i="21" s="1"/>
  <c r="F607" i="21" s="1"/>
  <c r="F606" i="21" s="1"/>
  <c r="G605" i="21"/>
  <c r="G604" i="21" s="1"/>
  <c r="G603" i="21" s="1"/>
  <c r="G602" i="21" s="1"/>
  <c r="F605" i="21"/>
  <c r="F604" i="21" s="1"/>
  <c r="F603" i="21" s="1"/>
  <c r="F602" i="21" s="1"/>
  <c r="G600" i="21"/>
  <c r="G599" i="21" s="1"/>
  <c r="F600" i="21"/>
  <c r="F599" i="21" s="1"/>
  <c r="G598" i="21"/>
  <c r="G597" i="21" s="1"/>
  <c r="G596" i="21" s="1"/>
  <c r="G595" i="21" s="1"/>
  <c r="F598" i="21"/>
  <c r="F597" i="21" s="1"/>
  <c r="F596" i="21" s="1"/>
  <c r="F595" i="21" s="1"/>
  <c r="G594" i="21"/>
  <c r="G593" i="21" s="1"/>
  <c r="G592" i="21" s="1"/>
  <c r="G591" i="21" s="1"/>
  <c r="F594" i="21"/>
  <c r="F593" i="21" s="1"/>
  <c r="F592" i="21" s="1"/>
  <c r="F591" i="21" s="1"/>
  <c r="G590" i="21"/>
  <c r="G589" i="21" s="1"/>
  <c r="G588" i="21" s="1"/>
  <c r="G587" i="21" s="1"/>
  <c r="F590" i="21"/>
  <c r="F589" i="21" s="1"/>
  <c r="F588" i="21" s="1"/>
  <c r="F587" i="21" s="1"/>
  <c r="F586" i="21"/>
  <c r="F585" i="21" s="1"/>
  <c r="F584" i="21" s="1"/>
  <c r="F576" i="21"/>
  <c r="F575" i="21" s="1"/>
  <c r="F574" i="21" s="1"/>
  <c r="G566" i="21"/>
  <c r="G565" i="21" s="1"/>
  <c r="G564" i="21" s="1"/>
  <c r="F566" i="21"/>
  <c r="F565" i="21" s="1"/>
  <c r="F564" i="21" s="1"/>
  <c r="G560" i="21"/>
  <c r="G559" i="21" s="1"/>
  <c r="G558" i="21" s="1"/>
  <c r="F560" i="21"/>
  <c r="F559" i="21" s="1"/>
  <c r="F558" i="21" s="1"/>
  <c r="G557" i="21"/>
  <c r="F557" i="21"/>
  <c r="G556" i="21"/>
  <c r="G555" i="21" s="1"/>
  <c r="F556" i="21"/>
  <c r="F555" i="21" s="1"/>
  <c r="F554" i="21"/>
  <c r="F553" i="21" s="1"/>
  <c r="F552" i="21" s="1"/>
  <c r="G551" i="21"/>
  <c r="F551" i="21"/>
  <c r="G550" i="21"/>
  <c r="G549" i="21" s="1"/>
  <c r="F550" i="21"/>
  <c r="F549" i="21" s="1"/>
  <c r="F547" i="21"/>
  <c r="F546" i="21"/>
  <c r="F545" i="21" s="1"/>
  <c r="F544" i="21" s="1"/>
  <c r="G541" i="21"/>
  <c r="F541" i="21"/>
  <c r="G540" i="21"/>
  <c r="G539" i="21" s="1"/>
  <c r="G538" i="21" s="1"/>
  <c r="G537" i="21" s="1"/>
  <c r="F540" i="21"/>
  <c r="F539" i="21" s="1"/>
  <c r="F538" i="21" s="1"/>
  <c r="F537" i="21" s="1"/>
  <c r="G536" i="21"/>
  <c r="G535" i="21" s="1"/>
  <c r="G534" i="21" s="1"/>
  <c r="G533" i="21" s="1"/>
  <c r="G532" i="21" s="1"/>
  <c r="F536" i="21"/>
  <c r="F535" i="21" s="1"/>
  <c r="F534" i="21" s="1"/>
  <c r="F533" i="21" s="1"/>
  <c r="F532" i="21" s="1"/>
  <c r="G531" i="21"/>
  <c r="F531" i="21"/>
  <c r="G530" i="21"/>
  <c r="G529" i="21" s="1"/>
  <c r="F530" i="21"/>
  <c r="F529" i="21" s="1"/>
  <c r="G528" i="21"/>
  <c r="G527" i="21" s="1"/>
  <c r="G526" i="21" s="1"/>
  <c r="G525" i="21" s="1"/>
  <c r="F528" i="21"/>
  <c r="F527" i="21" s="1"/>
  <c r="F526" i="21" s="1"/>
  <c r="F525" i="21" s="1"/>
  <c r="G524" i="21"/>
  <c r="G523" i="21" s="1"/>
  <c r="G522" i="21" s="1"/>
  <c r="F524" i="21"/>
  <c r="F523" i="21" s="1"/>
  <c r="F522" i="21" s="1"/>
  <c r="F517" i="21"/>
  <c r="F516" i="21" s="1"/>
  <c r="F515" i="21" s="1"/>
  <c r="F514" i="21"/>
  <c r="F513" i="21" s="1"/>
  <c r="F512" i="21" s="1"/>
  <c r="F507" i="21"/>
  <c r="F506" i="21"/>
  <c r="F505" i="21" s="1"/>
  <c r="F498" i="21" s="1"/>
  <c r="F501" i="21"/>
  <c r="F500" i="21" s="1"/>
  <c r="F499" i="21" s="1"/>
  <c r="G497" i="21"/>
  <c r="F497" i="21"/>
  <c r="G496" i="21"/>
  <c r="G495" i="21" s="1"/>
  <c r="F496" i="21"/>
  <c r="F495" i="21" s="1"/>
  <c r="G494" i="21"/>
  <c r="G493" i="21" s="1"/>
  <c r="G492" i="21" s="1"/>
  <c r="F494" i="21"/>
  <c r="F493" i="21" s="1"/>
  <c r="F492" i="21" s="1"/>
  <c r="G491" i="21"/>
  <c r="F491" i="21"/>
  <c r="G490" i="21"/>
  <c r="G489" i="21" s="1"/>
  <c r="F490" i="21"/>
  <c r="F489" i="21" s="1"/>
  <c r="G488" i="21"/>
  <c r="G487" i="21" s="1"/>
  <c r="G486" i="21" s="1"/>
  <c r="F488" i="21"/>
  <c r="F487" i="21" s="1"/>
  <c r="F486" i="21" s="1"/>
  <c r="G484" i="21"/>
  <c r="G483" i="21" s="1"/>
  <c r="G482" i="21" s="1"/>
  <c r="G481" i="21" s="1"/>
  <c r="F484" i="21"/>
  <c r="F483" i="21" s="1"/>
  <c r="F482" i="21" s="1"/>
  <c r="F481" i="21" s="1"/>
  <c r="G477" i="21"/>
  <c r="F477" i="21"/>
  <c r="G476" i="21"/>
  <c r="G475" i="21" s="1"/>
  <c r="G474" i="21" s="1"/>
  <c r="G473" i="21" s="1"/>
  <c r="F476" i="21"/>
  <c r="F475" i="21" s="1"/>
  <c r="F474" i="21" s="1"/>
  <c r="F473" i="21" s="1"/>
  <c r="G472" i="21"/>
  <c r="G471" i="21" s="1"/>
  <c r="G470" i="21" s="1"/>
  <c r="F472" i="21"/>
  <c r="F471" i="21" s="1"/>
  <c r="F470" i="21" s="1"/>
  <c r="G469" i="21"/>
  <c r="F469" i="21"/>
  <c r="G468" i="21"/>
  <c r="F468" i="21"/>
  <c r="G467" i="21"/>
  <c r="F467" i="21"/>
  <c r="G466" i="21"/>
  <c r="G465" i="21" s="1"/>
  <c r="G464" i="21" s="1"/>
  <c r="F466" i="21"/>
  <c r="F465" i="21" s="1"/>
  <c r="F464" i="21" s="1"/>
  <c r="F463" i="21"/>
  <c r="G463" i="21" s="1"/>
  <c r="F462" i="21"/>
  <c r="G462" i="21" s="1"/>
  <c r="F461" i="21"/>
  <c r="G461" i="21" s="1"/>
  <c r="G460" i="21"/>
  <c r="G459" i="21" s="1"/>
  <c r="G458" i="21" s="1"/>
  <c r="F460" i="21"/>
  <c r="F459" i="21" s="1"/>
  <c r="F458" i="21" s="1"/>
  <c r="G455" i="21"/>
  <c r="F455" i="21"/>
  <c r="G454" i="21"/>
  <c r="G453" i="21" s="1"/>
  <c r="F454" i="21"/>
  <c r="F453" i="21" s="1"/>
  <c r="F452" i="21"/>
  <c r="F451" i="21" s="1"/>
  <c r="F450" i="21"/>
  <c r="F449" i="21" s="1"/>
  <c r="G448" i="21"/>
  <c r="G447" i="21" s="1"/>
  <c r="F448" i="21"/>
  <c r="F447" i="21" s="1"/>
  <c r="F446" i="21" s="1"/>
  <c r="F445" i="21" s="1"/>
  <c r="F444" i="21" s="1"/>
  <c r="F442" i="21"/>
  <c r="F441" i="21" s="1"/>
  <c r="F440" i="21" s="1"/>
  <c r="G437" i="21"/>
  <c r="F437" i="21"/>
  <c r="G436" i="21"/>
  <c r="G435" i="21" s="1"/>
  <c r="F436" i="21"/>
  <c r="F435" i="21" s="1"/>
  <c r="F434" i="21"/>
  <c r="G430" i="21"/>
  <c r="G429" i="21" s="1"/>
  <c r="G428" i="21" s="1"/>
  <c r="F430" i="21"/>
  <c r="F429" i="21" s="1"/>
  <c r="F428" i="21" s="1"/>
  <c r="G427" i="21"/>
  <c r="F427" i="21"/>
  <c r="G426" i="21"/>
  <c r="G425" i="21" s="1"/>
  <c r="F426" i="21"/>
  <c r="F425" i="21" s="1"/>
  <c r="G422" i="21"/>
  <c r="G421" i="21" s="1"/>
  <c r="F422" i="21"/>
  <c r="F421" i="21" s="1"/>
  <c r="G419" i="21"/>
  <c r="F419" i="21"/>
  <c r="G418" i="21"/>
  <c r="G417" i="21" s="1"/>
  <c r="F418" i="21"/>
  <c r="F417" i="21" s="1"/>
  <c r="G416" i="21"/>
  <c r="G415" i="21" s="1"/>
  <c r="G414" i="21" s="1"/>
  <c r="F416" i="21"/>
  <c r="F415" i="21" s="1"/>
  <c r="F414" i="21" s="1"/>
  <c r="G413" i="21"/>
  <c r="F413" i="21"/>
  <c r="G412" i="21"/>
  <c r="F412" i="21"/>
  <c r="G411" i="21"/>
  <c r="F411" i="21"/>
  <c r="G410" i="21"/>
  <c r="G409" i="21" s="1"/>
  <c r="G408" i="21" s="1"/>
  <c r="F410" i="21"/>
  <c r="F409" i="21" s="1"/>
  <c r="F408" i="21" s="1"/>
  <c r="G407" i="21"/>
  <c r="F407" i="21"/>
  <c r="G406" i="21"/>
  <c r="G405" i="21" s="1"/>
  <c r="F406" i="21"/>
  <c r="F405" i="21" s="1"/>
  <c r="G403" i="21"/>
  <c r="F403" i="21"/>
  <c r="G402" i="21"/>
  <c r="G401" i="21" s="1"/>
  <c r="G400" i="21" s="1"/>
  <c r="F402" i="21"/>
  <c r="F401" i="21" s="1"/>
  <c r="F400" i="21" s="1"/>
  <c r="G398" i="21"/>
  <c r="G397" i="21" s="1"/>
  <c r="G396" i="21" s="1"/>
  <c r="G395" i="21" s="1"/>
  <c r="G394" i="21" s="1"/>
  <c r="F398" i="21"/>
  <c r="F397" i="21" s="1"/>
  <c r="F396" i="21"/>
  <c r="F395" i="21" s="1"/>
  <c r="F394" i="21" s="1"/>
  <c r="G392" i="21"/>
  <c r="G391" i="21" s="1"/>
  <c r="G390" i="21" s="1"/>
  <c r="G389" i="21" s="1"/>
  <c r="G388" i="21" s="1"/>
  <c r="F392" i="21"/>
  <c r="F391" i="21" s="1"/>
  <c r="F390" i="21" s="1"/>
  <c r="F389" i="21" s="1"/>
  <c r="F388" i="21" s="1"/>
  <c r="F387" i="21"/>
  <c r="G387" i="21" s="1"/>
  <c r="F386" i="21"/>
  <c r="G386" i="21" s="1"/>
  <c r="F385" i="21"/>
  <c r="G385" i="21" s="1"/>
  <c r="G384" i="21" s="1"/>
  <c r="F383" i="21"/>
  <c r="G383" i="21" s="1"/>
  <c r="F382" i="21"/>
  <c r="G382" i="21" s="1"/>
  <c r="F381" i="21"/>
  <c r="G381" i="21" s="1"/>
  <c r="G380" i="21" s="1"/>
  <c r="F379" i="21"/>
  <c r="G379" i="21" s="1"/>
  <c r="F378" i="21"/>
  <c r="G378" i="21" s="1"/>
  <c r="F377" i="21"/>
  <c r="G377" i="21" s="1"/>
  <c r="G376" i="21" s="1"/>
  <c r="F375" i="21"/>
  <c r="G375" i="21" s="1"/>
  <c r="F374" i="21"/>
  <c r="G374" i="21" s="1"/>
  <c r="F373" i="21"/>
  <c r="G373" i="21" s="1"/>
  <c r="G372" i="21" s="1"/>
  <c r="F371" i="21"/>
  <c r="G371" i="21" s="1"/>
  <c r="F370" i="21"/>
  <c r="G370" i="21" s="1"/>
  <c r="F369" i="21"/>
  <c r="G369" i="21" s="1"/>
  <c r="G368" i="21" s="1"/>
  <c r="F367" i="21"/>
  <c r="G367" i="21" s="1"/>
  <c r="F366" i="21"/>
  <c r="G366" i="21" s="1"/>
  <c r="F365" i="21"/>
  <c r="G365" i="21" s="1"/>
  <c r="G364" i="21" s="1"/>
  <c r="G363" i="21"/>
  <c r="F363" i="21"/>
  <c r="G362" i="21"/>
  <c r="G361" i="21" s="1"/>
  <c r="G360" i="21" s="1"/>
  <c r="F362" i="21"/>
  <c r="F361" i="21" s="1"/>
  <c r="F360" i="21" s="1"/>
  <c r="F358" i="21"/>
  <c r="G358" i="21" s="1"/>
  <c r="F357" i="21"/>
  <c r="G357" i="21" s="1"/>
  <c r="F356" i="21"/>
  <c r="G356" i="21" s="1"/>
  <c r="F355" i="21"/>
  <c r="G355" i="21" s="1"/>
  <c r="F354" i="21"/>
  <c r="G354" i="21" s="1"/>
  <c r="F353" i="21"/>
  <c r="G353" i="21" s="1"/>
  <c r="F352" i="21"/>
  <c r="G352" i="21" s="1"/>
  <c r="F351" i="21"/>
  <c r="G351" i="21" s="1"/>
  <c r="F350" i="21"/>
  <c r="G350" i="21" s="1"/>
  <c r="F349" i="21"/>
  <c r="G349" i="21" s="1"/>
  <c r="F348" i="21"/>
  <c r="G348" i="21" s="1"/>
  <c r="F347" i="21"/>
  <c r="G347" i="21" s="1"/>
  <c r="F346" i="21"/>
  <c r="G346" i="21" s="1"/>
  <c r="F345" i="21"/>
  <c r="G345" i="21" s="1"/>
  <c r="F344" i="21"/>
  <c r="G344" i="21" s="1"/>
  <c r="F343" i="21"/>
  <c r="G343" i="21" s="1"/>
  <c r="F341" i="21"/>
  <c r="G341" i="21" s="1"/>
  <c r="F340" i="21"/>
  <c r="G340" i="21" s="1"/>
  <c r="F339" i="21"/>
  <c r="F338" i="21" s="1"/>
  <c r="F337" i="21" s="1"/>
  <c r="F334" i="21"/>
  <c r="G334" i="21" s="1"/>
  <c r="F328" i="21"/>
  <c r="F327" i="21" s="1"/>
  <c r="F326" i="21" s="1"/>
  <c r="F325" i="21"/>
  <c r="F324" i="21" s="1"/>
  <c r="F323" i="21" s="1"/>
  <c r="F322" i="21"/>
  <c r="G322" i="21" s="1"/>
  <c r="F321" i="21"/>
  <c r="G321" i="21" s="1"/>
  <c r="F320" i="21"/>
  <c r="G320" i="21" s="1"/>
  <c r="F319" i="21"/>
  <c r="G319" i="21" s="1"/>
  <c r="F318" i="21"/>
  <c r="G318" i="21" s="1"/>
  <c r="G313" i="21"/>
  <c r="F313" i="21"/>
  <c r="F312" i="21" s="1"/>
  <c r="F311" i="21" s="1"/>
  <c r="F310" i="21" s="1"/>
  <c r="F309" i="21" s="1"/>
  <c r="G312" i="21"/>
  <c r="G311" i="21" s="1"/>
  <c r="G310" i="21" s="1"/>
  <c r="G309" i="21" s="1"/>
  <c r="G308" i="21"/>
  <c r="G307" i="21" s="1"/>
  <c r="G306" i="21" s="1"/>
  <c r="G305" i="21" s="1"/>
  <c r="F308" i="21"/>
  <c r="F307" i="21" s="1"/>
  <c r="F306" i="21" s="1"/>
  <c r="F305" i="21" s="1"/>
  <c r="F304" i="21"/>
  <c r="G304" i="21" s="1"/>
  <c r="F303" i="21"/>
  <c r="G303" i="21" s="1"/>
  <c r="F302" i="21"/>
  <c r="F301" i="21" s="1"/>
  <c r="F300" i="21"/>
  <c r="F299" i="21" s="1"/>
  <c r="F298" i="21" s="1"/>
  <c r="F297" i="21" s="1"/>
  <c r="F296" i="21"/>
  <c r="G296" i="21" s="1"/>
  <c r="F295" i="21"/>
  <c r="G295" i="21" s="1"/>
  <c r="F294" i="21"/>
  <c r="F293" i="21" s="1"/>
  <c r="G290" i="21"/>
  <c r="G289" i="21" s="1"/>
  <c r="F290" i="21"/>
  <c r="F289" i="21" s="1"/>
  <c r="F288" i="21"/>
  <c r="F287" i="21" s="1"/>
  <c r="F286" i="21" s="1"/>
  <c r="F285" i="21" s="1"/>
  <c r="F284" i="21" s="1"/>
  <c r="F282" i="21"/>
  <c r="G282" i="21" s="1"/>
  <c r="F281" i="21"/>
  <c r="G281" i="21" s="1"/>
  <c r="F280" i="21"/>
  <c r="F279" i="21" s="1"/>
  <c r="G278" i="21"/>
  <c r="G277" i="21" s="1"/>
  <c r="F278" i="21"/>
  <c r="F277" i="21" s="1"/>
  <c r="G274" i="21"/>
  <c r="G273" i="21" s="1"/>
  <c r="G272" i="21" s="1"/>
  <c r="G271" i="21" s="1"/>
  <c r="F274" i="21"/>
  <c r="F273" i="21" s="1"/>
  <c r="F272" i="21" s="1"/>
  <c r="F271" i="21" s="1"/>
  <c r="G268" i="21"/>
  <c r="G267" i="21" s="1"/>
  <c r="G266" i="21" s="1"/>
  <c r="G265" i="21" s="1"/>
  <c r="G264" i="21" s="1"/>
  <c r="G263" i="21" s="1"/>
  <c r="F268" i="21"/>
  <c r="F267" i="21" s="1"/>
  <c r="F266" i="21" s="1"/>
  <c r="F265" i="21" s="1"/>
  <c r="F264" i="21" s="1"/>
  <c r="F263" i="21" s="1"/>
  <c r="G262" i="21"/>
  <c r="G261" i="21" s="1"/>
  <c r="G260" i="21" s="1"/>
  <c r="G259" i="21" s="1"/>
  <c r="F262" i="21"/>
  <c r="F261" i="21" s="1"/>
  <c r="F260" i="21" s="1"/>
  <c r="F259" i="21" s="1"/>
  <c r="G258" i="21"/>
  <c r="G257" i="21" s="1"/>
  <c r="G256" i="21" s="1"/>
  <c r="F258" i="21"/>
  <c r="F257" i="21" s="1"/>
  <c r="F256" i="21" s="1"/>
  <c r="G255" i="21"/>
  <c r="G254" i="21" s="1"/>
  <c r="G253" i="21" s="1"/>
  <c r="F248" i="21"/>
  <c r="F247" i="21" s="1"/>
  <c r="F246" i="21" s="1"/>
  <c r="G245" i="21"/>
  <c r="G244" i="21" s="1"/>
  <c r="F243" i="21"/>
  <c r="F242" i="21" s="1"/>
  <c r="F229" i="21"/>
  <c r="G229" i="21" s="1"/>
  <c r="F228" i="21"/>
  <c r="G228" i="21" s="1"/>
  <c r="F227" i="21"/>
  <c r="G227" i="21" s="1"/>
  <c r="G226" i="21" s="1"/>
  <c r="G225" i="21" s="1"/>
  <c r="G224" i="21" s="1"/>
  <c r="G223" i="21" s="1"/>
  <c r="G222" i="21"/>
  <c r="G221" i="21" s="1"/>
  <c r="G220" i="21" s="1"/>
  <c r="G219" i="21" s="1"/>
  <c r="G218" i="21" s="1"/>
  <c r="F222" i="21"/>
  <c r="F221" i="21" s="1"/>
  <c r="F220" i="21" s="1"/>
  <c r="F219" i="21" s="1"/>
  <c r="F218" i="21" s="1"/>
  <c r="G217" i="21"/>
  <c r="F217" i="21"/>
  <c r="F216" i="21" s="1"/>
  <c r="F215" i="21" s="1"/>
  <c r="F214" i="21" s="1"/>
  <c r="F213" i="21" s="1"/>
  <c r="G216" i="21"/>
  <c r="G215" i="21" s="1"/>
  <c r="G214" i="21" s="1"/>
  <c r="G213" i="21" s="1"/>
  <c r="G212" i="21"/>
  <c r="G211" i="21" s="1"/>
  <c r="G210" i="21" s="1"/>
  <c r="F212" i="21"/>
  <c r="F211" i="21" s="1"/>
  <c r="F210" i="21" s="1"/>
  <c r="F207" i="21"/>
  <c r="F206" i="21" s="1"/>
  <c r="F205" i="21" s="1"/>
  <c r="F204" i="21" s="1"/>
  <c r="G198" i="21"/>
  <c r="G197" i="21" s="1"/>
  <c r="G196" i="21" s="1"/>
  <c r="F198" i="21"/>
  <c r="F197" i="21" s="1"/>
  <c r="F196" i="21" s="1"/>
  <c r="G192" i="21"/>
  <c r="G191" i="21" s="1"/>
  <c r="G190" i="21" s="1"/>
  <c r="F192" i="21"/>
  <c r="F191" i="21" s="1"/>
  <c r="F190" i="21" s="1"/>
  <c r="G189" i="21"/>
  <c r="F189" i="21"/>
  <c r="F188" i="21" s="1"/>
  <c r="F187" i="21" s="1"/>
  <c r="G188" i="21"/>
  <c r="G187" i="21" s="1"/>
  <c r="G186" i="21"/>
  <c r="G185" i="21" s="1"/>
  <c r="G184" i="21" s="1"/>
  <c r="G181" i="21"/>
  <c r="G178" i="21" s="1"/>
  <c r="F181" i="21"/>
  <c r="F180" i="21" s="1"/>
  <c r="F179" i="21" s="1"/>
  <c r="F177" i="21" s="1"/>
  <c r="G180" i="21"/>
  <c r="G179" i="21" s="1"/>
  <c r="G177" i="21" s="1"/>
  <c r="F176" i="21"/>
  <c r="G176" i="21" s="1"/>
  <c r="F175" i="21"/>
  <c r="G175" i="21" s="1"/>
  <c r="F174" i="21"/>
  <c r="G174" i="21" s="1"/>
  <c r="G173" i="21"/>
  <c r="F173" i="21"/>
  <c r="F172" i="21" s="1"/>
  <c r="F171" i="21" s="1"/>
  <c r="F170" i="21" s="1"/>
  <c r="F169" i="21" s="1"/>
  <c r="F168" i="21" s="1"/>
  <c r="G172" i="21"/>
  <c r="G171" i="21" s="1"/>
  <c r="G170" i="21" s="1"/>
  <c r="G169" i="21" s="1"/>
  <c r="G168" i="21" s="1"/>
  <c r="F167" i="21"/>
  <c r="F166" i="21" s="1"/>
  <c r="F165" i="21" s="1"/>
  <c r="F164" i="21"/>
  <c r="F163" i="21" s="1"/>
  <c r="G162" i="21"/>
  <c r="G161" i="21" s="1"/>
  <c r="F162" i="21"/>
  <c r="F161" i="21" s="1"/>
  <c r="G158" i="21"/>
  <c r="F158" i="21"/>
  <c r="F157" i="21" s="1"/>
  <c r="F156" i="21" s="1"/>
  <c r="G157" i="21"/>
  <c r="G156" i="21" s="1"/>
  <c r="F155" i="21"/>
  <c r="G155" i="21" s="1"/>
  <c r="F154" i="21"/>
  <c r="G154" i="21" s="1"/>
  <c r="F153" i="21"/>
  <c r="G153" i="21" s="1"/>
  <c r="G152" i="21"/>
  <c r="F152" i="21"/>
  <c r="F151" i="21" s="1"/>
  <c r="F150" i="21" s="1"/>
  <c r="G151" i="21"/>
  <c r="G150" i="21" s="1"/>
  <c r="G146" i="21"/>
  <c r="G145" i="21" s="1"/>
  <c r="F146" i="21"/>
  <c r="F145" i="21" s="1"/>
  <c r="G144" i="21"/>
  <c r="F144" i="21"/>
  <c r="G143" i="21"/>
  <c r="F143" i="21"/>
  <c r="G141" i="21"/>
  <c r="G140" i="21" s="1"/>
  <c r="G139" i="21" s="1"/>
  <c r="F141" i="21"/>
  <c r="F140" i="21" s="1"/>
  <c r="F139" i="21" s="1"/>
  <c r="G135" i="21"/>
  <c r="G134" i="21" s="1"/>
  <c r="F135" i="21"/>
  <c r="F134" i="21" s="1"/>
  <c r="G133" i="21"/>
  <c r="G132" i="21" s="1"/>
  <c r="F133" i="21"/>
  <c r="F132" i="21" s="1"/>
  <c r="G127" i="21"/>
  <c r="G126" i="21" s="1"/>
  <c r="G125" i="21" s="1"/>
  <c r="F127" i="21"/>
  <c r="F126" i="21" s="1"/>
  <c r="F125" i="21" s="1"/>
  <c r="G124" i="21"/>
  <c r="F124" i="21"/>
  <c r="F123" i="21" s="1"/>
  <c r="G123" i="21"/>
  <c r="F122" i="21"/>
  <c r="F121" i="21" s="1"/>
  <c r="G120" i="21"/>
  <c r="G119" i="21" s="1"/>
  <c r="F120" i="21"/>
  <c r="F119" i="21" s="1"/>
  <c r="G116" i="21"/>
  <c r="F116" i="21"/>
  <c r="F115" i="21" s="1"/>
  <c r="F114" i="21" s="1"/>
  <c r="G115" i="21"/>
  <c r="G114" i="21" s="1"/>
  <c r="G113" i="21"/>
  <c r="G112" i="21" s="1"/>
  <c r="F113" i="21"/>
  <c r="F112" i="21" s="1"/>
  <c r="F111" i="21"/>
  <c r="F110" i="21" s="1"/>
  <c r="G101" i="21"/>
  <c r="F101" i="21"/>
  <c r="G100" i="21"/>
  <c r="G99" i="21" s="1"/>
  <c r="F100" i="21"/>
  <c r="F99" i="21" s="1"/>
  <c r="G98" i="21"/>
  <c r="G97" i="21" s="1"/>
  <c r="G96" i="21" s="1"/>
  <c r="F98" i="21"/>
  <c r="F97" i="21" s="1"/>
  <c r="F96" i="21" s="1"/>
  <c r="F93" i="21"/>
  <c r="F92" i="21" s="1"/>
  <c r="F89" i="21"/>
  <c r="F88" i="21" s="1"/>
  <c r="F87" i="21" s="1"/>
  <c r="F86" i="21" s="1"/>
  <c r="G84" i="21"/>
  <c r="G83" i="21" s="1"/>
  <c r="G82" i="21" s="1"/>
  <c r="F84" i="21"/>
  <c r="F83" i="21" s="1"/>
  <c r="F82" i="21" s="1"/>
  <c r="F81" i="21"/>
  <c r="F80" i="21" s="1"/>
  <c r="G79" i="21"/>
  <c r="G78" i="21" s="1"/>
  <c r="F79" i="21"/>
  <c r="F78" i="21" s="1"/>
  <c r="F76" i="21"/>
  <c r="F75" i="21" s="1"/>
  <c r="F74" i="21"/>
  <c r="F73" i="21" s="1"/>
  <c r="F72" i="21" s="1"/>
  <c r="G71" i="21"/>
  <c r="F71" i="21"/>
  <c r="G70" i="21"/>
  <c r="F70" i="21"/>
  <c r="G69" i="21"/>
  <c r="F69" i="21"/>
  <c r="F68" i="21" s="1"/>
  <c r="F67" i="21" s="1"/>
  <c r="G68" i="21"/>
  <c r="G67" i="21" s="1"/>
  <c r="G66" i="21"/>
  <c r="G65" i="21" s="1"/>
  <c r="G64" i="21" s="1"/>
  <c r="F66" i="21"/>
  <c r="F65" i="21" s="1"/>
  <c r="F64" i="21" s="1"/>
  <c r="H62" i="21"/>
  <c r="F62" i="21"/>
  <c r="F61" i="21" s="1"/>
  <c r="F60" i="21" s="1"/>
  <c r="G59" i="21"/>
  <c r="G58" i="21" s="1"/>
  <c r="G57" i="21" s="1"/>
  <c r="F59" i="21"/>
  <c r="F58" i="21" s="1"/>
  <c r="F57" i="21" s="1"/>
  <c r="F56" i="21"/>
  <c r="F55" i="21" s="1"/>
  <c r="G54" i="21"/>
  <c r="F54" i="21"/>
  <c r="F53" i="21" s="1"/>
  <c r="G53" i="21"/>
  <c r="F52" i="21"/>
  <c r="F51" i="21" s="1"/>
  <c r="G50" i="21"/>
  <c r="F50" i="21"/>
  <c r="F49" i="21" s="1"/>
  <c r="G49" i="21"/>
  <c r="H46" i="21"/>
  <c r="F44" i="21"/>
  <c r="G44" i="21" s="1"/>
  <c r="F43" i="21"/>
  <c r="G43" i="21" s="1"/>
  <c r="F42" i="21"/>
  <c r="G42" i="21" s="1"/>
  <c r="G41" i="21"/>
  <c r="G40" i="21" s="1"/>
  <c r="F41" i="21"/>
  <c r="F40" i="21"/>
  <c r="G39" i="21"/>
  <c r="G38" i="21" s="1"/>
  <c r="F39" i="21"/>
  <c r="F38" i="21" s="1"/>
  <c r="F37" i="21" s="1"/>
  <c r="G36" i="21"/>
  <c r="F36" i="21"/>
  <c r="F35" i="21" s="1"/>
  <c r="G35" i="21"/>
  <c r="G34" i="21"/>
  <c r="F34" i="21"/>
  <c r="F33" i="21" s="1"/>
  <c r="G33" i="21"/>
  <c r="G32" i="21" s="1"/>
  <c r="G28" i="21"/>
  <c r="G27" i="21" s="1"/>
  <c r="G26" i="21" s="1"/>
  <c r="F28" i="21"/>
  <c r="F27" i="21" s="1"/>
  <c r="F26" i="21" s="1"/>
  <c r="F25" i="21"/>
  <c r="F24" i="21" s="1"/>
  <c r="F23" i="21" s="1"/>
  <c r="F20" i="21"/>
  <c r="F19" i="21" s="1"/>
  <c r="F18" i="21" s="1"/>
  <c r="G18" i="21" s="1"/>
  <c r="G17" i="21"/>
  <c r="F17" i="21"/>
  <c r="F16" i="21" s="1"/>
  <c r="G16" i="21"/>
  <c r="G15" i="21"/>
  <c r="F15" i="21"/>
  <c r="F14" i="21" s="1"/>
  <c r="G14" i="21"/>
  <c r="G8" i="21"/>
  <c r="E44" i="20"/>
  <c r="D44" i="20"/>
  <c r="D42" i="20"/>
  <c r="E19" i="20"/>
  <c r="D19" i="20"/>
  <c r="E18" i="20"/>
  <c r="D18" i="20"/>
  <c r="D154" i="19"/>
  <c r="D153" i="19" s="1"/>
  <c r="D152" i="19" s="1"/>
  <c r="C154" i="19"/>
  <c r="C153" i="19" s="1"/>
  <c r="C152" i="19" s="1"/>
  <c r="C151" i="19"/>
  <c r="D151" i="19" s="1"/>
  <c r="C150" i="19"/>
  <c r="D150" i="19" s="1"/>
  <c r="C149" i="19"/>
  <c r="D149" i="19" s="1"/>
  <c r="D145" i="19"/>
  <c r="D144" i="19" s="1"/>
  <c r="C145" i="19"/>
  <c r="C144" i="19" s="1"/>
  <c r="D142" i="19"/>
  <c r="C142" i="19"/>
  <c r="D140" i="19"/>
  <c r="C140" i="19"/>
  <c r="C127" i="19"/>
  <c r="C120" i="19" s="1"/>
  <c r="C119" i="19" s="1"/>
  <c r="D127" i="19"/>
  <c r="D120" i="19" s="1"/>
  <c r="D101" i="19"/>
  <c r="C102" i="19"/>
  <c r="C101" i="19" s="1"/>
  <c r="D99" i="19"/>
  <c r="C99" i="19"/>
  <c r="D97" i="19"/>
  <c r="C97" i="19"/>
  <c r="D95" i="19"/>
  <c r="C95" i="19"/>
  <c r="D93" i="19"/>
  <c r="C93" i="19"/>
  <c r="D91" i="19"/>
  <c r="C91" i="19"/>
  <c r="D89" i="19"/>
  <c r="C89" i="19"/>
  <c r="D87" i="19"/>
  <c r="C87" i="19"/>
  <c r="D85" i="19"/>
  <c r="C85" i="19"/>
  <c r="D82" i="19"/>
  <c r="C82" i="19"/>
  <c r="D80" i="19"/>
  <c r="C80" i="19"/>
  <c r="C79" i="19" s="1"/>
  <c r="D75" i="19"/>
  <c r="D74" i="19" s="1"/>
  <c r="C75" i="19"/>
  <c r="C74" i="19" s="1"/>
  <c r="D72" i="19"/>
  <c r="C72" i="19"/>
  <c r="D68" i="19"/>
  <c r="C68" i="19"/>
  <c r="D66" i="19"/>
  <c r="D65" i="19" s="1"/>
  <c r="D64" i="19" s="1"/>
  <c r="C66" i="19"/>
  <c r="C65" i="19" s="1"/>
  <c r="D62" i="19"/>
  <c r="C62" i="19"/>
  <c r="D60" i="19"/>
  <c r="C60" i="19"/>
  <c r="D57" i="19"/>
  <c r="C57" i="19"/>
  <c r="D56" i="19"/>
  <c r="C56" i="19"/>
  <c r="D53" i="19"/>
  <c r="D50" i="19" s="1"/>
  <c r="D49" i="19" s="1"/>
  <c r="C53" i="19"/>
  <c r="C50" i="19" s="1"/>
  <c r="C49" i="19" s="1"/>
  <c r="D47" i="19"/>
  <c r="C47" i="19"/>
  <c r="D45" i="19"/>
  <c r="C45" i="19"/>
  <c r="D41" i="19"/>
  <c r="D40" i="19" s="1"/>
  <c r="C41" i="19"/>
  <c r="C40" i="19" s="1"/>
  <c r="D38" i="19"/>
  <c r="C38" i="19"/>
  <c r="D36" i="19"/>
  <c r="C36" i="19"/>
  <c r="D33" i="19"/>
  <c r="C33" i="19"/>
  <c r="D30" i="19"/>
  <c r="C30" i="19"/>
  <c r="D28" i="19"/>
  <c r="C28" i="19"/>
  <c r="D26" i="19"/>
  <c r="C26" i="19"/>
  <c r="D24" i="19"/>
  <c r="C24" i="19"/>
  <c r="D18" i="19"/>
  <c r="D17" i="19" s="1"/>
  <c r="C18" i="19"/>
  <c r="C17" i="19" s="1"/>
  <c r="D10" i="19"/>
  <c r="C10" i="19"/>
  <c r="H1044" i="22" l="1"/>
  <c r="H1043" i="22" s="1"/>
  <c r="H1042" i="22" s="1"/>
  <c r="H1041" i="22" s="1"/>
  <c r="H1040" i="22" s="1"/>
  <c r="H1039" i="22" s="1"/>
  <c r="H1038" i="22" s="1"/>
  <c r="G884" i="21"/>
  <c r="G883" i="21" s="1"/>
  <c r="G882" i="21" s="1"/>
  <c r="G881" i="21" s="1"/>
  <c r="G880" i="21" s="1"/>
  <c r="G52" i="21"/>
  <c r="G51" i="21" s="1"/>
  <c r="G62" i="21"/>
  <c r="G61" i="21" s="1"/>
  <c r="G60" i="21" s="1"/>
  <c r="F105" i="21"/>
  <c r="F104" i="21" s="1"/>
  <c r="F103" i="21" s="1"/>
  <c r="F102" i="21" s="1"/>
  <c r="G111" i="21"/>
  <c r="G110" i="21" s="1"/>
  <c r="F148" i="21"/>
  <c r="F147" i="21" s="1"/>
  <c r="G167" i="21"/>
  <c r="G166" i="21" s="1"/>
  <c r="G165" i="21" s="1"/>
  <c r="F420" i="21"/>
  <c r="F404" i="21" s="1"/>
  <c r="F424" i="21"/>
  <c r="F423" i="21" s="1"/>
  <c r="G507" i="21"/>
  <c r="G506" i="21" s="1"/>
  <c r="G505" i="21" s="1"/>
  <c r="G498" i="21" s="1"/>
  <c r="G547" i="21"/>
  <c r="G546" i="21" s="1"/>
  <c r="G545" i="21" s="1"/>
  <c r="G544" i="21" s="1"/>
  <c r="F646" i="21"/>
  <c r="F645" i="21" s="1"/>
  <c r="F644" i="21" s="1"/>
  <c r="F675" i="21"/>
  <c r="F674" i="21" s="1"/>
  <c r="F673" i="21" s="1"/>
  <c r="G719" i="21"/>
  <c r="G718" i="21" s="1"/>
  <c r="F724" i="21"/>
  <c r="F723" i="21" s="1"/>
  <c r="F722" i="21" s="1"/>
  <c r="F716" i="21" s="1"/>
  <c r="F715" i="21" s="1"/>
  <c r="F735" i="21"/>
  <c r="F734" i="21" s="1"/>
  <c r="F814" i="21"/>
  <c r="F813" i="21" s="1"/>
  <c r="G898" i="21"/>
  <c r="G897" i="21" s="1"/>
  <c r="G896" i="21" s="1"/>
  <c r="F940" i="21"/>
  <c r="F939" i="21" s="1"/>
  <c r="G177" i="22"/>
  <c r="G176" i="22" s="1"/>
  <c r="G175" i="22" s="1"/>
  <c r="G174" i="22" s="1"/>
  <c r="G173" i="22" s="1"/>
  <c r="G172" i="22" s="1"/>
  <c r="G1106" i="22" s="1"/>
  <c r="G325" i="22"/>
  <c r="G324" i="22" s="1"/>
  <c r="H324" i="22" s="1"/>
  <c r="G348" i="22"/>
  <c r="G347" i="22" s="1"/>
  <c r="G749" i="22"/>
  <c r="H749" i="22" s="1"/>
  <c r="G805" i="22"/>
  <c r="G804" i="22" s="1"/>
  <c r="G851" i="22"/>
  <c r="G850" i="22" s="1"/>
  <c r="G849" i="22" s="1"/>
  <c r="G848" i="22" s="1"/>
  <c r="G847" i="22" s="1"/>
  <c r="G846" i="22" s="1"/>
  <c r="G1044" i="22"/>
  <c r="G1043" i="22" s="1"/>
  <c r="G1042" i="22" s="1"/>
  <c r="G1041" i="22" s="1"/>
  <c r="G1040" i="22" s="1"/>
  <c r="G1039" i="22" s="1"/>
  <c r="G1038" i="22" s="1"/>
  <c r="G10" i="23"/>
  <c r="H50" i="23"/>
  <c r="G541" i="23"/>
  <c r="G540" i="23" s="1"/>
  <c r="G539" i="23" s="1"/>
  <c r="G538" i="23" s="1"/>
  <c r="F336" i="21"/>
  <c r="G336" i="21" s="1"/>
  <c r="G391" i="22"/>
  <c r="G390" i="22" s="1"/>
  <c r="G389" i="22" s="1"/>
  <c r="H392" i="22"/>
  <c r="G776" i="21" s="1"/>
  <c r="G775" i="21" s="1"/>
  <c r="G774" i="21" s="1"/>
  <c r="G773" i="21" s="1"/>
  <c r="G302" i="22"/>
  <c r="H303" i="22"/>
  <c r="H476" i="23" s="1"/>
  <c r="G191" i="23"/>
  <c r="G190" i="23" s="1"/>
  <c r="G236" i="21"/>
  <c r="G235" i="21" s="1"/>
  <c r="G234" i="21" s="1"/>
  <c r="H177" i="22"/>
  <c r="H176" i="22" s="1"/>
  <c r="H1070" i="22"/>
  <c r="H1069" i="22" s="1"/>
  <c r="H1068" i="22" s="1"/>
  <c r="H1067" i="22" s="1"/>
  <c r="G349" i="23"/>
  <c r="G348" i="23" s="1"/>
  <c r="G347" i="23" s="1"/>
  <c r="G346" i="23" s="1"/>
  <c r="G487" i="23"/>
  <c r="G619" i="23"/>
  <c r="G618" i="23" s="1"/>
  <c r="G617" i="23" s="1"/>
  <c r="G800" i="21"/>
  <c r="G799" i="21" s="1"/>
  <c r="G798" i="21" s="1"/>
  <c r="G797" i="21" s="1"/>
  <c r="G796" i="21" s="1"/>
  <c r="G13" i="21"/>
  <c r="G81" i="21"/>
  <c r="G80" i="21" s="1"/>
  <c r="F95" i="21"/>
  <c r="F94" i="21" s="1"/>
  <c r="F91" i="21" s="1"/>
  <c r="F90" i="21" s="1"/>
  <c r="F109" i="21"/>
  <c r="G122" i="21"/>
  <c r="G121" i="21" s="1"/>
  <c r="F149" i="21"/>
  <c r="G164" i="21"/>
  <c r="G163" i="21" s="1"/>
  <c r="G160" i="21" s="1"/>
  <c r="G159" i="21" s="1"/>
  <c r="F203" i="21"/>
  <c r="F202" i="21" s="1"/>
  <c r="F236" i="21"/>
  <c r="F235" i="21" s="1"/>
  <c r="F234" i="21" s="1"/>
  <c r="F239" i="21"/>
  <c r="F238" i="21" s="1"/>
  <c r="F237" i="21" s="1"/>
  <c r="F245" i="21"/>
  <c r="F244" i="21" s="1"/>
  <c r="F241" i="21" s="1"/>
  <c r="F240" i="21" s="1"/>
  <c r="F333" i="21"/>
  <c r="G333" i="21" s="1"/>
  <c r="G665" i="21"/>
  <c r="G664" i="21" s="1"/>
  <c r="G663" i="21" s="1"/>
  <c r="G662" i="21" s="1"/>
  <c r="G669" i="21"/>
  <c r="G668" i="21" s="1"/>
  <c r="G667" i="21" s="1"/>
  <c r="F695" i="21"/>
  <c r="F694" i="21" s="1"/>
  <c r="F693" i="21" s="1"/>
  <c r="F745" i="21"/>
  <c r="F744" i="21" s="1"/>
  <c r="G751" i="21"/>
  <c r="G750" i="21" s="1"/>
  <c r="H81" i="22"/>
  <c r="H83" i="22"/>
  <c r="H133" i="22"/>
  <c r="H132" i="22" s="1"/>
  <c r="H131" i="22" s="1"/>
  <c r="G146" i="22"/>
  <c r="H181" i="22"/>
  <c r="G186" i="22"/>
  <c r="G183" i="22" s="1"/>
  <c r="G182" i="22" s="1"/>
  <c r="H326" i="22"/>
  <c r="H325" i="22" s="1"/>
  <c r="H343" i="22"/>
  <c r="H37" i="23" s="1"/>
  <c r="G413" i="22"/>
  <c r="G412" i="22" s="1"/>
  <c r="H428" i="22"/>
  <c r="H427" i="22" s="1"/>
  <c r="G432" i="22"/>
  <c r="G431" i="22" s="1"/>
  <c r="G751" i="22"/>
  <c r="H751" i="22" s="1"/>
  <c r="H991" i="22"/>
  <c r="G663" i="23"/>
  <c r="G662" i="23" s="1"/>
  <c r="G693" i="23"/>
  <c r="G692" i="23" s="1"/>
  <c r="F457" i="21"/>
  <c r="F456" i="21" s="1"/>
  <c r="F443" i="21" s="1"/>
  <c r="D31" i="20" s="1"/>
  <c r="F511" i="21"/>
  <c r="F510" i="21" s="1"/>
  <c r="F509" i="21" s="1"/>
  <c r="H972" i="22"/>
  <c r="H657" i="23" s="1"/>
  <c r="H656" i="23" s="1"/>
  <c r="F570" i="21"/>
  <c r="F569" i="21" s="1"/>
  <c r="F568" i="21" s="1"/>
  <c r="C64" i="19"/>
  <c r="D59" i="19"/>
  <c r="D79" i="19"/>
  <c r="C44" i="19"/>
  <c r="C43" i="19" s="1"/>
  <c r="C59" i="19"/>
  <c r="D44" i="19"/>
  <c r="D43" i="19" s="1"/>
  <c r="C35" i="19"/>
  <c r="C32" i="19" s="1"/>
  <c r="C23" i="19"/>
  <c r="D35" i="19"/>
  <c r="H553" i="23"/>
  <c r="G672" i="21"/>
  <c r="G671" i="21" s="1"/>
  <c r="G670" i="21" s="1"/>
  <c r="G666" i="21" s="1"/>
  <c r="H557" i="23"/>
  <c r="G675" i="21"/>
  <c r="G674" i="21" s="1"/>
  <c r="G673" i="21" s="1"/>
  <c r="G695" i="21"/>
  <c r="G694" i="21" s="1"/>
  <c r="G693" i="21" s="1"/>
  <c r="G692" i="21" s="1"/>
  <c r="G51" i="23"/>
  <c r="F704" i="21"/>
  <c r="F703" i="21" s="1"/>
  <c r="H420" i="22"/>
  <c r="H419" i="22" s="1"/>
  <c r="G805" i="21"/>
  <c r="G804" i="21" s="1"/>
  <c r="G803" i="21" s="1"/>
  <c r="H425" i="22"/>
  <c r="G810" i="21"/>
  <c r="G809" i="21" s="1"/>
  <c r="G812" i="21"/>
  <c r="G811" i="21" s="1"/>
  <c r="G132" i="23"/>
  <c r="F823" i="21"/>
  <c r="F822" i="21" s="1"/>
  <c r="F821" i="21" s="1"/>
  <c r="F820" i="21" s="1"/>
  <c r="F819" i="21" s="1"/>
  <c r="F818" i="21" s="1"/>
  <c r="G66" i="23"/>
  <c r="F842" i="21"/>
  <c r="F841" i="21" s="1"/>
  <c r="F840" i="21" s="1"/>
  <c r="F839" i="21" s="1"/>
  <c r="F838" i="21" s="1"/>
  <c r="H184" i="23"/>
  <c r="G554" i="21"/>
  <c r="G553" i="21" s="1"/>
  <c r="G552" i="21" s="1"/>
  <c r="G548" i="21" s="1"/>
  <c r="F32" i="21"/>
  <c r="G77" i="21"/>
  <c r="G118" i="21"/>
  <c r="G117" i="21" s="1"/>
  <c r="G149" i="21"/>
  <c r="F276" i="21"/>
  <c r="F275" i="21" s="1"/>
  <c r="F270" i="21" s="1"/>
  <c r="F269" i="21" s="1"/>
  <c r="D25" i="20" s="1"/>
  <c r="F508" i="21"/>
  <c r="F797" i="21"/>
  <c r="F796" i="21" s="1"/>
  <c r="F795" i="21" s="1"/>
  <c r="D40" i="20" s="1"/>
  <c r="G215" i="22"/>
  <c r="G214" i="22" s="1"/>
  <c r="G213" i="22" s="1"/>
  <c r="G1134" i="22" s="1"/>
  <c r="H216" i="22"/>
  <c r="H215" i="22" s="1"/>
  <c r="H214" i="22" s="1"/>
  <c r="H213" i="22" s="1"/>
  <c r="H1134" i="22" s="1"/>
  <c r="G652" i="21"/>
  <c r="G651" i="21" s="1"/>
  <c r="G48" i="23"/>
  <c r="H350" i="22"/>
  <c r="F702" i="21"/>
  <c r="F701" i="21" s="1"/>
  <c r="H485" i="23"/>
  <c r="H484" i="23" s="1"/>
  <c r="H364" i="22"/>
  <c r="H581" i="23"/>
  <c r="H580" i="23" s="1"/>
  <c r="H579" i="23" s="1"/>
  <c r="H578" i="23" s="1"/>
  <c r="H577" i="23" s="1"/>
  <c r="H576" i="23" s="1"/>
  <c r="H500" i="23"/>
  <c r="H501" i="23" s="1"/>
  <c r="H477" i="22"/>
  <c r="H499" i="22"/>
  <c r="G498" i="22"/>
  <c r="H264" i="23"/>
  <c r="H263" i="23" s="1"/>
  <c r="H262" i="23" s="1"/>
  <c r="G514" i="21"/>
  <c r="G513" i="21" s="1"/>
  <c r="G512" i="21" s="1"/>
  <c r="G289" i="23"/>
  <c r="G288" i="23" s="1"/>
  <c r="G287" i="23" s="1"/>
  <c r="G286" i="23" s="1"/>
  <c r="G285" i="23" s="1"/>
  <c r="G284" i="23" s="1"/>
  <c r="F521" i="21"/>
  <c r="F520" i="21" s="1"/>
  <c r="F519" i="21" s="1"/>
  <c r="F518" i="21" s="1"/>
  <c r="G196" i="23"/>
  <c r="G197" i="23" s="1"/>
  <c r="H630" i="22"/>
  <c r="G563" i="21" s="1"/>
  <c r="G562" i="21" s="1"/>
  <c r="G561" i="21" s="1"/>
  <c r="G645" i="22"/>
  <c r="G644" i="22" s="1"/>
  <c r="F579" i="21"/>
  <c r="F578" i="21" s="1"/>
  <c r="F577" i="21" s="1"/>
  <c r="H736" i="22"/>
  <c r="H769" i="22"/>
  <c r="H768" i="22" s="1"/>
  <c r="H767" i="22" s="1"/>
  <c r="G983" i="22"/>
  <c r="G980" i="22" s="1"/>
  <c r="G964" i="22" s="1"/>
  <c r="G1050" i="22"/>
  <c r="G1049" i="22" s="1"/>
  <c r="H1086" i="22"/>
  <c r="H1085" i="22" s="1"/>
  <c r="H1084" i="22" s="1"/>
  <c r="H1083" i="22" s="1"/>
  <c r="G519" i="23"/>
  <c r="G653" i="23"/>
  <c r="G667" i="23"/>
  <c r="G666" i="23" s="1"/>
  <c r="G646" i="21"/>
  <c r="G645" i="21" s="1"/>
  <c r="F872" i="21"/>
  <c r="D45" i="20" s="1"/>
  <c r="F955" i="21"/>
  <c r="F954" i="21" s="1"/>
  <c r="F953" i="21" s="1"/>
  <c r="H15" i="22"/>
  <c r="H14" i="22" s="1"/>
  <c r="H13" i="22" s="1"/>
  <c r="H12" i="22" s="1"/>
  <c r="H36" i="22"/>
  <c r="G227" i="22"/>
  <c r="G226" i="22" s="1"/>
  <c r="G225" i="22" s="1"/>
  <c r="G369" i="22"/>
  <c r="G368" i="22" s="1"/>
  <c r="H776" i="22"/>
  <c r="H775" i="22" s="1"/>
  <c r="G780" i="22"/>
  <c r="G779" i="22" s="1"/>
  <c r="G778" i="22" s="1"/>
  <c r="G782" i="22"/>
  <c r="G1089" i="22"/>
  <c r="H131" i="23"/>
  <c r="H130" i="23" s="1"/>
  <c r="H129" i="23" s="1"/>
  <c r="H128" i="23" s="1"/>
  <c r="G145" i="23"/>
  <c r="G144" i="23" s="1"/>
  <c r="G143" i="23" s="1"/>
  <c r="G183" i="23"/>
  <c r="G182" i="23" s="1"/>
  <c r="F364" i="21"/>
  <c r="G137" i="23"/>
  <c r="G136" i="23" s="1"/>
  <c r="G135" i="23" s="1"/>
  <c r="G134" i="23" s="1"/>
  <c r="F583" i="21"/>
  <c r="F582" i="21" s="1"/>
  <c r="F581" i="21" s="1"/>
  <c r="H346" i="22"/>
  <c r="H41" i="23" s="1"/>
  <c r="H42" i="23" s="1"/>
  <c r="G647" i="22"/>
  <c r="F77" i="21"/>
  <c r="D23" i="19"/>
  <c r="D22" i="19" s="1"/>
  <c r="D119" i="19"/>
  <c r="D118" i="19" s="1"/>
  <c r="G37" i="21"/>
  <c r="G31" i="21" s="1"/>
  <c r="G30" i="21" s="1"/>
  <c r="G29" i="21" s="1"/>
  <c r="E13" i="20" s="1"/>
  <c r="G109" i="21"/>
  <c r="G108" i="21" s="1"/>
  <c r="F118" i="21"/>
  <c r="F117" i="21" s="1"/>
  <c r="G241" i="21"/>
  <c r="G252" i="21"/>
  <c r="G251" i="21" s="1"/>
  <c r="G250" i="21" s="1"/>
  <c r="E23" i="20" s="1"/>
  <c r="F384" i="21"/>
  <c r="F626" i="21"/>
  <c r="F621" i="21" s="1"/>
  <c r="F708" i="21"/>
  <c r="F707" i="21" s="1"/>
  <c r="F706" i="21" s="1"/>
  <c r="F705" i="21" s="1"/>
  <c r="G747" i="21"/>
  <c r="G746" i="21" s="1"/>
  <c r="G745" i="21" s="1"/>
  <c r="G744" i="21" s="1"/>
  <c r="G762" i="21"/>
  <c r="G817" i="21"/>
  <c r="G816" i="21" s="1"/>
  <c r="G815" i="21" s="1"/>
  <c r="G879" i="21"/>
  <c r="G878" i="21" s="1"/>
  <c r="G875" i="21" s="1"/>
  <c r="G874" i="21" s="1"/>
  <c r="G873" i="21" s="1"/>
  <c r="F934" i="21"/>
  <c r="H362" i="23"/>
  <c r="H92" i="22"/>
  <c r="H91" i="22" s="1"/>
  <c r="H90" i="22" s="1"/>
  <c r="G851" i="23"/>
  <c r="H154" i="22"/>
  <c r="G702" i="23"/>
  <c r="G196" i="22"/>
  <c r="G195" i="22" s="1"/>
  <c r="G194" i="22" s="1"/>
  <c r="G193" i="22" s="1"/>
  <c r="G192" i="22" s="1"/>
  <c r="G252" i="22"/>
  <c r="G251" i="22" s="1"/>
  <c r="G1144" i="22" s="1"/>
  <c r="G789" i="23"/>
  <c r="G790" i="23" s="1"/>
  <c r="H261" i="22"/>
  <c r="H789" i="23" s="1"/>
  <c r="H790" i="23" s="1"/>
  <c r="G511" i="23"/>
  <c r="G510" i="23" s="1"/>
  <c r="F659" i="21"/>
  <c r="F658" i="21" s="1"/>
  <c r="F657" i="21" s="1"/>
  <c r="H32" i="21"/>
  <c r="F131" i="21"/>
  <c r="F130" i="21" s="1"/>
  <c r="F129" i="21" s="1"/>
  <c r="F128" i="21" s="1"/>
  <c r="D16" i="20" s="1"/>
  <c r="F142" i="21"/>
  <c r="F138" i="21" s="1"/>
  <c r="F160" i="21"/>
  <c r="G342" i="21"/>
  <c r="F439" i="21"/>
  <c r="F438" i="21"/>
  <c r="G485" i="21"/>
  <c r="H48" i="22"/>
  <c r="G25" i="21" s="1"/>
  <c r="G24" i="21" s="1"/>
  <c r="G23" i="21" s="1"/>
  <c r="G22" i="21" s="1"/>
  <c r="G21" i="21" s="1"/>
  <c r="G47" i="22"/>
  <c r="G46" i="22" s="1"/>
  <c r="G45" i="22" s="1"/>
  <c r="G44" i="22" s="1"/>
  <c r="G404" i="23"/>
  <c r="G403" i="23" s="1"/>
  <c r="G402" i="23" s="1"/>
  <c r="G401" i="23" s="1"/>
  <c r="G400" i="23" s="1"/>
  <c r="H230" i="22"/>
  <c r="F862" i="21"/>
  <c r="F861" i="21" s="1"/>
  <c r="F860" i="21" s="1"/>
  <c r="F859" i="21" s="1"/>
  <c r="F858" i="21" s="1"/>
  <c r="G507" i="23"/>
  <c r="G506" i="23" s="1"/>
  <c r="G505" i="23" s="1"/>
  <c r="H307" i="22"/>
  <c r="G306" i="22"/>
  <c r="G305" i="22" s="1"/>
  <c r="F656" i="21"/>
  <c r="F655" i="21" s="1"/>
  <c r="F654" i="21" s="1"/>
  <c r="F653" i="21" s="1"/>
  <c r="G317" i="22"/>
  <c r="G523" i="23"/>
  <c r="G522" i="23" s="1"/>
  <c r="G518" i="23" s="1"/>
  <c r="G517" i="23" s="1"/>
  <c r="G516" i="23" s="1"/>
  <c r="H373" i="22"/>
  <c r="F757" i="21"/>
  <c r="F756" i="21" s="1"/>
  <c r="F753" i="21" s="1"/>
  <c r="F752" i="21" s="1"/>
  <c r="F743" i="21" s="1"/>
  <c r="F742" i="21" s="1"/>
  <c r="D39" i="20" s="1"/>
  <c r="H536" i="23"/>
  <c r="H537" i="23" s="1"/>
  <c r="H376" i="22"/>
  <c r="H375" i="22" s="1"/>
  <c r="H374" i="22" s="1"/>
  <c r="H567" i="23"/>
  <c r="H566" i="23" s="1"/>
  <c r="H565" i="23" s="1"/>
  <c r="H383" i="22"/>
  <c r="H382" i="22" s="1"/>
  <c r="G457" i="21"/>
  <c r="G456" i="21" s="1"/>
  <c r="F485" i="21"/>
  <c r="F480" i="21" s="1"/>
  <c r="F479" i="21" s="1"/>
  <c r="D33" i="20" s="1"/>
  <c r="F580" i="21"/>
  <c r="G955" i="21"/>
  <c r="G954" i="21" s="1"/>
  <c r="G953" i="21" s="1"/>
  <c r="G952" i="21" s="1"/>
  <c r="G15" i="22"/>
  <c r="G14" i="22" s="1"/>
  <c r="G13" i="22" s="1"/>
  <c r="G12" i="22" s="1"/>
  <c r="G11" i="22" s="1"/>
  <c r="G10" i="22" s="1"/>
  <c r="G84" i="22"/>
  <c r="G115" i="22"/>
  <c r="G114" i="22" s="1"/>
  <c r="G113" i="22" s="1"/>
  <c r="G132" i="22"/>
  <c r="G131" i="22" s="1"/>
  <c r="G130" i="22" s="1"/>
  <c r="H183" i="22"/>
  <c r="H237" i="22"/>
  <c r="G361" i="22"/>
  <c r="G360" i="22" s="1"/>
  <c r="H413" i="22"/>
  <c r="H412" i="22" s="1"/>
  <c r="H626" i="22"/>
  <c r="H625" i="22" s="1"/>
  <c r="H662" i="22"/>
  <c r="G715" i="22"/>
  <c r="H722" i="22"/>
  <c r="H721" i="22" s="1"/>
  <c r="H720" i="22" s="1"/>
  <c r="G722" i="22"/>
  <c r="G721" i="22" s="1"/>
  <c r="G720" i="22" s="1"/>
  <c r="G732" i="22"/>
  <c r="G738" i="22"/>
  <c r="G737" i="22" s="1"/>
  <c r="G791" i="22"/>
  <c r="G790" i="22" s="1"/>
  <c r="G789" i="22" s="1"/>
  <c r="G1124" i="22" s="1"/>
  <c r="H792" i="22"/>
  <c r="H805" i="22"/>
  <c r="H804" i="22" s="1"/>
  <c r="H430" i="22"/>
  <c r="H460" i="22"/>
  <c r="H459" i="22" s="1"/>
  <c r="G472" i="22"/>
  <c r="G471" i="22" s="1"/>
  <c r="G470" i="22" s="1"/>
  <c r="G496" i="22"/>
  <c r="G493" i="22" s="1"/>
  <c r="G1140" i="22"/>
  <c r="G634" i="22"/>
  <c r="H902" i="22"/>
  <c r="H1010" i="22"/>
  <c r="G1060" i="22"/>
  <c r="G1059" i="22" s="1"/>
  <c r="G155" i="23"/>
  <c r="G154" i="23" s="1"/>
  <c r="G153" i="23" s="1"/>
  <c r="G493" i="23"/>
  <c r="G499" i="23"/>
  <c r="G529" i="23"/>
  <c r="G528" i="23" s="1"/>
  <c r="G527" i="23" s="1"/>
  <c r="G526" i="23" s="1"/>
  <c r="G535" i="23"/>
  <c r="G534" i="23" s="1"/>
  <c r="G533" i="23" s="1"/>
  <c r="G532" i="23" s="1"/>
  <c r="G573" i="23"/>
  <c r="G572" i="23" s="1"/>
  <c r="G641" i="23"/>
  <c r="G640" i="23" s="1"/>
  <c r="G639" i="23" s="1"/>
  <c r="G638" i="23" s="1"/>
  <c r="G649" i="23"/>
  <c r="G648" i="23" s="1"/>
  <c r="H819" i="23"/>
  <c r="G868" i="23"/>
  <c r="H820" i="22"/>
  <c r="H845" i="22"/>
  <c r="H871" i="22"/>
  <c r="G877" i="22"/>
  <c r="G876" i="22" s="1"/>
  <c r="G875" i="22" s="1"/>
  <c r="H927" i="22"/>
  <c r="H724" i="23" s="1"/>
  <c r="H725" i="23" s="1"/>
  <c r="H929" i="22"/>
  <c r="H928" i="22" s="1"/>
  <c r="H935" i="22"/>
  <c r="H738" i="23" s="1"/>
  <c r="H737" i="23" s="1"/>
  <c r="H736" i="23" s="1"/>
  <c r="H735" i="23" s="1"/>
  <c r="H734" i="23" s="1"/>
  <c r="H733" i="23" s="1"/>
  <c r="H937" i="22"/>
  <c r="H936" i="22" s="1"/>
  <c r="H943" i="22"/>
  <c r="H752" i="23" s="1"/>
  <c r="H751" i="23" s="1"/>
  <c r="H750" i="23" s="1"/>
  <c r="H749" i="23" s="1"/>
  <c r="H748" i="23" s="1"/>
  <c r="H747" i="23" s="1"/>
  <c r="H945" i="22"/>
  <c r="H944" i="22" s="1"/>
  <c r="H984" i="22"/>
  <c r="H994" i="22"/>
  <c r="H690" i="23" s="1"/>
  <c r="H691" i="23" s="1"/>
  <c r="G1006" i="22"/>
  <c r="G1005" i="22" s="1"/>
  <c r="G1004" i="22" s="1"/>
  <c r="H1075" i="22"/>
  <c r="G114" i="23"/>
  <c r="G113" i="23" s="1"/>
  <c r="G112" i="23" s="1"/>
  <c r="G111" i="23" s="1"/>
  <c r="G110" i="23" s="1"/>
  <c r="G124" i="23"/>
  <c r="G263" i="23"/>
  <c r="G262" i="23" s="1"/>
  <c r="G361" i="23"/>
  <c r="G360" i="23" s="1"/>
  <c r="G359" i="23" s="1"/>
  <c r="G469" i="23"/>
  <c r="G481" i="23"/>
  <c r="G637" i="23"/>
  <c r="H678" i="23"/>
  <c r="H677" i="23" s="1"/>
  <c r="H766" i="23"/>
  <c r="F186" i="21"/>
  <c r="F185" i="21" s="1"/>
  <c r="F184" i="21" s="1"/>
  <c r="F183" i="21" s="1"/>
  <c r="F182" i="21" s="1"/>
  <c r="G294" i="21"/>
  <c r="G293" i="21" s="1"/>
  <c r="G302" i="21"/>
  <c r="G301" i="21" s="1"/>
  <c r="F335" i="21"/>
  <c r="G335" i="21" s="1"/>
  <c r="H169" i="22"/>
  <c r="H168" i="22" s="1"/>
  <c r="H167" i="22" s="1"/>
  <c r="H166" i="22" s="1"/>
  <c r="H165" i="22" s="1"/>
  <c r="H1105" i="22" s="1"/>
  <c r="G509" i="22"/>
  <c r="G508" i="22" s="1"/>
  <c r="H571" i="22"/>
  <c r="H568" i="22"/>
  <c r="H581" i="22"/>
  <c r="H643" i="22"/>
  <c r="H933" i="22"/>
  <c r="H932" i="22" s="1"/>
  <c r="H939" i="22"/>
  <c r="H745" i="23" s="1"/>
  <c r="H744" i="23" s="1"/>
  <c r="H743" i="23" s="1"/>
  <c r="H742" i="23" s="1"/>
  <c r="H741" i="23" s="1"/>
  <c r="H740" i="23" s="1"/>
  <c r="G991" i="22"/>
  <c r="H509" i="22"/>
  <c r="H508" i="22" s="1"/>
  <c r="H507" i="22" s="1"/>
  <c r="C118" i="19"/>
  <c r="F317" i="21"/>
  <c r="F316" i="21" s="1"/>
  <c r="F315" i="21" s="1"/>
  <c r="D28" i="20" s="1"/>
  <c r="H574" i="22"/>
  <c r="H873" i="22"/>
  <c r="H28" i="23" s="1"/>
  <c r="H29" i="23" s="1"/>
  <c r="H896" i="22"/>
  <c r="G902" i="22"/>
  <c r="H925" i="22"/>
  <c r="H924" i="22" s="1"/>
  <c r="H931" i="22"/>
  <c r="H731" i="23" s="1"/>
  <c r="H732" i="23" s="1"/>
  <c r="H941" i="22"/>
  <c r="H940" i="22" s="1"/>
  <c r="H947" i="22"/>
  <c r="H759" i="23" s="1"/>
  <c r="H760" i="23" s="1"/>
  <c r="G1017" i="22"/>
  <c r="G1016" i="22" s="1"/>
  <c r="C148" i="19"/>
  <c r="C147" i="19" s="1"/>
  <c r="F368" i="21"/>
  <c r="F372" i="21"/>
  <c r="F376" i="21"/>
  <c r="F380" i="21"/>
  <c r="F504" i="21"/>
  <c r="F503" i="21" s="1"/>
  <c r="F502" i="21" s="1"/>
  <c r="F692" i="21"/>
  <c r="G568" i="22"/>
  <c r="G919" i="22"/>
  <c r="G1143" i="22" s="1"/>
  <c r="D84" i="19"/>
  <c r="C84" i="19"/>
  <c r="D148" i="19"/>
  <c r="D147" i="19" s="1"/>
  <c r="F48" i="21"/>
  <c r="F47" i="21" s="1"/>
  <c r="G107" i="21"/>
  <c r="G106" i="21" s="1"/>
  <c r="E15" i="20" s="1"/>
  <c r="G209" i="21"/>
  <c r="G208" i="21"/>
  <c r="E24" i="20"/>
  <c r="F13" i="21"/>
  <c r="F22" i="21"/>
  <c r="F21" i="21" s="1"/>
  <c r="F31" i="21"/>
  <c r="F30" i="21" s="1"/>
  <c r="F29" i="21" s="1"/>
  <c r="D13" i="20" s="1"/>
  <c r="F63" i="21"/>
  <c r="G131" i="21"/>
  <c r="G130" i="21" s="1"/>
  <c r="G129" i="21" s="1"/>
  <c r="G128" i="21" s="1"/>
  <c r="E16" i="20" s="1"/>
  <c r="H139" i="21"/>
  <c r="H160" i="21"/>
  <c r="F159" i="21"/>
  <c r="F137" i="21" s="1"/>
  <c r="F201" i="21"/>
  <c r="F200" i="21" s="1"/>
  <c r="F199" i="21" s="1"/>
  <c r="G202" i="21"/>
  <c r="G201" i="21" s="1"/>
  <c r="G200" i="21" s="1"/>
  <c r="F209" i="21"/>
  <c r="F208" i="21"/>
  <c r="F252" i="21"/>
  <c r="F251" i="21" s="1"/>
  <c r="F250" i="21" s="1"/>
  <c r="D23" i="20" s="1"/>
  <c r="D24" i="20"/>
  <c r="F292" i="21"/>
  <c r="F291" i="21" s="1"/>
  <c r="F283" i="21" s="1"/>
  <c r="G359" i="21"/>
  <c r="C22" i="19"/>
  <c r="F108" i="21"/>
  <c r="F107" i="21" s="1"/>
  <c r="F106" i="21" s="1"/>
  <c r="D15" i="20" s="1"/>
  <c r="F178" i="21"/>
  <c r="F226" i="21"/>
  <c r="F225" i="21" s="1"/>
  <c r="F224" i="21" s="1"/>
  <c r="F223" i="21" s="1"/>
  <c r="F342" i="21"/>
  <c r="H64" i="21" s="1"/>
  <c r="F731" i="21"/>
  <c r="F730" i="21" s="1"/>
  <c r="F725" i="21" s="1"/>
  <c r="F808" i="21"/>
  <c r="F807" i="21" s="1"/>
  <c r="F806" i="21" s="1"/>
  <c r="F848" i="21"/>
  <c r="F892" i="21"/>
  <c r="F887" i="21" s="1"/>
  <c r="F886" i="21" s="1"/>
  <c r="G902" i="21"/>
  <c r="G434" i="21"/>
  <c r="F433" i="21"/>
  <c r="F666" i="21"/>
  <c r="F682" i="21"/>
  <c r="F681" i="21" s="1"/>
  <c r="G731" i="21"/>
  <c r="G730" i="21" s="1"/>
  <c r="G848" i="21"/>
  <c r="F933" i="21"/>
  <c r="F932" i="21" s="1"/>
  <c r="F923" i="21" s="1"/>
  <c r="D48" i="20" s="1"/>
  <c r="F843" i="21"/>
  <c r="F837" i="21" s="1"/>
  <c r="F836" i="21" s="1"/>
  <c r="D43" i="20" s="1"/>
  <c r="D41" i="20" s="1"/>
  <c r="F844" i="21"/>
  <c r="G12" i="21"/>
  <c r="G11" i="21" s="1"/>
  <c r="G10" i="21" s="1"/>
  <c r="F548" i="21"/>
  <c r="G725" i="21"/>
  <c r="G843" i="21"/>
  <c r="G837" i="21" s="1"/>
  <c r="G844" i="21"/>
  <c r="F952" i="21"/>
  <c r="F636" i="21"/>
  <c r="F825" i="21"/>
  <c r="G79" i="22"/>
  <c r="G359" i="22"/>
  <c r="G358" i="22" s="1"/>
  <c r="G424" i="22"/>
  <c r="G423" i="22" s="1"/>
  <c r="G422" i="22" s="1"/>
  <c r="G411" i="22" s="1"/>
  <c r="H484" i="22"/>
  <c r="H483" i="22"/>
  <c r="G516" i="22"/>
  <c r="G1147" i="22" s="1"/>
  <c r="G555" i="22"/>
  <c r="H592" i="22"/>
  <c r="H1140" i="22"/>
  <c r="G925" i="21"/>
  <c r="G924" i="21" s="1"/>
  <c r="G41" i="22"/>
  <c r="H41" i="22" s="1"/>
  <c r="H35" i="22" s="1"/>
  <c r="H34" i="22" s="1"/>
  <c r="H42" i="22"/>
  <c r="H55" i="22"/>
  <c r="H54" i="22" s="1"/>
  <c r="G1142" i="22"/>
  <c r="G605" i="22"/>
  <c r="G604" i="22"/>
  <c r="G70" i="22"/>
  <c r="G206" i="22"/>
  <c r="G205" i="22" s="1"/>
  <c r="G1136" i="22"/>
  <c r="G235" i="22"/>
  <c r="G234" i="22" s="1"/>
  <c r="G1118" i="22"/>
  <c r="G454" i="22"/>
  <c r="G453" i="22"/>
  <c r="H605" i="22"/>
  <c r="H604" i="22"/>
  <c r="G35" i="22"/>
  <c r="G34" i="22" s="1"/>
  <c r="G33" i="22" s="1"/>
  <c r="H47" i="22"/>
  <c r="H46" i="22" s="1"/>
  <c r="H45" i="22" s="1"/>
  <c r="H44" i="22" s="1"/>
  <c r="G484" i="22"/>
  <c r="G483" i="22"/>
  <c r="H43" i="22"/>
  <c r="G20" i="21" s="1"/>
  <c r="G19" i="21" s="1"/>
  <c r="H361" i="23"/>
  <c r="H360" i="23" s="1"/>
  <c r="H359" i="23" s="1"/>
  <c r="H363" i="23"/>
  <c r="H97" i="22"/>
  <c r="H99" i="22"/>
  <c r="H109" i="22"/>
  <c r="G852" i="23"/>
  <c r="G850" i="23"/>
  <c r="G849" i="23" s="1"/>
  <c r="G848" i="23" s="1"/>
  <c r="G847" i="23" s="1"/>
  <c r="G846" i="23" s="1"/>
  <c r="H190" i="22"/>
  <c r="H196" i="22"/>
  <c r="H195" i="22" s="1"/>
  <c r="H194" i="22" s="1"/>
  <c r="H193" i="22" s="1"/>
  <c r="H210" i="22"/>
  <c r="H351" i="23"/>
  <c r="H349" i="23"/>
  <c r="H348" i="23" s="1"/>
  <c r="H347" i="23" s="1"/>
  <c r="H346" i="23" s="1"/>
  <c r="G405" i="23"/>
  <c r="G788" i="23"/>
  <c r="G787" i="23" s="1"/>
  <c r="H272" i="22"/>
  <c r="H278" i="22"/>
  <c r="H277" i="22" s="1"/>
  <c r="H280" i="22"/>
  <c r="H74" i="23" s="1"/>
  <c r="H284" i="22"/>
  <c r="H286" i="22"/>
  <c r="H285" i="22" s="1"/>
  <c r="H288" i="22"/>
  <c r="H88" i="23" s="1"/>
  <c r="H306" i="22"/>
  <c r="H305" i="22" s="1"/>
  <c r="H310" i="22"/>
  <c r="H312" i="22"/>
  <c r="H514" i="23" s="1"/>
  <c r="G558" i="23"/>
  <c r="G556" i="23"/>
  <c r="G555" i="23" s="1"/>
  <c r="G342" i="22"/>
  <c r="G341" i="22" s="1"/>
  <c r="G340" i="22" s="1"/>
  <c r="G42" i="23"/>
  <c r="G40" i="23"/>
  <c r="G39" i="23" s="1"/>
  <c r="G49" i="23"/>
  <c r="G47" i="23"/>
  <c r="G46" i="23" s="1"/>
  <c r="G52" i="23"/>
  <c r="G50" i="23"/>
  <c r="H356" i="22"/>
  <c r="H362" i="22"/>
  <c r="H486" i="23"/>
  <c r="G524" i="23"/>
  <c r="H535" i="23"/>
  <c r="H534" i="23" s="1"/>
  <c r="H533" i="23" s="1"/>
  <c r="H532" i="23" s="1"/>
  <c r="H568" i="23"/>
  <c r="H391" i="22"/>
  <c r="H390" i="22" s="1"/>
  <c r="H389" i="22" s="1"/>
  <c r="G131" i="23"/>
  <c r="G130" i="23" s="1"/>
  <c r="G129" i="23" s="1"/>
  <c r="G128" i="23" s="1"/>
  <c r="G133" i="23"/>
  <c r="H67" i="23"/>
  <c r="H65" i="23"/>
  <c r="H64" i="23" s="1"/>
  <c r="H63" i="23" s="1"/>
  <c r="H62" i="23" s="1"/>
  <c r="H61" i="23" s="1"/>
  <c r="H60" i="23" s="1"/>
  <c r="H456" i="22"/>
  <c r="H455" i="22" s="1"/>
  <c r="H123" i="23"/>
  <c r="H121" i="23"/>
  <c r="H475" i="22"/>
  <c r="H499" i="23"/>
  <c r="H527" i="22"/>
  <c r="G172" i="23"/>
  <c r="G170" i="23"/>
  <c r="G169" i="23" s="1"/>
  <c r="G219" i="23"/>
  <c r="G218" i="23" s="1"/>
  <c r="G221" i="23"/>
  <c r="G227" i="23"/>
  <c r="G226" i="23" s="1"/>
  <c r="G229" i="23"/>
  <c r="G259" i="23"/>
  <c r="G258" i="23" s="1"/>
  <c r="G261" i="23"/>
  <c r="H587" i="22"/>
  <c r="H591" i="22"/>
  <c r="H620" i="22"/>
  <c r="H619" i="22" s="1"/>
  <c r="H637" i="22"/>
  <c r="G238" i="23"/>
  <c r="H640" i="22"/>
  <c r="G243" i="23"/>
  <c r="G241" i="23"/>
  <c r="G240" i="23" s="1"/>
  <c r="H342" i="23"/>
  <c r="H679" i="22"/>
  <c r="H678" i="22" s="1"/>
  <c r="H677" i="22" s="1"/>
  <c r="H716" i="22"/>
  <c r="G771" i="22"/>
  <c r="H772" i="22"/>
  <c r="G1048" i="22"/>
  <c r="G96" i="22"/>
  <c r="G98" i="22"/>
  <c r="G108" i="22"/>
  <c r="G107" i="22" s="1"/>
  <c r="G106" i="22" s="1"/>
  <c r="G397" i="23"/>
  <c r="G395" i="23"/>
  <c r="G394" i="23" s="1"/>
  <c r="G703" i="23"/>
  <c r="G701" i="23"/>
  <c r="G700" i="23" s="1"/>
  <c r="G699" i="23" s="1"/>
  <c r="G698" i="23" s="1"/>
  <c r="G697" i="23" s="1"/>
  <c r="H266" i="22"/>
  <c r="H265" i="22" s="1"/>
  <c r="H252" i="22" s="1"/>
  <c r="H251" i="22" s="1"/>
  <c r="G271" i="22"/>
  <c r="G270" i="22" s="1"/>
  <c r="G283" i="22"/>
  <c r="G282" i="22" s="1"/>
  <c r="G281" i="22" s="1"/>
  <c r="G276" i="22" s="1"/>
  <c r="G275" i="22" s="1"/>
  <c r="H300" i="22"/>
  <c r="G475" i="23"/>
  <c r="G477" i="23"/>
  <c r="G508" i="23"/>
  <c r="G309" i="22"/>
  <c r="G308" i="22" s="1"/>
  <c r="G304" i="22" s="1"/>
  <c r="G295" i="22" s="1"/>
  <c r="H319" i="22"/>
  <c r="H318" i="22" s="1"/>
  <c r="H558" i="23"/>
  <c r="H556" i="23"/>
  <c r="H555" i="23" s="1"/>
  <c r="H342" i="22"/>
  <c r="H341" i="22" s="1"/>
  <c r="H340" i="22" s="1"/>
  <c r="G355" i="22"/>
  <c r="G354" i="22" s="1"/>
  <c r="G353" i="22" s="1"/>
  <c r="H483" i="23"/>
  <c r="H481" i="23"/>
  <c r="G582" i="23"/>
  <c r="G580" i="23"/>
  <c r="G579" i="23" s="1"/>
  <c r="G578" i="23" s="1"/>
  <c r="G577" i="23" s="1"/>
  <c r="G576" i="23" s="1"/>
  <c r="G451" i="22"/>
  <c r="G450" i="22" s="1"/>
  <c r="G449" i="22" s="1"/>
  <c r="G448" i="22" s="1"/>
  <c r="G447" i="22" s="1"/>
  <c r="G446" i="22" s="1"/>
  <c r="G445" i="22" s="1"/>
  <c r="H114" i="23"/>
  <c r="H113" i="23" s="1"/>
  <c r="H112" i="23" s="1"/>
  <c r="H111" i="23" s="1"/>
  <c r="H110" i="23" s="1"/>
  <c r="H116" i="23"/>
  <c r="H473" i="22"/>
  <c r="H472" i="22" s="1"/>
  <c r="H471" i="22" s="1"/>
  <c r="H496" i="23"/>
  <c r="H498" i="23"/>
  <c r="H557" i="22"/>
  <c r="H556" i="22" s="1"/>
  <c r="H172" i="23"/>
  <c r="H170" i="23"/>
  <c r="H169" i="23" s="1"/>
  <c r="H227" i="23"/>
  <c r="H226" i="23" s="1"/>
  <c r="H229" i="23"/>
  <c r="H583" i="22"/>
  <c r="H582" i="22" s="1"/>
  <c r="G586" i="22"/>
  <c r="G585" i="22" s="1"/>
  <c r="G578" i="22" s="1"/>
  <c r="G590" i="22"/>
  <c r="G589" i="22" s="1"/>
  <c r="G588" i="22" s="1"/>
  <c r="G597" i="22"/>
  <c r="G596" i="22" s="1"/>
  <c r="G592" i="22" s="1"/>
  <c r="H613" i="22"/>
  <c r="H612" i="22" s="1"/>
  <c r="H611" i="22" s="1"/>
  <c r="H183" i="23"/>
  <c r="H182" i="23" s="1"/>
  <c r="H185" i="23"/>
  <c r="G629" i="22"/>
  <c r="G628" i="22" s="1"/>
  <c r="G615" i="22" s="1"/>
  <c r="G246" i="23"/>
  <c r="H646" i="22"/>
  <c r="G213" i="23"/>
  <c r="G705" i="22"/>
  <c r="G704" i="22" s="1"/>
  <c r="G697" i="22" s="1"/>
  <c r="G692" i="22" s="1"/>
  <c r="H706" i="22"/>
  <c r="G814" i="22"/>
  <c r="G813" i="22" s="1"/>
  <c r="G812" i="22" s="1"/>
  <c r="G839" i="22"/>
  <c r="G835" i="22" s="1"/>
  <c r="G834" i="22" s="1"/>
  <c r="G833" i="22" s="1"/>
  <c r="G832" i="22" s="1"/>
  <c r="G29" i="23"/>
  <c r="G27" i="23"/>
  <c r="G892" i="22"/>
  <c r="H895" i="22"/>
  <c r="H112" i="22"/>
  <c r="H396" i="23" s="1"/>
  <c r="H703" i="23"/>
  <c r="H701" i="23"/>
  <c r="H700" i="23" s="1"/>
  <c r="H699" i="23" s="1"/>
  <c r="H698" i="23" s="1"/>
  <c r="H697" i="23" s="1"/>
  <c r="H696" i="23" s="1"/>
  <c r="H794" i="23"/>
  <c r="H792" i="23"/>
  <c r="H791" i="23" s="1"/>
  <c r="H298" i="22"/>
  <c r="H297" i="22" s="1"/>
  <c r="H296" i="22" s="1"/>
  <c r="H472" i="23"/>
  <c r="H474" i="23"/>
  <c r="H315" i="22"/>
  <c r="H314" i="22" s="1"/>
  <c r="H313" i="22" s="1"/>
  <c r="H550" i="23"/>
  <c r="H548" i="23"/>
  <c r="H547" i="23" s="1"/>
  <c r="H322" i="22"/>
  <c r="H321" i="22" s="1"/>
  <c r="H317" i="22" s="1"/>
  <c r="G38" i="23"/>
  <c r="G36" i="23"/>
  <c r="G35" i="23" s="1"/>
  <c r="H366" i="22"/>
  <c r="H380" i="22"/>
  <c r="H379" i="22" s="1"/>
  <c r="H378" i="22" s="1"/>
  <c r="H1118" i="22" s="1"/>
  <c r="H582" i="23"/>
  <c r="H462" i="22"/>
  <c r="H495" i="23"/>
  <c r="H493" i="23"/>
  <c r="H481" i="22"/>
  <c r="H480" i="22" s="1"/>
  <c r="H479" i="22" s="1"/>
  <c r="H553" i="22"/>
  <c r="H552" i="22" s="1"/>
  <c r="H551" i="22" s="1"/>
  <c r="H164" i="23"/>
  <c r="H162" i="23"/>
  <c r="H161" i="23" s="1"/>
  <c r="H560" i="22"/>
  <c r="H559" i="22" s="1"/>
  <c r="H555" i="22" s="1"/>
  <c r="G223" i="23"/>
  <c r="G222" i="23" s="1"/>
  <c r="G225" i="23"/>
  <c r="H265" i="23"/>
  <c r="H152" i="23"/>
  <c r="H150" i="23"/>
  <c r="H149" i="23" s="1"/>
  <c r="H148" i="23" s="1"/>
  <c r="G195" i="23"/>
  <c r="G194" i="23" s="1"/>
  <c r="G177" i="23" s="1"/>
  <c r="G328" i="23"/>
  <c r="G327" i="23" s="1"/>
  <c r="G326" i="23" s="1"/>
  <c r="G325" i="23" s="1"/>
  <c r="G324" i="23" s="1"/>
  <c r="G323" i="23" s="1"/>
  <c r="G329" i="23" s="1"/>
  <c r="G671" i="22"/>
  <c r="G670" i="22" s="1"/>
  <c r="G669" i="22" s="1"/>
  <c r="H156" i="23"/>
  <c r="H695" i="22"/>
  <c r="H694" i="22" s="1"/>
  <c r="H693" i="22" s="1"/>
  <c r="H209" i="23"/>
  <c r="H702" i="22"/>
  <c r="H701" i="22" s="1"/>
  <c r="H747" i="22"/>
  <c r="H746" i="22" s="1"/>
  <c r="H745" i="22" s="1"/>
  <c r="H740" i="22" s="1"/>
  <c r="H27" i="23"/>
  <c r="G375" i="23"/>
  <c r="G373" i="23"/>
  <c r="G378" i="23"/>
  <c r="G376" i="23"/>
  <c r="G393" i="23"/>
  <c r="G391" i="23"/>
  <c r="G390" i="23" s="1"/>
  <c r="G389" i="23" s="1"/>
  <c r="G388" i="23" s="1"/>
  <c r="G387" i="23" s="1"/>
  <c r="G768" i="23"/>
  <c r="G766" i="23"/>
  <c r="G806" i="23"/>
  <c r="G804" i="23"/>
  <c r="G803" i="23" s="1"/>
  <c r="G75" i="23"/>
  <c r="G73" i="23"/>
  <c r="G72" i="23" s="1"/>
  <c r="G71" i="23" s="1"/>
  <c r="G70" i="23" s="1"/>
  <c r="G69" i="23" s="1"/>
  <c r="G82" i="23"/>
  <c r="G80" i="23"/>
  <c r="G79" i="23" s="1"/>
  <c r="G78" i="23" s="1"/>
  <c r="G77" i="23" s="1"/>
  <c r="G76" i="23" s="1"/>
  <c r="G89" i="23"/>
  <c r="G87" i="23"/>
  <c r="G86" i="23" s="1"/>
  <c r="G85" i="23" s="1"/>
  <c r="G84" i="23" s="1"/>
  <c r="G83" i="23" s="1"/>
  <c r="H471" i="23"/>
  <c r="H469" i="23"/>
  <c r="G512" i="23"/>
  <c r="G515" i="23"/>
  <c r="G513" i="23"/>
  <c r="H531" i="23"/>
  <c r="H529" i="23"/>
  <c r="H528" i="23" s="1"/>
  <c r="H527" i="23" s="1"/>
  <c r="H526" i="23" s="1"/>
  <c r="H554" i="23"/>
  <c r="H552" i="23"/>
  <c r="H551" i="23" s="1"/>
  <c r="G59" i="23"/>
  <c r="G57" i="23"/>
  <c r="G56" i="23" s="1"/>
  <c r="H489" i="23"/>
  <c r="H487" i="23"/>
  <c r="H562" i="23"/>
  <c r="H561" i="23" s="1"/>
  <c r="H564" i="23"/>
  <c r="G67" i="23"/>
  <c r="G65" i="23"/>
  <c r="G64" i="23" s="1"/>
  <c r="G63" i="23" s="1"/>
  <c r="G62" i="23" s="1"/>
  <c r="G61" i="23" s="1"/>
  <c r="G60" i="23" s="1"/>
  <c r="H126" i="23"/>
  <c r="H124" i="23"/>
  <c r="H543" i="23"/>
  <c r="H541" i="23"/>
  <c r="H540" i="23" s="1"/>
  <c r="H539" i="23" s="1"/>
  <c r="H538" i="23" s="1"/>
  <c r="H147" i="23"/>
  <c r="H145" i="23"/>
  <c r="H144" i="23" s="1"/>
  <c r="H143" i="23" s="1"/>
  <c r="H168" i="23"/>
  <c r="H166" i="23"/>
  <c r="H165" i="23" s="1"/>
  <c r="G267" i="23"/>
  <c r="G266" i="23" s="1"/>
  <c r="G269" i="23"/>
  <c r="G290" i="23"/>
  <c r="H196" i="23"/>
  <c r="H629" i="22"/>
  <c r="H628" i="22" s="1"/>
  <c r="G235" i="23"/>
  <c r="G233" i="23"/>
  <c r="G232" i="23" s="1"/>
  <c r="H277" i="23"/>
  <c r="H652" i="22"/>
  <c r="H651" i="22" s="1"/>
  <c r="H647" i="22" s="1"/>
  <c r="H335" i="23"/>
  <c r="H674" i="22"/>
  <c r="H673" i="22" s="1"/>
  <c r="G342" i="23"/>
  <c r="G679" i="22"/>
  <c r="G678" i="22" s="1"/>
  <c r="G677" i="22" s="1"/>
  <c r="G707" i="22"/>
  <c r="H708" i="22"/>
  <c r="H707" i="22" s="1"/>
  <c r="G1115" i="22"/>
  <c r="G419" i="23"/>
  <c r="H774" i="22"/>
  <c r="H419" i="23" s="1"/>
  <c r="G274" i="23"/>
  <c r="G272" i="23"/>
  <c r="G271" i="23" s="1"/>
  <c r="H699" i="22"/>
  <c r="H698" i="22" s="1"/>
  <c r="H413" i="23"/>
  <c r="H411" i="23"/>
  <c r="H410" i="23" s="1"/>
  <c r="H409" i="23" s="1"/>
  <c r="H408" i="23" s="1"/>
  <c r="H407" i="23" s="1"/>
  <c r="G428" i="23"/>
  <c r="G426" i="23"/>
  <c r="G425" i="23" s="1"/>
  <c r="G435" i="23"/>
  <c r="G433" i="23"/>
  <c r="G432" i="23" s="1"/>
  <c r="H791" i="22"/>
  <c r="H790" i="22" s="1"/>
  <c r="H789" i="22" s="1"/>
  <c r="H1124" i="22" s="1"/>
  <c r="H830" i="22"/>
  <c r="G870" i="22"/>
  <c r="G867" i="22" s="1"/>
  <c r="H888" i="22"/>
  <c r="G957" i="22"/>
  <c r="G956" i="22" s="1"/>
  <c r="G955" i="22" s="1"/>
  <c r="G954" i="22" s="1"/>
  <c r="H658" i="23"/>
  <c r="G680" i="23"/>
  <c r="G678" i="23"/>
  <c r="G677" i="23" s="1"/>
  <c r="H1012" i="22"/>
  <c r="H1050" i="22"/>
  <c r="H1049" i="22" s="1"/>
  <c r="H1048" i="22" s="1"/>
  <c r="G1070" i="22"/>
  <c r="G1069" i="22" s="1"/>
  <c r="G1068" i="22" s="1"/>
  <c r="G1067" i="22" s="1"/>
  <c r="G1086" i="22"/>
  <c r="G1085" i="22" s="1"/>
  <c r="G1084" i="22" s="1"/>
  <c r="G1083" i="22" s="1"/>
  <c r="H22" i="23"/>
  <c r="H127" i="23"/>
  <c r="G318" i="23"/>
  <c r="G314" i="23"/>
  <c r="G313" i="23" s="1"/>
  <c r="G312" i="23" s="1"/>
  <c r="H193" i="23"/>
  <c r="H191" i="23"/>
  <c r="H190" i="23" s="1"/>
  <c r="H650" i="22"/>
  <c r="H206" i="23"/>
  <c r="H204" i="23"/>
  <c r="H203" i="23" s="1"/>
  <c r="H424" i="23"/>
  <c r="H422" i="23"/>
  <c r="H421" i="23" s="1"/>
  <c r="H781" i="22"/>
  <c r="H785" i="22"/>
  <c r="H434" i="23" s="1"/>
  <c r="H787" i="22"/>
  <c r="H786" i="22" s="1"/>
  <c r="H782" i="22" s="1"/>
  <c r="G444" i="23"/>
  <c r="G443" i="23" s="1"/>
  <c r="G442" i="23" s="1"/>
  <c r="G441" i="23" s="1"/>
  <c r="G440" i="23" s="1"/>
  <c r="G446" i="23"/>
  <c r="G829" i="22"/>
  <c r="G826" i="22" s="1"/>
  <c r="G825" i="22" s="1"/>
  <c r="G824" i="22" s="1"/>
  <c r="H870" i="22"/>
  <c r="H867" i="22" s="1"/>
  <c r="G660" i="23"/>
  <c r="H973" i="22"/>
  <c r="H660" i="23" s="1"/>
  <c r="H689" i="23"/>
  <c r="H688" i="23" s="1"/>
  <c r="G859" i="23"/>
  <c r="G1001" i="22"/>
  <c r="G1000" i="22" s="1"/>
  <c r="G999" i="22" s="1"/>
  <c r="G998" i="22" s="1"/>
  <c r="G1146" i="22" s="1"/>
  <c r="H1002" i="22"/>
  <c r="G24" i="23"/>
  <c r="H439" i="23"/>
  <c r="H437" i="23"/>
  <c r="H436" i="23" s="1"/>
  <c r="G725" i="23"/>
  <c r="G723" i="23"/>
  <c r="G722" i="23" s="1"/>
  <c r="G721" i="23" s="1"/>
  <c r="G720" i="23" s="1"/>
  <c r="G719" i="23" s="1"/>
  <c r="G732" i="23"/>
  <c r="G730" i="23"/>
  <c r="G729" i="23" s="1"/>
  <c r="G728" i="23" s="1"/>
  <c r="G727" i="23" s="1"/>
  <c r="G726" i="23" s="1"/>
  <c r="G739" i="23"/>
  <c r="G737" i="23"/>
  <c r="G736" i="23" s="1"/>
  <c r="G735" i="23" s="1"/>
  <c r="G734" i="23" s="1"/>
  <c r="G733" i="23" s="1"/>
  <c r="G746" i="23"/>
  <c r="G744" i="23"/>
  <c r="G743" i="23" s="1"/>
  <c r="G742" i="23" s="1"/>
  <c r="G741" i="23" s="1"/>
  <c r="G740" i="23" s="1"/>
  <c r="G753" i="23"/>
  <c r="G751" i="23"/>
  <c r="G750" i="23" s="1"/>
  <c r="G749" i="23" s="1"/>
  <c r="G748" i="23" s="1"/>
  <c r="G747" i="23" s="1"/>
  <c r="G760" i="23"/>
  <c r="G758" i="23"/>
  <c r="G757" i="23" s="1"/>
  <c r="G756" i="23" s="1"/>
  <c r="G755" i="23" s="1"/>
  <c r="G754" i="23" s="1"/>
  <c r="H1017" i="22"/>
  <c r="H1016" i="22" s="1"/>
  <c r="G456" i="23"/>
  <c r="G454" i="23"/>
  <c r="H746" i="23"/>
  <c r="G658" i="23"/>
  <c r="G656" i="23"/>
  <c r="G23" i="23"/>
  <c r="G21" i="23"/>
  <c r="G676" i="23"/>
  <c r="G674" i="23"/>
  <c r="G121" i="23"/>
  <c r="G120" i="23" s="1"/>
  <c r="G119" i="23" s="1"/>
  <c r="G118" i="23" s="1"/>
  <c r="G117" i="23" s="1"/>
  <c r="G206" i="23"/>
  <c r="G204" i="23"/>
  <c r="G203" i="23" s="1"/>
  <c r="G210" i="23"/>
  <c r="G208" i="23"/>
  <c r="G207" i="23" s="1"/>
  <c r="G254" i="23"/>
  <c r="G252" i="23"/>
  <c r="G251" i="23" s="1"/>
  <c r="G250" i="23" s="1"/>
  <c r="G249" i="23" s="1"/>
  <c r="G248" i="23" s="1"/>
  <c r="H304" i="23"/>
  <c r="H302" i="23"/>
  <c r="H301" i="23" s="1"/>
  <c r="H300" i="23" s="1"/>
  <c r="H299" i="23" s="1"/>
  <c r="H298" i="23" s="1"/>
  <c r="G357" i="23"/>
  <c r="G358" i="23"/>
  <c r="G671" i="23"/>
  <c r="G670" i="23" s="1"/>
  <c r="G673" i="23"/>
  <c r="G689" i="23"/>
  <c r="G688" i="23" s="1"/>
  <c r="G687" i="23" s="1"/>
  <c r="G686" i="23" s="1"/>
  <c r="G685" i="23" s="1"/>
  <c r="G691" i="23"/>
  <c r="G152" i="23"/>
  <c r="G150" i="23"/>
  <c r="G149" i="23" s="1"/>
  <c r="G148" i="23" s="1"/>
  <c r="H254" i="23"/>
  <c r="H252" i="23"/>
  <c r="H251" i="23" s="1"/>
  <c r="H250" i="23" s="1"/>
  <c r="H249" i="23" s="1"/>
  <c r="H248" i="23" s="1"/>
  <c r="G278" i="23"/>
  <c r="G276" i="23"/>
  <c r="G275" i="23" s="1"/>
  <c r="G164" i="23"/>
  <c r="G162" i="23"/>
  <c r="G161" i="23" s="1"/>
  <c r="G168" i="23"/>
  <c r="G166" i="23"/>
  <c r="G165" i="23" s="1"/>
  <c r="G176" i="23"/>
  <c r="G174" i="23"/>
  <c r="G173" i="23" s="1"/>
  <c r="H318" i="23"/>
  <c r="H314" i="23"/>
  <c r="H313" i="23" s="1"/>
  <c r="H312" i="23" s="1"/>
  <c r="H386" i="23"/>
  <c r="H384" i="23"/>
  <c r="H383" i="23" s="1"/>
  <c r="H176" i="23"/>
  <c r="H174" i="23"/>
  <c r="H173" i="23" s="1"/>
  <c r="G304" i="23"/>
  <c r="G302" i="23"/>
  <c r="G301" i="23" s="1"/>
  <c r="G300" i="23" s="1"/>
  <c r="G299" i="23" s="1"/>
  <c r="G298" i="23" s="1"/>
  <c r="G345" i="23"/>
  <c r="G344" i="23"/>
  <c r="G370" i="23"/>
  <c r="G366" i="23"/>
  <c r="H382" i="23"/>
  <c r="H380" i="23"/>
  <c r="H379" i="23" s="1"/>
  <c r="G380" i="23"/>
  <c r="G379" i="23" s="1"/>
  <c r="G384" i="23"/>
  <c r="G383" i="23" s="1"/>
  <c r="G439" i="23"/>
  <c r="G437" i="23"/>
  <c r="G436" i="23" s="1"/>
  <c r="G474" i="23"/>
  <c r="G472" i="23"/>
  <c r="H521" i="23"/>
  <c r="H519" i="23"/>
  <c r="G568" i="23"/>
  <c r="G566" i="23"/>
  <c r="G565" i="23" s="1"/>
  <c r="G626" i="23"/>
  <c r="G624" i="23"/>
  <c r="G623" i="23" s="1"/>
  <c r="G622" i="23" s="1"/>
  <c r="H637" i="23"/>
  <c r="H633" i="23"/>
  <c r="H627" i="23" s="1"/>
  <c r="H655" i="23"/>
  <c r="H653" i="23"/>
  <c r="H669" i="23"/>
  <c r="H667" i="23"/>
  <c r="H666" i="23" s="1"/>
  <c r="G710" i="23"/>
  <c r="G708" i="23"/>
  <c r="G707" i="23" s="1"/>
  <c r="G706" i="23" s="1"/>
  <c r="G705" i="23" s="1"/>
  <c r="G704" i="23" s="1"/>
  <c r="G413" i="23"/>
  <c r="G411" i="23"/>
  <c r="G410" i="23" s="1"/>
  <c r="G409" i="23" s="1"/>
  <c r="G408" i="23" s="1"/>
  <c r="G407" i="23" s="1"/>
  <c r="G486" i="23"/>
  <c r="G484" i="23"/>
  <c r="H621" i="23"/>
  <c r="G614" i="21" s="1"/>
  <c r="G613" i="21" s="1"/>
  <c r="G612" i="21" s="1"/>
  <c r="G611" i="21" s="1"/>
  <c r="G610" i="21" s="1"/>
  <c r="H619" i="23"/>
  <c r="H618" i="23" s="1"/>
  <c r="H617" i="23" s="1"/>
  <c r="G632" i="23"/>
  <c r="G630" i="23"/>
  <c r="G629" i="23" s="1"/>
  <c r="G628" i="23" s="1"/>
  <c r="G627" i="23" s="1"/>
  <c r="G453" i="23"/>
  <c r="G451" i="23"/>
  <c r="G564" i="23"/>
  <c r="G562" i="23"/>
  <c r="G561" i="23" s="1"/>
  <c r="G560" i="23" s="1"/>
  <c r="G559" i="23" s="1"/>
  <c r="G616" i="23"/>
  <c r="G614" i="23"/>
  <c r="G613" i="23" s="1"/>
  <c r="G612" i="23" s="1"/>
  <c r="H673" i="23"/>
  <c r="H671" i="23"/>
  <c r="G684" i="23"/>
  <c r="G682" i="23"/>
  <c r="G681" i="23" s="1"/>
  <c r="G878" i="23"/>
  <c r="G877" i="23"/>
  <c r="H453" i="23"/>
  <c r="H451" i="23"/>
  <c r="G498" i="23"/>
  <c r="G496" i="23"/>
  <c r="H575" i="23"/>
  <c r="H573" i="23"/>
  <c r="H572" i="23" s="1"/>
  <c r="H626" i="23"/>
  <c r="H622" i="23"/>
  <c r="H695" i="23"/>
  <c r="H693" i="23"/>
  <c r="H692" i="23" s="1"/>
  <c r="G862" i="23"/>
  <c r="G861" i="23"/>
  <c r="G870" i="23"/>
  <c r="G869" i="23"/>
  <c r="G876" i="23" s="1"/>
  <c r="G550" i="23"/>
  <c r="G548" i="23"/>
  <c r="G547" i="23" s="1"/>
  <c r="G554" i="23"/>
  <c r="G552" i="23"/>
  <c r="G551" i="23" s="1"/>
  <c r="G596" i="23"/>
  <c r="G594" i="23"/>
  <c r="G593" i="23" s="1"/>
  <c r="G592" i="23" s="1"/>
  <c r="G591" i="23" s="1"/>
  <c r="G590" i="23" s="1"/>
  <c r="G610" i="23"/>
  <c r="G608" i="23"/>
  <c r="G607" i="23" s="1"/>
  <c r="G606" i="23" s="1"/>
  <c r="G605" i="23" s="1"/>
  <c r="H643" i="23"/>
  <c r="H641" i="23"/>
  <c r="H640" i="23" s="1"/>
  <c r="H639" i="23" s="1"/>
  <c r="H638" i="23" s="1"/>
  <c r="G604" i="23"/>
  <c r="G602" i="23"/>
  <c r="G601" i="23" s="1"/>
  <c r="G600" i="23" s="1"/>
  <c r="G599" i="23" s="1"/>
  <c r="H651" i="23"/>
  <c r="H649" i="23"/>
  <c r="H648" i="23" s="1"/>
  <c r="H665" i="23"/>
  <c r="H663" i="23"/>
  <c r="H662" i="23" s="1"/>
  <c r="H878" i="23"/>
  <c r="H877" i="23"/>
  <c r="G819" i="23"/>
  <c r="H870" i="23"/>
  <c r="H869" i="23"/>
  <c r="H876" i="23" s="1"/>
  <c r="G769" i="23"/>
  <c r="G780" i="23"/>
  <c r="G779" i="23" s="1"/>
  <c r="G784" i="23"/>
  <c r="G783" i="23" s="1"/>
  <c r="G792" i="23"/>
  <c r="G791" i="23" s="1"/>
  <c r="G800" i="23"/>
  <c r="G799" i="23" s="1"/>
  <c r="G798" i="23" s="1"/>
  <c r="G797" i="23" s="1"/>
  <c r="G796" i="23" s="1"/>
  <c r="G816" i="23"/>
  <c r="G815" i="23" s="1"/>
  <c r="G814" i="23" s="1"/>
  <c r="H769" i="23"/>
  <c r="H765" i="23" s="1"/>
  <c r="H780" i="23"/>
  <c r="H779" i="23" s="1"/>
  <c r="H784" i="23"/>
  <c r="H783" i="23" s="1"/>
  <c r="H800" i="23"/>
  <c r="H799" i="23" s="1"/>
  <c r="H816" i="23"/>
  <c r="H815" i="23" s="1"/>
  <c r="H814" i="23" s="1"/>
  <c r="H866" i="23"/>
  <c r="H865" i="23" s="1"/>
  <c r="H864" i="23" s="1"/>
  <c r="H863" i="23" s="1"/>
  <c r="F510" i="3"/>
  <c r="F509" i="3" s="1"/>
  <c r="F987" i="3"/>
  <c r="F986" i="3" s="1"/>
  <c r="F985" i="3" s="1"/>
  <c r="G436" i="5"/>
  <c r="G437" i="5" s="1"/>
  <c r="H38" i="23" l="1"/>
  <c r="H36" i="23"/>
  <c r="H35" i="23" s="1"/>
  <c r="H477" i="23"/>
  <c r="H475" i="23"/>
  <c r="H468" i="23" s="1"/>
  <c r="H467" i="23" s="1"/>
  <c r="H466" i="23" s="1"/>
  <c r="F714" i="21"/>
  <c r="D37" i="20" s="1"/>
  <c r="G480" i="23"/>
  <c r="G479" i="23" s="1"/>
  <c r="G478" i="23" s="1"/>
  <c r="G746" i="22"/>
  <c r="G745" i="22" s="1"/>
  <c r="G740" i="22" s="1"/>
  <c r="H458" i="22"/>
  <c r="H40" i="23"/>
  <c r="H39" i="23" s="1"/>
  <c r="H302" i="22"/>
  <c r="H370" i="23"/>
  <c r="H369" i="23" s="1"/>
  <c r="H368" i="23" s="1"/>
  <c r="H367" i="23" s="1"/>
  <c r="H366" i="23" s="1"/>
  <c r="F332" i="21"/>
  <c r="I32" i="21"/>
  <c r="G872" i="21"/>
  <c r="E45" i="20" s="1"/>
  <c r="F700" i="21"/>
  <c r="F699" i="21" s="1"/>
  <c r="F691" i="21" s="1"/>
  <c r="F690" i="21" s="1"/>
  <c r="F689" i="21" s="1"/>
  <c r="D36" i="20" s="1"/>
  <c r="F85" i="21"/>
  <c r="H730" i="23"/>
  <c r="H729" i="23" s="1"/>
  <c r="H728" i="23" s="1"/>
  <c r="H727" i="23" s="1"/>
  <c r="H726" i="23" s="1"/>
  <c r="H758" i="23"/>
  <c r="H757" i="23" s="1"/>
  <c r="H756" i="23" s="1"/>
  <c r="H755" i="23" s="1"/>
  <c r="H754" i="23" s="1"/>
  <c r="H723" i="23"/>
  <c r="H722" i="23" s="1"/>
  <c r="H721" i="23" s="1"/>
  <c r="H720" i="23" s="1"/>
  <c r="H719" i="23" s="1"/>
  <c r="H711" i="23" s="1"/>
  <c r="H753" i="23"/>
  <c r="G1003" i="22"/>
  <c r="H82" i="22"/>
  <c r="G76" i="21"/>
  <c r="G75" i="21" s="1"/>
  <c r="F233" i="21"/>
  <c r="F232" i="21" s="1"/>
  <c r="F231" i="21" s="1"/>
  <c r="G468" i="23"/>
  <c r="G467" i="23" s="1"/>
  <c r="G466" i="23" s="1"/>
  <c r="G766" i="22"/>
  <c r="F567" i="21"/>
  <c r="F543" i="21" s="1"/>
  <c r="F542" i="21" s="1"/>
  <c r="D34" i="20" s="1"/>
  <c r="H180" i="22"/>
  <c r="H179" i="22" s="1"/>
  <c r="H175" i="22" s="1"/>
  <c r="G239" i="21"/>
  <c r="G238" i="21" s="1"/>
  <c r="G237" i="21" s="1"/>
  <c r="G233" i="21" s="1"/>
  <c r="H80" i="22"/>
  <c r="H79" i="22" s="1"/>
  <c r="G74" i="21"/>
  <c r="G73" i="21" s="1"/>
  <c r="G72" i="21" s="1"/>
  <c r="G63" i="21" s="1"/>
  <c r="H788" i="23"/>
  <c r="H787" i="23" s="1"/>
  <c r="H764" i="23" s="1"/>
  <c r="H763" i="23" s="1"/>
  <c r="H762" i="23" s="1"/>
  <c r="H761" i="23" s="1"/>
  <c r="G195" i="21"/>
  <c r="G194" i="21" s="1"/>
  <c r="G193" i="21" s="1"/>
  <c r="G183" i="21" s="1"/>
  <c r="G182" i="21" s="1"/>
  <c r="H739" i="23"/>
  <c r="D78" i="19"/>
  <c r="D77" i="19" s="1"/>
  <c r="D159" i="19" s="1"/>
  <c r="H1098" i="22" s="1"/>
  <c r="D32" i="19"/>
  <c r="D9" i="19" s="1"/>
  <c r="H560" i="23"/>
  <c r="H559" i="23" s="1"/>
  <c r="H498" i="22"/>
  <c r="H493" i="22" s="1"/>
  <c r="H492" i="22" s="1"/>
  <c r="H491" i="22" s="1"/>
  <c r="H490" i="22" s="1"/>
  <c r="G56" i="21"/>
  <c r="G55" i="21" s="1"/>
  <c r="G48" i="21" s="1"/>
  <c r="G47" i="21" s="1"/>
  <c r="G46" i="21" s="1"/>
  <c r="H48" i="23"/>
  <c r="H349" i="22"/>
  <c r="H348" i="22" s="1"/>
  <c r="H347" i="22" s="1"/>
  <c r="G702" i="21"/>
  <c r="G701" i="21" s="1"/>
  <c r="G700" i="21" s="1"/>
  <c r="G699" i="21" s="1"/>
  <c r="H808" i="23"/>
  <c r="H807" i="23" s="1"/>
  <c r="G492" i="23"/>
  <c r="G491" i="23" s="1"/>
  <c r="G490" i="23" s="1"/>
  <c r="G450" i="23"/>
  <c r="G449" i="23" s="1"/>
  <c r="G448" i="23" s="1"/>
  <c r="G447" i="23" s="1"/>
  <c r="G142" i="23"/>
  <c r="G141" i="23" s="1"/>
  <c r="G803" i="22"/>
  <c r="H615" i="22"/>
  <c r="G691" i="22"/>
  <c r="G469" i="22"/>
  <c r="G468" i="22" s="1"/>
  <c r="G1125" i="22" s="1"/>
  <c r="H70" i="22"/>
  <c r="G191" i="22"/>
  <c r="H33" i="22"/>
  <c r="G731" i="22"/>
  <c r="G730" i="22" s="1"/>
  <c r="G729" i="22" s="1"/>
  <c r="G127" i="23"/>
  <c r="G109" i="23" s="1"/>
  <c r="H11" i="22"/>
  <c r="H10" i="22" s="1"/>
  <c r="H106" i="21"/>
  <c r="H735" i="22"/>
  <c r="H732" i="22" s="1"/>
  <c r="H731" i="22" s="1"/>
  <c r="H730" i="22" s="1"/>
  <c r="H729" i="22" s="1"/>
  <c r="G721" i="21"/>
  <c r="G720" i="21" s="1"/>
  <c r="G717" i="21" s="1"/>
  <c r="G716" i="21" s="1"/>
  <c r="G715" i="21" s="1"/>
  <c r="G714" i="21" s="1"/>
  <c r="E37" i="20" s="1"/>
  <c r="C78" i="19"/>
  <c r="C77" i="19" s="1"/>
  <c r="C159" i="19" s="1"/>
  <c r="G1098" i="22" s="1"/>
  <c r="H1047" i="22"/>
  <c r="H1046" i="22" s="1"/>
  <c r="H34" i="23"/>
  <c r="H33" i="23" s="1"/>
  <c r="H919" i="22"/>
  <c r="H1143" i="22" s="1"/>
  <c r="H611" i="23"/>
  <c r="H598" i="23" s="1"/>
  <c r="H597" i="23" s="1"/>
  <c r="G610" i="22"/>
  <c r="G609" i="22" s="1"/>
  <c r="G550" i="22"/>
  <c r="G218" i="22"/>
  <c r="G1119" i="22" s="1"/>
  <c r="D38" i="20"/>
  <c r="C9" i="19"/>
  <c r="H675" i="23"/>
  <c r="H983" i="22"/>
  <c r="H980" i="22" s="1"/>
  <c r="H964" i="22" s="1"/>
  <c r="H959" i="22" s="1"/>
  <c r="H1141" i="22" s="1"/>
  <c r="G424" i="21"/>
  <c r="G423" i="21" s="1"/>
  <c r="G420" i="21" s="1"/>
  <c r="G404" i="21" s="1"/>
  <c r="H25" i="23"/>
  <c r="G280" i="21"/>
  <c r="G279" i="21" s="1"/>
  <c r="G276" i="21" s="1"/>
  <c r="G275" i="21" s="1"/>
  <c r="G270" i="21" s="1"/>
  <c r="G269" i="21" s="1"/>
  <c r="E25" i="20" s="1"/>
  <c r="H819" i="22"/>
  <c r="H814" i="22" s="1"/>
  <c r="H813" i="22" s="1"/>
  <c r="H812" i="22" s="1"/>
  <c r="G940" i="21"/>
  <c r="G939" i="21" s="1"/>
  <c r="G934" i="21" s="1"/>
  <c r="G933" i="21" s="1"/>
  <c r="G932" i="21" s="1"/>
  <c r="G923" i="21" s="1"/>
  <c r="E48" i="20" s="1"/>
  <c r="H1009" i="22"/>
  <c r="G450" i="21"/>
  <c r="G449" i="21" s="1"/>
  <c r="G492" i="22"/>
  <c r="G491" i="22" s="1"/>
  <c r="G490" i="22" s="1"/>
  <c r="H48" i="21"/>
  <c r="G951" i="21"/>
  <c r="E50" i="20"/>
  <c r="E49" i="20" s="1"/>
  <c r="H507" i="23"/>
  <c r="G656" i="21"/>
  <c r="G655" i="21" s="1"/>
  <c r="G654" i="21" s="1"/>
  <c r="G431" i="23"/>
  <c r="G430" i="23" s="1"/>
  <c r="G429" i="23" s="1"/>
  <c r="H160" i="23"/>
  <c r="H525" i="23"/>
  <c r="G509" i="23"/>
  <c r="G504" i="23" s="1"/>
  <c r="G503" i="23" s="1"/>
  <c r="G502" i="23" s="1"/>
  <c r="G68" i="23"/>
  <c r="F620" i="21"/>
  <c r="D35" i="20" s="1"/>
  <c r="F46" i="21"/>
  <c r="F359" i="21"/>
  <c r="H844" i="22"/>
  <c r="H839" i="22" s="1"/>
  <c r="H835" i="22" s="1"/>
  <c r="H834" i="22" s="1"/>
  <c r="H833" i="22" s="1"/>
  <c r="H832" i="22" s="1"/>
  <c r="G148" i="21"/>
  <c r="G147" i="21" s="1"/>
  <c r="G142" i="21" s="1"/>
  <c r="G138" i="21" s="1"/>
  <c r="G137" i="21" s="1"/>
  <c r="G571" i="23"/>
  <c r="G570" i="23" s="1"/>
  <c r="G569" i="23"/>
  <c r="G525" i="23"/>
  <c r="H429" i="22"/>
  <c r="H424" i="22" s="1"/>
  <c r="H423" i="22" s="1"/>
  <c r="H422" i="22" s="1"/>
  <c r="H411" i="22" s="1"/>
  <c r="G814" i="21"/>
  <c r="G813" i="21" s="1"/>
  <c r="G808" i="21" s="1"/>
  <c r="G807" i="21" s="1"/>
  <c r="G806" i="21" s="1"/>
  <c r="G795" i="21" s="1"/>
  <c r="E40" i="20" s="1"/>
  <c r="H445" i="23"/>
  <c r="G912" i="21"/>
  <c r="G911" i="21" s="1"/>
  <c r="G910" i="21" s="1"/>
  <c r="G909" i="21" s="1"/>
  <c r="H236" i="22"/>
  <c r="H523" i="23"/>
  <c r="H372" i="22"/>
  <c r="H369" i="22" s="1"/>
  <c r="H368" i="22" s="1"/>
  <c r="G757" i="21"/>
  <c r="G756" i="21" s="1"/>
  <c r="G753" i="21" s="1"/>
  <c r="G752" i="21" s="1"/>
  <c r="G743" i="21" s="1"/>
  <c r="G742" i="21" s="1"/>
  <c r="H404" i="23"/>
  <c r="H229" i="22"/>
  <c r="H228" i="22" s="1"/>
  <c r="H227" i="22" s="1"/>
  <c r="H226" i="22" s="1"/>
  <c r="G862" i="21"/>
  <c r="G861" i="21" s="1"/>
  <c r="G860" i="21" s="1"/>
  <c r="G859" i="21" s="1"/>
  <c r="G858" i="21" s="1"/>
  <c r="G836" i="21" s="1"/>
  <c r="H851" i="23"/>
  <c r="H153" i="22"/>
  <c r="H152" i="22" s="1"/>
  <c r="H151" i="22" s="1"/>
  <c r="H146" i="22" s="1"/>
  <c r="H130" i="22" s="1"/>
  <c r="G207" i="21"/>
  <c r="G206" i="21" s="1"/>
  <c r="G205" i="21" s="1"/>
  <c r="G204" i="21" s="1"/>
  <c r="G199" i="21" s="1"/>
  <c r="G711" i="23"/>
  <c r="H224" i="23"/>
  <c r="G504" i="21"/>
  <c r="G503" i="21" s="1"/>
  <c r="G502" i="21" s="1"/>
  <c r="H220" i="23"/>
  <c r="G501" i="21"/>
  <c r="G500" i="21" s="1"/>
  <c r="G499" i="21" s="1"/>
  <c r="H260" i="23"/>
  <c r="G511" i="21"/>
  <c r="G510" i="21" s="1"/>
  <c r="G509" i="21" s="1"/>
  <c r="G959" i="22"/>
  <c r="G1141" i="22" s="1"/>
  <c r="F136" i="21"/>
  <c r="D17" i="20" s="1"/>
  <c r="H242" i="23"/>
  <c r="G576" i="21"/>
  <c r="G575" i="21" s="1"/>
  <c r="G574" i="21" s="1"/>
  <c r="G435" i="5"/>
  <c r="G434" i="5" s="1"/>
  <c r="G549" i="22"/>
  <c r="G1139" i="22"/>
  <c r="G294" i="22"/>
  <c r="H1144" i="22"/>
  <c r="D26" i="20"/>
  <c r="F249" i="21"/>
  <c r="G274" i="22"/>
  <c r="G273" i="22" s="1"/>
  <c r="H571" i="23"/>
  <c r="H570" i="23" s="1"/>
  <c r="H569" i="23"/>
  <c r="H887" i="22"/>
  <c r="H886" i="22" s="1"/>
  <c r="H877" i="22" s="1"/>
  <c r="H876" i="22" s="1"/>
  <c r="H875" i="22" s="1"/>
  <c r="G328" i="21"/>
  <c r="G327" i="21" s="1"/>
  <c r="G326" i="21" s="1"/>
  <c r="G418" i="23"/>
  <c r="G417" i="23" s="1"/>
  <c r="G416" i="23" s="1"/>
  <c r="G415" i="23" s="1"/>
  <c r="G414" i="23" s="1"/>
  <c r="G420" i="23"/>
  <c r="G160" i="23"/>
  <c r="H687" i="23"/>
  <c r="H686" i="23" s="1"/>
  <c r="H685" i="23" s="1"/>
  <c r="G661" i="23"/>
  <c r="G659" i="23"/>
  <c r="G652" i="23" s="1"/>
  <c r="G647" i="23" s="1"/>
  <c r="G646" i="23" s="1"/>
  <c r="G645" i="23" s="1"/>
  <c r="G644" i="23" s="1"/>
  <c r="H273" i="23"/>
  <c r="G583" i="21"/>
  <c r="G582" i="21" s="1"/>
  <c r="G581" i="21" s="1"/>
  <c r="G580" i="21" s="1"/>
  <c r="H23" i="23"/>
  <c r="H21" i="23"/>
  <c r="H1011" i="22"/>
  <c r="H1006" i="22" s="1"/>
  <c r="H1005" i="22" s="1"/>
  <c r="H1004" i="22" s="1"/>
  <c r="H1003" i="22" s="1"/>
  <c r="G452" i="21"/>
  <c r="G451" i="21" s="1"/>
  <c r="G446" i="21" s="1"/>
  <c r="H455" i="23"/>
  <c r="H829" i="22"/>
  <c r="H826" i="22" s="1"/>
  <c r="H825" i="22" s="1"/>
  <c r="H824" i="22" s="1"/>
  <c r="H803" i="22" s="1"/>
  <c r="G950" i="21"/>
  <c r="G949" i="21" s="1"/>
  <c r="G946" i="21" s="1"/>
  <c r="G945" i="21" s="1"/>
  <c r="G944" i="21" s="1"/>
  <c r="G55" i="23"/>
  <c r="G54" i="23" s="1"/>
  <c r="G53" i="23"/>
  <c r="H546" i="23"/>
  <c r="H545" i="23" s="1"/>
  <c r="H544" i="23" s="1"/>
  <c r="G372" i="23"/>
  <c r="G371" i="23" s="1"/>
  <c r="G365" i="23" s="1"/>
  <c r="G364" i="23" s="1"/>
  <c r="G356" i="23" s="1"/>
  <c r="G1112" i="22"/>
  <c r="H155" i="23"/>
  <c r="H154" i="23" s="1"/>
  <c r="H153" i="23" s="1"/>
  <c r="H142" i="23" s="1"/>
  <c r="H141" i="23" s="1"/>
  <c r="H157" i="23"/>
  <c r="H492" i="23"/>
  <c r="H491" i="23" s="1"/>
  <c r="H490" i="23" s="1"/>
  <c r="H395" i="23"/>
  <c r="H394" i="23" s="1"/>
  <c r="H397" i="23"/>
  <c r="H213" i="23"/>
  <c r="H705" i="22"/>
  <c r="H704" i="22" s="1"/>
  <c r="H697" i="22" s="1"/>
  <c r="H692" i="22" s="1"/>
  <c r="H691" i="22" s="1"/>
  <c r="G635" i="21"/>
  <c r="G634" i="21" s="1"/>
  <c r="G633" i="21" s="1"/>
  <c r="G626" i="21" s="1"/>
  <c r="G621" i="21" s="1"/>
  <c r="G247" i="23"/>
  <c r="G245" i="23"/>
  <c r="G244" i="23" s="1"/>
  <c r="G1047" i="22"/>
  <c r="G1046" i="22" s="1"/>
  <c r="H234" i="23"/>
  <c r="G570" i="21"/>
  <c r="G569" i="21" s="1"/>
  <c r="G568" i="21" s="1"/>
  <c r="H526" i="22"/>
  <c r="H525" i="22" s="1"/>
  <c r="H524" i="22" s="1"/>
  <c r="H523" i="22" s="1"/>
  <c r="H522" i="22" s="1"/>
  <c r="H521" i="22" s="1"/>
  <c r="G325" i="21"/>
  <c r="G324" i="21" s="1"/>
  <c r="G323" i="21" s="1"/>
  <c r="G317" i="21" s="1"/>
  <c r="G316" i="21" s="1"/>
  <c r="G315" i="21" s="1"/>
  <c r="H120" i="23"/>
  <c r="H119" i="23" s="1"/>
  <c r="H118" i="23" s="1"/>
  <c r="H117" i="23" s="1"/>
  <c r="H361" i="22"/>
  <c r="H360" i="22" s="1"/>
  <c r="H359" i="22" s="1"/>
  <c r="H358" i="22" s="1"/>
  <c r="H357" i="22" s="1"/>
  <c r="H1116" i="22" s="1"/>
  <c r="H1117" i="22" s="1"/>
  <c r="G45" i="23"/>
  <c r="G44" i="23" s="1"/>
  <c r="G43" i="23" s="1"/>
  <c r="G339" i="22"/>
  <c r="G338" i="22" s="1"/>
  <c r="G337" i="22" s="1"/>
  <c r="H511" i="23"/>
  <c r="H309" i="22"/>
  <c r="H308" i="22" s="1"/>
  <c r="H304" i="22" s="1"/>
  <c r="H295" i="22" s="1"/>
  <c r="G659" i="21"/>
  <c r="G658" i="21" s="1"/>
  <c r="G657" i="21" s="1"/>
  <c r="H805" i="23"/>
  <c r="H271" i="22"/>
  <c r="H270" i="22" s="1"/>
  <c r="G203" i="21"/>
  <c r="H1142" i="22"/>
  <c r="H192" i="22"/>
  <c r="H392" i="23"/>
  <c r="H108" i="22"/>
  <c r="H107" i="22" s="1"/>
  <c r="G105" i="21"/>
  <c r="G104" i="21" s="1"/>
  <c r="G103" i="21" s="1"/>
  <c r="G102" i="21" s="1"/>
  <c r="H358" i="23"/>
  <c r="H357" i="23"/>
  <c r="H489" i="22"/>
  <c r="H488" i="22" s="1"/>
  <c r="F829" i="21"/>
  <c r="H830" i="21" s="1"/>
  <c r="F331" i="21"/>
  <c r="F330" i="21" s="1"/>
  <c r="G332" i="21"/>
  <c r="G331" i="21" s="1"/>
  <c r="G330" i="21" s="1"/>
  <c r="G329" i="21" s="1"/>
  <c r="E29" i="20" s="1"/>
  <c r="D22" i="20"/>
  <c r="H13" i="21"/>
  <c r="F12" i="21"/>
  <c r="F11" i="21" s="1"/>
  <c r="F10" i="21" s="1"/>
  <c r="H7" i="21"/>
  <c r="H435" i="23"/>
  <c r="H433" i="23"/>
  <c r="H432" i="23" s="1"/>
  <c r="H431" i="23" s="1"/>
  <c r="H430" i="23" s="1"/>
  <c r="H429" i="23" s="1"/>
  <c r="G884" i="23"/>
  <c r="H859" i="23"/>
  <c r="H1001" i="22"/>
  <c r="H1000" i="22" s="1"/>
  <c r="G442" i="21"/>
  <c r="G441" i="21" s="1"/>
  <c r="G440" i="21" s="1"/>
  <c r="H866" i="22"/>
  <c r="H861" i="22"/>
  <c r="G270" i="23"/>
  <c r="H420" i="23"/>
  <c r="H418" i="23"/>
  <c r="H417" i="23" s="1"/>
  <c r="H336" i="23"/>
  <c r="H334" i="23"/>
  <c r="H333" i="23" s="1"/>
  <c r="H332" i="23" s="1"/>
  <c r="H331" i="23" s="1"/>
  <c r="H330" i="23" s="1"/>
  <c r="G891" i="22"/>
  <c r="G890" i="22" s="1"/>
  <c r="G889" i="22" s="1"/>
  <c r="H892" i="22"/>
  <c r="H891" i="22" s="1"/>
  <c r="H890" i="22" s="1"/>
  <c r="H109" i="23"/>
  <c r="G268" i="22"/>
  <c r="G244" i="22" s="1"/>
  <c r="G243" i="22" s="1"/>
  <c r="G269" i="22"/>
  <c r="G257" i="23"/>
  <c r="G217" i="23"/>
  <c r="G216" i="23" s="1"/>
  <c r="H58" i="23"/>
  <c r="H355" i="22"/>
  <c r="H354" i="22" s="1"/>
  <c r="H353" i="22" s="1"/>
  <c r="G708" i="21"/>
  <c r="G707" i="21" s="1"/>
  <c r="G706" i="21" s="1"/>
  <c r="G705" i="21" s="1"/>
  <c r="G691" i="21" s="1"/>
  <c r="G690" i="21" s="1"/>
  <c r="G689" i="21" s="1"/>
  <c r="E36" i="20" s="1"/>
  <c r="H81" i="23"/>
  <c r="H283" i="22"/>
  <c r="H282" i="22" s="1"/>
  <c r="H281" i="22" s="1"/>
  <c r="G300" i="21"/>
  <c r="G299" i="21" s="1"/>
  <c r="G298" i="21" s="1"/>
  <c r="G297" i="21" s="1"/>
  <c r="G292" i="21" s="1"/>
  <c r="G291" i="21" s="1"/>
  <c r="H344" i="23"/>
  <c r="H345" i="23"/>
  <c r="H189" i="22"/>
  <c r="H188" i="22" s="1"/>
  <c r="H182" i="22" s="1"/>
  <c r="G248" i="21"/>
  <c r="G247" i="21" s="1"/>
  <c r="G246" i="21" s="1"/>
  <c r="H377" i="23"/>
  <c r="H98" i="22"/>
  <c r="G95" i="21"/>
  <c r="G94" i="21" s="1"/>
  <c r="G1121" i="22"/>
  <c r="G1109" i="22"/>
  <c r="F951" i="21"/>
  <c r="D50" i="20"/>
  <c r="D49" i="20" s="1"/>
  <c r="G433" i="21"/>
  <c r="F432" i="21"/>
  <c r="G1138" i="22"/>
  <c r="G765" i="22"/>
  <c r="G214" i="23"/>
  <c r="G212" i="23"/>
  <c r="G211" i="23" s="1"/>
  <c r="G202" i="23" s="1"/>
  <c r="H339" i="22"/>
  <c r="H338" i="22" s="1"/>
  <c r="H337" i="22" s="1"/>
  <c r="H238" i="23"/>
  <c r="G573" i="21"/>
  <c r="G572" i="21" s="1"/>
  <c r="G571" i="21" s="1"/>
  <c r="H289" i="23"/>
  <c r="H590" i="22"/>
  <c r="H589" i="22" s="1"/>
  <c r="H588" i="22" s="1"/>
  <c r="G521" i="21"/>
  <c r="G520" i="21" s="1"/>
  <c r="G519" i="21" s="1"/>
  <c r="G518" i="21" s="1"/>
  <c r="H453" i="22"/>
  <c r="H447" i="22" s="1"/>
  <c r="H446" i="22" s="1"/>
  <c r="H445" i="22" s="1"/>
  <c r="H454" i="22"/>
  <c r="H75" i="23"/>
  <c r="H73" i="23"/>
  <c r="H72" i="23" s="1"/>
  <c r="H71" i="23" s="1"/>
  <c r="H70" i="23" s="1"/>
  <c r="H69" i="23" s="1"/>
  <c r="H374" i="23"/>
  <c r="H96" i="22"/>
  <c r="G93" i="21"/>
  <c r="G92" i="21" s="1"/>
  <c r="G91" i="21" s="1"/>
  <c r="G90" i="21" s="1"/>
  <c r="G85" i="21" s="1"/>
  <c r="G1097" i="22"/>
  <c r="G1104" i="22"/>
  <c r="F885" i="21"/>
  <c r="D47" i="20"/>
  <c r="D46" i="20" s="1"/>
  <c r="F45" i="21"/>
  <c r="G465" i="23"/>
  <c r="G765" i="23"/>
  <c r="G764" i="23" s="1"/>
  <c r="G763" i="23" s="1"/>
  <c r="G762" i="23" s="1"/>
  <c r="G761" i="23" s="1"/>
  <c r="H210" i="23"/>
  <c r="H208" i="23"/>
  <c r="H207" i="23" s="1"/>
  <c r="H862" i="23"/>
  <c r="H861" i="23"/>
  <c r="H884" i="23"/>
  <c r="G546" i="23"/>
  <c r="G545" i="23" s="1"/>
  <c r="G544" i="23" s="1"/>
  <c r="G808" i="23"/>
  <c r="G807" i="23" s="1"/>
  <c r="G795" i="23" s="1"/>
  <c r="G611" i="23"/>
  <c r="G598" i="23" s="1"/>
  <c r="G597" i="23" s="1"/>
  <c r="G20" i="23"/>
  <c r="G19" i="23" s="1"/>
  <c r="G18" i="23" s="1"/>
  <c r="G17" i="23" s="1"/>
  <c r="G9" i="23" s="1"/>
  <c r="G860" i="23"/>
  <c r="G858" i="23"/>
  <c r="G857" i="23" s="1"/>
  <c r="G856" i="23" s="1"/>
  <c r="G855" i="23" s="1"/>
  <c r="G854" i="23" s="1"/>
  <c r="G853" i="23" s="1"/>
  <c r="H661" i="23"/>
  <c r="H659" i="23"/>
  <c r="H652" i="23" s="1"/>
  <c r="H427" i="23"/>
  <c r="H780" i="22"/>
  <c r="H779" i="22" s="1"/>
  <c r="H778" i="22" s="1"/>
  <c r="H766" i="22" s="1"/>
  <c r="G901" i="21"/>
  <c r="G900" i="21" s="1"/>
  <c r="G899" i="21" s="1"/>
  <c r="G892" i="21" s="1"/>
  <c r="G887" i="21" s="1"/>
  <c r="G886" i="21" s="1"/>
  <c r="G866" i="22"/>
  <c r="G861" i="22"/>
  <c r="G343" i="23"/>
  <c r="G341" i="23"/>
  <c r="G340" i="23" s="1"/>
  <c r="G339" i="23" s="1"/>
  <c r="G338" i="23" s="1"/>
  <c r="G337" i="23" s="1"/>
  <c r="H278" i="23"/>
  <c r="H276" i="23"/>
  <c r="H275" i="23" s="1"/>
  <c r="H197" i="23"/>
  <c r="H195" i="23"/>
  <c r="H194" i="23" s="1"/>
  <c r="H177" i="23" s="1"/>
  <c r="H32" i="23"/>
  <c r="G34" i="23"/>
  <c r="G33" i="23" s="1"/>
  <c r="H246" i="23"/>
  <c r="H645" i="22"/>
  <c r="H644" i="22" s="1"/>
  <c r="H634" i="22" s="1"/>
  <c r="H610" i="22" s="1"/>
  <c r="H609" i="22" s="1"/>
  <c r="G579" i="21"/>
  <c r="G578" i="21" s="1"/>
  <c r="G577" i="21" s="1"/>
  <c r="H470" i="22"/>
  <c r="H469" i="22" s="1"/>
  <c r="H468" i="22" s="1"/>
  <c r="H1125" i="22" s="1"/>
  <c r="H480" i="23"/>
  <c r="H479" i="23" s="1"/>
  <c r="H478" i="23" s="1"/>
  <c r="G696" i="23"/>
  <c r="G95" i="22"/>
  <c r="G94" i="22" s="1"/>
  <c r="G89" i="22" s="1"/>
  <c r="G1135" i="22" s="1"/>
  <c r="H341" i="23"/>
  <c r="H340" i="23" s="1"/>
  <c r="H339" i="23" s="1"/>
  <c r="H338" i="23" s="1"/>
  <c r="H337" i="23" s="1"/>
  <c r="H343" i="23"/>
  <c r="G239" i="23"/>
  <c r="G237" i="23"/>
  <c r="G236" i="23" s="1"/>
  <c r="G231" i="23" s="1"/>
  <c r="G230" i="23" s="1"/>
  <c r="H268" i="23"/>
  <c r="H267" i="23" s="1"/>
  <c r="H266" i="23" s="1"/>
  <c r="H269" i="23"/>
  <c r="H586" i="22"/>
  <c r="H585" i="22" s="1"/>
  <c r="H578" i="22" s="1"/>
  <c r="H550" i="22" s="1"/>
  <c r="G517" i="21"/>
  <c r="G516" i="21" s="1"/>
  <c r="G515" i="21" s="1"/>
  <c r="G508" i="21" s="1"/>
  <c r="H515" i="23"/>
  <c r="H513" i="23"/>
  <c r="H89" i="23"/>
  <c r="H87" i="23"/>
  <c r="H86" i="23" s="1"/>
  <c r="H85" i="23" s="1"/>
  <c r="H84" i="23" s="1"/>
  <c r="H83" i="23" s="1"/>
  <c r="H276" i="22"/>
  <c r="H275" i="22" s="1"/>
  <c r="G399" i="23"/>
  <c r="G398" i="23"/>
  <c r="H209" i="22"/>
  <c r="H208" i="22" s="1"/>
  <c r="G288" i="21"/>
  <c r="G287" i="21" s="1"/>
  <c r="G286" i="21" s="1"/>
  <c r="G53" i="22"/>
  <c r="H53" i="22"/>
  <c r="G507" i="22"/>
  <c r="G489" i="22" s="1"/>
  <c r="G488" i="22" s="1"/>
  <c r="G357" i="22"/>
  <c r="G1116" i="22" s="1"/>
  <c r="G1117" i="22" s="1"/>
  <c r="E12" i="20"/>
  <c r="F741" i="21"/>
  <c r="H742" i="21" s="1"/>
  <c r="G45" i="21" l="1"/>
  <c r="D32" i="20"/>
  <c r="H95" i="22"/>
  <c r="H94" i="22" s="1"/>
  <c r="G764" i="22"/>
  <c r="G1122" i="22" s="1"/>
  <c r="G1123" i="22" s="1"/>
  <c r="G653" i="21"/>
  <c r="G644" i="21" s="1"/>
  <c r="I1175" i="29"/>
  <c r="I9" i="29"/>
  <c r="J1175" i="29"/>
  <c r="G1193" i="29" s="1"/>
  <c r="J9" i="29"/>
  <c r="G136" i="21"/>
  <c r="E17" i="20" s="1"/>
  <c r="D10" i="20"/>
  <c r="F8" i="21" s="1"/>
  <c r="G1177" i="29"/>
  <c r="D160" i="19"/>
  <c r="H1095" i="22" s="1"/>
  <c r="H1177" i="29"/>
  <c r="D21" i="20"/>
  <c r="D20" i="20" s="1"/>
  <c r="F230" i="21"/>
  <c r="H174" i="22"/>
  <c r="H173" i="22" s="1"/>
  <c r="H172" i="22" s="1"/>
  <c r="H1106" i="22" s="1"/>
  <c r="F329" i="21"/>
  <c r="D29" i="20" s="1"/>
  <c r="D158" i="19"/>
  <c r="D17" i="24" s="1"/>
  <c r="C158" i="19"/>
  <c r="D53" i="20" s="1"/>
  <c r="C160" i="19"/>
  <c r="G1095" i="22" s="1"/>
  <c r="G406" i="23"/>
  <c r="H47" i="23"/>
  <c r="H46" i="23" s="1"/>
  <c r="H45" i="23" s="1"/>
  <c r="H44" i="23" s="1"/>
  <c r="H43" i="23" s="1"/>
  <c r="H49" i="23"/>
  <c r="G548" i="22"/>
  <c r="G537" i="22" s="1"/>
  <c r="G52" i="22"/>
  <c r="G32" i="22" s="1"/>
  <c r="G31" i="22" s="1"/>
  <c r="G256" i="23"/>
  <c r="G255" i="23" s="1"/>
  <c r="H889" i="22"/>
  <c r="G953" i="22"/>
  <c r="G874" i="22" s="1"/>
  <c r="G1110" i="22" s="1"/>
  <c r="G1111" i="22" s="1"/>
  <c r="G1133" i="22"/>
  <c r="E39" i="20"/>
  <c r="G741" i="21"/>
  <c r="I742" i="21" s="1"/>
  <c r="E43" i="20"/>
  <c r="E41" i="20" s="1"/>
  <c r="G829" i="21"/>
  <c r="I830" i="21" s="1"/>
  <c r="H403" i="23"/>
  <c r="H402" i="23" s="1"/>
  <c r="H401" i="23" s="1"/>
  <c r="H400" i="23" s="1"/>
  <c r="H405" i="23"/>
  <c r="H446" i="23"/>
  <c r="H444" i="23"/>
  <c r="H443" i="23" s="1"/>
  <c r="H442" i="23" s="1"/>
  <c r="H441" i="23" s="1"/>
  <c r="H440" i="23" s="1"/>
  <c r="H676" i="23"/>
  <c r="H674" i="23"/>
  <c r="H670" i="23" s="1"/>
  <c r="H647" i="23" s="1"/>
  <c r="H646" i="23" s="1"/>
  <c r="H645" i="23" s="1"/>
  <c r="H644" i="23" s="1"/>
  <c r="G1120" i="22"/>
  <c r="G567" i="21"/>
  <c r="G543" i="21" s="1"/>
  <c r="G542" i="21" s="1"/>
  <c r="E34" i="20" s="1"/>
  <c r="H465" i="23"/>
  <c r="H850" i="23"/>
  <c r="H849" i="23" s="1"/>
  <c r="H848" i="23" s="1"/>
  <c r="H847" i="23" s="1"/>
  <c r="H846" i="23" s="1"/>
  <c r="H852" i="23"/>
  <c r="H1136" i="22"/>
  <c r="H225" i="22"/>
  <c r="H524" i="23"/>
  <c r="H522" i="23"/>
  <c r="H518" i="23" s="1"/>
  <c r="H517" i="23" s="1"/>
  <c r="H516" i="23" s="1"/>
  <c r="H1121" i="22"/>
  <c r="H235" i="22"/>
  <c r="H234" i="22" s="1"/>
  <c r="E38" i="20"/>
  <c r="H506" i="23"/>
  <c r="H505" i="23" s="1"/>
  <c r="H508" i="23"/>
  <c r="H24" i="23"/>
  <c r="H20" i="23" s="1"/>
  <c r="H19" i="23" s="1"/>
  <c r="H18" i="23" s="1"/>
  <c r="H17" i="23" s="1"/>
  <c r="H9" i="23" s="1"/>
  <c r="H26" i="23"/>
  <c r="F478" i="21"/>
  <c r="H241" i="23"/>
  <c r="H240" i="23" s="1"/>
  <c r="H243" i="23"/>
  <c r="H219" i="23"/>
  <c r="H218" i="23" s="1"/>
  <c r="H221" i="23"/>
  <c r="H259" i="23"/>
  <c r="H258" i="23" s="1"/>
  <c r="H257" i="23" s="1"/>
  <c r="H261" i="23"/>
  <c r="H223" i="23"/>
  <c r="H222" i="23" s="1"/>
  <c r="H225" i="23"/>
  <c r="H1133" i="22"/>
  <c r="H549" i="22"/>
  <c r="H548" i="22" s="1"/>
  <c r="H1139" i="22"/>
  <c r="H294" i="22"/>
  <c r="H293" i="22" s="1"/>
  <c r="E14" i="20"/>
  <c r="E11" i="20" s="1"/>
  <c r="H274" i="22"/>
  <c r="H273" i="22" s="1"/>
  <c r="H1132" i="22"/>
  <c r="H428" i="23"/>
  <c r="H426" i="23"/>
  <c r="H425" i="23" s="1"/>
  <c r="H416" i="23" s="1"/>
  <c r="H415" i="23" s="1"/>
  <c r="H414" i="23" s="1"/>
  <c r="G756" i="22"/>
  <c r="G240" i="21"/>
  <c r="G232" i="21" s="1"/>
  <c r="G231" i="21" s="1"/>
  <c r="I7" i="21"/>
  <c r="H247" i="23"/>
  <c r="H245" i="23"/>
  <c r="H244" i="23" s="1"/>
  <c r="G1131" i="22"/>
  <c r="G860" i="22"/>
  <c r="G853" i="22" s="1"/>
  <c r="H1138" i="22"/>
  <c r="H765" i="22"/>
  <c r="H764" i="22" s="1"/>
  <c r="I1098" i="22"/>
  <c r="G1099" i="22"/>
  <c r="H375" i="23"/>
  <c r="H373" i="23"/>
  <c r="H378" i="23"/>
  <c r="H376" i="23"/>
  <c r="G215" i="23"/>
  <c r="H1115" i="22"/>
  <c r="D12" i="20"/>
  <c r="F9" i="21"/>
  <c r="G293" i="22"/>
  <c r="G242" i="22" s="1"/>
  <c r="G285" i="21"/>
  <c r="G284" i="21" s="1"/>
  <c r="G283" i="21" s="1"/>
  <c r="I64" i="21"/>
  <c r="H214" i="23"/>
  <c r="H212" i="23"/>
  <c r="H211" i="23" s="1"/>
  <c r="H202" i="23" s="1"/>
  <c r="H159" i="23" s="1"/>
  <c r="H158" i="23" s="1"/>
  <c r="H456" i="23"/>
  <c r="H454" i="23"/>
  <c r="H450" i="23" s="1"/>
  <c r="H449" i="23" s="1"/>
  <c r="H448" i="23" s="1"/>
  <c r="H447" i="23" s="1"/>
  <c r="H207" i="22"/>
  <c r="G480" i="21"/>
  <c r="G479" i="21" s="1"/>
  <c r="H771" i="22"/>
  <c r="G31" i="23"/>
  <c r="G30" i="23" s="1"/>
  <c r="G32" i="23"/>
  <c r="H999" i="22"/>
  <c r="H998" i="22" s="1"/>
  <c r="H1112" i="22"/>
  <c r="H393" i="23"/>
  <c r="H391" i="23"/>
  <c r="H390" i="23" s="1"/>
  <c r="H389" i="23" s="1"/>
  <c r="H388" i="23" s="1"/>
  <c r="H387" i="23" s="1"/>
  <c r="H269" i="22"/>
  <c r="H268" i="22"/>
  <c r="H512" i="23"/>
  <c r="H510" i="23"/>
  <c r="H509" i="23" s="1"/>
  <c r="H504" i="23" s="1"/>
  <c r="H503" i="23" s="1"/>
  <c r="H502" i="23" s="1"/>
  <c r="H464" i="23" s="1"/>
  <c r="L464" i="23" s="1"/>
  <c r="H235" i="23"/>
  <c r="H233" i="23"/>
  <c r="H232" i="23" s="1"/>
  <c r="G445" i="21"/>
  <c r="G444" i="21" s="1"/>
  <c r="G443" i="21" s="1"/>
  <c r="E31" i="20" s="1"/>
  <c r="I13" i="21"/>
  <c r="G1145" i="22"/>
  <c r="H239" i="23"/>
  <c r="H237" i="23"/>
  <c r="H236" i="23" s="1"/>
  <c r="G438" i="21"/>
  <c r="G439" i="21"/>
  <c r="H106" i="22"/>
  <c r="H89" i="22" s="1"/>
  <c r="H1135" i="22" s="1"/>
  <c r="H1104" i="22"/>
  <c r="G885" i="21"/>
  <c r="E47" i="20"/>
  <c r="E46" i="20" s="1"/>
  <c r="G464" i="23"/>
  <c r="J464" i="23" s="1"/>
  <c r="D14" i="20"/>
  <c r="I45" i="21"/>
  <c r="H290" i="23"/>
  <c r="H288" i="23"/>
  <c r="H287" i="23" s="1"/>
  <c r="H286" i="23" s="1"/>
  <c r="H285" i="23" s="1"/>
  <c r="H284" i="23" s="1"/>
  <c r="G432" i="21"/>
  <c r="G431" i="21" s="1"/>
  <c r="G399" i="21" s="1"/>
  <c r="F431" i="21"/>
  <c r="F399" i="21" s="1"/>
  <c r="F393" i="21" s="1"/>
  <c r="D30" i="20" s="1"/>
  <c r="H82" i="23"/>
  <c r="H80" i="23"/>
  <c r="H79" i="23" s="1"/>
  <c r="H78" i="23" s="1"/>
  <c r="H77" i="23" s="1"/>
  <c r="H76" i="23" s="1"/>
  <c r="H68" i="23" s="1"/>
  <c r="H59" i="23"/>
  <c r="H57" i="23"/>
  <c r="H56" i="23" s="1"/>
  <c r="H1131" i="22"/>
  <c r="H860" i="22"/>
  <c r="H853" i="22" s="1"/>
  <c r="H860" i="23"/>
  <c r="H858" i="23"/>
  <c r="H857" i="23" s="1"/>
  <c r="H856" i="23" s="1"/>
  <c r="H855" i="23" s="1"/>
  <c r="H854" i="23" s="1"/>
  <c r="H853" i="23" s="1"/>
  <c r="H806" i="23"/>
  <c r="H804" i="23"/>
  <c r="H803" i="23" s="1"/>
  <c r="H798" i="23" s="1"/>
  <c r="H797" i="23" s="1"/>
  <c r="H796" i="23" s="1"/>
  <c r="E28" i="20"/>
  <c r="G620" i="21"/>
  <c r="E35" i="20" s="1"/>
  <c r="H274" i="23"/>
  <c r="H272" i="23"/>
  <c r="H271" i="23" s="1"/>
  <c r="H270" i="23" s="1"/>
  <c r="G159" i="23"/>
  <c r="G158" i="23" s="1"/>
  <c r="G1132" i="22"/>
  <c r="G1209" i="29" l="1"/>
  <c r="G1192" i="29"/>
  <c r="G1208" i="29" s="1"/>
  <c r="H795" i="23"/>
  <c r="G9" i="21"/>
  <c r="G140" i="23"/>
  <c r="G1113" i="22"/>
  <c r="G1114" i="22" s="1"/>
  <c r="G1102" i="22"/>
  <c r="G1103" i="22" s="1"/>
  <c r="E53" i="20"/>
  <c r="C17" i="24"/>
  <c r="H372" i="23"/>
  <c r="H371" i="23" s="1"/>
  <c r="H365" i="23" s="1"/>
  <c r="H364" i="23" s="1"/>
  <c r="H406" i="23"/>
  <c r="H217" i="23"/>
  <c r="H216" i="23" s="1"/>
  <c r="H218" i="22"/>
  <c r="H1119" i="22" s="1"/>
  <c r="H1120" i="22" s="1"/>
  <c r="H399" i="23"/>
  <c r="H398" i="23"/>
  <c r="H356" i="23"/>
  <c r="H256" i="23"/>
  <c r="H255" i="23" s="1"/>
  <c r="H52" i="22"/>
  <c r="H45" i="21" s="1"/>
  <c r="D27" i="20"/>
  <c r="H231" i="23"/>
  <c r="H230" i="23" s="1"/>
  <c r="H215" i="23" s="1"/>
  <c r="H244" i="22"/>
  <c r="H243" i="22" s="1"/>
  <c r="H1145" i="22"/>
  <c r="H1109" i="22"/>
  <c r="H206" i="22"/>
  <c r="H205" i="22" s="1"/>
  <c r="H191" i="22" s="1"/>
  <c r="H1107" i="22" s="1"/>
  <c r="H1097" i="22"/>
  <c r="E26" i="20"/>
  <c r="E22" i="20" s="1"/>
  <c r="G249" i="21"/>
  <c r="D11" i="20"/>
  <c r="G1151" i="22"/>
  <c r="G895" i="23" s="1"/>
  <c r="G893" i="23"/>
  <c r="H55" i="23"/>
  <c r="H54" i="23" s="1"/>
  <c r="H53" i="23"/>
  <c r="H31" i="23" s="1"/>
  <c r="H30" i="23" s="1"/>
  <c r="H1146" i="22"/>
  <c r="H953" i="22"/>
  <c r="H874" i="22" s="1"/>
  <c r="H1110" i="22" s="1"/>
  <c r="H1111" i="22" s="1"/>
  <c r="G478" i="21"/>
  <c r="E33" i="20"/>
  <c r="E32" i="20" s="1"/>
  <c r="H242" i="22"/>
  <c r="H1113" i="22"/>
  <c r="H1114" i="22" s="1"/>
  <c r="H537" i="22"/>
  <c r="H1122" i="22"/>
  <c r="H1123" i="22" s="1"/>
  <c r="H756" i="22"/>
  <c r="G393" i="21"/>
  <c r="F314" i="21"/>
  <c r="F970" i="21" s="1"/>
  <c r="D52" i="20" s="1"/>
  <c r="G831" i="22"/>
  <c r="G1094" i="22" s="1"/>
  <c r="G1107" i="22"/>
  <c r="G1108" i="22" s="1"/>
  <c r="G230" i="21"/>
  <c r="E21" i="20"/>
  <c r="E20" i="20" s="1"/>
  <c r="H1108" i="22" l="1"/>
  <c r="H140" i="23"/>
  <c r="H32" i="22"/>
  <c r="H1102" i="22" s="1"/>
  <c r="H1151" i="22"/>
  <c r="H895" i="23" s="1"/>
  <c r="G897" i="23"/>
  <c r="H893" i="23"/>
  <c r="G1128" i="22"/>
  <c r="G1127" i="22"/>
  <c r="G1130" i="22" s="1"/>
  <c r="H831" i="22"/>
  <c r="C18" i="24"/>
  <c r="C19" i="24" s="1"/>
  <c r="C11" i="24" s="1"/>
  <c r="G1096" i="22"/>
  <c r="E1095" i="22" s="1"/>
  <c r="F971" i="21"/>
  <c r="F972" i="21" s="1"/>
  <c r="D56" i="20"/>
  <c r="H1099" i="22"/>
  <c r="J1098" i="22"/>
  <c r="E30" i="20"/>
  <c r="E27" i="20" s="1"/>
  <c r="E51" i="20" s="1"/>
  <c r="G314" i="21"/>
  <c r="G970" i="21" s="1"/>
  <c r="E52" i="20" s="1"/>
  <c r="D51" i="20"/>
  <c r="H31" i="22"/>
  <c r="G845" i="4"/>
  <c r="G846" i="4"/>
  <c r="H897" i="23" l="1"/>
  <c r="G1129" i="22"/>
  <c r="H1100" i="22"/>
  <c r="E55" i="20"/>
  <c r="C13" i="24"/>
  <c r="C14" i="24" s="1"/>
  <c r="C10" i="24"/>
  <c r="L1128" i="22"/>
  <c r="H1127" i="22"/>
  <c r="H1103" i="22"/>
  <c r="H1128" i="22" s="1"/>
  <c r="G1100" i="22"/>
  <c r="D55" i="20"/>
  <c r="D58" i="20"/>
  <c r="H1094" i="22"/>
  <c r="D18" i="24" l="1"/>
  <c r="D19" i="24" s="1"/>
  <c r="D11" i="24" s="1"/>
  <c r="H1096" i="22"/>
  <c r="L1095" i="22" s="1"/>
  <c r="G971" i="21"/>
  <c r="G972" i="21" s="1"/>
  <c r="E56" i="20"/>
  <c r="E58" i="20" s="1"/>
  <c r="H1129" i="22"/>
  <c r="H1130" i="22"/>
  <c r="L1130" i="22" s="1"/>
  <c r="D13" i="24"/>
  <c r="C12" i="24"/>
  <c r="D12" i="24" s="1"/>
  <c r="G1138" i="4"/>
  <c r="M1128" i="22" l="1"/>
  <c r="D14" i="24"/>
  <c r="D10" i="24"/>
  <c r="D9" i="24" s="1"/>
  <c r="C9" i="24"/>
  <c r="AK1186" i="4"/>
  <c r="G191" i="4"/>
  <c r="G190" i="4" s="1"/>
  <c r="G193" i="4" l="1"/>
  <c r="F262" i="3"/>
  <c r="G911" i="5"/>
  <c r="G1186" i="4"/>
  <c r="G189" i="4"/>
  <c r="G927" i="5"/>
  <c r="G926" i="5" l="1"/>
  <c r="G925" i="5" s="1"/>
  <c r="G924" i="5" s="1"/>
  <c r="G923" i="5" s="1"/>
  <c r="G922" i="5" s="1"/>
  <c r="G921" i="5" s="1"/>
  <c r="G1097" i="4" l="1"/>
  <c r="G1096" i="4" l="1"/>
  <c r="G1095" i="4" s="1"/>
  <c r="AJ1186" i="4"/>
  <c r="F460" i="3" l="1"/>
  <c r="F459" i="3" s="1"/>
  <c r="F458" i="3" s="1"/>
  <c r="F457" i="3" s="1"/>
  <c r="G750" i="5"/>
  <c r="G749" i="5" s="1"/>
  <c r="G748" i="5" s="1"/>
  <c r="G747" i="5" s="1"/>
  <c r="G746" i="5" s="1"/>
  <c r="G745" i="5" s="1"/>
  <c r="G1088" i="4"/>
  <c r="AI1186" i="4"/>
  <c r="G1087" i="4" l="1"/>
  <c r="G1086" i="4" s="1"/>
  <c r="F1001" i="3" l="1"/>
  <c r="F1000" i="3" s="1"/>
  <c r="F999" i="3" s="1"/>
  <c r="G860" i="4" l="1"/>
  <c r="G859" i="4" s="1"/>
  <c r="G38" i="4" l="1"/>
  <c r="F16" i="3" s="1"/>
  <c r="G1134" i="4" l="1"/>
  <c r="F506" i="30" s="1"/>
  <c r="F503" i="30" s="1"/>
  <c r="G1130" i="4"/>
  <c r="F502" i="30" s="1"/>
  <c r="F501" i="30" s="1"/>
  <c r="F500" i="30" l="1"/>
  <c r="F499" i="30" s="1"/>
  <c r="F487" i="30" s="1"/>
  <c r="F471" i="30" s="1"/>
  <c r="D32" i="31" s="1"/>
  <c r="F902" i="3"/>
  <c r="F901" i="3" s="1"/>
  <c r="F900" i="3" s="1"/>
  <c r="F899" i="3" s="1"/>
  <c r="F887" i="3" s="1"/>
  <c r="F790" i="3"/>
  <c r="F789" i="3" s="1"/>
  <c r="F788" i="3" s="1"/>
  <c r="G411" i="4"/>
  <c r="G612" i="32" l="1"/>
  <c r="F849" i="30"/>
  <c r="F848" i="30" s="1"/>
  <c r="F847" i="30" s="1"/>
  <c r="F846" i="30" s="1"/>
  <c r="G364" i="4"/>
  <c r="G363" i="4" s="1"/>
  <c r="G362" i="4" s="1"/>
  <c r="G361" i="4" s="1"/>
  <c r="G449" i="4"/>
  <c r="G448" i="4" s="1"/>
  <c r="G447" i="4" s="1"/>
  <c r="G611" i="32" l="1"/>
  <c r="G610" i="32" s="1"/>
  <c r="G609" i="32" s="1"/>
  <c r="G608" i="32" s="1"/>
  <c r="G607" i="32" s="1"/>
  <c r="G613" i="32"/>
  <c r="AH1186" i="4"/>
  <c r="G910" i="5"/>
  <c r="G909" i="5" s="1"/>
  <c r="G188" i="4"/>
  <c r="G900" i="32" l="1"/>
  <c r="F260" i="30"/>
  <c r="F259" i="30" s="1"/>
  <c r="F258" i="30" s="1"/>
  <c r="F257" i="30" s="1"/>
  <c r="F261" i="3"/>
  <c r="F260" i="3" s="1"/>
  <c r="G912" i="5"/>
  <c r="F256" i="30" l="1"/>
  <c r="F238" i="30"/>
  <c r="G901" i="32"/>
  <c r="G899" i="32"/>
  <c r="G898" i="32" s="1"/>
  <c r="G897" i="32" s="1"/>
  <c r="G896" i="32" s="1"/>
  <c r="G895" i="32" s="1"/>
  <c r="G837" i="32" s="1"/>
  <c r="I837" i="32" s="1"/>
  <c r="F505" i="3"/>
  <c r="D22" i="31" l="1"/>
  <c r="D21" i="31" s="1"/>
  <c r="F237" i="30"/>
  <c r="F504" i="3"/>
  <c r="C158" i="1" l="1"/>
  <c r="G584" i="4"/>
  <c r="F951" i="30" s="1"/>
  <c r="F950" i="30" s="1"/>
  <c r="F949" i="30" s="1"/>
  <c r="F948" i="30" l="1"/>
  <c r="F947" i="30" s="1"/>
  <c r="F911" i="30" s="1"/>
  <c r="K911" i="30" s="1"/>
  <c r="L911" i="30"/>
  <c r="F793" i="3"/>
  <c r="F792" i="3" s="1"/>
  <c r="G805" i="4"/>
  <c r="AG1186" i="4" l="1"/>
  <c r="G619" i="5" l="1"/>
  <c r="G620" i="5" s="1"/>
  <c r="F852" i="3"/>
  <c r="F851" i="3" s="1"/>
  <c r="F850" i="3" s="1"/>
  <c r="F849" i="3" s="1"/>
  <c r="G1084" i="4" l="1"/>
  <c r="F456" i="3"/>
  <c r="F455" i="3" s="1"/>
  <c r="F454" i="3" s="1"/>
  <c r="F453" i="3" s="1"/>
  <c r="G743" i="5"/>
  <c r="G618" i="5"/>
  <c r="G617" i="5" s="1"/>
  <c r="G616" i="5" s="1"/>
  <c r="G615" i="5" s="1"/>
  <c r="G614" i="5" s="1"/>
  <c r="G410" i="4"/>
  <c r="G1083" i="4" l="1"/>
  <c r="G1082" i="4" s="1"/>
  <c r="G409" i="4"/>
  <c r="G408" i="4" s="1"/>
  <c r="G744" i="5"/>
  <c r="G742" i="5"/>
  <c r="G741" i="5" s="1"/>
  <c r="G740" i="5" s="1"/>
  <c r="G739" i="5" s="1"/>
  <c r="G738" i="5" s="1"/>
  <c r="G644" i="4" l="1"/>
  <c r="G643" i="4" s="1"/>
  <c r="G642" i="4" s="1"/>
  <c r="AF1186" i="4" l="1"/>
  <c r="G332" i="5"/>
  <c r="G331" i="5" s="1"/>
  <c r="G330" i="5" l="1"/>
  <c r="G329" i="5" s="1"/>
  <c r="G328" i="5" s="1"/>
  <c r="G327" i="5" s="1"/>
  <c r="F565" i="3"/>
  <c r="F564" i="3" s="1"/>
  <c r="G333" i="5"/>
  <c r="G356" i="4"/>
  <c r="F563" i="3" l="1"/>
  <c r="F562" i="3" s="1"/>
  <c r="G907" i="5" l="1"/>
  <c r="F259" i="3"/>
  <c r="F258" i="3" s="1"/>
  <c r="F257" i="3" s="1"/>
  <c r="F256" i="3" s="1"/>
  <c r="F255" i="3" s="1"/>
  <c r="G187" i="4"/>
  <c r="G186" i="4" l="1"/>
  <c r="G185" i="4" s="1"/>
  <c r="G184" i="4" s="1"/>
  <c r="G640" i="4"/>
  <c r="G639" i="4" s="1"/>
  <c r="G638" i="4" s="1"/>
  <c r="F642" i="3"/>
  <c r="F641" i="3" s="1"/>
  <c r="F640" i="3" s="1"/>
  <c r="F639" i="3" s="1"/>
  <c r="G320" i="5" l="1"/>
  <c r="G319" i="5" s="1"/>
  <c r="G318" i="5" s="1"/>
  <c r="G317" i="5" s="1"/>
  <c r="F561" i="3"/>
  <c r="F560" i="3" s="1"/>
  <c r="F559" i="3" s="1"/>
  <c r="F558" i="3" s="1"/>
  <c r="G325" i="5"/>
  <c r="G324" i="5" s="1"/>
  <c r="G323" i="5" s="1"/>
  <c r="G322" i="5" s="1"/>
  <c r="G721" i="4"/>
  <c r="G720" i="4" s="1"/>
  <c r="G719" i="4" s="1"/>
  <c r="C171" i="1"/>
  <c r="G316" i="5" l="1"/>
  <c r="G315" i="5" s="1"/>
  <c r="G321" i="5"/>
  <c r="G326" i="5"/>
  <c r="G906" i="5" l="1"/>
  <c r="G905" i="5" s="1"/>
  <c r="G904" i="5" l="1"/>
  <c r="G903" i="5" s="1"/>
  <c r="G902" i="5" s="1"/>
  <c r="G908" i="5"/>
  <c r="G1068" i="4" l="1"/>
  <c r="G710" i="32" l="1"/>
  <c r="F440" i="30"/>
  <c r="F439" i="30" s="1"/>
  <c r="F436" i="30" s="1"/>
  <c r="G1093" i="4"/>
  <c r="G711" i="32" l="1"/>
  <c r="G709" i="32"/>
  <c r="G705" i="32" s="1"/>
  <c r="G1092" i="4"/>
  <c r="G1091" i="4" s="1"/>
  <c r="G1090" i="4" s="1"/>
  <c r="G107" i="5" l="1"/>
  <c r="F180" i="3"/>
  <c r="F179" i="3" s="1"/>
  <c r="F178" i="3" s="1"/>
  <c r="G250" i="4"/>
  <c r="G249" i="4" s="1"/>
  <c r="G108" i="5" l="1"/>
  <c r="G106" i="5"/>
  <c r="G105" i="5" s="1"/>
  <c r="G313" i="5"/>
  <c r="G312" i="5" s="1"/>
  <c r="G311" i="5" s="1"/>
  <c r="F638" i="3"/>
  <c r="F637" i="3" s="1"/>
  <c r="F636" i="3" s="1"/>
  <c r="F635" i="3" s="1"/>
  <c r="G310" i="5" l="1"/>
  <c r="G309" i="5" s="1"/>
  <c r="G308" i="5" s="1"/>
  <c r="G314" i="5" s="1"/>
  <c r="G717" i="4" l="1"/>
  <c r="G716" i="4" s="1"/>
  <c r="G715" i="4" s="1"/>
  <c r="AL1185" i="4" l="1"/>
  <c r="AN1185" i="4" s="1"/>
  <c r="F342" i="3" l="1"/>
  <c r="F341" i="3" s="1"/>
  <c r="F340" i="3" s="1"/>
  <c r="C184" i="1"/>
  <c r="C183" i="1" s="1"/>
  <c r="G119" i="5"/>
  <c r="G120" i="5" s="1"/>
  <c r="F932" i="3"/>
  <c r="F931" i="3" s="1"/>
  <c r="G484" i="4"/>
  <c r="G970" i="4" l="1"/>
  <c r="G969" i="4" s="1"/>
  <c r="G118" i="5"/>
  <c r="D55" i="12" l="1"/>
  <c r="D54" i="12"/>
  <c r="D53" i="12"/>
  <c r="D51" i="12"/>
  <c r="D50" i="12"/>
  <c r="C54" i="12"/>
  <c r="C53" i="12"/>
  <c r="C51" i="12"/>
  <c r="C50" i="12"/>
  <c r="D20" i="12"/>
  <c r="D19" i="12"/>
  <c r="D18" i="12"/>
  <c r="C20" i="12"/>
  <c r="C19" i="12"/>
  <c r="C18" i="12"/>
  <c r="G1126" i="15" l="1"/>
  <c r="H370" i="15" l="1"/>
  <c r="G370" i="15"/>
  <c r="F313" i="14"/>
  <c r="F312" i="14" s="1"/>
  <c r="F311" i="14" s="1"/>
  <c r="F310" i="14" s="1"/>
  <c r="F309" i="14" s="1"/>
  <c r="G216" i="15"/>
  <c r="G215" i="15" s="1"/>
  <c r="G214" i="15" s="1"/>
  <c r="G213" i="15" s="1"/>
  <c r="F898" i="14"/>
  <c r="F897" i="14" s="1"/>
  <c r="F896" i="14" s="1"/>
  <c r="G776" i="15"/>
  <c r="G775" i="15" s="1"/>
  <c r="G394" i="5" l="1"/>
  <c r="G393" i="5" s="1"/>
  <c r="G392" i="5" s="1"/>
  <c r="G395" i="5" l="1"/>
  <c r="F501" i="3" l="1"/>
  <c r="F500" i="3" s="1"/>
  <c r="G1129" i="4"/>
  <c r="G19" i="17" l="1"/>
  <c r="G18" i="17" s="1"/>
  <c r="G17" i="17" s="1"/>
  <c r="G16" i="17" s="1"/>
  <c r="G15" i="17" s="1"/>
  <c r="G20" i="17" s="1"/>
  <c r="G15" i="6"/>
  <c r="G14" i="6" s="1"/>
  <c r="G13" i="6" s="1"/>
  <c r="G12" i="6" s="1"/>
  <c r="G11" i="6" s="1"/>
  <c r="G16" i="6" s="1"/>
  <c r="H672" i="15" l="1"/>
  <c r="H899" i="15"/>
  <c r="G899" i="15"/>
  <c r="G672" i="15"/>
  <c r="G680" i="15" l="1"/>
  <c r="H680" i="15"/>
  <c r="G713" i="14" l="1"/>
  <c r="F713" i="14"/>
  <c r="G598" i="14"/>
  <c r="F598" i="14"/>
  <c r="F594" i="14"/>
  <c r="G590" i="14"/>
  <c r="F590" i="14"/>
  <c r="F678" i="3" l="1"/>
  <c r="F677" i="3" s="1"/>
  <c r="F676" i="3" s="1"/>
  <c r="G167" i="5"/>
  <c r="G166" i="5" s="1"/>
  <c r="G165" i="5" s="1"/>
  <c r="G168" i="5" s="1"/>
  <c r="G752" i="4"/>
  <c r="G751" i="4" s="1"/>
  <c r="G591" i="15" l="1"/>
  <c r="G284" i="15"/>
  <c r="H197" i="15"/>
  <c r="G197" i="15"/>
  <c r="G392" i="15"/>
  <c r="G48" i="15" l="1"/>
  <c r="F557" i="3"/>
  <c r="F634" i="3" l="1"/>
  <c r="F23" i="3"/>
  <c r="F22" i="3" s="1"/>
  <c r="F21" i="3" s="1"/>
  <c r="F140" i="3"/>
  <c r="H869" i="15" l="1"/>
  <c r="C99" i="12" l="1"/>
  <c r="D103" i="12"/>
  <c r="D99" i="12" s="1"/>
  <c r="F97" i="12"/>
  <c r="E97" i="12"/>
  <c r="F85" i="12"/>
  <c r="E85" i="12"/>
  <c r="G373" i="15" l="1"/>
  <c r="G310" i="15"/>
  <c r="G871" i="15"/>
  <c r="H871" i="15" s="1"/>
  <c r="H452" i="15" l="1"/>
  <c r="AA1097" i="15"/>
  <c r="AA1096" i="15" s="1"/>
  <c r="G452" i="15"/>
  <c r="Q1097" i="15"/>
  <c r="Q1096" i="15" s="1"/>
  <c r="AG1097" i="15"/>
  <c r="W1097" i="15"/>
  <c r="AC1097" i="15"/>
  <c r="S1097" i="15"/>
  <c r="AD1097" i="15" l="1"/>
  <c r="F91" i="12"/>
  <c r="F418" i="3" l="1"/>
  <c r="F820" i="3"/>
  <c r="F819" i="3" s="1"/>
  <c r="F818" i="3" s="1"/>
  <c r="F709" i="3"/>
  <c r="F708" i="3" s="1"/>
  <c r="F707" i="3" s="1"/>
  <c r="G519" i="5"/>
  <c r="G518" i="5" s="1"/>
  <c r="G517" i="5" s="1"/>
  <c r="G520" i="5" s="1"/>
  <c r="G503" i="5"/>
  <c r="G502" i="5" s="1"/>
  <c r="G501" i="5" s="1"/>
  <c r="G504" i="5" s="1"/>
  <c r="G309" i="4"/>
  <c r="G308" i="4" s="1"/>
  <c r="G378" i="4"/>
  <c r="G377" i="4" s="1"/>
  <c r="D167" i="1"/>
  <c r="G212" i="15" l="1"/>
  <c r="G83" i="15"/>
  <c r="C166" i="1"/>
  <c r="AL1184" i="4" l="1"/>
  <c r="AL1186" i="4"/>
  <c r="H342" i="16"/>
  <c r="H343" i="16" s="1"/>
  <c r="G342" i="16"/>
  <c r="G341" i="16" s="1"/>
  <c r="G340" i="16" s="1"/>
  <c r="G339" i="16" s="1"/>
  <c r="G338" i="16" s="1"/>
  <c r="G337" i="16" s="1"/>
  <c r="G609" i="14"/>
  <c r="G608" i="14" s="1"/>
  <c r="G607" i="14" s="1"/>
  <c r="G606" i="14" s="1"/>
  <c r="F609" i="14"/>
  <c r="F608" i="14" s="1"/>
  <c r="F607" i="14" s="1"/>
  <c r="F606" i="14" s="1"/>
  <c r="H679" i="15"/>
  <c r="H678" i="15" s="1"/>
  <c r="H677" i="15" s="1"/>
  <c r="G679" i="15"/>
  <c r="G678" i="15" s="1"/>
  <c r="G677" i="15" s="1"/>
  <c r="D84" i="12"/>
  <c r="C84" i="12"/>
  <c r="H341" i="16" l="1"/>
  <c r="H340" i="16" s="1"/>
  <c r="H339" i="16" s="1"/>
  <c r="H338" i="16" s="1"/>
  <c r="H337" i="16" s="1"/>
  <c r="G343" i="16"/>
  <c r="F650" i="3" l="1"/>
  <c r="F649" i="3" s="1"/>
  <c r="F648" i="3" s="1"/>
  <c r="F647" i="3" s="1"/>
  <c r="D87" i="1"/>
  <c r="G353" i="5"/>
  <c r="G352" i="5" s="1"/>
  <c r="G351" i="5" s="1"/>
  <c r="G350" i="5" s="1"/>
  <c r="G349" i="5" s="1"/>
  <c r="G348" i="5" s="1"/>
  <c r="G354" i="5" s="1"/>
  <c r="G729" i="4"/>
  <c r="G728" i="4" s="1"/>
  <c r="C86" i="1"/>
  <c r="D85" i="1"/>
  <c r="C84" i="1"/>
  <c r="D79" i="12"/>
  <c r="C79" i="12"/>
  <c r="G727" i="4" l="1"/>
  <c r="D103" i="1"/>
  <c r="C81" i="1" l="1"/>
  <c r="G25" i="16" l="1"/>
  <c r="H26" i="17" l="1"/>
  <c r="G26" i="17"/>
  <c r="G32" i="17"/>
  <c r="G403" i="14" l="1"/>
  <c r="G402" i="14" s="1"/>
  <c r="G401" i="14" s="1"/>
  <c r="G400" i="14" s="1"/>
  <c r="F403" i="14"/>
  <c r="F402" i="14" s="1"/>
  <c r="F401" i="14" s="1"/>
  <c r="F400" i="14" s="1"/>
  <c r="G917" i="14"/>
  <c r="G916" i="14" s="1"/>
  <c r="G915" i="14" s="1"/>
  <c r="G914" i="14" s="1"/>
  <c r="G913" i="14" s="1"/>
  <c r="F917" i="14"/>
  <c r="F916" i="14" s="1"/>
  <c r="F915" i="14" s="1"/>
  <c r="F914" i="14" s="1"/>
  <c r="F913" i="14" s="1"/>
  <c r="G828" i="14"/>
  <c r="G827" i="14" s="1"/>
  <c r="G826" i="14" s="1"/>
  <c r="G825" i="14" s="1"/>
  <c r="G824" i="14" s="1"/>
  <c r="F828" i="14"/>
  <c r="F827" i="14" s="1"/>
  <c r="F826" i="14" s="1"/>
  <c r="F824" i="14" s="1"/>
  <c r="G680" i="14"/>
  <c r="G679" i="14" s="1"/>
  <c r="G678" i="14" s="1"/>
  <c r="G676" i="14" s="1"/>
  <c r="F680" i="14"/>
  <c r="F679" i="14" s="1"/>
  <c r="F678" i="14" s="1"/>
  <c r="F676" i="14" s="1"/>
  <c r="G536" i="14"/>
  <c r="G535" i="14" s="1"/>
  <c r="G534" i="14" s="1"/>
  <c r="G533" i="14" s="1"/>
  <c r="G532" i="14" s="1"/>
  <c r="F536" i="14"/>
  <c r="F535" i="14" s="1"/>
  <c r="F534" i="14" s="1"/>
  <c r="F533" i="14" s="1"/>
  <c r="F532" i="14" s="1"/>
  <c r="G181" i="14"/>
  <c r="G180" i="14" s="1"/>
  <c r="G179" i="14" s="1"/>
  <c r="G177" i="14" s="1"/>
  <c r="F181" i="14"/>
  <c r="F180" i="14" s="1"/>
  <c r="F179" i="14" s="1"/>
  <c r="F177" i="14" s="1"/>
  <c r="F913" i="3"/>
  <c r="F912" i="3" s="1"/>
  <c r="F911" i="3" s="1"/>
  <c r="F909" i="3" s="1"/>
  <c r="F734" i="3"/>
  <c r="F731" i="3" s="1"/>
  <c r="H625" i="16"/>
  <c r="H624" i="16" s="1"/>
  <c r="H623" i="16" s="1"/>
  <c r="G625" i="16"/>
  <c r="G626" i="16" s="1"/>
  <c r="H603" i="16"/>
  <c r="H602" i="16" s="1"/>
  <c r="H601" i="16" s="1"/>
  <c r="H600" i="16" s="1"/>
  <c r="H599" i="16" s="1"/>
  <c r="G603" i="16"/>
  <c r="G602" i="16" s="1"/>
  <c r="G601" i="16" s="1"/>
  <c r="G600" i="16" s="1"/>
  <c r="G599" i="16" s="1"/>
  <c r="H642" i="16"/>
  <c r="G642" i="16"/>
  <c r="H636" i="16"/>
  <c r="G636" i="16"/>
  <c r="H796" i="15"/>
  <c r="H795" i="15" s="1"/>
  <c r="H794" i="15" s="1"/>
  <c r="H793" i="15" s="1"/>
  <c r="G796" i="15"/>
  <c r="G795" i="15" s="1"/>
  <c r="G794" i="15" s="1"/>
  <c r="G793" i="15" s="1"/>
  <c r="H443" i="15"/>
  <c r="H442" i="15" s="1"/>
  <c r="H441" i="15" s="1"/>
  <c r="H440" i="15" s="1"/>
  <c r="G443" i="15"/>
  <c r="G442" i="15" s="1"/>
  <c r="G440" i="15" s="1"/>
  <c r="G441" i="15"/>
  <c r="H144" i="15"/>
  <c r="H143" i="15" s="1"/>
  <c r="H141" i="15" s="1"/>
  <c r="G144" i="15"/>
  <c r="G143" i="15" s="1"/>
  <c r="G141" i="15" s="1"/>
  <c r="H142" i="15"/>
  <c r="G142" i="15"/>
  <c r="H330" i="15"/>
  <c r="H329" i="15" s="1"/>
  <c r="H327" i="15" s="1"/>
  <c r="H328" i="15"/>
  <c r="G330" i="15"/>
  <c r="G329" i="15" s="1"/>
  <c r="G327" i="15" s="1"/>
  <c r="G328" i="15"/>
  <c r="H684" i="15"/>
  <c r="H683" i="15" s="1"/>
  <c r="G684" i="15"/>
  <c r="G683" i="15" s="1"/>
  <c r="H602" i="15"/>
  <c r="H601" i="15" s="1"/>
  <c r="G602" i="15"/>
  <c r="G601" i="15" s="1"/>
  <c r="G660" i="5"/>
  <c r="G661" i="5" s="1"/>
  <c r="G671" i="5"/>
  <c r="G670" i="5" s="1"/>
  <c r="G669" i="5" s="1"/>
  <c r="G672" i="5" s="1"/>
  <c r="G471" i="4"/>
  <c r="G469" i="4"/>
  <c r="G334" i="4"/>
  <c r="G332" i="4"/>
  <c r="H962" i="15"/>
  <c r="H961" i="15" s="1"/>
  <c r="H960" i="15" s="1"/>
  <c r="G962" i="15"/>
  <c r="G961" i="15" s="1"/>
  <c r="G960" i="15" s="1"/>
  <c r="G470" i="4" l="1"/>
  <c r="G468" i="4" s="1"/>
  <c r="G333" i="4"/>
  <c r="G331" i="4" s="1"/>
  <c r="H604" i="16"/>
  <c r="H622" i="16"/>
  <c r="H626" i="16"/>
  <c r="G604" i="16"/>
  <c r="F677" i="14"/>
  <c r="F825" i="14"/>
  <c r="G677" i="14"/>
  <c r="G178" i="14"/>
  <c r="F178" i="14"/>
  <c r="F910" i="3"/>
  <c r="F733" i="3"/>
  <c r="F732" i="3" s="1"/>
  <c r="F730" i="3" s="1"/>
  <c r="G624" i="16"/>
  <c r="G623" i="16" s="1"/>
  <c r="G622" i="16" s="1"/>
  <c r="G635" i="16"/>
  <c r="G634" i="16" s="1"/>
  <c r="H635" i="16"/>
  <c r="H634" i="16" s="1"/>
  <c r="G633" i="16" l="1"/>
  <c r="G637" i="16"/>
  <c r="H633" i="16"/>
  <c r="H637" i="16"/>
  <c r="G306" i="5" l="1"/>
  <c r="G305" i="5" s="1"/>
  <c r="G304" i="5" s="1"/>
  <c r="G303" i="5" s="1"/>
  <c r="H46" i="14"/>
  <c r="F768" i="14"/>
  <c r="G871" i="14"/>
  <c r="G870" i="14" s="1"/>
  <c r="G869" i="14" s="1"/>
  <c r="G868" i="14" s="1"/>
  <c r="G867" i="14" s="1"/>
  <c r="G866" i="14" s="1"/>
  <c r="F871" i="14"/>
  <c r="F870" i="14" s="1"/>
  <c r="F869" i="14" s="1"/>
  <c r="F868" i="14" s="1"/>
  <c r="F867" i="14" s="1"/>
  <c r="F866" i="14" s="1"/>
  <c r="D44" i="13" l="1"/>
  <c r="E44" i="13"/>
  <c r="G302" i="5"/>
  <c r="G301" i="5" s="1"/>
  <c r="G307" i="5"/>
  <c r="F597" i="14"/>
  <c r="F596" i="14" s="1"/>
  <c r="F600" i="14"/>
  <c r="F599" i="14" s="1"/>
  <c r="G600" i="14"/>
  <c r="G599" i="14" s="1"/>
  <c r="F595" i="14" l="1"/>
  <c r="F837" i="3"/>
  <c r="F630" i="3"/>
  <c r="F417" i="3"/>
  <c r="F416" i="3" s="1"/>
  <c r="F415" i="3" s="1"/>
  <c r="F633" i="3"/>
  <c r="F632" i="3" s="1"/>
  <c r="F631" i="3" s="1"/>
  <c r="F113" i="12"/>
  <c r="E113" i="12"/>
  <c r="F143" i="12"/>
  <c r="F138" i="12"/>
  <c r="F132" i="12"/>
  <c r="F131" i="12"/>
  <c r="F130" i="12"/>
  <c r="F128" i="12"/>
  <c r="F119" i="12"/>
  <c r="F118" i="12"/>
  <c r="F112" i="12"/>
  <c r="F110" i="12"/>
  <c r="F108" i="12"/>
  <c r="F107" i="12"/>
  <c r="F104" i="12"/>
  <c r="F102" i="12"/>
  <c r="F101" i="12"/>
  <c r="F100" i="12"/>
  <c r="D105" i="1" l="1"/>
  <c r="D107" i="1"/>
  <c r="E131" i="12"/>
  <c r="C133" i="12"/>
  <c r="D124" i="12"/>
  <c r="G210" i="15"/>
  <c r="D165" i="1"/>
  <c r="H667" i="15"/>
  <c r="H666" i="15" s="1"/>
  <c r="G667" i="15"/>
  <c r="G666" i="15" s="1"/>
  <c r="G664" i="15"/>
  <c r="G663" i="15" s="1"/>
  <c r="D125" i="1"/>
  <c r="C108" i="1"/>
  <c r="E103" i="1"/>
  <c r="D121" i="1"/>
  <c r="G713" i="4"/>
  <c r="G712" i="4" s="1"/>
  <c r="G711" i="4" s="1"/>
  <c r="G662" i="15" l="1"/>
  <c r="G1046" i="4"/>
  <c r="G685" i="5"/>
  <c r="G684" i="5" s="1"/>
  <c r="G683" i="5" s="1"/>
  <c r="D109" i="1"/>
  <c r="G1045" i="4" l="1"/>
  <c r="G1044" i="4" s="1"/>
  <c r="G686" i="5"/>
  <c r="G682" i="5"/>
  <c r="G681" i="5" s="1"/>
  <c r="G369" i="16" l="1"/>
  <c r="G368" i="16" s="1"/>
  <c r="G367" i="16" s="1"/>
  <c r="G366" i="16" s="1"/>
  <c r="G382" i="5"/>
  <c r="G381" i="5" s="1"/>
  <c r="G370" i="16" l="1"/>
  <c r="G380" i="5"/>
  <c r="G383" i="5" l="1"/>
  <c r="G379" i="5"/>
  <c r="E143" i="12"/>
  <c r="E138" i="12"/>
  <c r="E135" i="12"/>
  <c r="E134" i="12"/>
  <c r="E132" i="12"/>
  <c r="E130" i="12"/>
  <c r="E128" i="12"/>
  <c r="E127" i="12"/>
  <c r="E119" i="12"/>
  <c r="E118" i="12"/>
  <c r="E112" i="12"/>
  <c r="E110" i="12"/>
  <c r="E108" i="12"/>
  <c r="E107" i="12"/>
  <c r="E104" i="12"/>
  <c r="E102" i="12"/>
  <c r="E100" i="12"/>
  <c r="E91" i="12"/>
  <c r="E89" i="12"/>
  <c r="D134" i="12" l="1"/>
  <c r="D135" i="12"/>
  <c r="D136" i="12"/>
  <c r="D142" i="12"/>
  <c r="D141" i="12" s="1"/>
  <c r="C142" i="12"/>
  <c r="C141" i="12" s="1"/>
  <c r="D133" i="12" l="1"/>
  <c r="H180" i="16"/>
  <c r="H179" i="16" s="1"/>
  <c r="H178" i="16" s="1"/>
  <c r="H181" i="16" s="1"/>
  <c r="G180" i="16"/>
  <c r="G179" i="16" s="1"/>
  <c r="G178" i="16" s="1"/>
  <c r="G181" i="16" s="1"/>
  <c r="H328" i="16"/>
  <c r="H327" i="16" s="1"/>
  <c r="H326" i="16" s="1"/>
  <c r="H325" i="16" s="1"/>
  <c r="H324" i="16" s="1"/>
  <c r="H323" i="16" s="1"/>
  <c r="H329" i="16" s="1"/>
  <c r="G328" i="16"/>
  <c r="G327" i="16" s="1"/>
  <c r="G326" i="16" s="1"/>
  <c r="G325" i="16" s="1"/>
  <c r="G324" i="16" s="1"/>
  <c r="G323" i="16" s="1"/>
  <c r="G329" i="16" s="1"/>
  <c r="G183" i="5"/>
  <c r="G182" i="5" s="1"/>
  <c r="G181" i="5" s="1"/>
  <c r="G184" i="5" l="1"/>
  <c r="D174" i="1"/>
  <c r="D154" i="1"/>
  <c r="D123" i="1"/>
  <c r="D97" i="1"/>
  <c r="F28" i="14" l="1"/>
  <c r="F27" i="14" s="1"/>
  <c r="F26" i="14" s="1"/>
  <c r="F25" i="14"/>
  <c r="G551" i="14"/>
  <c r="G550" i="14" s="1"/>
  <c r="G549" i="14" s="1"/>
  <c r="F551" i="14"/>
  <c r="F550" i="14" s="1"/>
  <c r="F549" i="14" s="1"/>
  <c r="F629" i="3" l="1"/>
  <c r="F628" i="3" s="1"/>
  <c r="F627" i="3" s="1"/>
  <c r="F585" i="3"/>
  <c r="F584" i="3" s="1"/>
  <c r="F583" i="3" s="1"/>
  <c r="F139" i="3"/>
  <c r="F138" i="3" s="1"/>
  <c r="F137" i="3" s="1"/>
  <c r="F136" i="3" s="1"/>
  <c r="F135" i="3" s="1"/>
  <c r="D16" i="2" s="1"/>
  <c r="H617" i="15"/>
  <c r="H616" i="15" s="1"/>
  <c r="G617" i="15"/>
  <c r="G616" i="15" s="1"/>
  <c r="G671" i="15" l="1"/>
  <c r="G670" i="15" s="1"/>
  <c r="G669" i="15" s="1"/>
  <c r="F605" i="14"/>
  <c r="F604" i="14" s="1"/>
  <c r="F603" i="14" s="1"/>
  <c r="F602" i="14" s="1"/>
  <c r="H671" i="15"/>
  <c r="H670" i="15" s="1"/>
  <c r="H669" i="15" s="1"/>
  <c r="G605" i="14"/>
  <c r="G604" i="14" s="1"/>
  <c r="G603" i="14" s="1"/>
  <c r="G602" i="14" s="1"/>
  <c r="G439" i="15" l="1"/>
  <c r="G132" i="16" s="1"/>
  <c r="G28" i="4" l="1"/>
  <c r="G27" i="4" s="1"/>
  <c r="G26" i="4" s="1"/>
  <c r="G25" i="4" s="1"/>
  <c r="G24" i="4" s="1"/>
  <c r="G50" i="15"/>
  <c r="G49" i="15" s="1"/>
  <c r="H48" i="15"/>
  <c r="G47" i="15"/>
  <c r="G46" i="15" s="1"/>
  <c r="H38" i="15"/>
  <c r="H47" i="15" l="1"/>
  <c r="H46" i="15" s="1"/>
  <c r="H370" i="16"/>
  <c r="H369" i="16" s="1"/>
  <c r="H368" i="16" s="1"/>
  <c r="H367" i="16" s="1"/>
  <c r="H366" i="16" s="1"/>
  <c r="G25" i="14"/>
  <c r="G45" i="15"/>
  <c r="G44" i="15" s="1"/>
  <c r="G46" i="4"/>
  <c r="G45" i="4" s="1"/>
  <c r="G44" i="4" s="1"/>
  <c r="G28" i="14" l="1"/>
  <c r="G27" i="14" s="1"/>
  <c r="G26" i="14" s="1"/>
  <c r="D118" i="1"/>
  <c r="D116" i="1" s="1"/>
  <c r="H50" i="15"/>
  <c r="H49" i="15" s="1"/>
  <c r="H45" i="15" s="1"/>
  <c r="H44" i="15" s="1"/>
  <c r="G43" i="4" l="1"/>
  <c r="G664" i="4"/>
  <c r="G663" i="4" s="1"/>
  <c r="C173" i="1"/>
  <c r="G299" i="5" l="1"/>
  <c r="G298" i="5" s="1"/>
  <c r="G297" i="5" s="1"/>
  <c r="G296" i="5" s="1"/>
  <c r="G295" i="5" s="1"/>
  <c r="G294" i="5" s="1"/>
  <c r="G709" i="4"/>
  <c r="G708" i="4" s="1"/>
  <c r="G707" i="4" s="1"/>
  <c r="G300" i="5" l="1"/>
  <c r="G462" i="16"/>
  <c r="G461" i="16" s="1"/>
  <c r="G460" i="16" s="1"/>
  <c r="G459" i="16" s="1"/>
  <c r="G458" i="16" s="1"/>
  <c r="G457" i="16" s="1"/>
  <c r="G463" i="16" s="1"/>
  <c r="F34" i="14"/>
  <c r="F33" i="14" s="1"/>
  <c r="F36" i="14"/>
  <c r="F35" i="14" s="1"/>
  <c r="F29" i="3"/>
  <c r="F31" i="3"/>
  <c r="F32" i="14" l="1"/>
  <c r="F28" i="3"/>
  <c r="H1072" i="15"/>
  <c r="G34" i="14" s="1"/>
  <c r="G33" i="14" s="1"/>
  <c r="H1074" i="15"/>
  <c r="G36" i="14" s="1"/>
  <c r="G35" i="14" s="1"/>
  <c r="G1073" i="15"/>
  <c r="G1071" i="15"/>
  <c r="H1073" i="15" l="1"/>
  <c r="G32" i="14"/>
  <c r="H1071" i="15"/>
  <c r="G1070" i="15"/>
  <c r="H1070" i="15" l="1"/>
  <c r="G1161" i="4"/>
  <c r="G1159" i="4"/>
  <c r="G1158" i="4" l="1"/>
  <c r="G1131" i="4" l="1"/>
  <c r="H767" i="16" l="1"/>
  <c r="H768" i="16" s="1"/>
  <c r="H138" i="16"/>
  <c r="H132" i="16"/>
  <c r="G186" i="14"/>
  <c r="F15" i="14"/>
  <c r="F17" i="14"/>
  <c r="P1096" i="15"/>
  <c r="G784" i="14"/>
  <c r="F784" i="14"/>
  <c r="H766" i="16" l="1"/>
  <c r="H254" i="15"/>
  <c r="H253" i="15" s="1"/>
  <c r="H40" i="15" l="1"/>
  <c r="G43" i="15"/>
  <c r="G42" i="15" s="1"/>
  <c r="H42" i="15" s="1"/>
  <c r="G39" i="15"/>
  <c r="G37" i="15"/>
  <c r="G36" i="4"/>
  <c r="G36" i="15" l="1"/>
  <c r="H39" i="15"/>
  <c r="G17" i="14"/>
  <c r="H43" i="15"/>
  <c r="G20" i="14" s="1"/>
  <c r="F20" i="14"/>
  <c r="G41" i="4"/>
  <c r="G40" i="4" s="1"/>
  <c r="F19" i="3"/>
  <c r="H37" i="15"/>
  <c r="G15" i="14"/>
  <c r="G41" i="15"/>
  <c r="H41" i="15" s="1"/>
  <c r="G35" i="4"/>
  <c r="G982" i="15"/>
  <c r="H36" i="15" l="1"/>
  <c r="H35" i="15" s="1"/>
  <c r="H34" i="15" s="1"/>
  <c r="H33" i="15" s="1"/>
  <c r="G34" i="4"/>
  <c r="G35" i="15"/>
  <c r="G34" i="15" s="1"/>
  <c r="G33" i="15" s="1"/>
  <c r="G958" i="15"/>
  <c r="G33" i="4" l="1"/>
  <c r="G32" i="4" s="1"/>
  <c r="G22" i="16" l="1"/>
  <c r="G23" i="16" s="1"/>
  <c r="G822" i="16"/>
  <c r="H574" i="16"/>
  <c r="G574" i="16"/>
  <c r="G595" i="16"/>
  <c r="G594" i="16" s="1"/>
  <c r="G593" i="16" s="1"/>
  <c r="G592" i="16" s="1"/>
  <c r="G591" i="16" s="1"/>
  <c r="G590" i="16" s="1"/>
  <c r="H399" i="15"/>
  <c r="H398" i="15" s="1"/>
  <c r="H397" i="15" s="1"/>
  <c r="G399" i="15"/>
  <c r="G398" i="15" s="1"/>
  <c r="G397" i="15" s="1"/>
  <c r="G567" i="16"/>
  <c r="G568" i="16" s="1"/>
  <c r="G542" i="16"/>
  <c r="G543" i="16" s="1"/>
  <c r="G494" i="16"/>
  <c r="G495" i="16" s="1"/>
  <c r="G362" i="16"/>
  <c r="G361" i="16" s="1"/>
  <c r="G360" i="16" s="1"/>
  <c r="G359" i="16" s="1"/>
  <c r="G335" i="16"/>
  <c r="H676" i="15"/>
  <c r="H675" i="15" s="1"/>
  <c r="G675" i="15"/>
  <c r="G674" i="15" s="1"/>
  <c r="G673" i="15" s="1"/>
  <c r="G282" i="16"/>
  <c r="G281" i="16" s="1"/>
  <c r="G280" i="16" s="1"/>
  <c r="G279" i="16" s="1"/>
  <c r="G277" i="16"/>
  <c r="G278" i="16" s="1"/>
  <c r="G115" i="16"/>
  <c r="G114" i="16" s="1"/>
  <c r="G113" i="16" s="1"/>
  <c r="G112" i="16" s="1"/>
  <c r="G111" i="16" s="1"/>
  <c r="G110" i="16" s="1"/>
  <c r="G122" i="16"/>
  <c r="G123" i="16" s="1"/>
  <c r="G125" i="16"/>
  <c r="G126" i="16" s="1"/>
  <c r="H95" i="16"/>
  <c r="H94" i="16" s="1"/>
  <c r="H93" i="16" s="1"/>
  <c r="H92" i="16" s="1"/>
  <c r="H91" i="16" s="1"/>
  <c r="H90" i="16" s="1"/>
  <c r="G103" i="16"/>
  <c r="G102" i="16" s="1"/>
  <c r="G101" i="16" s="1"/>
  <c r="G100" i="16" s="1"/>
  <c r="G95" i="16"/>
  <c r="H595" i="16" l="1"/>
  <c r="H596" i="16" s="1"/>
  <c r="H335" i="16"/>
  <c r="H334" i="16" s="1"/>
  <c r="H333" i="16" s="1"/>
  <c r="H332" i="16" s="1"/>
  <c r="H331" i="16" s="1"/>
  <c r="H330" i="16" s="1"/>
  <c r="H674" i="15"/>
  <c r="H673" i="15" s="1"/>
  <c r="G21" i="16"/>
  <c r="G596" i="16"/>
  <c r="G566" i="16"/>
  <c r="G565" i="16" s="1"/>
  <c r="G541" i="16"/>
  <c r="G540" i="16" s="1"/>
  <c r="G539" i="16" s="1"/>
  <c r="G538" i="16" s="1"/>
  <c r="G493" i="16"/>
  <c r="G363" i="16"/>
  <c r="G357" i="16"/>
  <c r="G358" i="16"/>
  <c r="G283" i="16"/>
  <c r="G276" i="16"/>
  <c r="G275" i="16" s="1"/>
  <c r="G116" i="16"/>
  <c r="G121" i="16"/>
  <c r="H96" i="16"/>
  <c r="G124" i="16"/>
  <c r="G104" i="16"/>
  <c r="G573" i="5"/>
  <c r="G574" i="5" s="1"/>
  <c r="G525" i="5"/>
  <c r="G524" i="5" s="1"/>
  <c r="G531" i="5"/>
  <c r="G530" i="5" s="1"/>
  <c r="K505" i="5"/>
  <c r="G601" i="5"/>
  <c r="G602" i="5" s="1"/>
  <c r="G594" i="5"/>
  <c r="G595" i="5" s="1"/>
  <c r="G163" i="5"/>
  <c r="G145" i="5"/>
  <c r="G144" i="5" s="1"/>
  <c r="G143" i="5" s="1"/>
  <c r="G142" i="5" s="1"/>
  <c r="G141" i="5" s="1"/>
  <c r="G132" i="5"/>
  <c r="G129" i="5"/>
  <c r="G128" i="5" s="1"/>
  <c r="G122" i="5"/>
  <c r="G103" i="5"/>
  <c r="G95" i="5"/>
  <c r="G88" i="5"/>
  <c r="G81" i="5"/>
  <c r="G74" i="5"/>
  <c r="G58" i="5"/>
  <c r="G51" i="5"/>
  <c r="G37" i="5"/>
  <c r="G121" i="5" l="1"/>
  <c r="G123" i="5"/>
  <c r="H594" i="16"/>
  <c r="H593" i="16" s="1"/>
  <c r="H592" i="16" s="1"/>
  <c r="H591" i="16" s="1"/>
  <c r="H590" i="16" s="1"/>
  <c r="H336" i="16"/>
  <c r="G120" i="16"/>
  <c r="G119" i="16" s="1"/>
  <c r="G118" i="16" s="1"/>
  <c r="G117" i="16" s="1"/>
  <c r="G572" i="5"/>
  <c r="G571" i="5" s="1"/>
  <c r="G570" i="5" s="1"/>
  <c r="G569" i="5" s="1"/>
  <c r="G532" i="5"/>
  <c r="G526" i="5"/>
  <c r="G593" i="5"/>
  <c r="G592" i="5" s="1"/>
  <c r="G600" i="5"/>
  <c r="G599" i="5" s="1"/>
  <c r="G598" i="5" s="1"/>
  <c r="G597" i="5" s="1"/>
  <c r="G596" i="5" s="1"/>
  <c r="G130" i="5"/>
  <c r="G146" i="5"/>
  <c r="G131" i="5"/>
  <c r="G127" i="5" s="1"/>
  <c r="G126" i="5" s="1"/>
  <c r="G125" i="5" s="1"/>
  <c r="G124" i="5" s="1"/>
  <c r="G15" i="5"/>
  <c r="G427" i="14"/>
  <c r="G426" i="14" s="1"/>
  <c r="G425" i="14" s="1"/>
  <c r="F278" i="14"/>
  <c r="F277" i="14" s="1"/>
  <c r="G274" i="14"/>
  <c r="G273" i="14" s="1"/>
  <c r="G272" i="14" s="1"/>
  <c r="F274" i="14"/>
  <c r="F273" i="14" s="1"/>
  <c r="F272" i="14" s="1"/>
  <c r="F98" i="14"/>
  <c r="F857" i="14"/>
  <c r="F853" i="14"/>
  <c r="F852" i="14" s="1"/>
  <c r="F851" i="14"/>
  <c r="F847" i="14"/>
  <c r="F846" i="14" s="1"/>
  <c r="F845" i="14" s="1"/>
  <c r="F844" i="14" s="1"/>
  <c r="G842" i="14"/>
  <c r="G841" i="14" s="1"/>
  <c r="G840" i="14" s="1"/>
  <c r="G839" i="14" s="1"/>
  <c r="G838" i="14" s="1"/>
  <c r="F842" i="14"/>
  <c r="F841" i="14" s="1"/>
  <c r="F840" i="14" s="1"/>
  <c r="F839" i="14" s="1"/>
  <c r="F838" i="14" s="1"/>
  <c r="F767" i="14"/>
  <c r="F766" i="14" s="1"/>
  <c r="G772" i="14"/>
  <c r="G771" i="14" s="1"/>
  <c r="G770" i="14" s="1"/>
  <c r="G769" i="14" s="1"/>
  <c r="F772" i="14"/>
  <c r="F771" i="14" s="1"/>
  <c r="F770" i="14" s="1"/>
  <c r="F769" i="14" s="1"/>
  <c r="G528" i="14"/>
  <c r="G527" i="14" s="1"/>
  <c r="G526" i="14" s="1"/>
  <c r="F586" i="14"/>
  <c r="F585" i="14" s="1"/>
  <c r="F584" i="14" s="1"/>
  <c r="F528" i="14"/>
  <c r="F527" i="14" s="1"/>
  <c r="F526" i="14" s="1"/>
  <c r="G117" i="5" l="1"/>
  <c r="G116" i="5" s="1"/>
  <c r="G115" i="5" s="1"/>
  <c r="G114" i="5" s="1"/>
  <c r="G133" i="5"/>
  <c r="F97" i="14"/>
  <c r="F96" i="14" s="1"/>
  <c r="F856" i="14"/>
  <c r="F855" i="14" s="1"/>
  <c r="F854" i="14" s="1"/>
  <c r="F850" i="14"/>
  <c r="F849" i="14" s="1"/>
  <c r="F848" i="14" s="1"/>
  <c r="F783" i="14"/>
  <c r="F782" i="14" s="1"/>
  <c r="F781" i="14" s="1"/>
  <c r="F843" i="14" l="1"/>
  <c r="F837" i="14" s="1"/>
  <c r="F836" i="3" l="1"/>
  <c r="F835" i="3" s="1"/>
  <c r="F944" i="3"/>
  <c r="F943" i="3" s="1"/>
  <c r="F942" i="3" s="1"/>
  <c r="F941" i="3" s="1"/>
  <c r="F940" i="3"/>
  <c r="F939" i="3" s="1"/>
  <c r="F938" i="3"/>
  <c r="F937" i="3" s="1"/>
  <c r="F934" i="3"/>
  <c r="F933" i="3" s="1"/>
  <c r="F930" i="3" l="1"/>
  <c r="F929" i="3" s="1"/>
  <c r="F936" i="3"/>
  <c r="F935" i="3" s="1"/>
  <c r="F445" i="3"/>
  <c r="F444" i="3" s="1"/>
  <c r="F443" i="3" s="1"/>
  <c r="F928" i="3" l="1"/>
  <c r="F96" i="3"/>
  <c r="F95" i="3" s="1"/>
  <c r="F547" i="14" l="1"/>
  <c r="F546" i="14" s="1"/>
  <c r="F545" i="14" s="1"/>
  <c r="F544" i="14" s="1"/>
  <c r="G158" i="5"/>
  <c r="G159" i="5" s="1"/>
  <c r="F484" i="14"/>
  <c r="F483" i="14" s="1"/>
  <c r="F482" i="14" s="1"/>
  <c r="F481" i="14" s="1"/>
  <c r="G153" i="5"/>
  <c r="D86" i="12" l="1"/>
  <c r="D82" i="12"/>
  <c r="H535" i="15"/>
  <c r="H534" i="15" s="1"/>
  <c r="G535" i="15"/>
  <c r="G534" i="15" s="1"/>
  <c r="H986" i="15"/>
  <c r="H985" i="15" s="1"/>
  <c r="G533" i="15" l="1"/>
  <c r="G532" i="15" s="1"/>
  <c r="G531" i="15" s="1"/>
  <c r="H533" i="15"/>
  <c r="H532" i="15" s="1"/>
  <c r="H531" i="15" s="1"/>
  <c r="H22" i="16"/>
  <c r="G868" i="15"/>
  <c r="H864" i="15"/>
  <c r="H863" i="15" s="1"/>
  <c r="G864" i="15"/>
  <c r="G863" i="15" s="1"/>
  <c r="H23" i="16" l="1"/>
  <c r="H21" i="16"/>
  <c r="H868" i="15"/>
  <c r="G278" i="14"/>
  <c r="G277" i="14" s="1"/>
  <c r="G781" i="15"/>
  <c r="G780" i="15" s="1"/>
  <c r="G779" i="15" s="1"/>
  <c r="G778" i="15" s="1"/>
  <c r="G785" i="15"/>
  <c r="H257" i="15"/>
  <c r="H256" i="15" s="1"/>
  <c r="G257" i="15"/>
  <c r="G256" i="15" s="1"/>
  <c r="H263" i="15"/>
  <c r="H262" i="15" s="1"/>
  <c r="G263" i="15"/>
  <c r="G262" i="15" s="1"/>
  <c r="G466" i="15" l="1"/>
  <c r="G465" i="15" s="1"/>
  <c r="G464" i="15" s="1"/>
  <c r="G387" i="15" l="1"/>
  <c r="G386" i="15" s="1"/>
  <c r="G385" i="15" s="1"/>
  <c r="H387" i="15"/>
  <c r="H386" i="15" s="1"/>
  <c r="H385" i="15" s="1"/>
  <c r="G383" i="15"/>
  <c r="G382" i="15" s="1"/>
  <c r="H384" i="15"/>
  <c r="G768" i="14" l="1"/>
  <c r="G767" i="14" s="1"/>
  <c r="G766" i="14" s="1"/>
  <c r="F127" i="12"/>
  <c r="H383" i="15"/>
  <c r="H382" i="15" s="1"/>
  <c r="H567" i="16"/>
  <c r="G391" i="15"/>
  <c r="G390" i="15" s="1"/>
  <c r="G389" i="15" s="1"/>
  <c r="G581" i="16"/>
  <c r="F776" i="14"/>
  <c r="F775" i="14" s="1"/>
  <c r="F774" i="14" s="1"/>
  <c r="F773" i="14" s="1"/>
  <c r="G783" i="14"/>
  <c r="G782" i="14" s="1"/>
  <c r="G781" i="14" s="1"/>
  <c r="H392" i="15"/>
  <c r="H581" i="16" s="1"/>
  <c r="H568" i="16" l="1"/>
  <c r="H566" i="16"/>
  <c r="H565" i="16" s="1"/>
  <c r="H391" i="15"/>
  <c r="H390" i="15" s="1"/>
  <c r="H389" i="15" s="1"/>
  <c r="G776" i="14"/>
  <c r="G775" i="14" s="1"/>
  <c r="G774" i="14" s="1"/>
  <c r="G773" i="14" s="1"/>
  <c r="H381" i="16"/>
  <c r="G101" i="15"/>
  <c r="G100" i="15" s="1"/>
  <c r="H59" i="15"/>
  <c r="G104" i="15" l="1"/>
  <c r="G103" i="15" s="1"/>
  <c r="G385" i="16"/>
  <c r="F101" i="14"/>
  <c r="F100" i="14" s="1"/>
  <c r="F99" i="14" s="1"/>
  <c r="H382" i="16"/>
  <c r="H380" i="16"/>
  <c r="H379" i="16" s="1"/>
  <c r="H101" i="15"/>
  <c r="H100" i="15" s="1"/>
  <c r="G98" i="14"/>
  <c r="G97" i="14" s="1"/>
  <c r="G96" i="14" s="1"/>
  <c r="H385" i="16"/>
  <c r="H384" i="16" l="1"/>
  <c r="H383" i="16" s="1"/>
  <c r="H386" i="16"/>
  <c r="G386" i="16"/>
  <c r="G384" i="16"/>
  <c r="G383" i="16" s="1"/>
  <c r="H104" i="15"/>
  <c r="H103" i="15" s="1"/>
  <c r="G101" i="14"/>
  <c r="G100" i="14" s="1"/>
  <c r="G99" i="14" s="1"/>
  <c r="C151" i="1"/>
  <c r="C143" i="1" s="1"/>
  <c r="C106" i="1"/>
  <c r="C104" i="1"/>
  <c r="C102" i="1"/>
  <c r="C96" i="1"/>
  <c r="C90" i="1"/>
  <c r="C164" i="1"/>
  <c r="D88" i="12"/>
  <c r="C88" i="12"/>
  <c r="D52" i="12"/>
  <c r="D49" i="12" s="1"/>
  <c r="C52" i="12"/>
  <c r="C49" i="12" s="1"/>
  <c r="C52" i="1"/>
  <c r="C49" i="1" s="1"/>
  <c r="G97" i="4"/>
  <c r="G96" i="4" s="1"/>
  <c r="G381" i="16" s="1"/>
  <c r="H110" i="1" l="1"/>
  <c r="C110" i="1"/>
  <c r="G380" i="16"/>
  <c r="G379" i="16" s="1"/>
  <c r="G382" i="16"/>
  <c r="G697" i="4" l="1"/>
  <c r="G696" i="4" s="1"/>
  <c r="G695" i="4" s="1"/>
  <c r="G489" i="4" l="1"/>
  <c r="G488" i="4" s="1"/>
  <c r="G395" i="4"/>
  <c r="G394" i="4" l="1"/>
  <c r="G420" i="4"/>
  <c r="G630" i="5"/>
  <c r="G631" i="5" s="1"/>
  <c r="F862" i="3"/>
  <c r="F861" i="3" s="1"/>
  <c r="F860" i="3" s="1"/>
  <c r="F853" i="3" s="1"/>
  <c r="D162" i="1"/>
  <c r="G419" i="4" l="1"/>
  <c r="G412" i="4" s="1"/>
  <c r="F334" i="14"/>
  <c r="F333" i="14" s="1"/>
  <c r="G893" i="15"/>
  <c r="F351" i="3" l="1"/>
  <c r="G978" i="4"/>
  <c r="G478" i="5" l="1"/>
  <c r="G477" i="5" s="1"/>
  <c r="G476" i="5" s="1"/>
  <c r="G475" i="5" s="1"/>
  <c r="G474" i="5" s="1"/>
  <c r="G473" i="5" s="1"/>
  <c r="G479" i="5" l="1"/>
  <c r="F1010" i="3"/>
  <c r="F1009" i="3" s="1"/>
  <c r="F1008" i="3" s="1"/>
  <c r="F1007" i="3" s="1"/>
  <c r="G869" i="4"/>
  <c r="G868" i="4" s="1"/>
  <c r="G867" i="4" s="1"/>
  <c r="F954" i="3" l="1"/>
  <c r="G1090" i="15" l="1"/>
  <c r="G1045" i="15"/>
  <c r="G1012" i="15"/>
  <c r="G1010" i="15"/>
  <c r="G1002" i="15"/>
  <c r="G987" i="15"/>
  <c r="F427" i="14" s="1"/>
  <c r="F426" i="14" s="1"/>
  <c r="F425" i="14" s="1"/>
  <c r="G984" i="15"/>
  <c r="G888" i="15"/>
  <c r="G852" i="15"/>
  <c r="G845" i="15"/>
  <c r="G830" i="15"/>
  <c r="G820" i="15"/>
  <c r="G792" i="15"/>
  <c r="E136" i="12" s="1"/>
  <c r="G787" i="15"/>
  <c r="G786" i="15" s="1"/>
  <c r="G752" i="15"/>
  <c r="G750" i="15"/>
  <c r="G739" i="15"/>
  <c r="G736" i="15"/>
  <c r="G253" i="16"/>
  <c r="G706" i="15"/>
  <c r="F593" i="14"/>
  <c r="F592" i="14" s="1"/>
  <c r="F591" i="14" s="1"/>
  <c r="G646" i="15"/>
  <c r="F554" i="14"/>
  <c r="F553" i="14" s="1"/>
  <c r="F552" i="14" s="1"/>
  <c r="F566" i="14"/>
  <c r="F565" i="14" s="1"/>
  <c r="F564" i="14" s="1"/>
  <c r="G630" i="15"/>
  <c r="F563" i="14" s="1"/>
  <c r="F562" i="14" s="1"/>
  <c r="F561" i="14" s="1"/>
  <c r="F560" i="14"/>
  <c r="F559" i="14" s="1"/>
  <c r="F558" i="14" s="1"/>
  <c r="F557" i="14"/>
  <c r="F556" i="14" s="1"/>
  <c r="F555" i="14" s="1"/>
  <c r="F541" i="14"/>
  <c r="F540" i="14" s="1"/>
  <c r="F539" i="14" s="1"/>
  <c r="F538" i="14" s="1"/>
  <c r="F537" i="14" s="1"/>
  <c r="G598" i="15"/>
  <c r="F524" i="14"/>
  <c r="F523" i="14" s="1"/>
  <c r="F522" i="14" s="1"/>
  <c r="F521" i="14"/>
  <c r="F520" i="14" s="1"/>
  <c r="F519" i="14" s="1"/>
  <c r="F518" i="14" s="1"/>
  <c r="G587" i="15"/>
  <c r="G577" i="15"/>
  <c r="F507" i="14" s="1"/>
  <c r="F488" i="14"/>
  <c r="F487" i="14" s="1"/>
  <c r="F486" i="14" s="1"/>
  <c r="F497" i="14"/>
  <c r="F496" i="14" s="1"/>
  <c r="F495" i="14" s="1"/>
  <c r="G564" i="15"/>
  <c r="F494" i="14" s="1"/>
  <c r="F493" i="14" s="1"/>
  <c r="F492" i="14" s="1"/>
  <c r="F491" i="14"/>
  <c r="F490" i="14" s="1"/>
  <c r="F489" i="14" s="1"/>
  <c r="G527" i="15"/>
  <c r="G499" i="15"/>
  <c r="G497" i="15"/>
  <c r="G500" i="16"/>
  <c r="G497" i="16"/>
  <c r="F823" i="14"/>
  <c r="F822" i="14" s="1"/>
  <c r="F821" i="14" s="1"/>
  <c r="F820" i="14" s="1"/>
  <c r="F819" i="14" s="1"/>
  <c r="F818" i="14" s="1"/>
  <c r="G433" i="15"/>
  <c r="G430" i="15"/>
  <c r="G428" i="15"/>
  <c r="G356" i="15"/>
  <c r="G352" i="15"/>
  <c r="G350" i="15"/>
  <c r="G343" i="15"/>
  <c r="G326" i="15"/>
  <c r="G307" i="15"/>
  <c r="G303" i="15"/>
  <c r="G81" i="16"/>
  <c r="G65" i="15"/>
  <c r="G64" i="15" s="1"/>
  <c r="G272" i="15"/>
  <c r="G230" i="15"/>
  <c r="G229" i="15" s="1"/>
  <c r="E109" i="12"/>
  <c r="G190" i="15"/>
  <c r="G187" i="15"/>
  <c r="G181" i="15"/>
  <c r="G178" i="15"/>
  <c r="G154" i="15"/>
  <c r="G109" i="15"/>
  <c r="G392" i="16" s="1"/>
  <c r="G99" i="15"/>
  <c r="G377" i="16" s="1"/>
  <c r="G97" i="15"/>
  <c r="G374" i="16" s="1"/>
  <c r="G81" i="15"/>
  <c r="E120" i="12" l="1"/>
  <c r="E121" i="12"/>
  <c r="F531" i="14"/>
  <c r="F530" i="14" s="1"/>
  <c r="F529" i="14" s="1"/>
  <c r="F525" i="14" s="1"/>
  <c r="E101" i="12"/>
  <c r="F548" i="14"/>
  <c r="F485" i="14"/>
  <c r="G496" i="16"/>
  <c r="G498" i="16"/>
  <c r="G373" i="16"/>
  <c r="G375" i="16"/>
  <c r="G264" i="16"/>
  <c r="F514" i="14"/>
  <c r="F513" i="14" s="1"/>
  <c r="F512" i="14" s="1"/>
  <c r="G268" i="16"/>
  <c r="F517" i="14"/>
  <c r="F516" i="14" s="1"/>
  <c r="F515" i="14" s="1"/>
  <c r="G228" i="16"/>
  <c r="F506" i="14"/>
  <c r="F505" i="14" s="1"/>
  <c r="F498" i="14" s="1"/>
  <c r="G246" i="16"/>
  <c r="F579" i="14"/>
  <c r="F578" i="14" s="1"/>
  <c r="F577" i="14" s="1"/>
  <c r="G254" i="16"/>
  <c r="G252" i="16"/>
  <c r="G251" i="16" s="1"/>
  <c r="G501" i="16"/>
  <c r="G499" i="16"/>
  <c r="G656" i="15"/>
  <c r="G655" i="15" s="1"/>
  <c r="G654" i="15" s="1"/>
  <c r="F589" i="14"/>
  <c r="F588" i="14" s="1"/>
  <c r="F587" i="14" s="1"/>
  <c r="G376" i="16"/>
  <c r="G378" i="16"/>
  <c r="G393" i="16"/>
  <c r="G391" i="16"/>
  <c r="G390" i="16" s="1"/>
  <c r="G389" i="16" s="1"/>
  <c r="G388" i="16" s="1"/>
  <c r="G387" i="16" s="1"/>
  <c r="G22" i="5"/>
  <c r="F289" i="3"/>
  <c r="F288" i="3" s="1"/>
  <c r="G948" i="4"/>
  <c r="G250" i="16" l="1"/>
  <c r="G249" i="16" s="1"/>
  <c r="G248" i="16" s="1"/>
  <c r="G245" i="16"/>
  <c r="G244" i="16" s="1"/>
  <c r="G247" i="16"/>
  <c r="G269" i="16"/>
  <c r="G267" i="16"/>
  <c r="G266" i="16" s="1"/>
  <c r="G227" i="16"/>
  <c r="G226" i="16" s="1"/>
  <c r="G229" i="16"/>
  <c r="F508" i="14"/>
  <c r="F480" i="14" s="1"/>
  <c r="F479" i="14" s="1"/>
  <c r="G372" i="16"/>
  <c r="G371" i="16" s="1"/>
  <c r="G263" i="16"/>
  <c r="G262" i="16" s="1"/>
  <c r="G265" i="16"/>
  <c r="G492" i="16"/>
  <c r="G491" i="16" s="1"/>
  <c r="G490" i="16" s="1"/>
  <c r="G21" i="5"/>
  <c r="G23" i="5"/>
  <c r="G57" i="4"/>
  <c r="F51" i="30" s="1"/>
  <c r="F50" i="30" s="1"/>
  <c r="F45" i="30" s="1"/>
  <c r="F44" i="30" s="1"/>
  <c r="F43" i="30" s="1"/>
  <c r="F42" i="30" s="1"/>
  <c r="D14" i="31" l="1"/>
  <c r="G365" i="16"/>
  <c r="G364" i="16" s="1"/>
  <c r="G356" i="16" s="1"/>
  <c r="D161" i="1"/>
  <c r="E161" i="1" s="1"/>
  <c r="F957" i="14" l="1"/>
  <c r="F956" i="14" s="1"/>
  <c r="G905" i="14"/>
  <c r="G904" i="14"/>
  <c r="G903" i="14"/>
  <c r="G895" i="14"/>
  <c r="G894" i="14"/>
  <c r="G893" i="14"/>
  <c r="G865" i="14"/>
  <c r="G864" i="14" s="1"/>
  <c r="G863" i="14" s="1"/>
  <c r="F865" i="14"/>
  <c r="F864" i="14" s="1"/>
  <c r="F863" i="14" s="1"/>
  <c r="G802" i="14"/>
  <c r="G801" i="14"/>
  <c r="G780" i="14"/>
  <c r="G779" i="14" s="1"/>
  <c r="G778" i="14" s="1"/>
  <c r="F780" i="14"/>
  <c r="F779" i="14" s="1"/>
  <c r="F778" i="14" s="1"/>
  <c r="G755" i="14"/>
  <c r="G754" i="14"/>
  <c r="G413" i="14"/>
  <c r="G412" i="14"/>
  <c r="G411" i="14"/>
  <c r="F290" i="14"/>
  <c r="F289" i="14" s="1"/>
  <c r="F288" i="14"/>
  <c r="F287" i="14" s="1"/>
  <c r="G222" i="14"/>
  <c r="G221" i="14" s="1"/>
  <c r="G220" i="14" s="1"/>
  <c r="F222" i="14"/>
  <c r="F217" i="14"/>
  <c r="H922" i="15"/>
  <c r="H921" i="15" s="1"/>
  <c r="H870" i="15"/>
  <c r="H867" i="15" s="1"/>
  <c r="G870" i="15"/>
  <c r="G867" i="15" s="1"/>
  <c r="G727" i="15"/>
  <c r="G726" i="15" s="1"/>
  <c r="H594" i="15"/>
  <c r="H593" i="15" s="1"/>
  <c r="G594" i="15"/>
  <c r="G593" i="15" s="1"/>
  <c r="G494" i="15"/>
  <c r="G473" i="15"/>
  <c r="G451" i="15"/>
  <c r="G395" i="15"/>
  <c r="H149" i="15"/>
  <c r="H148" i="15" s="1"/>
  <c r="H147" i="15" s="1"/>
  <c r="G149" i="15"/>
  <c r="G148" i="15" s="1"/>
  <c r="G147" i="15" s="1"/>
  <c r="G72" i="15"/>
  <c r="G71" i="15" s="1"/>
  <c r="G29" i="15"/>
  <c r="F286" i="14" l="1"/>
  <c r="C9" i="1" l="1"/>
  <c r="G71" i="14" l="1"/>
  <c r="G70" i="14" s="1"/>
  <c r="F71" i="14"/>
  <c r="F70" i="14" s="1"/>
  <c r="G777" i="14"/>
  <c r="H588" i="16"/>
  <c r="H587" i="16" s="1"/>
  <c r="H586" i="16" s="1"/>
  <c r="H585" i="16" s="1"/>
  <c r="H584" i="16" s="1"/>
  <c r="H583" i="16" s="1"/>
  <c r="H589" i="16" s="1"/>
  <c r="G588" i="16"/>
  <c r="G587" i="16" s="1"/>
  <c r="G586" i="16" s="1"/>
  <c r="G585" i="16" s="1"/>
  <c r="G584" i="16" s="1"/>
  <c r="G583" i="16" s="1"/>
  <c r="G589" i="16" s="1"/>
  <c r="H395" i="15"/>
  <c r="H394" i="15" s="1"/>
  <c r="H393" i="15" s="1"/>
  <c r="G394" i="15"/>
  <c r="G393" i="15" s="1"/>
  <c r="G66" i="14"/>
  <c r="G65" i="14" s="1"/>
  <c r="G64" i="14" s="1"/>
  <c r="F66" i="14"/>
  <c r="F65" i="14" s="1"/>
  <c r="F64" i="14" s="1"/>
  <c r="F777" i="14" l="1"/>
  <c r="H317" i="16"/>
  <c r="H316" i="16" s="1"/>
  <c r="H315" i="16" s="1"/>
  <c r="G317" i="16"/>
  <c r="G316" i="16" s="1"/>
  <c r="G315" i="16" s="1"/>
  <c r="H232" i="15"/>
  <c r="H231" i="15" s="1"/>
  <c r="G232" i="15"/>
  <c r="G231" i="15" s="1"/>
  <c r="H318" i="16" l="1"/>
  <c r="G318" i="16"/>
  <c r="G505" i="15"/>
  <c r="H72" i="15"/>
  <c r="H71" i="15" s="1"/>
  <c r="G629" i="5"/>
  <c r="G628" i="5" s="1"/>
  <c r="G623" i="5" s="1"/>
  <c r="G346" i="5"/>
  <c r="G345" i="5" s="1"/>
  <c r="G344" i="5" s="1"/>
  <c r="G292" i="5"/>
  <c r="G291" i="5" s="1"/>
  <c r="G290" i="5" s="1"/>
  <c r="G289" i="5" s="1"/>
  <c r="G597" i="15" l="1"/>
  <c r="G596" i="15" s="1"/>
  <c r="G592" i="15" s="1"/>
  <c r="F84" i="14"/>
  <c r="F83" i="14" s="1"/>
  <c r="F82" i="14" s="1"/>
  <c r="G288" i="5"/>
  <c r="G343" i="5"/>
  <c r="G342" i="5" s="1"/>
  <c r="G341" i="5" s="1"/>
  <c r="G622" i="5"/>
  <c r="G621" i="5" s="1"/>
  <c r="G531" i="14"/>
  <c r="G530" i="14" s="1"/>
  <c r="G529" i="14" s="1"/>
  <c r="G525" i="14" s="1"/>
  <c r="G321" i="16"/>
  <c r="G320" i="16" s="1"/>
  <c r="G319" i="16" s="1"/>
  <c r="G314" i="16" s="1"/>
  <c r="G313" i="16" s="1"/>
  <c r="G312" i="16" s="1"/>
  <c r="G504" i="15"/>
  <c r="G503" i="15" s="1"/>
  <c r="F646" i="3"/>
  <c r="F645" i="3" s="1"/>
  <c r="F644" i="3" s="1"/>
  <c r="F643" i="3" s="1"/>
  <c r="F556" i="3"/>
  <c r="F555" i="3" s="1"/>
  <c r="F554" i="3" s="1"/>
  <c r="F953" i="3"/>
  <c r="F952" i="3" s="1"/>
  <c r="F64" i="3"/>
  <c r="F63" i="3" s="1"/>
  <c r="F78" i="3"/>
  <c r="F77" i="3" s="1"/>
  <c r="F76" i="3" s="1"/>
  <c r="G347" i="5" l="1"/>
  <c r="F951" i="3"/>
  <c r="F950" i="3" s="1"/>
  <c r="H58" i="15"/>
  <c r="G58" i="15"/>
  <c r="H505" i="15"/>
  <c r="H504" i="15" s="1"/>
  <c r="H503" i="15" s="1"/>
  <c r="G84" i="14"/>
  <c r="G83" i="14" s="1"/>
  <c r="G82" i="14" s="1"/>
  <c r="G293" i="5"/>
  <c r="G287" i="5"/>
  <c r="H597" i="15"/>
  <c r="H596" i="15" s="1"/>
  <c r="H592" i="15" s="1"/>
  <c r="H321" i="16"/>
  <c r="H320" i="16" s="1"/>
  <c r="H319" i="16" s="1"/>
  <c r="H314" i="16" s="1"/>
  <c r="H313" i="16" s="1"/>
  <c r="H312" i="16" s="1"/>
  <c r="G322" i="16"/>
  <c r="G725" i="4"/>
  <c r="G724" i="4" s="1"/>
  <c r="G583" i="4"/>
  <c r="G582" i="4" s="1"/>
  <c r="G581" i="4" s="1"/>
  <c r="G580" i="4" s="1"/>
  <c r="G579" i="4" s="1"/>
  <c r="D158" i="1" s="1"/>
  <c r="G551" i="4"/>
  <c r="G550" i="4" s="1"/>
  <c r="G549" i="4" s="1"/>
  <c r="G633" i="4"/>
  <c r="G636" i="4"/>
  <c r="G635" i="4" s="1"/>
  <c r="D137" i="12"/>
  <c r="C137" i="12"/>
  <c r="D94" i="12"/>
  <c r="C94" i="12"/>
  <c r="C86" i="12"/>
  <c r="C82" i="12"/>
  <c r="C94" i="1"/>
  <c r="C83" i="1" s="1"/>
  <c r="D44" i="2" l="1"/>
  <c r="D45" i="31"/>
  <c r="D42" i="31" s="1"/>
  <c r="D157" i="1"/>
  <c r="D83" i="1"/>
  <c r="G723" i="4"/>
  <c r="G334" i="16"/>
  <c r="G333" i="16" s="1"/>
  <c r="G332" i="16" s="1"/>
  <c r="G331" i="16" s="1"/>
  <c r="G330" i="16" s="1"/>
  <c r="G336" i="16" s="1"/>
  <c r="G632" i="4"/>
  <c r="G631" i="4" s="1"/>
  <c r="D113" i="1" s="1"/>
  <c r="H322" i="16"/>
  <c r="D178" i="1"/>
  <c r="E178" i="1" s="1"/>
  <c r="D159" i="1"/>
  <c r="D124" i="1"/>
  <c r="D120" i="1"/>
  <c r="D119" i="1"/>
  <c r="D115" i="1"/>
  <c r="D112" i="1"/>
  <c r="H77" i="15"/>
  <c r="G77" i="15"/>
  <c r="I792" i="15"/>
  <c r="D91" i="1" l="1"/>
  <c r="D180" i="1"/>
  <c r="E180" i="1" s="1"/>
  <c r="D163" i="1"/>
  <c r="G623" i="15"/>
  <c r="G622" i="15" s="1"/>
  <c r="G996" i="15"/>
  <c r="G995" i="15" s="1"/>
  <c r="F437" i="14"/>
  <c r="F436" i="14" s="1"/>
  <c r="F435" i="14" s="1"/>
  <c r="G238" i="15"/>
  <c r="F877" i="14"/>
  <c r="F876" i="14" s="1"/>
  <c r="D179" i="1"/>
  <c r="E179" i="1" s="1"/>
  <c r="C79" i="1"/>
  <c r="C78" i="1" s="1"/>
  <c r="G1229" i="4" l="1"/>
  <c r="G893" i="5"/>
  <c r="F1061" i="3"/>
  <c r="F1064" i="3"/>
  <c r="F1069" i="3"/>
  <c r="H474" i="15"/>
  <c r="H494" i="16" s="1"/>
  <c r="G516" i="4"/>
  <c r="G511" i="4"/>
  <c r="G507" i="4"/>
  <c r="G503" i="4"/>
  <c r="G510" i="4" l="1"/>
  <c r="G509" i="4" s="1"/>
  <c r="G515" i="4"/>
  <c r="G513" i="4" s="1"/>
  <c r="H495" i="16"/>
  <c r="H493" i="16"/>
  <c r="G505" i="4"/>
  <c r="G528" i="5"/>
  <c r="G957" i="14"/>
  <c r="G956" i="14" s="1"/>
  <c r="H473" i="15"/>
  <c r="G844" i="16"/>
  <c r="F969" i="14"/>
  <c r="F968" i="14" s="1"/>
  <c r="F967" i="14" s="1"/>
  <c r="H478" i="15"/>
  <c r="H500" i="16" s="1"/>
  <c r="F961" i="14"/>
  <c r="F960" i="14" s="1"/>
  <c r="G477" i="15"/>
  <c r="H482" i="15"/>
  <c r="H542" i="16" s="1"/>
  <c r="F964" i="14"/>
  <c r="F963" i="14" s="1"/>
  <c r="F962" i="14" s="1"/>
  <c r="F1059" i="3"/>
  <c r="F1057" i="3"/>
  <c r="G481" i="15"/>
  <c r="G480" i="15" s="1"/>
  <c r="G479" i="15" s="1"/>
  <c r="G486" i="15"/>
  <c r="G485" i="15" s="1"/>
  <c r="G484" i="15" s="1"/>
  <c r="G969" i="14"/>
  <c r="G968" i="14" s="1"/>
  <c r="G967" i="14" s="1"/>
  <c r="G514" i="4" l="1"/>
  <c r="G502" i="4"/>
  <c r="G501" i="4" s="1"/>
  <c r="G500" i="4" s="1"/>
  <c r="G499" i="4" s="1"/>
  <c r="G498" i="4" s="1"/>
  <c r="G1205" i="4" s="1"/>
  <c r="H541" i="16"/>
  <c r="H540" i="16" s="1"/>
  <c r="H539" i="16" s="1"/>
  <c r="H538" i="16" s="1"/>
  <c r="H543" i="16"/>
  <c r="H501" i="16"/>
  <c r="H499" i="16"/>
  <c r="G527" i="5"/>
  <c r="G523" i="5" s="1"/>
  <c r="G522" i="5" s="1"/>
  <c r="G521" i="5" s="1"/>
  <c r="G529" i="5"/>
  <c r="G18" i="15"/>
  <c r="F122" i="14"/>
  <c r="F121" i="14" s="1"/>
  <c r="H476" i="15"/>
  <c r="H497" i="16" s="1"/>
  <c r="F959" i="14"/>
  <c r="F958" i="14" s="1"/>
  <c r="G475" i="15"/>
  <c r="G472" i="15" s="1"/>
  <c r="G471" i="15" s="1"/>
  <c r="G470" i="15" s="1"/>
  <c r="G961" i="14"/>
  <c r="G960" i="14" s="1"/>
  <c r="H477" i="15"/>
  <c r="H481" i="15"/>
  <c r="H480" i="15" s="1"/>
  <c r="H479" i="15" s="1"/>
  <c r="G964" i="14"/>
  <c r="G963" i="14" s="1"/>
  <c r="G962" i="14" s="1"/>
  <c r="G483" i="15"/>
  <c r="H844" i="16"/>
  <c r="H486" i="15"/>
  <c r="H485" i="15" s="1"/>
  <c r="H496" i="16" l="1"/>
  <c r="H492" i="16" s="1"/>
  <c r="H491" i="16" s="1"/>
  <c r="H490" i="16" s="1"/>
  <c r="H498" i="16"/>
  <c r="G959" i="14"/>
  <c r="G958" i="14" s="1"/>
  <c r="H475" i="15"/>
  <c r="H472" i="15" s="1"/>
  <c r="H471" i="15" s="1"/>
  <c r="H470" i="15" s="1"/>
  <c r="G469" i="15"/>
  <c r="G468" i="15" s="1"/>
  <c r="G1125" i="15" s="1"/>
  <c r="H484" i="15"/>
  <c r="H483" i="15"/>
  <c r="G133" i="14"/>
  <c r="G132" i="14" s="1"/>
  <c r="G135" i="14"/>
  <c r="G134" i="14" s="1"/>
  <c r="F135" i="14"/>
  <c r="F134" i="14" s="1"/>
  <c r="F133" i="14"/>
  <c r="F132" i="14" s="1"/>
  <c r="F132" i="3"/>
  <c r="F131" i="3" s="1"/>
  <c r="F134" i="3"/>
  <c r="F133" i="3" s="1"/>
  <c r="H128" i="15"/>
  <c r="H126" i="15"/>
  <c r="G128" i="15"/>
  <c r="G126" i="15"/>
  <c r="G116" i="4"/>
  <c r="G118" i="4"/>
  <c r="H469" i="15" l="1"/>
  <c r="H468" i="15" s="1"/>
  <c r="H1125" i="15" s="1"/>
  <c r="G115" i="4"/>
  <c r="G114" i="4" s="1"/>
  <c r="G113" i="4" s="1"/>
  <c r="G112" i="4" s="1"/>
  <c r="G125" i="15"/>
  <c r="G124" i="15" s="1"/>
  <c r="G123" i="15" s="1"/>
  <c r="G122" i="15" s="1"/>
  <c r="G131" i="14"/>
  <c r="G130" i="14" s="1"/>
  <c r="G129" i="14" s="1"/>
  <c r="G128" i="14" s="1"/>
  <c r="E16" i="13" s="1"/>
  <c r="F131" i="14"/>
  <c r="F130" i="14" s="1"/>
  <c r="F129" i="14" s="1"/>
  <c r="F128" i="14" s="1"/>
  <c r="D16" i="13" s="1"/>
  <c r="H125" i="15"/>
  <c r="H124" i="15" s="1"/>
  <c r="H123" i="15" s="1"/>
  <c r="H122" i="15" s="1"/>
  <c r="F130" i="3"/>
  <c r="F129" i="3" s="1"/>
  <c r="F128" i="3" s="1"/>
  <c r="F127" i="3" s="1"/>
  <c r="G392" i="14"/>
  <c r="G391" i="14" s="1"/>
  <c r="G390" i="14" s="1"/>
  <c r="G389" i="14" s="1"/>
  <c r="G388" i="14" s="1"/>
  <c r="F392" i="14"/>
  <c r="F391" i="14" s="1"/>
  <c r="F390" i="14" s="1"/>
  <c r="F389" i="14" s="1"/>
  <c r="F388" i="14" s="1"/>
  <c r="F407" i="3"/>
  <c r="F406" i="3" s="1"/>
  <c r="F405" i="3" s="1"/>
  <c r="F404" i="3" s="1"/>
  <c r="F403" i="3" s="1"/>
  <c r="H892" i="16"/>
  <c r="H891" i="16" s="1"/>
  <c r="H890" i="16" s="1"/>
  <c r="H889" i="16" s="1"/>
  <c r="H888" i="16" s="1"/>
  <c r="H887" i="16" s="1"/>
  <c r="H886" i="16" s="1"/>
  <c r="H885" i="16" s="1"/>
  <c r="G892" i="16"/>
  <c r="G891" i="16" s="1"/>
  <c r="G890" i="16" s="1"/>
  <c r="G889" i="16" s="1"/>
  <c r="G888" i="16" s="1"/>
  <c r="G887" i="16" s="1"/>
  <c r="G886" i="16" s="1"/>
  <c r="G885" i="16" s="1"/>
  <c r="G959" i="5"/>
  <c r="G958" i="5" s="1"/>
  <c r="G957" i="5" s="1"/>
  <c r="G956" i="5" s="1"/>
  <c r="G955" i="5" s="1"/>
  <c r="G954" i="5" s="1"/>
  <c r="G953" i="5" s="1"/>
  <c r="G952" i="5" s="1"/>
  <c r="H951" i="15"/>
  <c r="H950" i="15" s="1"/>
  <c r="H949" i="15" s="1"/>
  <c r="H948" i="15" s="1"/>
  <c r="H1150" i="15" s="1"/>
  <c r="G951" i="15"/>
  <c r="G950" i="15" s="1"/>
  <c r="G949" i="15" s="1"/>
  <c r="G948" i="15" s="1"/>
  <c r="G1150" i="15" s="1"/>
  <c r="G1035" i="4"/>
  <c r="H451" i="15"/>
  <c r="H450" i="15" s="1"/>
  <c r="G450" i="15"/>
  <c r="D15" i="2" l="1"/>
  <c r="D16" i="31"/>
  <c r="G1034" i="4"/>
  <c r="G1033" i="4" s="1"/>
  <c r="G1032" i="4" s="1"/>
  <c r="G563" i="4"/>
  <c r="F163" i="30" s="1"/>
  <c r="F162" i="30" s="1"/>
  <c r="F161" i="30" s="1"/>
  <c r="F155" i="30" s="1"/>
  <c r="F143" i="30" s="1"/>
  <c r="F142" i="30" s="1"/>
  <c r="D18" i="31" l="1"/>
  <c r="D11" i="31" s="1"/>
  <c r="F9" i="30"/>
  <c r="G158" i="14"/>
  <c r="G157" i="14" s="1"/>
  <c r="G156" i="14" s="1"/>
  <c r="F158" i="14"/>
  <c r="F157" i="14" s="1"/>
  <c r="F156" i="14" s="1"/>
  <c r="H29" i="15"/>
  <c r="H28" i="15" s="1"/>
  <c r="H27" i="15" s="1"/>
  <c r="H26" i="15" s="1"/>
  <c r="H25" i="15" s="1"/>
  <c r="G28" i="15"/>
  <c r="G27" i="15" s="1"/>
  <c r="G26" i="15" s="1"/>
  <c r="G25" i="15" s="1"/>
  <c r="K9" i="30" l="1"/>
  <c r="D37" i="12"/>
  <c r="D35" i="12"/>
  <c r="C37" i="12"/>
  <c r="C35" i="12"/>
  <c r="C37" i="1"/>
  <c r="C35" i="1"/>
  <c r="D29" i="12"/>
  <c r="C29" i="12"/>
  <c r="C29" i="1"/>
  <c r="C25" i="1"/>
  <c r="C34" i="12" l="1"/>
  <c r="C34" i="1"/>
  <c r="E34" i="1" s="1"/>
  <c r="D34" i="12"/>
  <c r="K34" i="12" s="1"/>
  <c r="F280" i="14"/>
  <c r="F279" i="14" s="1"/>
  <c r="F276" i="14" s="1"/>
  <c r="D65" i="12"/>
  <c r="D67" i="12"/>
  <c r="C67" i="12"/>
  <c r="D69" i="12"/>
  <c r="C69" i="12"/>
  <c r="C65" i="12"/>
  <c r="G209" i="15"/>
  <c r="C148" i="12"/>
  <c r="D148" i="12" s="1"/>
  <c r="C147" i="12"/>
  <c r="D147" i="12" s="1"/>
  <c r="D64" i="12" l="1"/>
  <c r="D63" i="12" s="1"/>
  <c r="C64" i="12"/>
  <c r="C63" i="12" s="1"/>
  <c r="C63" i="1"/>
  <c r="E19" i="13" l="1"/>
  <c r="E18" i="13"/>
  <c r="D17" i="12"/>
  <c r="D16" i="12" s="1"/>
  <c r="K16" i="12" s="1"/>
  <c r="D56" i="12"/>
  <c r="D151" i="12"/>
  <c r="D150" i="12" s="1"/>
  <c r="D149" i="12" s="1"/>
  <c r="C151" i="12"/>
  <c r="C150" i="12" s="1"/>
  <c r="C149" i="12" s="1"/>
  <c r="D139" i="12"/>
  <c r="C139" i="12"/>
  <c r="D96" i="12"/>
  <c r="C96" i="12"/>
  <c r="D92" i="12"/>
  <c r="C92" i="12"/>
  <c r="D90" i="12"/>
  <c r="C90" i="12"/>
  <c r="D72" i="12"/>
  <c r="D71" i="12" s="1"/>
  <c r="C72" i="12"/>
  <c r="C71" i="12" s="1"/>
  <c r="D61" i="12"/>
  <c r="C61" i="12"/>
  <c r="D59" i="12"/>
  <c r="C59" i="12"/>
  <c r="C56" i="12"/>
  <c r="C55" i="12"/>
  <c r="D48" i="12"/>
  <c r="K48" i="12" s="1"/>
  <c r="C48" i="12"/>
  <c r="I48" i="12" s="1"/>
  <c r="D46" i="12"/>
  <c r="C46" i="12"/>
  <c r="D44" i="12"/>
  <c r="C44" i="12"/>
  <c r="D40" i="12"/>
  <c r="D39" i="12" s="1"/>
  <c r="C40" i="12"/>
  <c r="C39" i="12" s="1"/>
  <c r="D32" i="12"/>
  <c r="C32" i="12"/>
  <c r="C31" i="12" s="1"/>
  <c r="D27" i="12"/>
  <c r="C27" i="12"/>
  <c r="C17" i="12"/>
  <c r="C16" i="12" s="1"/>
  <c r="I16" i="12" s="1"/>
  <c r="D11" i="12"/>
  <c r="D10" i="12" s="1"/>
  <c r="C11" i="12"/>
  <c r="C10" i="12" s="1"/>
  <c r="H42" i="17"/>
  <c r="H41" i="17" s="1"/>
  <c r="H40" i="17" s="1"/>
  <c r="H39" i="17" s="1"/>
  <c r="H883" i="16"/>
  <c r="H882" i="16" s="1"/>
  <c r="H881" i="16" s="1"/>
  <c r="H880" i="16" s="1"/>
  <c r="H879" i="16" s="1"/>
  <c r="H877" i="16" s="1"/>
  <c r="H875" i="16"/>
  <c r="H874" i="16" s="1"/>
  <c r="H873" i="16" s="1"/>
  <c r="H872" i="16" s="1"/>
  <c r="H871" i="16" s="1"/>
  <c r="H801" i="16"/>
  <c r="H800" i="16" s="1"/>
  <c r="H799" i="16" s="1"/>
  <c r="H778" i="16"/>
  <c r="H776" i="16"/>
  <c r="H775" i="16" s="1"/>
  <c r="H717" i="16"/>
  <c r="H718" i="16" s="1"/>
  <c r="H643" i="16"/>
  <c r="H641" i="16"/>
  <c r="H640" i="16" s="1"/>
  <c r="H639" i="16" s="1"/>
  <c r="H638" i="16" s="1"/>
  <c r="H631" i="16"/>
  <c r="H632" i="16" s="1"/>
  <c r="H609" i="16"/>
  <c r="H610" i="16" s="1"/>
  <c r="G883" i="16"/>
  <c r="G882" i="16" s="1"/>
  <c r="G881" i="16" s="1"/>
  <c r="G880" i="16" s="1"/>
  <c r="G879" i="16" s="1"/>
  <c r="G875" i="16"/>
  <c r="G874" i="16" s="1"/>
  <c r="G873" i="16" s="1"/>
  <c r="G872" i="16" s="1"/>
  <c r="G871" i="16" s="1"/>
  <c r="G801" i="16"/>
  <c r="G800" i="16" s="1"/>
  <c r="G799" i="16" s="1"/>
  <c r="G776" i="16"/>
  <c r="G775" i="16" s="1"/>
  <c r="G717" i="16"/>
  <c r="G718" i="16" s="1"/>
  <c r="G631" i="16"/>
  <c r="G632" i="16" s="1"/>
  <c r="G609" i="16"/>
  <c r="G610" i="16" s="1"/>
  <c r="G26" i="16"/>
  <c r="G821" i="16"/>
  <c r="G820" i="16" s="1"/>
  <c r="G643" i="16"/>
  <c r="G641" i="16"/>
  <c r="G640" i="16" s="1"/>
  <c r="G639" i="16" s="1"/>
  <c r="G638" i="16" s="1"/>
  <c r="C81" i="12" l="1"/>
  <c r="D81" i="12"/>
  <c r="D58" i="12"/>
  <c r="H716" i="16"/>
  <c r="H715" i="16" s="1"/>
  <c r="H714" i="16" s="1"/>
  <c r="H713" i="16" s="1"/>
  <c r="H712" i="16" s="1"/>
  <c r="G24" i="16"/>
  <c r="D43" i="12"/>
  <c r="D42" i="12" s="1"/>
  <c r="K42" i="12" s="1"/>
  <c r="C43" i="12"/>
  <c r="C42" i="12" s="1"/>
  <c r="I42" i="12" s="1"/>
  <c r="H869" i="16"/>
  <c r="H876" i="16" s="1"/>
  <c r="H870" i="16"/>
  <c r="G716" i="16"/>
  <c r="G715" i="16" s="1"/>
  <c r="G714" i="16" s="1"/>
  <c r="G713" i="16" s="1"/>
  <c r="G712" i="16" s="1"/>
  <c r="H630" i="16"/>
  <c r="H629" i="16" s="1"/>
  <c r="H628" i="16" s="1"/>
  <c r="H627" i="16" s="1"/>
  <c r="H802" i="16"/>
  <c r="H608" i="16"/>
  <c r="H607" i="16" s="1"/>
  <c r="H606" i="16" s="1"/>
  <c r="H605" i="16" s="1"/>
  <c r="C58" i="12"/>
  <c r="D77" i="12"/>
  <c r="D76" i="12" s="1"/>
  <c r="C77" i="12"/>
  <c r="C76" i="12" s="1"/>
  <c r="D26" i="12"/>
  <c r="D25" i="12" s="1"/>
  <c r="D23" i="12"/>
  <c r="C26" i="12"/>
  <c r="C25" i="12" s="1"/>
  <c r="C23" i="12"/>
  <c r="D31" i="12"/>
  <c r="H878" i="16"/>
  <c r="H884" i="16"/>
  <c r="G608" i="16"/>
  <c r="G607" i="16" s="1"/>
  <c r="G606" i="16" s="1"/>
  <c r="G605" i="16" s="1"/>
  <c r="G869" i="16"/>
  <c r="G876" i="16" s="1"/>
  <c r="G870" i="16"/>
  <c r="G877" i="16"/>
  <c r="G878" i="16"/>
  <c r="G630" i="16"/>
  <c r="G629" i="16" s="1"/>
  <c r="G628" i="16" s="1"/>
  <c r="G627" i="16" s="1"/>
  <c r="G778" i="16"/>
  <c r="G802" i="16"/>
  <c r="F221" i="14"/>
  <c r="F220" i="14" s="1"/>
  <c r="F219" i="14" s="1"/>
  <c r="F218" i="14" s="1"/>
  <c r="F275" i="14"/>
  <c r="H402" i="15"/>
  <c r="G402" i="15"/>
  <c r="F319" i="3"/>
  <c r="F318" i="3" s="1"/>
  <c r="F317" i="3" s="1"/>
  <c r="F316" i="3" s="1"/>
  <c r="C98" i="12" l="1"/>
  <c r="D98" i="12"/>
  <c r="F308" i="14"/>
  <c r="F307" i="14" s="1"/>
  <c r="F306" i="14" s="1"/>
  <c r="F305" i="14" s="1"/>
  <c r="H291" i="15"/>
  <c r="H290" i="15" s="1"/>
  <c r="H289" i="15" s="1"/>
  <c r="C22" i="12"/>
  <c r="D22" i="12"/>
  <c r="G884" i="16"/>
  <c r="G96" i="5"/>
  <c r="G291" i="15"/>
  <c r="G290" i="15" s="1"/>
  <c r="G289" i="15" s="1"/>
  <c r="G295" i="4"/>
  <c r="G294" i="4" l="1"/>
  <c r="G293" i="4" s="1"/>
  <c r="D21" i="12"/>
  <c r="D9" i="12" s="1"/>
  <c r="D157" i="12" s="1"/>
  <c r="K22" i="12"/>
  <c r="K10" i="12" s="1"/>
  <c r="C21" i="12"/>
  <c r="E9" i="12" s="1"/>
  <c r="I22" i="12"/>
  <c r="I10" i="12" s="1"/>
  <c r="G308" i="14"/>
  <c r="G307" i="14" s="1"/>
  <c r="G306" i="14" s="1"/>
  <c r="G305" i="14" s="1"/>
  <c r="G94" i="5"/>
  <c r="G93" i="5" s="1"/>
  <c r="G92" i="5" s="1"/>
  <c r="C9" i="12" l="1"/>
  <c r="C157" i="12"/>
  <c r="G1095" i="15" s="1"/>
  <c r="D10" i="13"/>
  <c r="E10" i="12"/>
  <c r="F9" i="12"/>
  <c r="F10" i="12"/>
  <c r="H1095" i="15"/>
  <c r="G96" i="16"/>
  <c r="G94" i="16"/>
  <c r="G93" i="16" s="1"/>
  <c r="G92" i="16" s="1"/>
  <c r="G91" i="16" s="1"/>
  <c r="G90" i="16" s="1"/>
  <c r="G91" i="5"/>
  <c r="G90" i="5" s="1"/>
  <c r="F8" i="14" l="1"/>
  <c r="G8" i="14"/>
  <c r="H57" i="15" s="1"/>
  <c r="G789" i="14"/>
  <c r="G788" i="14" s="1"/>
  <c r="G787" i="14" s="1"/>
  <c r="G786" i="14" s="1"/>
  <c r="G785" i="14" s="1"/>
  <c r="F789" i="14"/>
  <c r="F788" i="14" s="1"/>
  <c r="F787" i="14" s="1"/>
  <c r="F786" i="14" s="1"/>
  <c r="F785" i="14" s="1"/>
  <c r="G477" i="14"/>
  <c r="G476" i="14" s="1"/>
  <c r="G475" i="14" s="1"/>
  <c r="G474" i="14" s="1"/>
  <c r="G473" i="14" s="1"/>
  <c r="F477" i="14"/>
  <c r="F476" i="14" s="1"/>
  <c r="F475" i="14" s="1"/>
  <c r="F474" i="14" s="1"/>
  <c r="F473" i="14" s="1"/>
  <c r="F515" i="3"/>
  <c r="F514" i="3" s="1"/>
  <c r="F513" i="3" s="1"/>
  <c r="F512" i="3" s="1"/>
  <c r="F511" i="3" s="1"/>
  <c r="G57" i="15" l="1"/>
  <c r="F50" i="14" s="1"/>
  <c r="H1126" i="15"/>
  <c r="G645" i="5"/>
  <c r="G644" i="5" s="1"/>
  <c r="G643" i="5" s="1"/>
  <c r="G642" i="5" s="1"/>
  <c r="G641" i="5" s="1"/>
  <c r="G640" i="5" s="1"/>
  <c r="H404" i="15"/>
  <c r="H403" i="15" s="1"/>
  <c r="H401" i="15" s="1"/>
  <c r="G404" i="15"/>
  <c r="G403" i="15" s="1"/>
  <c r="G401" i="15" s="1"/>
  <c r="H1036" i="15"/>
  <c r="H1035" i="15" s="1"/>
  <c r="H1034" i="15" s="1"/>
  <c r="H1033" i="15" s="1"/>
  <c r="G1036" i="15"/>
  <c r="G1035" i="15" s="1"/>
  <c r="G1034" i="15" s="1"/>
  <c r="G1033" i="15" s="1"/>
  <c r="G1143" i="4" l="1"/>
  <c r="G363" i="14"/>
  <c r="G362" i="14" s="1"/>
  <c r="G361" i="14" s="1"/>
  <c r="G360" i="14" s="1"/>
  <c r="F363" i="14"/>
  <c r="F362" i="14" s="1"/>
  <c r="F361" i="14" s="1"/>
  <c r="F360" i="14" s="1"/>
  <c r="G922" i="15"/>
  <c r="G921" i="15" s="1"/>
  <c r="G920" i="15" s="1"/>
  <c r="G217" i="14"/>
  <c r="G216" i="14" s="1"/>
  <c r="G215" i="14" s="1"/>
  <c r="G214" i="14" s="1"/>
  <c r="G213" i="14" s="1"/>
  <c r="F216" i="14"/>
  <c r="F215" i="14" s="1"/>
  <c r="F214" i="14" s="1"/>
  <c r="F213" i="14" s="1"/>
  <c r="H158" i="15"/>
  <c r="H157" i="15" s="1"/>
  <c r="H156" i="15" s="1"/>
  <c r="H155" i="15" s="1"/>
  <c r="G158" i="15"/>
  <c r="G157" i="15" s="1"/>
  <c r="G156" i="15" s="1"/>
  <c r="G155" i="15" s="1"/>
  <c r="G950" i="5"/>
  <c r="H163" i="15"/>
  <c r="H162" i="15" s="1"/>
  <c r="G163" i="15"/>
  <c r="G162" i="15" s="1"/>
  <c r="G1142" i="4" l="1"/>
  <c r="G1141" i="4" s="1"/>
  <c r="G1140" i="4" s="1"/>
  <c r="G161" i="15"/>
  <c r="G160" i="15"/>
  <c r="H160" i="15"/>
  <c r="H161" i="15"/>
  <c r="F201" i="3"/>
  <c r="F200" i="3" s="1"/>
  <c r="F192" i="3"/>
  <c r="G823" i="5"/>
  <c r="G824" i="5" s="1"/>
  <c r="G826" i="5"/>
  <c r="G825" i="5" s="1"/>
  <c r="G826" i="4"/>
  <c r="G825" i="4" l="1"/>
  <c r="G824" i="4" s="1"/>
  <c r="G823" i="4" s="1"/>
  <c r="G822" i="4" s="1"/>
  <c r="G762" i="15"/>
  <c r="G761" i="15" s="1"/>
  <c r="G773" i="16"/>
  <c r="G827" i="5"/>
  <c r="F40" i="3"/>
  <c r="C168" i="1"/>
  <c r="H773" i="16" l="1"/>
  <c r="H774" i="16" s="1"/>
  <c r="H762" i="15"/>
  <c r="H761" i="15" s="1"/>
  <c r="H760" i="15" s="1"/>
  <c r="H759" i="15" s="1"/>
  <c r="H758" i="15" s="1"/>
  <c r="H757" i="15" s="1"/>
  <c r="G760" i="15"/>
  <c r="G759" i="15" s="1"/>
  <c r="G758" i="15" s="1"/>
  <c r="G757" i="15" s="1"/>
  <c r="G772" i="16"/>
  <c r="G774" i="16"/>
  <c r="G821" i="4"/>
  <c r="H772" i="16" l="1"/>
  <c r="C23" i="1"/>
  <c r="C22" i="1" s="1"/>
  <c r="E22" i="1" s="1"/>
  <c r="G462" i="15" l="1"/>
  <c r="H463" i="15"/>
  <c r="G38" i="17"/>
  <c r="G853" i="14" l="1"/>
  <c r="G852" i="14" s="1"/>
  <c r="H125" i="16"/>
  <c r="H462" i="15"/>
  <c r="H38" i="17"/>
  <c r="H37" i="17" s="1"/>
  <c r="H36" i="17" s="1"/>
  <c r="H35" i="17" s="1"/>
  <c r="H34" i="17" s="1"/>
  <c r="H33" i="17" s="1"/>
  <c r="G42" i="17"/>
  <c r="G41" i="17" s="1"/>
  <c r="G40" i="17" s="1"/>
  <c r="G39" i="17" s="1"/>
  <c r="G40" i="6"/>
  <c r="G39" i="6" s="1"/>
  <c r="G492" i="4"/>
  <c r="H126" i="16" l="1"/>
  <c r="H124" i="16"/>
  <c r="G37" i="17"/>
  <c r="G36" i="17" s="1"/>
  <c r="G35" i="17" s="1"/>
  <c r="G34" i="17" s="1"/>
  <c r="G33" i="17" s="1"/>
  <c r="G28" i="6" l="1"/>
  <c r="G27" i="6" s="1"/>
  <c r="G26" i="6" s="1"/>
  <c r="G25" i="6" s="1"/>
  <c r="G24" i="6" s="1"/>
  <c r="G23" i="6" s="1"/>
  <c r="G21" i="6"/>
  <c r="F44" i="14" l="1"/>
  <c r="G44" i="14" s="1"/>
  <c r="D19" i="13" l="1"/>
  <c r="G1082" i="15"/>
  <c r="H1082" i="15" s="1"/>
  <c r="G1023" i="15"/>
  <c r="H1023" i="15" s="1"/>
  <c r="G994" i="15"/>
  <c r="G972" i="15"/>
  <c r="G947" i="15"/>
  <c r="G943" i="15"/>
  <c r="G939" i="15"/>
  <c r="G918" i="15"/>
  <c r="H918" i="15" s="1"/>
  <c r="G915" i="15"/>
  <c r="H915" i="15" s="1"/>
  <c r="G913" i="15"/>
  <c r="H913" i="15" s="1"/>
  <c r="G910" i="15"/>
  <c r="H910" i="15" s="1"/>
  <c r="G907" i="15"/>
  <c r="H907" i="15" s="1"/>
  <c r="G905" i="15"/>
  <c r="H905" i="15" s="1"/>
  <c r="G901" i="15"/>
  <c r="H901" i="15" s="1"/>
  <c r="G898" i="15"/>
  <c r="G897" i="15" s="1"/>
  <c r="G896" i="15"/>
  <c r="H894" i="15"/>
  <c r="G280" i="14"/>
  <c r="G279" i="14" s="1"/>
  <c r="G276" i="14" s="1"/>
  <c r="G774" i="15"/>
  <c r="G710" i="15"/>
  <c r="H710" i="15" s="1"/>
  <c r="G620" i="16"/>
  <c r="G650" i="15"/>
  <c r="G643" i="15"/>
  <c r="G615" i="16"/>
  <c r="G581" i="15"/>
  <c r="G574" i="15"/>
  <c r="G547" i="15"/>
  <c r="G515" i="15"/>
  <c r="H515" i="15" s="1"/>
  <c r="G418" i="15"/>
  <c r="H418" i="15" s="1"/>
  <c r="G346" i="15"/>
  <c r="G288" i="15"/>
  <c r="G88" i="16" s="1"/>
  <c r="G280" i="15"/>
  <c r="G74" i="16" s="1"/>
  <c r="G271" i="15"/>
  <c r="G270" i="15" s="1"/>
  <c r="G261" i="15"/>
  <c r="F195" i="14" s="1"/>
  <c r="F194" i="14" s="1"/>
  <c r="F193" i="14" s="1"/>
  <c r="F189" i="14"/>
  <c r="F188" i="14" s="1"/>
  <c r="F187" i="14" s="1"/>
  <c r="G255" i="15"/>
  <c r="G107" i="16"/>
  <c r="G171" i="15"/>
  <c r="H171" i="15" s="1"/>
  <c r="G112" i="15"/>
  <c r="G396" i="16" s="1"/>
  <c r="H19" i="15"/>
  <c r="G224" i="16" l="1"/>
  <c r="G223" i="16" s="1"/>
  <c r="G222" i="16" s="1"/>
  <c r="F504" i="14"/>
  <c r="G260" i="16"/>
  <c r="G259" i="16" s="1"/>
  <c r="G258" i="16" s="1"/>
  <c r="G257" i="16" s="1"/>
  <c r="F511" i="14"/>
  <c r="F186" i="14"/>
  <c r="F185" i="14" s="1"/>
  <c r="F184" i="14" s="1"/>
  <c r="G767" i="16"/>
  <c r="G397" i="16"/>
  <c r="G395" i="16"/>
  <c r="G394" i="16" s="1"/>
  <c r="G75" i="16"/>
  <c r="G73" i="16"/>
  <c r="G72" i="16" s="1"/>
  <c r="G71" i="16" s="1"/>
  <c r="F576" i="14"/>
  <c r="F575" i="14" s="1"/>
  <c r="F574" i="14" s="1"/>
  <c r="G242" i="16"/>
  <c r="G225" i="16"/>
  <c r="F583" i="14"/>
  <c r="F582" i="14" s="1"/>
  <c r="F581" i="14" s="1"/>
  <c r="F580" i="14" s="1"/>
  <c r="G273" i="16"/>
  <c r="G108" i="16"/>
  <c r="G106" i="16"/>
  <c r="G105" i="16" s="1"/>
  <c r="G99" i="16" s="1"/>
  <c r="G98" i="16" s="1"/>
  <c r="G97" i="16" s="1"/>
  <c r="H896" i="15"/>
  <c r="F336" i="14"/>
  <c r="F335" i="14" s="1"/>
  <c r="F332" i="14" s="1"/>
  <c r="G895" i="15"/>
  <c r="G892" i="15" s="1"/>
  <c r="F93" i="14"/>
  <c r="F92" i="14" s="1"/>
  <c r="G96" i="15"/>
  <c r="H121" i="15"/>
  <c r="H120" i="15" s="1"/>
  <c r="H119" i="15" s="1"/>
  <c r="G120" i="15"/>
  <c r="G119" i="15" s="1"/>
  <c r="H178" i="15"/>
  <c r="F236" i="14"/>
  <c r="F235" i="14" s="1"/>
  <c r="F234" i="14" s="1"/>
  <c r="G177" i="15"/>
  <c r="G176" i="15" s="1"/>
  <c r="F659" i="14"/>
  <c r="F658" i="14" s="1"/>
  <c r="F657" i="14" s="1"/>
  <c r="G309" i="15"/>
  <c r="G308" i="15" s="1"/>
  <c r="H421" i="15"/>
  <c r="F805" i="14"/>
  <c r="F804" i="14" s="1"/>
  <c r="F803" i="14" s="1"/>
  <c r="G420" i="15"/>
  <c r="G419" i="15" s="1"/>
  <c r="H433" i="15"/>
  <c r="F817" i="14"/>
  <c r="F816" i="14" s="1"/>
  <c r="F815" i="14" s="1"/>
  <c r="G432" i="15"/>
  <c r="G431" i="15" s="1"/>
  <c r="G553" i="15"/>
  <c r="G552" i="15" s="1"/>
  <c r="G551" i="15" s="1"/>
  <c r="F619" i="14"/>
  <c r="F618" i="14" s="1"/>
  <c r="F617" i="14" s="1"/>
  <c r="G689" i="15"/>
  <c r="G688" i="15" s="1"/>
  <c r="H852" i="15"/>
  <c r="H851" i="15" s="1"/>
  <c r="H850" i="15" s="1"/>
  <c r="G851" i="15"/>
  <c r="G850" i="15" s="1"/>
  <c r="H958" i="15"/>
  <c r="G957" i="15"/>
  <c r="G956" i="15" s="1"/>
  <c r="F398" i="14"/>
  <c r="F397" i="14" s="1"/>
  <c r="F396" i="14" s="1"/>
  <c r="F430" i="14"/>
  <c r="F429" i="14" s="1"/>
  <c r="F428" i="14" s="1"/>
  <c r="G989" i="15"/>
  <c r="G988" i="15" s="1"/>
  <c r="G1054" i="15"/>
  <c r="F16" i="14"/>
  <c r="F105" i="14"/>
  <c r="F104" i="14" s="1"/>
  <c r="F103" i="14" s="1"/>
  <c r="F102" i="14" s="1"/>
  <c r="G108" i="15"/>
  <c r="G107" i="15" s="1"/>
  <c r="G106" i="15" s="1"/>
  <c r="H140" i="15"/>
  <c r="F167" i="14"/>
  <c r="F166" i="14" s="1"/>
  <c r="F165" i="14" s="1"/>
  <c r="G139" i="15"/>
  <c r="G138" i="15" s="1"/>
  <c r="G266" i="15"/>
  <c r="G265" i="15" s="1"/>
  <c r="F198" i="14"/>
  <c r="F197" i="14" s="1"/>
  <c r="F196" i="14" s="1"/>
  <c r="F650" i="14"/>
  <c r="F649" i="14" s="1"/>
  <c r="G300" i="15"/>
  <c r="F704" i="14"/>
  <c r="F703" i="14" s="1"/>
  <c r="G351" i="15"/>
  <c r="F794" i="14"/>
  <c r="F793" i="14" s="1"/>
  <c r="F792" i="14" s="1"/>
  <c r="G409" i="15"/>
  <c r="G408" i="15" s="1"/>
  <c r="H426" i="15"/>
  <c r="F810" i="14"/>
  <c r="F809" i="14" s="1"/>
  <c r="G425" i="15"/>
  <c r="G456" i="15"/>
  <c r="G455" i="15" s="1"/>
  <c r="G576" i="15"/>
  <c r="G575" i="15" s="1"/>
  <c r="F740" i="14"/>
  <c r="F739" i="14" s="1"/>
  <c r="F738" i="14" s="1"/>
  <c r="G754" i="15"/>
  <c r="G753" i="15" s="1"/>
  <c r="H811" i="15"/>
  <c r="F931" i="14"/>
  <c r="F930" i="14" s="1"/>
  <c r="F929" i="14" s="1"/>
  <c r="G810" i="15"/>
  <c r="G809" i="15" s="1"/>
  <c r="F407" i="14"/>
  <c r="F406" i="14" s="1"/>
  <c r="F405" i="14" s="1"/>
  <c r="G966" i="15"/>
  <c r="G965" i="15" s="1"/>
  <c r="F419" i="14"/>
  <c r="F418" i="14" s="1"/>
  <c r="F417" i="14" s="1"/>
  <c r="G978" i="15"/>
  <c r="G977" i="15" s="1"/>
  <c r="H1008" i="15"/>
  <c r="F448" i="14"/>
  <c r="F447" i="14" s="1"/>
  <c r="G1007" i="15"/>
  <c r="H1027" i="15"/>
  <c r="F467" i="14"/>
  <c r="F466" i="14" s="1"/>
  <c r="G1026" i="15"/>
  <c r="F19" i="14"/>
  <c r="F18" i="14" s="1"/>
  <c r="G1057" i="15"/>
  <c r="G1056" i="15" s="1"/>
  <c r="H1090" i="15"/>
  <c r="F113" i="14"/>
  <c r="F112" i="14" s="1"/>
  <c r="G1089" i="15"/>
  <c r="H61" i="15"/>
  <c r="F54" i="14"/>
  <c r="F53" i="14" s="1"/>
  <c r="G60" i="15"/>
  <c r="F207" i="14"/>
  <c r="F206" i="14" s="1"/>
  <c r="F205" i="14" s="1"/>
  <c r="G153" i="15"/>
  <c r="G152" i="15" s="1"/>
  <c r="G151" i="15" s="1"/>
  <c r="F255" i="14"/>
  <c r="F254" i="14" s="1"/>
  <c r="F253" i="14" s="1"/>
  <c r="G196" i="15"/>
  <c r="G195" i="15" s="1"/>
  <c r="H224" i="15"/>
  <c r="F835" i="14"/>
  <c r="F834" i="14" s="1"/>
  <c r="F833" i="14" s="1"/>
  <c r="G223" i="15"/>
  <c r="G222" i="15" s="1"/>
  <c r="G221" i="15" s="1"/>
  <c r="G220" i="15" s="1"/>
  <c r="F652" i="14"/>
  <c r="F651" i="14" s="1"/>
  <c r="G302" i="15"/>
  <c r="F685" i="14"/>
  <c r="F684" i="14" s="1"/>
  <c r="F683" i="14" s="1"/>
  <c r="G335" i="15"/>
  <c r="G334" i="15" s="1"/>
  <c r="F708" i="14"/>
  <c r="F707" i="14" s="1"/>
  <c r="F706" i="14" s="1"/>
  <c r="G355" i="15"/>
  <c r="G354" i="15" s="1"/>
  <c r="F757" i="14"/>
  <c r="F756" i="14" s="1"/>
  <c r="F753" i="14" s="1"/>
  <c r="G372" i="15"/>
  <c r="G369" i="15" s="1"/>
  <c r="H416" i="15"/>
  <c r="F800" i="14"/>
  <c r="F799" i="14" s="1"/>
  <c r="F798" i="14" s="1"/>
  <c r="G415" i="15"/>
  <c r="G414" i="15" s="1"/>
  <c r="H428" i="15"/>
  <c r="F812" i="14"/>
  <c r="F811" i="14" s="1"/>
  <c r="G427" i="15"/>
  <c r="G460" i="15"/>
  <c r="G459" i="15" s="1"/>
  <c r="G770" i="16"/>
  <c r="G769" i="16" s="1"/>
  <c r="G543" i="15"/>
  <c r="G542" i="15" s="1"/>
  <c r="G607" i="15"/>
  <c r="G606" i="15" s="1"/>
  <c r="F891" i="14"/>
  <c r="F890" i="14" s="1"/>
  <c r="F889" i="14" s="1"/>
  <c r="F888" i="14" s="1"/>
  <c r="G769" i="15"/>
  <c r="G768" i="15" s="1"/>
  <c r="G767" i="15" s="1"/>
  <c r="H823" i="15"/>
  <c r="F943" i="14"/>
  <c r="F942" i="14" s="1"/>
  <c r="F941" i="14" s="1"/>
  <c r="G822" i="15"/>
  <c r="G821" i="15" s="1"/>
  <c r="G983" i="15"/>
  <c r="F424" i="14"/>
  <c r="F423" i="14" s="1"/>
  <c r="H1010" i="15"/>
  <c r="F450" i="14"/>
  <c r="F449" i="14" s="1"/>
  <c r="G1009" i="15"/>
  <c r="H1032" i="15"/>
  <c r="F472" i="14"/>
  <c r="F471" i="14" s="1"/>
  <c r="F470" i="14" s="1"/>
  <c r="G1031" i="15"/>
  <c r="G1030" i="15" s="1"/>
  <c r="F24" i="14"/>
  <c r="F23" i="14" s="1"/>
  <c r="F22" i="14" s="1"/>
  <c r="G1062" i="15"/>
  <c r="G1061" i="15" s="1"/>
  <c r="H1093" i="15"/>
  <c r="F116" i="14"/>
  <c r="F115" i="14" s="1"/>
  <c r="F114" i="14" s="1"/>
  <c r="G1092" i="15"/>
  <c r="G1091" i="15" s="1"/>
  <c r="F124" i="14"/>
  <c r="F123" i="14" s="1"/>
  <c r="G20" i="15"/>
  <c r="F648" i="14"/>
  <c r="F647" i="14" s="1"/>
  <c r="G298" i="15"/>
  <c r="F751" i="14"/>
  <c r="F750" i="14" s="1"/>
  <c r="G366" i="15"/>
  <c r="H502" i="15"/>
  <c r="H501" i="15" s="1"/>
  <c r="H500" i="15" s="1"/>
  <c r="G501" i="15"/>
  <c r="G500" i="15" s="1"/>
  <c r="H739" i="15"/>
  <c r="F724" i="14"/>
  <c r="F723" i="14" s="1"/>
  <c r="F722" i="14" s="1"/>
  <c r="G738" i="15"/>
  <c r="G737" i="15" s="1"/>
  <c r="F127" i="14"/>
  <c r="F126" i="14" s="1"/>
  <c r="F125" i="14" s="1"/>
  <c r="G23" i="15"/>
  <c r="G22" i="15" s="1"/>
  <c r="H190" i="15"/>
  <c r="F248" i="14"/>
  <c r="F247" i="14" s="1"/>
  <c r="F246" i="14" s="1"/>
  <c r="G189" i="15"/>
  <c r="G188" i="15" s="1"/>
  <c r="F300" i="14"/>
  <c r="F299" i="14" s="1"/>
  <c r="F298" i="14" s="1"/>
  <c r="F297" i="14" s="1"/>
  <c r="G283" i="15"/>
  <c r="G282" i="15" s="1"/>
  <c r="G281" i="15" s="1"/>
  <c r="F665" i="14"/>
  <c r="F664" i="14" s="1"/>
  <c r="F663" i="14" s="1"/>
  <c r="G315" i="15"/>
  <c r="G314" i="15" s="1"/>
  <c r="G122" i="14"/>
  <c r="G121" i="14" s="1"/>
  <c r="H18" i="15"/>
  <c r="H69" i="15"/>
  <c r="F62" i="14"/>
  <c r="F61" i="14" s="1"/>
  <c r="F60" i="14" s="1"/>
  <c r="G68" i="15"/>
  <c r="G67" i="15" s="1"/>
  <c r="H118" i="15"/>
  <c r="G117" i="15"/>
  <c r="G116" i="15" s="1"/>
  <c r="F262" i="14"/>
  <c r="F261" i="14" s="1"/>
  <c r="F260" i="14" s="1"/>
  <c r="G203" i="15"/>
  <c r="G202" i="15" s="1"/>
  <c r="F862" i="14"/>
  <c r="F861" i="14" s="1"/>
  <c r="F860" i="14" s="1"/>
  <c r="G228" i="15"/>
  <c r="G227" i="15" s="1"/>
  <c r="F192" i="14"/>
  <c r="F191" i="14" s="1"/>
  <c r="F190" i="14" s="1"/>
  <c r="G306" i="15"/>
  <c r="G305" i="15" s="1"/>
  <c r="F656" i="14"/>
  <c r="F655" i="14" s="1"/>
  <c r="F654" i="14" s="1"/>
  <c r="F695" i="14"/>
  <c r="F694" i="14" s="1"/>
  <c r="F693" i="14" s="1"/>
  <c r="G342" i="15"/>
  <c r="G341" i="15" s="1"/>
  <c r="G364" i="15"/>
  <c r="F749" i="14"/>
  <c r="F748" i="14" s="1"/>
  <c r="F761" i="14"/>
  <c r="F760" i="14" s="1"/>
  <c r="F759" i="14" s="1"/>
  <c r="G376" i="15"/>
  <c r="G375" i="15" s="1"/>
  <c r="H430" i="15"/>
  <c r="F814" i="14"/>
  <c r="F813" i="14" s="1"/>
  <c r="G429" i="15"/>
  <c r="G566" i="15"/>
  <c r="G565" i="15" s="1"/>
  <c r="G590" i="15"/>
  <c r="G589" i="15" s="1"/>
  <c r="G588" i="15" s="1"/>
  <c r="G613" i="15"/>
  <c r="G612" i="15" s="1"/>
  <c r="G611" i="15" s="1"/>
  <c r="G632" i="15"/>
  <c r="G631" i="15" s="1"/>
  <c r="F688" i="14"/>
  <c r="F687" i="14" s="1"/>
  <c r="F686" i="14" s="1"/>
  <c r="G718" i="15"/>
  <c r="G717" i="15" s="1"/>
  <c r="F901" i="14"/>
  <c r="F900" i="14" s="1"/>
  <c r="F899" i="14" s="1"/>
  <c r="H838" i="15"/>
  <c r="F141" i="14"/>
  <c r="F140" i="14" s="1"/>
  <c r="F139" i="14" s="1"/>
  <c r="G837" i="15"/>
  <c r="G836" i="15" s="1"/>
  <c r="G975" i="15"/>
  <c r="G974" i="15" s="1"/>
  <c r="F416" i="14"/>
  <c r="F415" i="14" s="1"/>
  <c r="F414" i="14" s="1"/>
  <c r="H1015" i="15"/>
  <c r="F455" i="14"/>
  <c r="F454" i="14" s="1"/>
  <c r="F453" i="14" s="1"/>
  <c r="G1014" i="15"/>
  <c r="G1013" i="15" s="1"/>
  <c r="H1045" i="15"/>
  <c r="F884" i="14"/>
  <c r="F883" i="14" s="1"/>
  <c r="F882" i="14" s="1"/>
  <c r="G1044" i="15"/>
  <c r="G1043" i="15" s="1"/>
  <c r="H1079" i="15"/>
  <c r="F41" i="14"/>
  <c r="F40" i="14" s="1"/>
  <c r="G1078" i="15"/>
  <c r="F765" i="14"/>
  <c r="F764" i="14" s="1"/>
  <c r="F763" i="14" s="1"/>
  <c r="F762" i="14" s="1"/>
  <c r="G380" i="15"/>
  <c r="G379" i="15" s="1"/>
  <c r="G378" i="15" s="1"/>
  <c r="G1118" i="15" s="1"/>
  <c r="G626" i="15"/>
  <c r="G625" i="15" s="1"/>
  <c r="G702" i="15"/>
  <c r="G701" i="15" s="1"/>
  <c r="F632" i="14"/>
  <c r="F631" i="14" s="1"/>
  <c r="F630" i="14" s="1"/>
  <c r="G560" i="15"/>
  <c r="G559" i="15" s="1"/>
  <c r="F339" i="14"/>
  <c r="F338" i="14" s="1"/>
  <c r="F337" i="14" s="1"/>
  <c r="H898" i="15"/>
  <c r="H897" i="15" s="1"/>
  <c r="H109" i="15"/>
  <c r="H392" i="16" s="1"/>
  <c r="H267" i="15"/>
  <c r="G793" i="16"/>
  <c r="H346" i="15"/>
  <c r="H41" i="16" s="1"/>
  <c r="H42" i="16" s="1"/>
  <c r="G41" i="16"/>
  <c r="G566" i="14"/>
  <c r="G565" i="14" s="1"/>
  <c r="G564" i="14" s="1"/>
  <c r="G200" i="16"/>
  <c r="G826" i="16"/>
  <c r="H781" i="15"/>
  <c r="G427" i="16"/>
  <c r="G664" i="16"/>
  <c r="H154" i="15"/>
  <c r="G851" i="16"/>
  <c r="G702" i="16"/>
  <c r="G781" i="16"/>
  <c r="H316" i="15"/>
  <c r="G530" i="16"/>
  <c r="G51" i="16"/>
  <c r="G832" i="16"/>
  <c r="G817" i="16"/>
  <c r="H994" i="15"/>
  <c r="H690" i="16" s="1"/>
  <c r="G690" i="16"/>
  <c r="G709" i="16"/>
  <c r="G192" i="14"/>
  <c r="G191" i="14" s="1"/>
  <c r="G190" i="14" s="1"/>
  <c r="G785" i="16"/>
  <c r="H303" i="15"/>
  <c r="G476" i="16"/>
  <c r="H822" i="16"/>
  <c r="H821" i="16" s="1"/>
  <c r="H820" i="16" s="1"/>
  <c r="G823" i="16"/>
  <c r="H97" i="15"/>
  <c r="H374" i="16" s="1"/>
  <c r="H217" i="15"/>
  <c r="G350" i="16"/>
  <c r="H307" i="15"/>
  <c r="G507" i="16"/>
  <c r="H343" i="15"/>
  <c r="G37" i="16"/>
  <c r="H365" i="15"/>
  <c r="G485" i="16"/>
  <c r="H377" i="15"/>
  <c r="G536" i="16"/>
  <c r="G857" i="14"/>
  <c r="G856" i="14" s="1"/>
  <c r="G855" i="14" s="1"/>
  <c r="G854" i="14" s="1"/>
  <c r="H591" i="15"/>
  <c r="G521" i="14" s="1"/>
  <c r="G520" i="14" s="1"/>
  <c r="G519" i="14" s="1"/>
  <c r="G518" i="14" s="1"/>
  <c r="G289" i="16"/>
  <c r="H627" i="15"/>
  <c r="G560" i="14" s="1"/>
  <c r="G559" i="14" s="1"/>
  <c r="G558" i="14" s="1"/>
  <c r="G192" i="16"/>
  <c r="G310" i="16"/>
  <c r="H984" i="15"/>
  <c r="G424" i="14" s="1"/>
  <c r="G423" i="14" s="1"/>
  <c r="G675" i="16"/>
  <c r="H284" i="15"/>
  <c r="H81" i="16" s="1"/>
  <c r="H310" i="15"/>
  <c r="G511" i="16"/>
  <c r="H367" i="15"/>
  <c r="G488" i="16"/>
  <c r="G524" i="14"/>
  <c r="G523" i="14" s="1"/>
  <c r="G522" i="14" s="1"/>
  <c r="H112" i="15"/>
  <c r="H396" i="16" s="1"/>
  <c r="G805" i="16"/>
  <c r="F203" i="14"/>
  <c r="F202" i="14" s="1"/>
  <c r="F201" i="14" s="1"/>
  <c r="F200" i="14" s="1"/>
  <c r="H301" i="15"/>
  <c r="G473" i="16"/>
  <c r="H457" i="15"/>
  <c r="H32" i="17" s="1"/>
  <c r="G25" i="17"/>
  <c r="G24" i="17" s="1"/>
  <c r="G23" i="17" s="1"/>
  <c r="G22" i="17" s="1"/>
  <c r="G21" i="17" s="1"/>
  <c r="H577" i="15"/>
  <c r="G507" i="14" s="1"/>
  <c r="G683" i="16"/>
  <c r="H230" i="15"/>
  <c r="G404" i="16"/>
  <c r="H356" i="15"/>
  <c r="G58" i="16"/>
  <c r="G13" i="17"/>
  <c r="G12" i="17" s="1"/>
  <c r="G11" i="17" s="1"/>
  <c r="G10" i="17" s="1"/>
  <c r="G9" i="17" s="1"/>
  <c r="H461" i="15"/>
  <c r="H561" i="15"/>
  <c r="G491" i="14" s="1"/>
  <c r="G490" i="14" s="1"/>
  <c r="G489" i="14" s="1"/>
  <c r="G167" i="16"/>
  <c r="G541" i="14"/>
  <c r="G540" i="14" s="1"/>
  <c r="G539" i="14" s="1"/>
  <c r="G538" i="14" s="1"/>
  <c r="G537" i="14" s="1"/>
  <c r="G812" i="16"/>
  <c r="H703" i="15"/>
  <c r="G209" i="16"/>
  <c r="G650" i="16"/>
  <c r="G668" i="16"/>
  <c r="G694" i="16"/>
  <c r="H547" i="15"/>
  <c r="H354" i="16"/>
  <c r="G354" i="16"/>
  <c r="H107" i="16"/>
  <c r="H261" i="15"/>
  <c r="G789" i="16"/>
  <c r="H280" i="15"/>
  <c r="H74" i="16" s="1"/>
  <c r="H288" i="15"/>
  <c r="H88" i="16" s="1"/>
  <c r="H574" i="15"/>
  <c r="H581" i="15"/>
  <c r="G614" i="16"/>
  <c r="G613" i="16" s="1"/>
  <c r="G612" i="16" s="1"/>
  <c r="G616" i="16"/>
  <c r="H643" i="15"/>
  <c r="H242" i="16" s="1"/>
  <c r="H650" i="15"/>
  <c r="H273" i="16" s="1"/>
  <c r="G619" i="16"/>
  <c r="G618" i="16" s="1"/>
  <c r="G617" i="16" s="1"/>
  <c r="G621" i="16"/>
  <c r="F614" i="14" s="1"/>
  <c r="F613" i="14" s="1"/>
  <c r="F612" i="14" s="1"/>
  <c r="F611" i="14" s="1"/>
  <c r="F610" i="14" s="1"/>
  <c r="H785" i="15"/>
  <c r="H434" i="16" s="1"/>
  <c r="H433" i="16" s="1"/>
  <c r="H432" i="16" s="1"/>
  <c r="G434" i="16"/>
  <c r="H777" i="15"/>
  <c r="G898" i="14" s="1"/>
  <c r="G897" i="14" s="1"/>
  <c r="G896" i="14" s="1"/>
  <c r="G423" i="16"/>
  <c r="H774" i="15"/>
  <c r="H419" i="16" s="1"/>
  <c r="H418" i="16" s="1"/>
  <c r="H417" i="16" s="1"/>
  <c r="G419" i="16"/>
  <c r="H15" i="16"/>
  <c r="H14" i="16" s="1"/>
  <c r="H13" i="16" s="1"/>
  <c r="G15" i="16"/>
  <c r="H943" i="15"/>
  <c r="H752" i="16" s="1"/>
  <c r="H753" i="16" s="1"/>
  <c r="G752" i="16"/>
  <c r="H939" i="15"/>
  <c r="H745" i="16" s="1"/>
  <c r="H744" i="16" s="1"/>
  <c r="H743" i="16" s="1"/>
  <c r="H742" i="16" s="1"/>
  <c r="H741" i="16" s="1"/>
  <c r="H740" i="16" s="1"/>
  <c r="G745" i="16"/>
  <c r="H947" i="15"/>
  <c r="H759" i="16" s="1"/>
  <c r="H760" i="16" s="1"/>
  <c r="G759" i="16"/>
  <c r="H679" i="16"/>
  <c r="G679" i="16"/>
  <c r="H972" i="15"/>
  <c r="H657" i="16" s="1"/>
  <c r="H658" i="16" s="1"/>
  <c r="G657" i="16"/>
  <c r="H381" i="15"/>
  <c r="F135" i="12" s="1"/>
  <c r="G563" i="16"/>
  <c r="H614" i="15"/>
  <c r="G547" i="14" s="1"/>
  <c r="G546" i="14" s="1"/>
  <c r="G545" i="14" s="1"/>
  <c r="G544" i="14" s="1"/>
  <c r="G151" i="16"/>
  <c r="H554" i="15"/>
  <c r="G484" i="14" s="1"/>
  <c r="G483" i="14" s="1"/>
  <c r="G482" i="14" s="1"/>
  <c r="G481" i="14" s="1"/>
  <c r="G146" i="16"/>
  <c r="H770" i="15"/>
  <c r="G412" i="16"/>
  <c r="G557" i="14"/>
  <c r="G556" i="14" s="1"/>
  <c r="G555" i="14" s="1"/>
  <c r="G188" i="16"/>
  <c r="G497" i="14"/>
  <c r="G496" i="14" s="1"/>
  <c r="G495" i="14" s="1"/>
  <c r="G175" i="16"/>
  <c r="H25" i="16"/>
  <c r="H373" i="15"/>
  <c r="G523" i="16"/>
  <c r="H520" i="16"/>
  <c r="G520" i="16"/>
  <c r="H299" i="15"/>
  <c r="G470" i="16"/>
  <c r="H620" i="16"/>
  <c r="H615" i="16"/>
  <c r="H272" i="15"/>
  <c r="H271" i="15" s="1"/>
  <c r="H270" i="15" s="1"/>
  <c r="G854" i="5"/>
  <c r="G706" i="5"/>
  <c r="G678" i="5"/>
  <c r="F183" i="14" l="1"/>
  <c r="H350" i="16"/>
  <c r="G313" i="14"/>
  <c r="G312" i="14" s="1"/>
  <c r="G311" i="14" s="1"/>
  <c r="G310" i="14" s="1"/>
  <c r="G309" i="14" s="1"/>
  <c r="H423" i="16"/>
  <c r="H422" i="16" s="1"/>
  <c r="H421" i="16" s="1"/>
  <c r="H776" i="15"/>
  <c r="H775" i="15" s="1"/>
  <c r="H19" i="17"/>
  <c r="H18" i="17" s="1"/>
  <c r="H17" i="17" s="1"/>
  <c r="H16" i="17" s="1"/>
  <c r="H15" i="17" s="1"/>
  <c r="H20" i="17"/>
  <c r="G611" i="16"/>
  <c r="H62" i="14"/>
  <c r="G597" i="14"/>
  <c r="G596" i="14" s="1"/>
  <c r="G595" i="14" s="1"/>
  <c r="F653" i="14"/>
  <c r="H224" i="16"/>
  <c r="H225" i="16" s="1"/>
  <c r="G504" i="14"/>
  <c r="G261" i="16"/>
  <c r="H260" i="16"/>
  <c r="H259" i="16" s="1"/>
  <c r="H258" i="16" s="1"/>
  <c r="G511" i="14"/>
  <c r="G768" i="16"/>
  <c r="G766" i="16"/>
  <c r="G765" i="16" s="1"/>
  <c r="G304" i="15"/>
  <c r="G851" i="14"/>
  <c r="G850" i="14" s="1"/>
  <c r="G849" i="14" s="1"/>
  <c r="G848" i="14" s="1"/>
  <c r="H122" i="16"/>
  <c r="G506" i="14"/>
  <c r="G505" i="14" s="1"/>
  <c r="G498" i="14" s="1"/>
  <c r="H228" i="16"/>
  <c r="G847" i="14"/>
  <c r="G846" i="14" s="1"/>
  <c r="G845" i="14" s="1"/>
  <c r="G844" i="14" s="1"/>
  <c r="H115" i="16"/>
  <c r="H82" i="16"/>
  <c r="H80" i="16"/>
  <c r="H79" i="16" s="1"/>
  <c r="H78" i="16" s="1"/>
  <c r="H87" i="16"/>
  <c r="H86" i="16" s="1"/>
  <c r="H85" i="16" s="1"/>
  <c r="H89" i="16"/>
  <c r="G274" i="16"/>
  <c r="G272" i="16"/>
  <c r="G271" i="16" s="1"/>
  <c r="G270" i="16" s="1"/>
  <c r="G256" i="16" s="1"/>
  <c r="G255" i="16" s="1"/>
  <c r="G243" i="16"/>
  <c r="G241" i="16"/>
  <c r="G240" i="16" s="1"/>
  <c r="H272" i="16"/>
  <c r="H271" i="16" s="1"/>
  <c r="H274" i="16"/>
  <c r="H106" i="16"/>
  <c r="H105" i="16" s="1"/>
  <c r="H108" i="16"/>
  <c r="H241" i="16"/>
  <c r="H240" i="16" s="1"/>
  <c r="H243" i="16"/>
  <c r="H75" i="16"/>
  <c r="H73" i="16"/>
  <c r="H72" i="16" s="1"/>
  <c r="H71" i="16" s="1"/>
  <c r="G576" i="14"/>
  <c r="G575" i="14" s="1"/>
  <c r="G574" i="14" s="1"/>
  <c r="G583" i="14"/>
  <c r="G582" i="14" s="1"/>
  <c r="G581" i="14" s="1"/>
  <c r="G297" i="15"/>
  <c r="F646" i="14"/>
  <c r="G771" i="16"/>
  <c r="F808" i="14"/>
  <c r="H466" i="15"/>
  <c r="H465" i="15" s="1"/>
  <c r="H507" i="16"/>
  <c r="H508" i="16" s="1"/>
  <c r="G656" i="14"/>
  <c r="G655" i="14" s="1"/>
  <c r="G654" i="14" s="1"/>
  <c r="H306" i="15"/>
  <c r="H305" i="15" s="1"/>
  <c r="H832" i="16"/>
  <c r="H831" i="16" s="1"/>
  <c r="H830" i="16" s="1"/>
  <c r="H829" i="16" s="1"/>
  <c r="H828" i="16" s="1"/>
  <c r="G794" i="14"/>
  <c r="G793" i="14" s="1"/>
  <c r="G792" i="14" s="1"/>
  <c r="H409" i="15"/>
  <c r="H408" i="15" s="1"/>
  <c r="H781" i="16"/>
  <c r="H780" i="16" s="1"/>
  <c r="H779" i="16" s="1"/>
  <c r="G189" i="14"/>
  <c r="G188" i="14" s="1"/>
  <c r="G187" i="14" s="1"/>
  <c r="H851" i="16"/>
  <c r="H852" i="16" s="1"/>
  <c r="G207" i="14"/>
  <c r="G206" i="14" s="1"/>
  <c r="G205" i="14" s="1"/>
  <c r="H153" i="15"/>
  <c r="H152" i="15" s="1"/>
  <c r="H151" i="15" s="1"/>
  <c r="H427" i="16"/>
  <c r="H426" i="16" s="1"/>
  <c r="H425" i="16" s="1"/>
  <c r="H416" i="16" s="1"/>
  <c r="H415" i="16" s="1"/>
  <c r="H414" i="16" s="1"/>
  <c r="G901" i="14"/>
  <c r="G900" i="14" s="1"/>
  <c r="G899" i="14" s="1"/>
  <c r="G892" i="14" s="1"/>
  <c r="H780" i="15"/>
  <c r="H779" i="15" s="1"/>
  <c r="H778" i="15" s="1"/>
  <c r="H200" i="16"/>
  <c r="H201" i="16" s="1"/>
  <c r="H632" i="15"/>
  <c r="H631" i="15" s="1"/>
  <c r="H793" i="16"/>
  <c r="H794" i="16" s="1"/>
  <c r="G198" i="14"/>
  <c r="G197" i="14" s="1"/>
  <c r="G196" i="14" s="1"/>
  <c r="H266" i="15"/>
  <c r="H265" i="15" s="1"/>
  <c r="G884" i="14"/>
  <c r="G883" i="14" s="1"/>
  <c r="G882" i="14" s="1"/>
  <c r="H1044" i="15"/>
  <c r="H1043" i="15" s="1"/>
  <c r="H837" i="15"/>
  <c r="H836" i="15" s="1"/>
  <c r="G141" i="14"/>
  <c r="G140" i="14" s="1"/>
  <c r="G139" i="14" s="1"/>
  <c r="G943" i="14"/>
  <c r="G942" i="14" s="1"/>
  <c r="G941" i="14" s="1"/>
  <c r="H822" i="15"/>
  <c r="H821" i="15" s="1"/>
  <c r="G398" i="14"/>
  <c r="G397" i="14" s="1"/>
  <c r="G396" i="14" s="1"/>
  <c r="H957" i="15"/>
  <c r="H956" i="15" s="1"/>
  <c r="G805" i="14"/>
  <c r="G804" i="14" s="1"/>
  <c r="G803" i="14" s="1"/>
  <c r="H420" i="15"/>
  <c r="H419" i="15" s="1"/>
  <c r="H175" i="16"/>
  <c r="H174" i="16" s="1"/>
  <c r="H173" i="16" s="1"/>
  <c r="H566" i="15"/>
  <c r="H565" i="15" s="1"/>
  <c r="H146" i="16"/>
  <c r="H145" i="16" s="1"/>
  <c r="H144" i="16" s="1"/>
  <c r="H143" i="16" s="1"/>
  <c r="H553" i="15"/>
  <c r="H552" i="15" s="1"/>
  <c r="H551" i="15" s="1"/>
  <c r="H789" i="16"/>
  <c r="H788" i="16" s="1"/>
  <c r="H787" i="16" s="1"/>
  <c r="G195" i="14"/>
  <c r="G194" i="14" s="1"/>
  <c r="G193" i="14" s="1"/>
  <c r="H694" i="16"/>
  <c r="H695" i="16" s="1"/>
  <c r="H996" i="15"/>
  <c r="H995" i="15" s="1"/>
  <c r="G437" i="14"/>
  <c r="G436" i="14" s="1"/>
  <c r="G435" i="14" s="1"/>
  <c r="H812" i="16"/>
  <c r="H813" i="16" s="1"/>
  <c r="H607" i="15"/>
  <c r="H606" i="15" s="1"/>
  <c r="H456" i="15"/>
  <c r="H455" i="15" s="1"/>
  <c r="H488" i="16"/>
  <c r="H489" i="16" s="1"/>
  <c r="G751" i="14"/>
  <c r="G750" i="14" s="1"/>
  <c r="H366" i="15"/>
  <c r="G300" i="14"/>
  <c r="G299" i="14" s="1"/>
  <c r="G298" i="14" s="1"/>
  <c r="G297" i="14" s="1"/>
  <c r="H283" i="15"/>
  <c r="H282" i="15" s="1"/>
  <c r="H281" i="15" s="1"/>
  <c r="H289" i="16"/>
  <c r="H288" i="16" s="1"/>
  <c r="H287" i="16" s="1"/>
  <c r="H286" i="16" s="1"/>
  <c r="H590" i="15"/>
  <c r="H589" i="15" s="1"/>
  <c r="H588" i="15" s="1"/>
  <c r="H1078" i="15"/>
  <c r="G41" i="14"/>
  <c r="G40" i="14" s="1"/>
  <c r="G724" i="14"/>
  <c r="G723" i="14" s="1"/>
  <c r="G722" i="14" s="1"/>
  <c r="H738" i="15"/>
  <c r="H737" i="15" s="1"/>
  <c r="G800" i="14"/>
  <c r="G799" i="14" s="1"/>
  <c r="G798" i="14" s="1"/>
  <c r="H415" i="15"/>
  <c r="H414" i="15" s="1"/>
  <c r="G835" i="14"/>
  <c r="G834" i="14" s="1"/>
  <c r="G833" i="14" s="1"/>
  <c r="H223" i="15"/>
  <c r="H222" i="15" s="1"/>
  <c r="H221" i="15" s="1"/>
  <c r="H220" i="15" s="1"/>
  <c r="H219" i="15" s="1"/>
  <c r="G467" i="14"/>
  <c r="G466" i="14" s="1"/>
  <c r="H1026" i="15"/>
  <c r="G810" i="14"/>
  <c r="G809" i="14" s="1"/>
  <c r="H425" i="15"/>
  <c r="G817" i="14"/>
  <c r="G816" i="14" s="1"/>
  <c r="G815" i="14" s="1"/>
  <c r="H432" i="15"/>
  <c r="H431" i="15" s="1"/>
  <c r="H470" i="16"/>
  <c r="H471" i="16" s="1"/>
  <c r="G648" i="14"/>
  <c r="G647" i="14" s="1"/>
  <c r="H298" i="15"/>
  <c r="H523" i="16"/>
  <c r="H524" i="16" s="1"/>
  <c r="G757" i="14"/>
  <c r="G756" i="14" s="1"/>
  <c r="G753" i="14" s="1"/>
  <c r="H372" i="15"/>
  <c r="H369" i="15" s="1"/>
  <c r="H404" i="16"/>
  <c r="H403" i="16" s="1"/>
  <c r="H402" i="16" s="1"/>
  <c r="H401" i="16" s="1"/>
  <c r="G862" i="14"/>
  <c r="G861" i="14" s="1"/>
  <c r="G860" i="14" s="1"/>
  <c r="H229" i="15"/>
  <c r="H228" i="15" s="1"/>
  <c r="H576" i="15"/>
  <c r="H575" i="15" s="1"/>
  <c r="H536" i="16"/>
  <c r="H535" i="16" s="1"/>
  <c r="H534" i="16" s="1"/>
  <c r="G761" i="14"/>
  <c r="G760" i="14" s="1"/>
  <c r="G759" i="14" s="1"/>
  <c r="H376" i="15"/>
  <c r="H375" i="15" s="1"/>
  <c r="H37" i="16"/>
  <c r="H36" i="16" s="1"/>
  <c r="H35" i="16" s="1"/>
  <c r="G695" i="14"/>
  <c r="G694" i="14" s="1"/>
  <c r="G693" i="14" s="1"/>
  <c r="H342" i="15"/>
  <c r="H341" i="15" s="1"/>
  <c r="H476" i="16"/>
  <c r="H477" i="16" s="1"/>
  <c r="G652" i="14"/>
  <c r="G651" i="14" s="1"/>
  <c r="H302" i="15"/>
  <c r="H709" i="16"/>
  <c r="H708" i="16" s="1"/>
  <c r="H707" i="16" s="1"/>
  <c r="H706" i="16" s="1"/>
  <c r="H705" i="16" s="1"/>
  <c r="H704" i="16" s="1"/>
  <c r="G262" i="14"/>
  <c r="G261" i="14" s="1"/>
  <c r="G260" i="14" s="1"/>
  <c r="G259" i="14" s="1"/>
  <c r="H203" i="15"/>
  <c r="H202" i="15" s="1"/>
  <c r="H817" i="16"/>
  <c r="H816" i="16" s="1"/>
  <c r="H815" i="16" s="1"/>
  <c r="H814" i="16" s="1"/>
  <c r="G619" i="14"/>
  <c r="G618" i="14" s="1"/>
  <c r="G617" i="14" s="1"/>
  <c r="H689" i="15"/>
  <c r="H688" i="15" s="1"/>
  <c r="H530" i="16"/>
  <c r="H531" i="16" s="1"/>
  <c r="G665" i="14"/>
  <c r="G664" i="14" s="1"/>
  <c r="G663" i="14" s="1"/>
  <c r="H315" i="15"/>
  <c r="H314" i="15" s="1"/>
  <c r="H702" i="16"/>
  <c r="H703" i="16" s="1"/>
  <c r="G255" i="14"/>
  <c r="G254" i="14" s="1"/>
  <c r="G253" i="14" s="1"/>
  <c r="H196" i="15"/>
  <c r="H195" i="15" s="1"/>
  <c r="H664" i="16"/>
  <c r="H663" i="16" s="1"/>
  <c r="H662" i="16" s="1"/>
  <c r="H975" i="15"/>
  <c r="H974" i="15" s="1"/>
  <c r="G416" i="14"/>
  <c r="G415" i="14" s="1"/>
  <c r="G414" i="14" s="1"/>
  <c r="H826" i="16"/>
  <c r="H825" i="16" s="1"/>
  <c r="H824" i="16" s="1"/>
  <c r="H819" i="16" s="1"/>
  <c r="G688" i="14"/>
  <c r="G687" i="14" s="1"/>
  <c r="G686" i="14" s="1"/>
  <c r="H718" i="15"/>
  <c r="H717" i="15" s="1"/>
  <c r="H391" i="16"/>
  <c r="H390" i="16" s="1"/>
  <c r="G105" i="14"/>
  <c r="G104" i="14" s="1"/>
  <c r="G103" i="14" s="1"/>
  <c r="G102" i="14" s="1"/>
  <c r="H108" i="15"/>
  <c r="H107" i="15" s="1"/>
  <c r="H106" i="15" s="1"/>
  <c r="G127" i="14"/>
  <c r="G126" i="14" s="1"/>
  <c r="G125" i="14" s="1"/>
  <c r="H23" i="15"/>
  <c r="H22" i="15" s="1"/>
  <c r="G812" i="14"/>
  <c r="G811" i="14" s="1"/>
  <c r="H427" i="15"/>
  <c r="H1057" i="15"/>
  <c r="H1056" i="15" s="1"/>
  <c r="G19" i="14"/>
  <c r="G740" i="14"/>
  <c r="G739" i="14" s="1"/>
  <c r="G738" i="14" s="1"/>
  <c r="H754" i="15"/>
  <c r="H753" i="15" s="1"/>
  <c r="G167" i="14"/>
  <c r="G166" i="14" s="1"/>
  <c r="G165" i="14" s="1"/>
  <c r="H139" i="15"/>
  <c r="H138" i="15" s="1"/>
  <c r="G708" i="14"/>
  <c r="G707" i="14" s="1"/>
  <c r="G706" i="14" s="1"/>
  <c r="H355" i="15"/>
  <c r="H354" i="15" s="1"/>
  <c r="H683" i="16"/>
  <c r="H684" i="16" s="1"/>
  <c r="H989" i="15"/>
  <c r="H988" i="15" s="1"/>
  <c r="G430" i="14"/>
  <c r="G429" i="14" s="1"/>
  <c r="G428" i="14" s="1"/>
  <c r="H573" i="16"/>
  <c r="H572" i="16" s="1"/>
  <c r="H485" i="16"/>
  <c r="H486" i="16" s="1"/>
  <c r="G749" i="14"/>
  <c r="G748" i="14" s="1"/>
  <c r="H364" i="15"/>
  <c r="G93" i="14"/>
  <c r="G92" i="14" s="1"/>
  <c r="H96" i="15"/>
  <c r="H823" i="16"/>
  <c r="G685" i="14"/>
  <c r="G684" i="14" s="1"/>
  <c r="G683" i="14" s="1"/>
  <c r="H335" i="15"/>
  <c r="H334" i="15" s="1"/>
  <c r="H51" i="16"/>
  <c r="H50" i="16" s="1"/>
  <c r="G704" i="14"/>
  <c r="G703" i="14" s="1"/>
  <c r="H351" i="15"/>
  <c r="H117" i="15"/>
  <c r="H116" i="15" s="1"/>
  <c r="G124" i="14"/>
  <c r="G123" i="14" s="1"/>
  <c r="H20" i="15"/>
  <c r="H1031" i="15"/>
  <c r="H1030" i="15" s="1"/>
  <c r="G472" i="14"/>
  <c r="G471" i="14" s="1"/>
  <c r="G470" i="14" s="1"/>
  <c r="G54" i="14"/>
  <c r="G53" i="14" s="1"/>
  <c r="H60" i="15"/>
  <c r="G448" i="14"/>
  <c r="G447" i="14" s="1"/>
  <c r="H1007" i="15"/>
  <c r="H770" i="16"/>
  <c r="H771" i="16" s="1"/>
  <c r="H543" i="15"/>
  <c r="H542" i="15" s="1"/>
  <c r="G185" i="14"/>
  <c r="G184" i="14" s="1"/>
  <c r="H412" i="16"/>
  <c r="H411" i="16" s="1"/>
  <c r="H410" i="16" s="1"/>
  <c r="H409" i="16" s="1"/>
  <c r="G891" i="14"/>
  <c r="G890" i="14" s="1"/>
  <c r="G889" i="14" s="1"/>
  <c r="G888" i="14" s="1"/>
  <c r="H769" i="15"/>
  <c r="H768" i="15" s="1"/>
  <c r="H767" i="15" s="1"/>
  <c r="H650" i="16"/>
  <c r="H649" i="16" s="1"/>
  <c r="H648" i="16" s="1"/>
  <c r="H966" i="15"/>
  <c r="H965" i="15" s="1"/>
  <c r="G407" i="14"/>
  <c r="G406" i="14" s="1"/>
  <c r="G405" i="14" s="1"/>
  <c r="H473" i="16"/>
  <c r="H474" i="16" s="1"/>
  <c r="G650" i="14"/>
  <c r="G649" i="14" s="1"/>
  <c r="H300" i="15"/>
  <c r="H310" i="16"/>
  <c r="H311" i="16" s="1"/>
  <c r="H664" i="15"/>
  <c r="H663" i="15" s="1"/>
  <c r="H662" i="15" s="1"/>
  <c r="H623" i="15"/>
  <c r="H622" i="15" s="1"/>
  <c r="H151" i="16"/>
  <c r="H150" i="16" s="1"/>
  <c r="H149" i="16" s="1"/>
  <c r="H148" i="16" s="1"/>
  <c r="H613" i="15"/>
  <c r="H612" i="15" s="1"/>
  <c r="H611" i="15" s="1"/>
  <c r="H668" i="16"/>
  <c r="H667" i="16" s="1"/>
  <c r="H666" i="16" s="1"/>
  <c r="H978" i="15"/>
  <c r="H977" i="15" s="1"/>
  <c r="G419" i="14"/>
  <c r="G418" i="14" s="1"/>
  <c r="G417" i="14" s="1"/>
  <c r="H460" i="15"/>
  <c r="H459" i="15" s="1"/>
  <c r="H580" i="16"/>
  <c r="H579" i="16" s="1"/>
  <c r="H578" i="16" s="1"/>
  <c r="H373" i="16"/>
  <c r="H1062" i="15"/>
  <c r="H1061" i="15" s="1"/>
  <c r="G24" i="14"/>
  <c r="G23" i="14" s="1"/>
  <c r="H511" i="16"/>
  <c r="H510" i="16" s="1"/>
  <c r="G659" i="14"/>
  <c r="G658" i="14" s="1"/>
  <c r="G657" i="14" s="1"/>
  <c r="H309" i="15"/>
  <c r="H308" i="15" s="1"/>
  <c r="G455" i="14"/>
  <c r="G454" i="14" s="1"/>
  <c r="G453" i="14" s="1"/>
  <c r="H1014" i="15"/>
  <c r="H1013" i="15" s="1"/>
  <c r="G814" i="14"/>
  <c r="G813" i="14" s="1"/>
  <c r="H429" i="15"/>
  <c r="G62" i="14"/>
  <c r="G61" i="14" s="1"/>
  <c r="G60" i="14" s="1"/>
  <c r="H68" i="15"/>
  <c r="H67" i="15" s="1"/>
  <c r="G248" i="14"/>
  <c r="G247" i="14" s="1"/>
  <c r="G246" i="14" s="1"/>
  <c r="H189" i="15"/>
  <c r="H188" i="15" s="1"/>
  <c r="H1092" i="15"/>
  <c r="H1091" i="15" s="1"/>
  <c r="G116" i="14"/>
  <c r="G115" i="14" s="1"/>
  <c r="G114" i="14" s="1"/>
  <c r="G450" i="14"/>
  <c r="G449" i="14" s="1"/>
  <c r="H1009" i="15"/>
  <c r="H1089" i="15"/>
  <c r="G113" i="14"/>
  <c r="G112" i="14" s="1"/>
  <c r="H810" i="15"/>
  <c r="H809" i="15" s="1"/>
  <c r="G931" i="14"/>
  <c r="G930" i="14" s="1"/>
  <c r="G929" i="14" s="1"/>
  <c r="G424" i="15"/>
  <c r="G16" i="14"/>
  <c r="H1054" i="15"/>
  <c r="G236" i="14"/>
  <c r="G235" i="14" s="1"/>
  <c r="G234" i="14" s="1"/>
  <c r="H177" i="15"/>
  <c r="H176" i="15" s="1"/>
  <c r="H563" i="16"/>
  <c r="H564" i="16" s="1"/>
  <c r="H380" i="15"/>
  <c r="H379" i="15" s="1"/>
  <c r="H378" i="15" s="1"/>
  <c r="H1118" i="15" s="1"/>
  <c r="G765" i="14"/>
  <c r="G764" i="14" s="1"/>
  <c r="G763" i="14" s="1"/>
  <c r="G762" i="14" s="1"/>
  <c r="H192" i="16"/>
  <c r="H193" i="16" s="1"/>
  <c r="H626" i="15"/>
  <c r="H625" i="15" s="1"/>
  <c r="H209" i="16"/>
  <c r="H210" i="16" s="1"/>
  <c r="G632" i="14"/>
  <c r="G631" i="14" s="1"/>
  <c r="G630" i="14" s="1"/>
  <c r="H702" i="15"/>
  <c r="H701" i="15" s="1"/>
  <c r="H167" i="16"/>
  <c r="H166" i="16" s="1"/>
  <c r="H165" i="16" s="1"/>
  <c r="H560" i="15"/>
  <c r="H559" i="15" s="1"/>
  <c r="H675" i="16"/>
  <c r="H676" i="16" s="1"/>
  <c r="H983" i="15"/>
  <c r="H785" i="16"/>
  <c r="H784" i="16" s="1"/>
  <c r="H783" i="16" s="1"/>
  <c r="H188" i="16"/>
  <c r="H187" i="16" s="1"/>
  <c r="H186" i="16" s="1"/>
  <c r="G339" i="14"/>
  <c r="G338" i="14" s="1"/>
  <c r="G337" i="14" s="1"/>
  <c r="H40" i="16"/>
  <c r="H39" i="16" s="1"/>
  <c r="H656" i="16"/>
  <c r="H435" i="16"/>
  <c r="H16" i="16"/>
  <c r="H751" i="16"/>
  <c r="H750" i="16" s="1"/>
  <c r="H749" i="16" s="1"/>
  <c r="H748" i="16" s="1"/>
  <c r="H747" i="16" s="1"/>
  <c r="G804" i="16"/>
  <c r="G803" i="16" s="1"/>
  <c r="G798" i="16" s="1"/>
  <c r="G797" i="16" s="1"/>
  <c r="G796" i="16" s="1"/>
  <c r="G806" i="16"/>
  <c r="G484" i="16"/>
  <c r="G486" i="16"/>
  <c r="G784" i="16"/>
  <c r="G783" i="16" s="1"/>
  <c r="G786" i="16"/>
  <c r="G833" i="16"/>
  <c r="G831" i="16"/>
  <c r="G830" i="16" s="1"/>
  <c r="G829" i="16" s="1"/>
  <c r="G828" i="16" s="1"/>
  <c r="G780" i="16"/>
  <c r="G779" i="16" s="1"/>
  <c r="G782" i="16"/>
  <c r="G201" i="16"/>
  <c r="G199" i="16"/>
  <c r="G198" i="16" s="1"/>
  <c r="H58" i="16"/>
  <c r="H13" i="17"/>
  <c r="H12" i="17" s="1"/>
  <c r="H11" i="17" s="1"/>
  <c r="H10" i="17" s="1"/>
  <c r="H9" i="17" s="1"/>
  <c r="G290" i="16"/>
  <c r="G288" i="16"/>
  <c r="G287" i="16" s="1"/>
  <c r="G286" i="16" s="1"/>
  <c r="H689" i="16"/>
  <c r="H688" i="16" s="1"/>
  <c r="H691" i="16"/>
  <c r="H746" i="16"/>
  <c r="G403" i="16"/>
  <c r="G402" i="16" s="1"/>
  <c r="G401" i="16" s="1"/>
  <c r="G405" i="16"/>
  <c r="H25" i="17"/>
  <c r="H24" i="17" s="1"/>
  <c r="H23" i="17" s="1"/>
  <c r="H22" i="17" s="1"/>
  <c r="H21" i="17" s="1"/>
  <c r="H395" i="16"/>
  <c r="H394" i="16" s="1"/>
  <c r="H397" i="16"/>
  <c r="G535" i="16"/>
  <c r="G534" i="16" s="1"/>
  <c r="G533" i="16" s="1"/>
  <c r="G537" i="16"/>
  <c r="G38" i="16"/>
  <c r="G36" i="16"/>
  <c r="G35" i="16" s="1"/>
  <c r="G349" i="16"/>
  <c r="G348" i="16" s="1"/>
  <c r="G347" i="16" s="1"/>
  <c r="G351" i="16"/>
  <c r="G475" i="16"/>
  <c r="G477" i="16"/>
  <c r="G710" i="16"/>
  <c r="G708" i="16"/>
  <c r="G707" i="16" s="1"/>
  <c r="G706" i="16" s="1"/>
  <c r="G705" i="16" s="1"/>
  <c r="G704" i="16" s="1"/>
  <c r="G816" i="16"/>
  <c r="G815" i="16" s="1"/>
  <c r="G814" i="16" s="1"/>
  <c r="G818" i="16"/>
  <c r="G529" i="16"/>
  <c r="G528" i="16" s="1"/>
  <c r="G531" i="16"/>
  <c r="G701" i="16"/>
  <c r="G700" i="16" s="1"/>
  <c r="G699" i="16" s="1"/>
  <c r="G703" i="16"/>
  <c r="G665" i="16"/>
  <c r="G663" i="16"/>
  <c r="G662" i="16" s="1"/>
  <c r="G827" i="16"/>
  <c r="G825" i="16"/>
  <c r="G824" i="16" s="1"/>
  <c r="G819" i="16" s="1"/>
  <c r="G40" i="16"/>
  <c r="G39" i="16" s="1"/>
  <c r="G42" i="16"/>
  <c r="H805" i="16"/>
  <c r="G203" i="14"/>
  <c r="G57" i="16"/>
  <c r="G56" i="16" s="1"/>
  <c r="G59" i="16"/>
  <c r="G684" i="16"/>
  <c r="G682" i="16"/>
  <c r="G681" i="16" s="1"/>
  <c r="G575" i="16"/>
  <c r="G573" i="16"/>
  <c r="G572" i="16" s="1"/>
  <c r="G508" i="16"/>
  <c r="G506" i="16"/>
  <c r="G505" i="16" s="1"/>
  <c r="G689" i="16"/>
  <c r="G688" i="16" s="1"/>
  <c r="G691" i="16"/>
  <c r="G52" i="16"/>
  <c r="G50" i="16"/>
  <c r="G852" i="16"/>
  <c r="G850" i="16"/>
  <c r="G849" i="16" s="1"/>
  <c r="G848" i="16" s="1"/>
  <c r="G847" i="16" s="1"/>
  <c r="G846" i="16" s="1"/>
  <c r="G426" i="16"/>
  <c r="G425" i="16" s="1"/>
  <c r="G428" i="16"/>
  <c r="G792" i="16"/>
  <c r="G791" i="16" s="1"/>
  <c r="G794" i="16"/>
  <c r="G693" i="16"/>
  <c r="G692" i="16" s="1"/>
  <c r="G695" i="16"/>
  <c r="G649" i="16"/>
  <c r="G648" i="16" s="1"/>
  <c r="G651" i="16"/>
  <c r="G813" i="16"/>
  <c r="G811" i="16"/>
  <c r="G810" i="16" s="1"/>
  <c r="G809" i="16" s="1"/>
  <c r="G472" i="16"/>
  <c r="G474" i="16"/>
  <c r="G487" i="16"/>
  <c r="G489" i="16"/>
  <c r="G309" i="16"/>
  <c r="G308" i="16" s="1"/>
  <c r="G311" i="16"/>
  <c r="G669" i="16"/>
  <c r="G667" i="16"/>
  <c r="G666" i="16" s="1"/>
  <c r="G210" i="16"/>
  <c r="G208" i="16"/>
  <c r="G207" i="16" s="1"/>
  <c r="G168" i="16"/>
  <c r="G166" i="16"/>
  <c r="G165" i="16" s="1"/>
  <c r="G582" i="16"/>
  <c r="G580" i="16"/>
  <c r="G579" i="16" s="1"/>
  <c r="G578" i="16" s="1"/>
  <c r="G510" i="16"/>
  <c r="G512" i="16"/>
  <c r="G676" i="16"/>
  <c r="G674" i="16"/>
  <c r="G191" i="16"/>
  <c r="G190" i="16" s="1"/>
  <c r="G193" i="16"/>
  <c r="H349" i="16"/>
  <c r="H348" i="16" s="1"/>
  <c r="H347" i="16" s="1"/>
  <c r="H351" i="16"/>
  <c r="G353" i="16"/>
  <c r="G352" i="16" s="1"/>
  <c r="G355" i="16"/>
  <c r="H353" i="16"/>
  <c r="H352" i="16" s="1"/>
  <c r="H355" i="16"/>
  <c r="G788" i="16"/>
  <c r="G787" i="16" s="1"/>
  <c r="G790" i="16"/>
  <c r="H616" i="16"/>
  <c r="H614" i="16"/>
  <c r="H613" i="16" s="1"/>
  <c r="H612" i="16" s="1"/>
  <c r="G435" i="16"/>
  <c r="G433" i="16"/>
  <c r="G432" i="16" s="1"/>
  <c r="G418" i="16"/>
  <c r="G417" i="16" s="1"/>
  <c r="G420" i="16"/>
  <c r="H420" i="16"/>
  <c r="G422" i="16"/>
  <c r="G421" i="16" s="1"/>
  <c r="G424" i="16"/>
  <c r="G14" i="16"/>
  <c r="G13" i="16" s="1"/>
  <c r="G16" i="16"/>
  <c r="G746" i="16"/>
  <c r="G744" i="16"/>
  <c r="G743" i="16" s="1"/>
  <c r="G742" i="16" s="1"/>
  <c r="G741" i="16" s="1"/>
  <c r="G740" i="16" s="1"/>
  <c r="H758" i="16"/>
  <c r="H757" i="16" s="1"/>
  <c r="H756" i="16" s="1"/>
  <c r="H755" i="16" s="1"/>
  <c r="H754" i="16" s="1"/>
  <c r="G760" i="16"/>
  <c r="G758" i="16"/>
  <c r="G757" i="16" s="1"/>
  <c r="G756" i="16" s="1"/>
  <c r="G755" i="16" s="1"/>
  <c r="G754" i="16" s="1"/>
  <c r="G753" i="16"/>
  <c r="G751" i="16"/>
  <c r="G750" i="16" s="1"/>
  <c r="G749" i="16" s="1"/>
  <c r="G748" i="16" s="1"/>
  <c r="G747" i="16" s="1"/>
  <c r="G680" i="16"/>
  <c r="G678" i="16"/>
  <c r="G677" i="16" s="1"/>
  <c r="H680" i="16"/>
  <c r="H678" i="16"/>
  <c r="H677" i="16" s="1"/>
  <c r="G658" i="16"/>
  <c r="G656" i="16"/>
  <c r="G564" i="16"/>
  <c r="G562" i="16"/>
  <c r="G561" i="16" s="1"/>
  <c r="G560" i="16" s="1"/>
  <c r="H10" i="16"/>
  <c r="H12" i="16"/>
  <c r="H11" i="16" s="1"/>
  <c r="H619" i="16"/>
  <c r="H618" i="16" s="1"/>
  <c r="H617" i="16" s="1"/>
  <c r="H621" i="16"/>
  <c r="G614" i="14" s="1"/>
  <c r="G613" i="14" s="1"/>
  <c r="G612" i="14" s="1"/>
  <c r="G611" i="14" s="1"/>
  <c r="G610" i="14" s="1"/>
  <c r="G152" i="16"/>
  <c r="G150" i="16"/>
  <c r="G149" i="16" s="1"/>
  <c r="G148" i="16" s="1"/>
  <c r="G145" i="16"/>
  <c r="G144" i="16" s="1"/>
  <c r="G143" i="16" s="1"/>
  <c r="G147" i="16"/>
  <c r="G411" i="16"/>
  <c r="G410" i="16" s="1"/>
  <c r="G409" i="16" s="1"/>
  <c r="G413" i="16"/>
  <c r="G189" i="16"/>
  <c r="G187" i="16"/>
  <c r="G186" i="16" s="1"/>
  <c r="G176" i="16"/>
  <c r="G174" i="16"/>
  <c r="G173" i="16" s="1"/>
  <c r="H24" i="16"/>
  <c r="H26" i="16"/>
  <c r="G524" i="16"/>
  <c r="G522" i="16"/>
  <c r="H521" i="16"/>
  <c r="H519" i="16"/>
  <c r="G519" i="16"/>
  <c r="G521" i="16"/>
  <c r="G469" i="16"/>
  <c r="G471" i="16"/>
  <c r="G707" i="5"/>
  <c r="G855" i="5"/>
  <c r="G853" i="5"/>
  <c r="G561" i="5"/>
  <c r="G542" i="5"/>
  <c r="G538" i="5"/>
  <c r="G499" i="5"/>
  <c r="G496" i="5"/>
  <c r="G493" i="5"/>
  <c r="G608" i="5"/>
  <c r="G204" i="5"/>
  <c r="F920" i="3"/>
  <c r="F1043" i="3"/>
  <c r="F1031" i="3"/>
  <c r="G518" i="16" l="1"/>
  <c r="G517" i="16" s="1"/>
  <c r="G516" i="16" s="1"/>
  <c r="H424" i="16"/>
  <c r="G764" i="16"/>
  <c r="G763" i="16" s="1"/>
  <c r="G762" i="16" s="1"/>
  <c r="G761" i="16" s="1"/>
  <c r="G183" i="14"/>
  <c r="H611" i="16"/>
  <c r="G598" i="16"/>
  <c r="G597" i="16" s="1"/>
  <c r="H223" i="16"/>
  <c r="H222" i="16" s="1"/>
  <c r="H114" i="16"/>
  <c r="H113" i="16" s="1"/>
  <c r="H112" i="16" s="1"/>
  <c r="H111" i="16" s="1"/>
  <c r="H110" i="16" s="1"/>
  <c r="H116" i="16"/>
  <c r="H261" i="16"/>
  <c r="H70" i="16"/>
  <c r="H69" i="16" s="1"/>
  <c r="H533" i="16"/>
  <c r="H77" i="16"/>
  <c r="H76" i="16" s="1"/>
  <c r="H227" i="16"/>
  <c r="H226" i="16" s="1"/>
  <c r="H229" i="16"/>
  <c r="H123" i="16"/>
  <c r="H121" i="16"/>
  <c r="H120" i="16" s="1"/>
  <c r="H119" i="16" s="1"/>
  <c r="H118" i="16" s="1"/>
  <c r="H117" i="16" s="1"/>
  <c r="G843" i="14"/>
  <c r="G837" i="14" s="1"/>
  <c r="H84" i="16"/>
  <c r="H83" i="16" s="1"/>
  <c r="G653" i="14"/>
  <c r="H304" i="15"/>
  <c r="H786" i="16"/>
  <c r="H285" i="16"/>
  <c r="H284" i="16" s="1"/>
  <c r="H651" i="16"/>
  <c r="H682" i="16"/>
  <c r="H681" i="16" s="1"/>
  <c r="H669" i="16"/>
  <c r="H472" i="16"/>
  <c r="H782" i="16"/>
  <c r="H375" i="16"/>
  <c r="H665" i="16"/>
  <c r="H405" i="16"/>
  <c r="H38" i="16"/>
  <c r="H309" i="16"/>
  <c r="H308" i="16" s="1"/>
  <c r="H475" i="16"/>
  <c r="H827" i="16"/>
  <c r="H428" i="16"/>
  <c r="H487" i="16"/>
  <c r="H833" i="16"/>
  <c r="H484" i="16"/>
  <c r="H582" i="16"/>
  <c r="H34" i="16"/>
  <c r="H33" i="16" s="1"/>
  <c r="H32" i="16" s="1"/>
  <c r="H176" i="16"/>
  <c r="H191" i="16"/>
  <c r="H190" i="16" s="1"/>
  <c r="H199" i="16"/>
  <c r="H198" i="16" s="1"/>
  <c r="H522" i="16"/>
  <c r="H518" i="16" s="1"/>
  <c r="H517" i="16" s="1"/>
  <c r="H393" i="16"/>
  <c r="H693" i="16"/>
  <c r="H692" i="16" s="1"/>
  <c r="H687" i="16" s="1"/>
  <c r="H686" i="16" s="1"/>
  <c r="H685" i="16" s="1"/>
  <c r="H408" i="16"/>
  <c r="H407" i="16" s="1"/>
  <c r="H818" i="16"/>
  <c r="H512" i="16"/>
  <c r="H811" i="16"/>
  <c r="H810" i="16" s="1"/>
  <c r="H809" i="16" s="1"/>
  <c r="H808" i="16" s="1"/>
  <c r="H850" i="16"/>
  <c r="H849" i="16" s="1"/>
  <c r="H848" i="16" s="1"/>
  <c r="H847" i="16" s="1"/>
  <c r="H846" i="16" s="1"/>
  <c r="H529" i="16"/>
  <c r="H528" i="16" s="1"/>
  <c r="H413" i="16"/>
  <c r="H147" i="16"/>
  <c r="H208" i="16"/>
  <c r="H207" i="16" s="1"/>
  <c r="H290" i="16"/>
  <c r="H562" i="16"/>
  <c r="H561" i="16" s="1"/>
  <c r="H537" i="16"/>
  <c r="H506" i="16"/>
  <c r="H505" i="16" s="1"/>
  <c r="H168" i="16"/>
  <c r="H424" i="15"/>
  <c r="G646" i="14"/>
  <c r="H152" i="16"/>
  <c r="H469" i="16"/>
  <c r="H790" i="16"/>
  <c r="H701" i="16"/>
  <c r="H700" i="16" s="1"/>
  <c r="H699" i="16" s="1"/>
  <c r="H710" i="16"/>
  <c r="H769" i="16"/>
  <c r="H765" i="16" s="1"/>
  <c r="H575" i="16"/>
  <c r="H792" i="16"/>
  <c r="H791" i="16" s="1"/>
  <c r="H52" i="16"/>
  <c r="H297" i="15"/>
  <c r="H674" i="16"/>
  <c r="G808" i="14"/>
  <c r="H389" i="16"/>
  <c r="H388" i="16" s="1"/>
  <c r="H387" i="16" s="1"/>
  <c r="H400" i="16"/>
  <c r="G400" i="16"/>
  <c r="H189" i="16"/>
  <c r="G285" i="16"/>
  <c r="G284" i="16" s="1"/>
  <c r="H346" i="16"/>
  <c r="H345" i="16" s="1"/>
  <c r="G408" i="16"/>
  <c r="G407" i="16" s="1"/>
  <c r="G307" i="16"/>
  <c r="G306" i="16" s="1"/>
  <c r="G305" i="16" s="1"/>
  <c r="H804" i="16"/>
  <c r="H803" i="16" s="1"/>
  <c r="H798" i="16" s="1"/>
  <c r="H797" i="16" s="1"/>
  <c r="H796" i="16" s="1"/>
  <c r="H806" i="16"/>
  <c r="G527" i="16"/>
  <c r="G526" i="16" s="1"/>
  <c r="G577" i="16"/>
  <c r="G576" i="16" s="1"/>
  <c r="G34" i="16"/>
  <c r="G33" i="16" s="1"/>
  <c r="G468" i="16"/>
  <c r="G467" i="16" s="1"/>
  <c r="G466" i="16" s="1"/>
  <c r="G808" i="16"/>
  <c r="G687" i="16"/>
  <c r="G686" i="16" s="1"/>
  <c r="G685" i="16" s="1"/>
  <c r="G55" i="16"/>
  <c r="G54" i="16" s="1"/>
  <c r="G53" i="16"/>
  <c r="G346" i="16"/>
  <c r="H569" i="16"/>
  <c r="H571" i="16"/>
  <c r="H570" i="16" s="1"/>
  <c r="G569" i="16"/>
  <c r="G571" i="16"/>
  <c r="G570" i="16" s="1"/>
  <c r="H577" i="16"/>
  <c r="H576" i="16" s="1"/>
  <c r="H59" i="16"/>
  <c r="H57" i="16"/>
  <c r="H56" i="16" s="1"/>
  <c r="G416" i="16"/>
  <c r="G415" i="16" s="1"/>
  <c r="G414" i="16" s="1"/>
  <c r="G12" i="16"/>
  <c r="G11" i="16" s="1"/>
  <c r="G10" i="16"/>
  <c r="G532" i="16"/>
  <c r="G559" i="16"/>
  <c r="G852" i="5"/>
  <c r="G14" i="5"/>
  <c r="F1063" i="3"/>
  <c r="G560" i="5"/>
  <c r="G562" i="5"/>
  <c r="G541" i="5"/>
  <c r="G543" i="5"/>
  <c r="G537" i="5"/>
  <c r="G539" i="5"/>
  <c r="G495" i="5"/>
  <c r="G497" i="5"/>
  <c r="G492" i="5"/>
  <c r="G494" i="5"/>
  <c r="G498" i="5"/>
  <c r="G500" i="5"/>
  <c r="G607" i="5"/>
  <c r="G609" i="5"/>
  <c r="G203" i="5"/>
  <c r="G205" i="5"/>
  <c r="G16" i="5"/>
  <c r="F991" i="3"/>
  <c r="F905" i="14" s="1"/>
  <c r="F984" i="3"/>
  <c r="F981" i="3"/>
  <c r="F978" i="3"/>
  <c r="F895" i="14" s="1"/>
  <c r="F974" i="3"/>
  <c r="F967" i="3"/>
  <c r="F949" i="3"/>
  <c r="F919" i="3"/>
  <c r="F886" i="3"/>
  <c r="F880" i="3"/>
  <c r="F878" i="3"/>
  <c r="F872" i="3"/>
  <c r="F867" i="3"/>
  <c r="F845" i="3"/>
  <c r="F841" i="3"/>
  <c r="F834" i="3"/>
  <c r="F830" i="3"/>
  <c r="F826" i="3"/>
  <c r="G547" i="32" s="1"/>
  <c r="F824" i="3"/>
  <c r="F817" i="3"/>
  <c r="F815" i="3"/>
  <c r="F762" i="3"/>
  <c r="F758" i="3"/>
  <c r="F752" i="3"/>
  <c r="G41" i="32" s="1"/>
  <c r="F749" i="3"/>
  <c r="F742" i="3"/>
  <c r="F739" i="3"/>
  <c r="F722" i="3"/>
  <c r="F716" i="3"/>
  <c r="F713" i="3"/>
  <c r="G322" i="4"/>
  <c r="G546" i="32" l="1"/>
  <c r="G541" i="32" s="1"/>
  <c r="G540" i="32" s="1"/>
  <c r="G548" i="32"/>
  <c r="G42" i="32"/>
  <c r="G40" i="32"/>
  <c r="G39" i="32" s="1"/>
  <c r="G34" i="32" s="1"/>
  <c r="G33" i="32" s="1"/>
  <c r="F698" i="14"/>
  <c r="G698" i="14" s="1"/>
  <c r="H764" i="16"/>
  <c r="H763" i="16" s="1"/>
  <c r="H762" i="16" s="1"/>
  <c r="H761" i="16" s="1"/>
  <c r="G491" i="5"/>
  <c r="G490" i="5" s="1"/>
  <c r="H598" i="16"/>
  <c r="H597" i="16" s="1"/>
  <c r="G344" i="16"/>
  <c r="G345" i="16"/>
  <c r="H532" i="16"/>
  <c r="H560" i="16"/>
  <c r="H559" i="16" s="1"/>
  <c r="G525" i="16"/>
  <c r="H68" i="16"/>
  <c r="H307" i="16"/>
  <c r="H306" i="16" s="1"/>
  <c r="H305" i="16" s="1"/>
  <c r="H468" i="16"/>
  <c r="H467" i="16" s="1"/>
  <c r="H466" i="16" s="1"/>
  <c r="H527" i="16"/>
  <c r="H526" i="16" s="1"/>
  <c r="H516" i="16"/>
  <c r="G399" i="16"/>
  <c r="G398" i="16"/>
  <c r="H399" i="16"/>
  <c r="H398" i="16"/>
  <c r="H344" i="16"/>
  <c r="H55" i="16"/>
  <c r="H54" i="16" s="1"/>
  <c r="H53" i="16"/>
  <c r="G32" i="16"/>
  <c r="G321" i="4"/>
  <c r="G606" i="5"/>
  <c r="G605" i="5" s="1"/>
  <c r="G559" i="5"/>
  <c r="G202" i="5"/>
  <c r="G13" i="5"/>
  <c r="F721" i="3"/>
  <c r="G590" i="5"/>
  <c r="G591" i="5" s="1"/>
  <c r="F877" i="3"/>
  <c r="G551" i="5"/>
  <c r="F755" i="14"/>
  <c r="F844" i="3"/>
  <c r="F879" i="3"/>
  <c r="F801" i="14" s="1"/>
  <c r="F802" i="14"/>
  <c r="F712" i="3"/>
  <c r="F741" i="3"/>
  <c r="G554" i="5"/>
  <c r="F866" i="3"/>
  <c r="F1062" i="3"/>
  <c r="F715" i="3"/>
  <c r="F814" i="3"/>
  <c r="F840" i="3"/>
  <c r="F871" i="3"/>
  <c r="F918" i="3"/>
  <c r="F966" i="3"/>
  <c r="F829" i="3"/>
  <c r="G567" i="5"/>
  <c r="F748" i="3"/>
  <c r="F751" i="3"/>
  <c r="G41" i="5"/>
  <c r="F757" i="3"/>
  <c r="F761" i="3"/>
  <c r="G32" i="32" l="1"/>
  <c r="G31" i="32"/>
  <c r="G30" i="32" s="1"/>
  <c r="I30" i="32" s="1"/>
  <c r="J498" i="32"/>
  <c r="G526" i="32"/>
  <c r="G480" i="32" s="1"/>
  <c r="H525" i="16"/>
  <c r="G604" i="5"/>
  <c r="G603" i="5" s="1"/>
  <c r="G552" i="5"/>
  <c r="G320" i="4"/>
  <c r="G52" i="5"/>
  <c r="G668" i="5"/>
  <c r="G662" i="5" s="1"/>
  <c r="G558" i="5"/>
  <c r="G557" i="5" s="1"/>
  <c r="G550" i="5"/>
  <c r="G555" i="5"/>
  <c r="G589" i="5"/>
  <c r="G10" i="5"/>
  <c r="G12" i="5"/>
  <c r="G553" i="5"/>
  <c r="F760" i="3"/>
  <c r="F828" i="3"/>
  <c r="F965" i="3"/>
  <c r="F865" i="3"/>
  <c r="F740" i="3"/>
  <c r="F843" i="3"/>
  <c r="F842" i="3" s="1"/>
  <c r="F747" i="3"/>
  <c r="F750" i="3"/>
  <c r="F696" i="14" s="1"/>
  <c r="G696" i="14" s="1"/>
  <c r="F697" i="14"/>
  <c r="G697" i="14" s="1"/>
  <c r="F870" i="3"/>
  <c r="F917" i="3"/>
  <c r="F711" i="3"/>
  <c r="F720" i="3"/>
  <c r="G566" i="5"/>
  <c r="G568" i="5"/>
  <c r="G57" i="5"/>
  <c r="G59" i="5"/>
  <c r="G40" i="5"/>
  <c r="G42" i="5"/>
  <c r="G36" i="5"/>
  <c r="G38" i="5"/>
  <c r="K480" i="32" l="1"/>
  <c r="I480" i="32"/>
  <c r="H313" i="15"/>
  <c r="G313" i="15"/>
  <c r="G832" i="14"/>
  <c r="G831" i="14" s="1"/>
  <c r="G830" i="14" s="1"/>
  <c r="F832" i="14"/>
  <c r="F831" i="14" s="1"/>
  <c r="F830" i="14" s="1"/>
  <c r="G758" i="14"/>
  <c r="F758" i="14"/>
  <c r="G692" i="14"/>
  <c r="F692" i="14"/>
  <c r="G881" i="14"/>
  <c r="G880" i="14" s="1"/>
  <c r="F881" i="14"/>
  <c r="F880" i="14" s="1"/>
  <c r="G35" i="5"/>
  <c r="G565" i="5"/>
  <c r="G556" i="5" s="1"/>
  <c r="G588" i="5"/>
  <c r="G39" i="5"/>
  <c r="G549" i="5"/>
  <c r="G548" i="5" s="1"/>
  <c r="G547" i="5" s="1"/>
  <c r="F719" i="3"/>
  <c r="F916" i="3"/>
  <c r="F759" i="3"/>
  <c r="F746" i="3"/>
  <c r="F869" i="3"/>
  <c r="F864" i="3"/>
  <c r="F706" i="3"/>
  <c r="F704" i="3"/>
  <c r="F702" i="3"/>
  <c r="F738" i="3"/>
  <c r="F785" i="3"/>
  <c r="F806" i="3"/>
  <c r="F689" i="3"/>
  <c r="F685" i="3"/>
  <c r="F626" i="3"/>
  <c r="F669" i="3"/>
  <c r="F611" i="3"/>
  <c r="F655" i="3"/>
  <c r="F604" i="3"/>
  <c r="F591" i="3"/>
  <c r="F581" i="3"/>
  <c r="F570" i="3"/>
  <c r="F575" i="3"/>
  <c r="F543" i="3"/>
  <c r="F539" i="3"/>
  <c r="F536" i="3"/>
  <c r="F522" i="3"/>
  <c r="F508" i="3"/>
  <c r="F475" i="3"/>
  <c r="F477" i="3"/>
  <c r="F485" i="3"/>
  <c r="D42" i="13" l="1"/>
  <c r="G587" i="5"/>
  <c r="G564" i="5"/>
  <c r="G791" i="14"/>
  <c r="G790" i="14" s="1"/>
  <c r="F791" i="14"/>
  <c r="F790" i="14" s="1"/>
  <c r="G662" i="14"/>
  <c r="F662" i="14"/>
  <c r="G705" i="14"/>
  <c r="F705" i="14"/>
  <c r="E42" i="13"/>
  <c r="G34" i="5"/>
  <c r="F684" i="3"/>
  <c r="F737" i="3"/>
  <c r="F863" i="3"/>
  <c r="F688" i="3"/>
  <c r="F639" i="14"/>
  <c r="G639" i="14" s="1"/>
  <c r="F701" i="3"/>
  <c r="F915" i="3"/>
  <c r="G191" i="5"/>
  <c r="G190" i="5" s="1"/>
  <c r="F805" i="3"/>
  <c r="F703" i="3"/>
  <c r="F484" i="3"/>
  <c r="G178" i="5"/>
  <c r="F507" i="3"/>
  <c r="F463" i="14"/>
  <c r="G463" i="14" s="1"/>
  <c r="F574" i="3"/>
  <c r="F603" i="3"/>
  <c r="F784" i="3"/>
  <c r="F705" i="3"/>
  <c r="F521" i="3"/>
  <c r="F449" i="3"/>
  <c r="G725" i="32" s="1"/>
  <c r="F452" i="3"/>
  <c r="F413" i="3"/>
  <c r="G510" i="14"/>
  <c r="G509" i="14" s="1"/>
  <c r="G503" i="14"/>
  <c r="G502" i="14" s="1"/>
  <c r="G1041" i="4"/>
  <c r="F431" i="3"/>
  <c r="F427" i="3"/>
  <c r="G692" i="32" s="1"/>
  <c r="G726" i="32" l="1"/>
  <c r="G724" i="32"/>
  <c r="G723" i="32" s="1"/>
  <c r="G722" i="32" s="1"/>
  <c r="G721" i="32" s="1"/>
  <c r="G720" i="32" s="1"/>
  <c r="G693" i="32"/>
  <c r="G691" i="32"/>
  <c r="F434" i="14"/>
  <c r="G434" i="14" s="1"/>
  <c r="F462" i="14"/>
  <c r="G462" i="14" s="1"/>
  <c r="F506" i="3"/>
  <c r="H137" i="16"/>
  <c r="H136" i="16" s="1"/>
  <c r="H135" i="16" s="1"/>
  <c r="H134" i="16" s="1"/>
  <c r="H139" i="16"/>
  <c r="H843" i="16"/>
  <c r="H842" i="16" s="1"/>
  <c r="H841" i="16" s="1"/>
  <c r="H840" i="16" s="1"/>
  <c r="H845" i="16" s="1"/>
  <c r="G1040" i="4"/>
  <c r="G189" i="5"/>
  <c r="F700" i="3"/>
  <c r="F699" i="3" s="1"/>
  <c r="G154" i="5"/>
  <c r="G192" i="5"/>
  <c r="G179" i="5"/>
  <c r="G177" i="5"/>
  <c r="G157" i="5"/>
  <c r="G699" i="5"/>
  <c r="F412" i="14"/>
  <c r="F520" i="3"/>
  <c r="F519" i="3" s="1"/>
  <c r="F783" i="3"/>
  <c r="F483" i="3"/>
  <c r="F804" i="3"/>
  <c r="D42" i="2"/>
  <c r="F687" i="3"/>
  <c r="F638" i="14"/>
  <c r="G638" i="14" s="1"/>
  <c r="F736" i="3"/>
  <c r="F412" i="3"/>
  <c r="F448" i="3"/>
  <c r="G732" i="5"/>
  <c r="F451" i="3"/>
  <c r="G736" i="5"/>
  <c r="F402" i="3"/>
  <c r="G808" i="32" s="1"/>
  <c r="F398" i="3"/>
  <c r="G801" i="32" s="1"/>
  <c r="F394" i="3"/>
  <c r="G794" i="32" s="1"/>
  <c r="F373" i="3"/>
  <c r="F358" i="14" s="1"/>
  <c r="G358" i="14" s="1"/>
  <c r="F368" i="3"/>
  <c r="F370" i="3"/>
  <c r="F365" i="3"/>
  <c r="F360" i="3"/>
  <c r="F362" i="3"/>
  <c r="F354" i="3"/>
  <c r="F356" i="3"/>
  <c r="F341" i="14" s="1"/>
  <c r="G341" i="14" s="1"/>
  <c r="F350" i="3"/>
  <c r="F348" i="3"/>
  <c r="F285" i="3"/>
  <c r="F291" i="3"/>
  <c r="F315" i="3"/>
  <c r="F304" i="14" s="1"/>
  <c r="G304" i="14" s="1"/>
  <c r="F311" i="3"/>
  <c r="F307" i="3"/>
  <c r="F296" i="14" s="1"/>
  <c r="G296" i="14" s="1"/>
  <c r="F324" i="3"/>
  <c r="F269" i="3"/>
  <c r="F273" i="3"/>
  <c r="G758" i="32" s="1"/>
  <c r="F254" i="3"/>
  <c r="F242" i="3"/>
  <c r="F235" i="3"/>
  <c r="F204" i="3"/>
  <c r="F198" i="3"/>
  <c r="F162" i="3"/>
  <c r="F228" i="3"/>
  <c r="G802" i="32" l="1"/>
  <c r="G800" i="32"/>
  <c r="G799" i="32" s="1"/>
  <c r="G798" i="32" s="1"/>
  <c r="G797" i="32" s="1"/>
  <c r="G796" i="32" s="1"/>
  <c r="G757" i="32"/>
  <c r="G756" i="32" s="1"/>
  <c r="G755" i="32" s="1"/>
  <c r="G754" i="32" s="1"/>
  <c r="G753" i="32" s="1"/>
  <c r="G745" i="32" s="1"/>
  <c r="G759" i="32"/>
  <c r="G809" i="32"/>
  <c r="G807" i="32"/>
  <c r="G806" i="32" s="1"/>
  <c r="G805" i="32" s="1"/>
  <c r="G804" i="32" s="1"/>
  <c r="G803" i="32" s="1"/>
  <c r="G795" i="32"/>
  <c r="G793" i="32"/>
  <c r="G792" i="32" s="1"/>
  <c r="G791" i="32" s="1"/>
  <c r="G790" i="32" s="1"/>
  <c r="G789" i="32" s="1"/>
  <c r="F433" i="14"/>
  <c r="F432" i="14" s="1"/>
  <c r="F379" i="14"/>
  <c r="G379" i="14" s="1"/>
  <c r="F383" i="14"/>
  <c r="G383" i="14" s="1"/>
  <c r="F387" i="14"/>
  <c r="G387" i="14" s="1"/>
  <c r="G336" i="14"/>
  <c r="F349" i="3"/>
  <c r="G682" i="14"/>
  <c r="G681" i="14" s="1"/>
  <c r="F682" i="14"/>
  <c r="F681" i="14" s="1"/>
  <c r="F203" i="3"/>
  <c r="G1039" i="4"/>
  <c r="G698" i="5"/>
  <c r="G700" i="5"/>
  <c r="G156" i="5"/>
  <c r="G155" i="5" s="1"/>
  <c r="G563" i="5"/>
  <c r="G176" i="5"/>
  <c r="F234" i="3"/>
  <c r="F229" i="14"/>
  <c r="G229" i="14" s="1"/>
  <c r="F161" i="3"/>
  <c r="F155" i="14"/>
  <c r="G155" i="14" s="1"/>
  <c r="F450" i="3"/>
  <c r="F253" i="3"/>
  <c r="F284" i="3"/>
  <c r="F369" i="3"/>
  <c r="F354" i="14" s="1"/>
  <c r="G354" i="14" s="1"/>
  <c r="F355" i="14"/>
  <c r="G355" i="14" s="1"/>
  <c r="F735" i="3"/>
  <c r="F197" i="3"/>
  <c r="F268" i="3"/>
  <c r="F359" i="3"/>
  <c r="F344" i="14" s="1"/>
  <c r="G344" i="14" s="1"/>
  <c r="F345" i="14"/>
  <c r="G345" i="14" s="1"/>
  <c r="F447" i="3"/>
  <c r="F411" i="3"/>
  <c r="F290" i="3"/>
  <c r="F364" i="3"/>
  <c r="F350" i="14"/>
  <c r="G350" i="14" s="1"/>
  <c r="F347" i="3"/>
  <c r="G333" i="14" s="1"/>
  <c r="G334" i="14"/>
  <c r="F361" i="3"/>
  <c r="F346" i="14" s="1"/>
  <c r="G346" i="14" s="1"/>
  <c r="F347" i="14"/>
  <c r="G347" i="14" s="1"/>
  <c r="F367" i="3"/>
  <c r="F352" i="14" s="1"/>
  <c r="G352" i="14" s="1"/>
  <c r="F353" i="14"/>
  <c r="G353" i="14" s="1"/>
  <c r="F686" i="3"/>
  <c r="F637" i="14"/>
  <c r="F393" i="3"/>
  <c r="G801" i="5"/>
  <c r="F397" i="3"/>
  <c r="G808" i="5"/>
  <c r="G735" i="5"/>
  <c r="G737" i="5"/>
  <c r="F272" i="3"/>
  <c r="G765" i="5"/>
  <c r="F401" i="3"/>
  <c r="G815" i="5"/>
  <c r="G733" i="5"/>
  <c r="G731" i="5"/>
  <c r="F227" i="3"/>
  <c r="F323" i="3"/>
  <c r="G367" i="5"/>
  <c r="F306" i="3"/>
  <c r="G75" i="5"/>
  <c r="F314" i="3"/>
  <c r="F310" i="3"/>
  <c r="F223" i="3"/>
  <c r="F209" i="3"/>
  <c r="F213" i="3"/>
  <c r="F195" i="3"/>
  <c r="F176" i="14"/>
  <c r="G176" i="14" s="1"/>
  <c r="F171" i="3"/>
  <c r="F146" i="3"/>
  <c r="F92" i="3"/>
  <c r="F101" i="3"/>
  <c r="G433" i="14" l="1"/>
  <c r="H131" i="16"/>
  <c r="H130" i="16" s="1"/>
  <c r="H129" i="16" s="1"/>
  <c r="H128" i="16" s="1"/>
  <c r="H127" i="16" s="1"/>
  <c r="H109" i="16" s="1"/>
  <c r="H133" i="16"/>
  <c r="H955" i="15"/>
  <c r="H954" i="15" s="1"/>
  <c r="G955" i="15"/>
  <c r="G954" i="15" s="1"/>
  <c r="G637" i="14"/>
  <c r="G636" i="14" s="1"/>
  <c r="F636" i="14"/>
  <c r="G432" i="14"/>
  <c r="G431" i="14" s="1"/>
  <c r="F431" i="14"/>
  <c r="G645" i="14"/>
  <c r="F645" i="14"/>
  <c r="G1038" i="4"/>
  <c r="G73" i="5"/>
  <c r="G816" i="5"/>
  <c r="G802" i="5"/>
  <c r="G734" i="5"/>
  <c r="G730" i="5"/>
  <c r="G809" i="5"/>
  <c r="F191" i="3"/>
  <c r="F271" i="3"/>
  <c r="F396" i="3"/>
  <c r="F382" i="14"/>
  <c r="G382" i="14" s="1"/>
  <c r="F363" i="3"/>
  <c r="F348" i="14" s="1"/>
  <c r="G348" i="14" s="1"/>
  <c r="F349" i="14"/>
  <c r="G349" i="14" s="1"/>
  <c r="F410" i="3"/>
  <c r="F160" i="3"/>
  <c r="F153" i="14" s="1"/>
  <c r="G153" i="14" s="1"/>
  <c r="F154" i="14"/>
  <c r="G154" i="14" s="1"/>
  <c r="F145" i="3"/>
  <c r="F400" i="3"/>
  <c r="F386" i="14"/>
  <c r="G386" i="14" s="1"/>
  <c r="F392" i="3"/>
  <c r="F378" i="14"/>
  <c r="G378" i="14" s="1"/>
  <c r="F170" i="3"/>
  <c r="F358" i="3"/>
  <c r="F343" i="14" s="1"/>
  <c r="F309" i="3"/>
  <c r="F308" i="3" s="1"/>
  <c r="F313" i="3"/>
  <c r="F303" i="14"/>
  <c r="G303" i="14" s="1"/>
  <c r="F322" i="3"/>
  <c r="F446" i="3"/>
  <c r="F194" i="3"/>
  <c r="F305" i="3"/>
  <c r="F295" i="14"/>
  <c r="G295" i="14" s="1"/>
  <c r="F366" i="3"/>
  <c r="F351" i="14" s="1"/>
  <c r="G351" i="14" s="1"/>
  <c r="F267" i="3"/>
  <c r="F266" i="3" s="1"/>
  <c r="F283" i="3"/>
  <c r="F233" i="3"/>
  <c r="F228" i="14"/>
  <c r="G228" i="14" s="1"/>
  <c r="G764" i="5"/>
  <c r="G766" i="5"/>
  <c r="G366" i="5"/>
  <c r="G368" i="5"/>
  <c r="G87" i="5"/>
  <c r="G89" i="5"/>
  <c r="G80" i="5"/>
  <c r="G82" i="5"/>
  <c r="F100" i="3"/>
  <c r="G401" i="5"/>
  <c r="F91" i="3"/>
  <c r="G387" i="5"/>
  <c r="F109" i="3"/>
  <c r="F114" i="3"/>
  <c r="F62" i="3"/>
  <c r="F57" i="3"/>
  <c r="F39" i="3"/>
  <c r="F18" i="3"/>
  <c r="F321" i="3" l="1"/>
  <c r="F320" i="3" s="1"/>
  <c r="F294" i="14"/>
  <c r="F304" i="3"/>
  <c r="F302" i="14"/>
  <c r="F312" i="3"/>
  <c r="G343" i="14"/>
  <c r="G395" i="14"/>
  <c r="G394" i="14" s="1"/>
  <c r="F395" i="14"/>
  <c r="F394" i="14" s="1"/>
  <c r="G365" i="5"/>
  <c r="G364" i="5" s="1"/>
  <c r="G763" i="5"/>
  <c r="G388" i="5"/>
  <c r="G729" i="5"/>
  <c r="G79" i="5"/>
  <c r="G78" i="5" s="1"/>
  <c r="G86" i="5"/>
  <c r="G85" i="5" s="1"/>
  <c r="F38" i="3"/>
  <c r="F42" i="14" s="1"/>
  <c r="F43" i="14"/>
  <c r="G43" i="14" s="1"/>
  <c r="F56" i="3"/>
  <c r="F270" i="3"/>
  <c r="F61" i="3"/>
  <c r="F113" i="3"/>
  <c r="F174" i="14"/>
  <c r="G174" i="14" s="1"/>
  <c r="F175" i="14"/>
  <c r="G175" i="14" s="1"/>
  <c r="F99" i="3"/>
  <c r="F98" i="3" s="1"/>
  <c r="F282" i="3"/>
  <c r="F232" i="3"/>
  <c r="F227" i="14"/>
  <c r="F391" i="3"/>
  <c r="F377" i="14"/>
  <c r="F17" i="3"/>
  <c r="G18" i="14" s="1"/>
  <c r="F169" i="3"/>
  <c r="F399" i="3"/>
  <c r="F385" i="14"/>
  <c r="F144" i="3"/>
  <c r="F409" i="3"/>
  <c r="F395" i="3"/>
  <c r="F381" i="14"/>
  <c r="G400" i="5"/>
  <c r="G402" i="5"/>
  <c r="G302" i="14" l="1"/>
  <c r="G301" i="14" s="1"/>
  <c r="F301" i="14"/>
  <c r="G294" i="14"/>
  <c r="G293" i="14" s="1"/>
  <c r="F293" i="14"/>
  <c r="G42" i="14"/>
  <c r="G1065" i="15"/>
  <c r="G1064" i="15" s="1"/>
  <c r="F60" i="3"/>
  <c r="F303" i="3"/>
  <c r="G381" i="14"/>
  <c r="G380" i="14" s="1"/>
  <c r="F380" i="14"/>
  <c r="G377" i="14"/>
  <c r="G376" i="14" s="1"/>
  <c r="F376" i="14"/>
  <c r="G227" i="14"/>
  <c r="G226" i="14" s="1"/>
  <c r="G225" i="14" s="1"/>
  <c r="G224" i="14" s="1"/>
  <c r="G223" i="14" s="1"/>
  <c r="F226" i="14"/>
  <c r="F225" i="14" s="1"/>
  <c r="F224" i="14" s="1"/>
  <c r="F223" i="14" s="1"/>
  <c r="G271" i="14"/>
  <c r="F271" i="14"/>
  <c r="F270" i="14" s="1"/>
  <c r="F269" i="14" s="1"/>
  <c r="D25" i="13" s="1"/>
  <c r="G385" i="14"/>
  <c r="G384" i="14" s="1"/>
  <c r="F384" i="14"/>
  <c r="F259" i="14"/>
  <c r="G84" i="5"/>
  <c r="G83" i="5" s="1"/>
  <c r="G728" i="5"/>
  <c r="G399" i="5"/>
  <c r="G398" i="5" s="1"/>
  <c r="G397" i="5" s="1"/>
  <c r="G396" i="5" s="1"/>
  <c r="G762" i="5"/>
  <c r="F231" i="3"/>
  <c r="F112" i="3"/>
  <c r="H495" i="15"/>
  <c r="G292" i="14" l="1"/>
  <c r="G291" i="14" s="1"/>
  <c r="F292" i="14"/>
  <c r="F291" i="14" s="1"/>
  <c r="H494" i="15"/>
  <c r="H841" i="15"/>
  <c r="F144" i="14"/>
  <c r="F143" i="14" s="1"/>
  <c r="G840" i="15"/>
  <c r="H1065" i="15"/>
  <c r="H1064" i="15" s="1"/>
  <c r="G77" i="5"/>
  <c r="G76" i="5" s="1"/>
  <c r="G363" i="5"/>
  <c r="G362" i="5" s="1"/>
  <c r="G761" i="5"/>
  <c r="G727" i="5"/>
  <c r="F302" i="3"/>
  <c r="F230" i="3"/>
  <c r="G50" i="14" l="1"/>
  <c r="G56" i="15"/>
  <c r="F49" i="14"/>
  <c r="H840" i="15"/>
  <c r="G144" i="14"/>
  <c r="G143" i="14" s="1"/>
  <c r="G1060" i="15"/>
  <c r="G1059" i="15" s="1"/>
  <c r="F1056" i="3"/>
  <c r="F813" i="3"/>
  <c r="F812" i="3" s="1"/>
  <c r="F107" i="3"/>
  <c r="G760" i="5"/>
  <c r="G361" i="5"/>
  <c r="F229" i="3"/>
  <c r="G1080" i="4"/>
  <c r="G1001" i="4"/>
  <c r="H895" i="15"/>
  <c r="H17" i="15" l="1"/>
  <c r="G16" i="15"/>
  <c r="F120" i="14"/>
  <c r="F119" i="14" s="1"/>
  <c r="F747" i="14"/>
  <c r="F746" i="14" s="1"/>
  <c r="F745" i="14" s="1"/>
  <c r="G362" i="15"/>
  <c r="G361" i="15" s="1"/>
  <c r="G360" i="15" s="1"/>
  <c r="H56" i="15"/>
  <c r="G49" i="14"/>
  <c r="H1060" i="15"/>
  <c r="H1059" i="15" s="1"/>
  <c r="G22" i="14"/>
  <c r="G21" i="14" s="1"/>
  <c r="F21" i="14"/>
  <c r="H363" i="15"/>
  <c r="G482" i="16"/>
  <c r="F106" i="3"/>
  <c r="G1000" i="4"/>
  <c r="G916" i="15" s="1"/>
  <c r="H916" i="15" s="1"/>
  <c r="G917" i="15"/>
  <c r="H917" i="15" s="1"/>
  <c r="G1079" i="4"/>
  <c r="F331" i="3"/>
  <c r="F320" i="14" s="1"/>
  <c r="G320" i="14" s="1"/>
  <c r="G880" i="15"/>
  <c r="H880" i="15" s="1"/>
  <c r="F20" i="3"/>
  <c r="G959" i="4"/>
  <c r="G879" i="15" s="1"/>
  <c r="H879" i="15" s="1"/>
  <c r="H482" i="16" l="1"/>
  <c r="H481" i="16" s="1"/>
  <c r="H480" i="16" s="1"/>
  <c r="H479" i="16" s="1"/>
  <c r="H478" i="16" s="1"/>
  <c r="H465" i="16" s="1"/>
  <c r="G747" i="14"/>
  <c r="G746" i="14" s="1"/>
  <c r="G745" i="14" s="1"/>
  <c r="H362" i="15"/>
  <c r="H361" i="15" s="1"/>
  <c r="H360" i="15" s="1"/>
  <c r="H16" i="15"/>
  <c r="G120" i="14"/>
  <c r="G119" i="14" s="1"/>
  <c r="G118" i="14" s="1"/>
  <c r="G483" i="16"/>
  <c r="G481" i="16"/>
  <c r="G480" i="16" s="1"/>
  <c r="G479" i="16" s="1"/>
  <c r="G478" i="16" s="1"/>
  <c r="G465" i="16" s="1"/>
  <c r="G217" i="4"/>
  <c r="H483" i="16" l="1"/>
  <c r="G216" i="4"/>
  <c r="H216" i="15"/>
  <c r="H215" i="15" s="1"/>
  <c r="H214" i="15" s="1"/>
  <c r="H213" i="15" s="1"/>
  <c r="G101" i="4"/>
  <c r="G92" i="4"/>
  <c r="G215" i="4" l="1"/>
  <c r="F95" i="14"/>
  <c r="F94" i="14" s="1"/>
  <c r="F91" i="14" s="1"/>
  <c r="F90" i="14" s="1"/>
  <c r="G98" i="15"/>
  <c r="G95" i="15" s="1"/>
  <c r="G94" i="15" s="1"/>
  <c r="F89" i="14"/>
  <c r="F88" i="14" s="1"/>
  <c r="F87" i="14" s="1"/>
  <c r="G92" i="15"/>
  <c r="G91" i="15" s="1"/>
  <c r="H93" i="15"/>
  <c r="H99" i="15"/>
  <c r="H377" i="16" s="1"/>
  <c r="G100" i="4"/>
  <c r="G99" i="4" s="1"/>
  <c r="G110" i="15"/>
  <c r="G111" i="15"/>
  <c r="H111" i="15" s="1"/>
  <c r="G94" i="4"/>
  <c r="F94" i="3"/>
  <c r="G88" i="4"/>
  <c r="F88" i="3"/>
  <c r="H110" i="15" l="1"/>
  <c r="H378" i="16"/>
  <c r="H376" i="16"/>
  <c r="H372" i="16" s="1"/>
  <c r="H371" i="16" s="1"/>
  <c r="H362" i="16"/>
  <c r="H363" i="16" s="1"/>
  <c r="G89" i="14"/>
  <c r="G88" i="14" s="1"/>
  <c r="G87" i="14" s="1"/>
  <c r="H92" i="15"/>
  <c r="H91" i="15" s="1"/>
  <c r="G95" i="14"/>
  <c r="G94" i="14" s="1"/>
  <c r="H98" i="15"/>
  <c r="H95" i="15" s="1"/>
  <c r="H94" i="15" s="1"/>
  <c r="G91" i="4"/>
  <c r="G90" i="4" s="1"/>
  <c r="G87" i="4"/>
  <c r="F87" i="3"/>
  <c r="G375" i="5"/>
  <c r="F93" i="3"/>
  <c r="G390" i="5"/>
  <c r="G359" i="4"/>
  <c r="G349" i="4"/>
  <c r="H361" i="16" l="1"/>
  <c r="H360" i="16" s="1"/>
  <c r="H359" i="16" s="1"/>
  <c r="H358" i="16" s="1"/>
  <c r="G86" i="4"/>
  <c r="G85" i="4" s="1"/>
  <c r="G1214" i="4" s="1"/>
  <c r="G348" i="4"/>
  <c r="G344" i="15" s="1"/>
  <c r="H344" i="15" s="1"/>
  <c r="G345" i="15"/>
  <c r="H345" i="15" s="1"/>
  <c r="G358" i="4"/>
  <c r="G376" i="5"/>
  <c r="G391" i="5"/>
  <c r="F90" i="3"/>
  <c r="F89" i="3" s="1"/>
  <c r="G91" i="14"/>
  <c r="G90" i="14" s="1"/>
  <c r="F86" i="3"/>
  <c r="G423" i="4"/>
  <c r="H357" i="16" l="1"/>
  <c r="H90" i="15"/>
  <c r="G90" i="15"/>
  <c r="G357" i="4"/>
  <c r="F85" i="3"/>
  <c r="G44" i="6"/>
  <c r="G43" i="6" s="1"/>
  <c r="G42" i="6" s="1"/>
  <c r="G41" i="6" s="1"/>
  <c r="G20" i="6"/>
  <c r="G532" i="11"/>
  <c r="G531" i="11" s="1"/>
  <c r="G530" i="11" s="1"/>
  <c r="G529" i="11" s="1"/>
  <c r="G528" i="11" s="1"/>
  <c r="G527" i="11" s="1"/>
  <c r="G533" i="11" s="1"/>
  <c r="G525" i="11"/>
  <c r="G524" i="11" s="1"/>
  <c r="G523" i="11" s="1"/>
  <c r="G522" i="11" s="1"/>
  <c r="G519" i="11"/>
  <c r="G518" i="11" s="1"/>
  <c r="G517" i="11" s="1"/>
  <c r="G516" i="11"/>
  <c r="G515" i="11" s="1"/>
  <c r="G514" i="11" s="1"/>
  <c r="G509" i="11"/>
  <c r="G508" i="11" s="1"/>
  <c r="G507" i="11" s="1"/>
  <c r="G506" i="11"/>
  <c r="G505" i="11" s="1"/>
  <c r="G504" i="11" s="1"/>
  <c r="G503" i="11"/>
  <c r="G502" i="11" s="1"/>
  <c r="G501" i="11" s="1"/>
  <c r="G497" i="11"/>
  <c r="G496" i="11" s="1"/>
  <c r="G495" i="11"/>
  <c r="G494" i="11" s="1"/>
  <c r="G492" i="11"/>
  <c r="G491" i="11" s="1"/>
  <c r="G490" i="11" s="1"/>
  <c r="G485" i="11"/>
  <c r="G484" i="11" s="1"/>
  <c r="G483" i="11" s="1"/>
  <c r="G481" i="11"/>
  <c r="G480" i="11" s="1"/>
  <c r="G479" i="11"/>
  <c r="G478" i="11" s="1"/>
  <c r="G477" i="11" s="1"/>
  <c r="G476" i="11"/>
  <c r="G475" i="11" s="1"/>
  <c r="G474" i="11" s="1"/>
  <c r="G473" i="11"/>
  <c r="G472" i="11" s="1"/>
  <c r="G471" i="11" s="1"/>
  <c r="G470" i="11"/>
  <c r="G469" i="11" s="1"/>
  <c r="G468" i="11" s="1"/>
  <c r="G467" i="11"/>
  <c r="G466" i="11" s="1"/>
  <c r="G465" i="11" s="1"/>
  <c r="G462" i="11"/>
  <c r="G461" i="11" s="1"/>
  <c r="G464" i="11" s="1"/>
  <c r="G456" i="11"/>
  <c r="G455" i="11" s="1"/>
  <c r="G454" i="11" s="1"/>
  <c r="G453" i="11" s="1"/>
  <c r="G452" i="11" s="1"/>
  <c r="G451" i="11" s="1"/>
  <c r="G457" i="11" s="1"/>
  <c r="G449" i="11"/>
  <c r="G448" i="11" s="1"/>
  <c r="G447" i="11" s="1"/>
  <c r="G446" i="11"/>
  <c r="G445" i="11" s="1"/>
  <c r="G444" i="11" s="1"/>
  <c r="G443" i="11"/>
  <c r="G442" i="11" s="1"/>
  <c r="G441" i="11" s="1"/>
  <c r="G440" i="11"/>
  <c r="G439" i="11" s="1"/>
  <c r="G438" i="11"/>
  <c r="G437" i="11" s="1"/>
  <c r="G431" i="11"/>
  <c r="G430" i="11" s="1"/>
  <c r="G429" i="11" s="1"/>
  <c r="G428" i="11"/>
  <c r="G427" i="11" s="1"/>
  <c r="G426" i="11" s="1"/>
  <c r="G425" i="11"/>
  <c r="G424" i="11" s="1"/>
  <c r="G423" i="11" s="1"/>
  <c r="G416" i="11"/>
  <c r="G415" i="11" s="1"/>
  <c r="G414" i="11"/>
  <c r="G413" i="11" s="1"/>
  <c r="G412" i="11" s="1"/>
  <c r="G411" i="11" s="1"/>
  <c r="G410" i="11" s="1"/>
  <c r="G409" i="11" s="1"/>
  <c r="G418" i="11" s="1"/>
  <c r="G408" i="11"/>
  <c r="G405" i="11"/>
  <c r="G403" i="11"/>
  <c r="G402" i="11" s="1"/>
  <c r="G401" i="11" s="1"/>
  <c r="G400" i="11"/>
  <c r="G399" i="11" s="1"/>
  <c r="G397" i="11"/>
  <c r="G393" i="11"/>
  <c r="G392" i="11" s="1"/>
  <c r="G395" i="11" s="1"/>
  <c r="G389" i="11"/>
  <c r="G388" i="11" s="1"/>
  <c r="G391" i="11" s="1"/>
  <c r="G385" i="11"/>
  <c r="G384" i="11" s="1"/>
  <c r="G387" i="11" s="1"/>
  <c r="G382" i="11"/>
  <c r="G381" i="11" s="1"/>
  <c r="G380" i="11" s="1"/>
  <c r="G383" i="11" s="1"/>
  <c r="G379" i="11"/>
  <c r="G378" i="11" s="1"/>
  <c r="G377" i="11" s="1"/>
  <c r="G371" i="11"/>
  <c r="G370" i="11" s="1"/>
  <c r="G368" i="11"/>
  <c r="G367" i="11" s="1"/>
  <c r="G366" i="11" s="1"/>
  <c r="G365" i="11"/>
  <c r="G364" i="11" s="1"/>
  <c r="G363" i="11" s="1"/>
  <c r="G360" i="11"/>
  <c r="G359" i="11" s="1"/>
  <c r="G358" i="11"/>
  <c r="G357" i="11" s="1"/>
  <c r="G356" i="11" s="1"/>
  <c r="G350" i="11"/>
  <c r="G349" i="11" s="1"/>
  <c r="G347" i="11"/>
  <c r="G346" i="11" s="1"/>
  <c r="G345" i="11" s="1"/>
  <c r="G342" i="11"/>
  <c r="G341" i="11" s="1"/>
  <c r="G338" i="11"/>
  <c r="G337" i="11" s="1"/>
  <c r="G334" i="11"/>
  <c r="G333" i="11" s="1"/>
  <c r="G332" i="11"/>
  <c r="G331" i="11" s="1"/>
  <c r="G330" i="11" s="1"/>
  <c r="G324" i="11"/>
  <c r="G323" i="11" s="1"/>
  <c r="G322" i="11"/>
  <c r="G321" i="11" s="1"/>
  <c r="G314" i="11"/>
  <c r="G313" i="11" s="1"/>
  <c r="G310" i="11"/>
  <c r="G309" i="11" s="1"/>
  <c r="G307" i="11"/>
  <c r="G306" i="11" s="1"/>
  <c r="G305" i="11" s="1"/>
  <c r="G304" i="11"/>
  <c r="G303" i="11" s="1"/>
  <c r="G302" i="11" s="1"/>
  <c r="G301" i="11" s="1"/>
  <c r="G299" i="11"/>
  <c r="G298" i="11" s="1"/>
  <c r="G297" i="11" s="1"/>
  <c r="G292" i="11"/>
  <c r="G291" i="11" s="1"/>
  <c r="G290" i="11" s="1"/>
  <c r="G287" i="11"/>
  <c r="G286" i="11" s="1"/>
  <c r="G283" i="11"/>
  <c r="G282" i="11" s="1"/>
  <c r="G281" i="11"/>
  <c r="G280" i="11" s="1"/>
  <c r="G279" i="11" s="1"/>
  <c r="G278" i="11" s="1"/>
  <c r="G277" i="11"/>
  <c r="G276" i="11" s="1"/>
  <c r="G275" i="11" s="1"/>
  <c r="G269" i="11"/>
  <c r="G268" i="11" s="1"/>
  <c r="G267" i="11" s="1"/>
  <c r="G266" i="11" s="1"/>
  <c r="G265" i="11" s="1"/>
  <c r="G264" i="11" s="1"/>
  <c r="G270" i="11" s="1"/>
  <c r="G262" i="11"/>
  <c r="G261" i="11" s="1"/>
  <c r="G260" i="11" s="1"/>
  <c r="G259" i="11" s="1"/>
  <c r="G258" i="11" s="1"/>
  <c r="G257" i="11" s="1"/>
  <c r="G255" i="11"/>
  <c r="G254" i="11" s="1"/>
  <c r="G253" i="11" s="1"/>
  <c r="G252" i="11" s="1"/>
  <c r="G251" i="11" s="1"/>
  <c r="G250" i="11" s="1"/>
  <c r="G256" i="11" s="1"/>
  <c r="G247" i="11"/>
  <c r="G246" i="11" s="1"/>
  <c r="G245" i="11" s="1"/>
  <c r="G244" i="11" s="1"/>
  <c r="G243" i="11" s="1"/>
  <c r="G242" i="11" s="1"/>
  <c r="G248" i="11" s="1"/>
  <c r="G240" i="11"/>
  <c r="G239" i="11" s="1"/>
  <c r="G238" i="11" s="1"/>
  <c r="G237" i="11"/>
  <c r="G236" i="11" s="1"/>
  <c r="G235" i="11" s="1"/>
  <c r="G234" i="11"/>
  <c r="G233" i="11" s="1"/>
  <c r="G232" i="11"/>
  <c r="G231" i="11" s="1"/>
  <c r="G229" i="11"/>
  <c r="G228" i="11" s="1"/>
  <c r="G227" i="11" s="1"/>
  <c r="G222" i="11"/>
  <c r="G221" i="11" s="1"/>
  <c r="G220" i="11" s="1"/>
  <c r="G215" i="11"/>
  <c r="G214" i="11" s="1"/>
  <c r="G213" i="11" s="1"/>
  <c r="G212" i="11" s="1"/>
  <c r="G211" i="11" s="1"/>
  <c r="G210" i="11" s="1"/>
  <c r="G216" i="11" s="1"/>
  <c r="G206" i="11"/>
  <c r="G205" i="11" s="1"/>
  <c r="G201" i="11"/>
  <c r="G200" i="11" s="1"/>
  <c r="G204" i="11" s="1"/>
  <c r="G198" i="11"/>
  <c r="G197" i="11" s="1"/>
  <c r="G196" i="11" s="1"/>
  <c r="G195" i="11"/>
  <c r="G193" i="11"/>
  <c r="G192" i="11" s="1"/>
  <c r="G191" i="11" s="1"/>
  <c r="G190" i="11" s="1"/>
  <c r="G189" i="11" s="1"/>
  <c r="G185" i="11"/>
  <c r="G184" i="11" s="1"/>
  <c r="G181" i="11"/>
  <c r="G180" i="11" s="1"/>
  <c r="G178" i="11"/>
  <c r="G177" i="11" s="1"/>
  <c r="G176" i="11" s="1"/>
  <c r="G175" i="11"/>
  <c r="G174" i="11" s="1"/>
  <c r="G173" i="11" s="1"/>
  <c r="G172" i="11"/>
  <c r="G171" i="11" s="1"/>
  <c r="G170" i="11" s="1"/>
  <c r="G169" i="11"/>
  <c r="G168" i="11" s="1"/>
  <c r="G167" i="11" s="1"/>
  <c r="G166" i="11"/>
  <c r="G165" i="11" s="1"/>
  <c r="G164" i="11" s="1"/>
  <c r="G159" i="11"/>
  <c r="G158" i="11" s="1"/>
  <c r="G157" i="11"/>
  <c r="G155" i="11"/>
  <c r="G154" i="11" s="1"/>
  <c r="G151" i="11"/>
  <c r="G150" i="11" s="1"/>
  <c r="G153" i="11" s="1"/>
  <c r="G147" i="11"/>
  <c r="G146" i="11" s="1"/>
  <c r="G149" i="11" s="1"/>
  <c r="G143" i="11"/>
  <c r="G142" i="11" s="1"/>
  <c r="G138" i="11"/>
  <c r="G137" i="11" s="1"/>
  <c r="G135" i="11"/>
  <c r="G134" i="11" s="1"/>
  <c r="G133" i="11" s="1"/>
  <c r="G131" i="11"/>
  <c r="G130" i="11" s="1"/>
  <c r="G129" i="11" s="1"/>
  <c r="G126" i="11"/>
  <c r="G125" i="11" s="1"/>
  <c r="G122" i="11"/>
  <c r="G121" i="11" s="1"/>
  <c r="G116" i="11"/>
  <c r="G115" i="11" s="1"/>
  <c r="G114" i="11" s="1"/>
  <c r="G113" i="11" s="1"/>
  <c r="G112" i="11"/>
  <c r="G111" i="11" s="1"/>
  <c r="G110" i="11" s="1"/>
  <c r="G109" i="11" s="1"/>
  <c r="G108" i="11"/>
  <c r="G107" i="11" s="1"/>
  <c r="G106" i="11" s="1"/>
  <c r="G105" i="11" s="1"/>
  <c r="G100" i="11"/>
  <c r="G99" i="11" s="1"/>
  <c r="G98" i="11" s="1"/>
  <c r="G97" i="11" s="1"/>
  <c r="G96" i="11" s="1"/>
  <c r="G95" i="11" s="1"/>
  <c r="G101" i="11" s="1"/>
  <c r="G90" i="11"/>
  <c r="G89" i="11" s="1"/>
  <c r="G94" i="11" s="1"/>
  <c r="G86" i="11"/>
  <c r="G85" i="11" s="1"/>
  <c r="G88" i="11" s="1"/>
  <c r="G84" i="11"/>
  <c r="G82" i="11"/>
  <c r="G81" i="11" s="1"/>
  <c r="G79" i="11"/>
  <c r="G78" i="11" s="1"/>
  <c r="G77" i="11" s="1"/>
  <c r="G76" i="11"/>
  <c r="G75" i="11" s="1"/>
  <c r="G73" i="11"/>
  <c r="G67" i="11"/>
  <c r="G66" i="11" s="1"/>
  <c r="G65" i="11" s="1"/>
  <c r="G64" i="11" s="1"/>
  <c r="G63" i="11" s="1"/>
  <c r="G62" i="11" s="1"/>
  <c r="G68" i="11" s="1"/>
  <c r="G60" i="11"/>
  <c r="G59" i="11" s="1"/>
  <c r="G58" i="11" s="1"/>
  <c r="G57" i="11" s="1"/>
  <c r="G56" i="11" s="1"/>
  <c r="G55" i="11" s="1"/>
  <c r="G61" i="11" s="1"/>
  <c r="G53" i="11"/>
  <c r="G52" i="11" s="1"/>
  <c r="G51" i="11"/>
  <c r="G50" i="11" s="1"/>
  <c r="G44" i="11"/>
  <c r="G43" i="11" s="1"/>
  <c r="G42" i="11" s="1"/>
  <c r="G41" i="11" s="1"/>
  <c r="G40" i="11" s="1"/>
  <c r="G39" i="11" s="1"/>
  <c r="G45" i="11" s="1"/>
  <c r="G37" i="11"/>
  <c r="G36" i="11" s="1"/>
  <c r="G35" i="11" s="1"/>
  <c r="G34" i="11" s="1"/>
  <c r="G33" i="11" s="1"/>
  <c r="G32" i="11" s="1"/>
  <c r="G38" i="11" s="1"/>
  <c r="G30" i="11"/>
  <c r="G29" i="11" s="1"/>
  <c r="G28" i="11" s="1"/>
  <c r="G27" i="11"/>
  <c r="G26" i="11" s="1"/>
  <c r="G23" i="11" s="1"/>
  <c r="G24" i="11"/>
  <c r="G17" i="11"/>
  <c r="G16" i="11" s="1"/>
  <c r="G15" i="11"/>
  <c r="G14" i="11" s="1"/>
  <c r="G949" i="5"/>
  <c r="G942" i="5"/>
  <c r="G875" i="5"/>
  <c r="G866" i="5"/>
  <c r="G861" i="5"/>
  <c r="G881" i="5"/>
  <c r="G871" i="5"/>
  <c r="G900" i="5"/>
  <c r="G850" i="5"/>
  <c r="G842" i="5"/>
  <c r="G838" i="5"/>
  <c r="G834" i="5"/>
  <c r="G830" i="5"/>
  <c r="G814" i="5"/>
  <c r="G807" i="5"/>
  <c r="G758" i="5"/>
  <c r="G717" i="5"/>
  <c r="G710" i="5"/>
  <c r="G725" i="5"/>
  <c r="G676" i="5"/>
  <c r="G659" i="5"/>
  <c r="G650" i="5"/>
  <c r="G443" i="5"/>
  <c r="G432" i="5"/>
  <c r="G433" i="5" s="1"/>
  <c r="G428" i="5"/>
  <c r="G409" i="5"/>
  <c r="G386" i="5"/>
  <c r="G233" i="5"/>
  <c r="G280" i="5"/>
  <c r="G251" i="5"/>
  <c r="G219" i="5"/>
  <c r="G72" i="5"/>
  <c r="G71" i="5" s="1"/>
  <c r="G56" i="5"/>
  <c r="G973" i="10"/>
  <c r="G972" i="10"/>
  <c r="G971" i="10" s="1"/>
  <c r="G969" i="10"/>
  <c r="G961" i="10"/>
  <c r="G960" i="10" s="1"/>
  <c r="G959" i="10" s="1"/>
  <c r="G958" i="10" s="1"/>
  <c r="G956" i="10"/>
  <c r="G955" i="10" s="1"/>
  <c r="G954" i="10" s="1"/>
  <c r="G951" i="10"/>
  <c r="G949" i="10"/>
  <c r="G943" i="10"/>
  <c r="G941" i="10"/>
  <c r="G939" i="10"/>
  <c r="G933" i="10"/>
  <c r="G931" i="10" s="1"/>
  <c r="G930" i="10" s="1"/>
  <c r="G929" i="10" s="1"/>
  <c r="G928" i="10" s="1"/>
  <c r="G927" i="10" s="1"/>
  <c r="G923" i="10"/>
  <c r="G922" i="10" s="1"/>
  <c r="G921" i="10" s="1"/>
  <c r="G920" i="10" s="1"/>
  <c r="G919" i="10" s="1"/>
  <c r="G918" i="10" s="1"/>
  <c r="G917" i="10"/>
  <c r="G916" i="10" s="1"/>
  <c r="G915" i="10"/>
  <c r="G914" i="10" s="1"/>
  <c r="G911" i="10"/>
  <c r="G910" i="10" s="1"/>
  <c r="G908" i="10"/>
  <c r="G907" i="10"/>
  <c r="G905" i="10"/>
  <c r="G904" i="10"/>
  <c r="G903" i="10" s="1"/>
  <c r="G897" i="10"/>
  <c r="G896" i="10" s="1"/>
  <c r="G894" i="10"/>
  <c r="G893" i="10" s="1"/>
  <c r="G892" i="10" s="1"/>
  <c r="G890" i="10"/>
  <c r="G889" i="10"/>
  <c r="G887" i="10"/>
  <c r="G886" i="10"/>
  <c r="G884" i="10"/>
  <c r="G883" i="10"/>
  <c r="G882" i="10"/>
  <c r="G881" i="10" s="1"/>
  <c r="G880" i="10" s="1"/>
  <c r="G876" i="10"/>
  <c r="G875" i="10" s="1"/>
  <c r="G874" i="10" s="1"/>
  <c r="G1008" i="10" s="1"/>
  <c r="G872" i="10"/>
  <c r="G871" i="10" s="1"/>
  <c r="G869" i="10"/>
  <c r="G868" i="10" s="1"/>
  <c r="G866" i="10"/>
  <c r="G865" i="10" s="1"/>
  <c r="G863" i="10"/>
  <c r="G862" i="10"/>
  <c r="G861" i="10" s="1"/>
  <c r="G857" i="10"/>
  <c r="G856" i="10" s="1"/>
  <c r="G854" i="10"/>
  <c r="G853" i="10" s="1"/>
  <c r="G851" i="10"/>
  <c r="G850" i="10" s="1"/>
  <c r="G845" i="10"/>
  <c r="G844" i="10" s="1"/>
  <c r="G841" i="10"/>
  <c r="G840" i="10"/>
  <c r="G839" i="10" s="1"/>
  <c r="G835" i="10"/>
  <c r="G834" i="10" s="1"/>
  <c r="G832" i="10"/>
  <c r="G831" i="10" s="1"/>
  <c r="G830" i="10"/>
  <c r="G829" i="10" s="1"/>
  <c r="G828" i="10" s="1"/>
  <c r="G825" i="10"/>
  <c r="G824" i="10" s="1"/>
  <c r="G823" i="10" s="1"/>
  <c r="G821" i="10"/>
  <c r="G820" i="10" s="1"/>
  <c r="G819" i="10"/>
  <c r="G818" i="10" s="1"/>
  <c r="G817" i="10" s="1"/>
  <c r="G816" i="10"/>
  <c r="G815" i="10" s="1"/>
  <c r="G814" i="10" s="1"/>
  <c r="G813" i="10"/>
  <c r="G812" i="10" s="1"/>
  <c r="G811" i="10" s="1"/>
  <c r="G810" i="10"/>
  <c r="G809" i="10" s="1"/>
  <c r="G808" i="10" s="1"/>
  <c r="G806" i="10"/>
  <c r="G805" i="10" s="1"/>
  <c r="G803" i="10"/>
  <c r="G802" i="10" s="1"/>
  <c r="G799" i="10"/>
  <c r="G798" i="10" s="1"/>
  <c r="G797" i="10" s="1"/>
  <c r="G796" i="10"/>
  <c r="G795" i="10" s="1"/>
  <c r="G793" i="10"/>
  <c r="G789" i="10"/>
  <c r="G788" i="10" s="1"/>
  <c r="G787" i="10" s="1"/>
  <c r="G783" i="10"/>
  <c r="G782" i="10" s="1"/>
  <c r="G781" i="10"/>
  <c r="G780" i="10" s="1"/>
  <c r="G775" i="10"/>
  <c r="G774" i="10" s="1"/>
  <c r="G773" i="10" s="1"/>
  <c r="G772" i="10" s="1"/>
  <c r="G771" i="10" s="1"/>
  <c r="G768" i="10"/>
  <c r="G767" i="10" s="1"/>
  <c r="G766" i="10" s="1"/>
  <c r="G765" i="10" s="1"/>
  <c r="G764" i="10" s="1"/>
  <c r="G763" i="10" s="1"/>
  <c r="G761" i="10"/>
  <c r="G760" i="10"/>
  <c r="G759" i="10" s="1"/>
  <c r="G758" i="10"/>
  <c r="G757" i="10" s="1"/>
  <c r="G753" i="10"/>
  <c r="G752" i="10" s="1"/>
  <c r="G751" i="10" s="1"/>
  <c r="G747" i="10"/>
  <c r="G746" i="10" s="1"/>
  <c r="G745" i="10"/>
  <c r="G744" i="10" s="1"/>
  <c r="G743" i="10"/>
  <c r="G742" i="10" s="1"/>
  <c r="G738" i="10"/>
  <c r="G736" i="10"/>
  <c r="G732" i="10"/>
  <c r="G731" i="10" s="1"/>
  <c r="G729" i="10"/>
  <c r="G723" i="10"/>
  <c r="G722" i="10"/>
  <c r="G721" i="10" s="1"/>
  <c r="G720" i="10" s="1"/>
  <c r="G718" i="10"/>
  <c r="G717" i="10" s="1"/>
  <c r="G715" i="10"/>
  <c r="G714" i="10" s="1"/>
  <c r="G713" i="10"/>
  <c r="G712" i="10" s="1"/>
  <c r="G711" i="10" s="1"/>
  <c r="G710" i="10"/>
  <c r="G709" i="10" s="1"/>
  <c r="G708" i="10" s="1"/>
  <c r="G703" i="10"/>
  <c r="G702" i="10" s="1"/>
  <c r="G701" i="10" s="1"/>
  <c r="G700" i="10"/>
  <c r="G699" i="10" s="1"/>
  <c r="G698" i="10" s="1"/>
  <c r="G696" i="10"/>
  <c r="G695" i="10" s="1"/>
  <c r="G691" i="10"/>
  <c r="G690" i="10" s="1"/>
  <c r="G688" i="10"/>
  <c r="G687" i="10" s="1"/>
  <c r="G685" i="10"/>
  <c r="G684" i="10" s="1"/>
  <c r="G682" i="10"/>
  <c r="G681" i="10" s="1"/>
  <c r="G680" i="10"/>
  <c r="G679" i="10" s="1"/>
  <c r="G678" i="10" s="1"/>
  <c r="G672" i="10"/>
  <c r="G671" i="10" s="1"/>
  <c r="G670" i="10"/>
  <c r="G669" i="10" s="1"/>
  <c r="G668" i="10"/>
  <c r="G667" i="10" s="1"/>
  <c r="G665" i="10"/>
  <c r="G664" i="10" s="1"/>
  <c r="G663" i="10" s="1"/>
  <c r="G661" i="10"/>
  <c r="G660" i="10" s="1"/>
  <c r="G659" i="10"/>
  <c r="G658" i="10" s="1"/>
  <c r="G653" i="10"/>
  <c r="G651" i="10"/>
  <c r="G649" i="10"/>
  <c r="G648" i="10" s="1"/>
  <c r="G647" i="10" s="1"/>
  <c r="G644" i="10"/>
  <c r="G643" i="10" s="1"/>
  <c r="G642" i="10" s="1"/>
  <c r="G640" i="10" s="1"/>
  <c r="G639" i="10" s="1"/>
  <c r="G637" i="10"/>
  <c r="G636" i="10" s="1"/>
  <c r="G635" i="10" s="1"/>
  <c r="G634" i="10" s="1"/>
  <c r="G631" i="10"/>
  <c r="G630" i="10" s="1"/>
  <c r="G628" i="10"/>
  <c r="G627" i="10" s="1"/>
  <c r="G625" i="10"/>
  <c r="G624" i="10" s="1"/>
  <c r="G620" i="10"/>
  <c r="G619" i="10" s="1"/>
  <c r="G618" i="10" s="1"/>
  <c r="G617" i="10"/>
  <c r="G616" i="10" s="1"/>
  <c r="G615" i="10" s="1"/>
  <c r="G614" i="10" s="1"/>
  <c r="G611" i="10"/>
  <c r="G610" i="10" s="1"/>
  <c r="G609" i="10" s="1"/>
  <c r="G608" i="10"/>
  <c r="G607" i="10" s="1"/>
  <c r="G606" i="10" s="1"/>
  <c r="G605" i="10"/>
  <c r="G604" i="10" s="1"/>
  <c r="G603" i="10" s="1"/>
  <c r="G602" i="10"/>
  <c r="G601" i="10" s="1"/>
  <c r="G600" i="10" s="1"/>
  <c r="G599" i="10"/>
  <c r="G598" i="10" s="1"/>
  <c r="G597" i="10" s="1"/>
  <c r="G596" i="10"/>
  <c r="G595" i="10" s="1"/>
  <c r="G594" i="10" s="1"/>
  <c r="G593" i="10"/>
  <c r="G592" i="10" s="1"/>
  <c r="G591" i="10" s="1"/>
  <c r="G590" i="10"/>
  <c r="G589" i="10" s="1"/>
  <c r="G588" i="10" s="1"/>
  <c r="G586" i="10"/>
  <c r="G585" i="10" s="1"/>
  <c r="G583" i="10"/>
  <c r="G582" i="10" s="1"/>
  <c r="G578" i="10"/>
  <c r="G577" i="10" s="1"/>
  <c r="G575" i="10"/>
  <c r="G574" i="10" s="1"/>
  <c r="G572" i="10"/>
  <c r="G571" i="10" s="1"/>
  <c r="G570" i="10"/>
  <c r="G569" i="10" s="1"/>
  <c r="G568" i="10" s="1"/>
  <c r="G566" i="10"/>
  <c r="G565" i="10" s="1"/>
  <c r="G563" i="10"/>
  <c r="G562" i="10" s="1"/>
  <c r="G561" i="10"/>
  <c r="G560" i="10" s="1"/>
  <c r="G559" i="10" s="1"/>
  <c r="G557" i="10"/>
  <c r="G556" i="10" s="1"/>
  <c r="G554" i="10"/>
  <c r="G553" i="10" s="1"/>
  <c r="G551" i="10"/>
  <c r="G550" i="10" s="1"/>
  <c r="G549" i="10" s="1"/>
  <c r="G548" i="10" s="1"/>
  <c r="G545" i="10"/>
  <c r="G544" i="10" s="1"/>
  <c r="G543" i="10" s="1"/>
  <c r="G542" i="10"/>
  <c r="G541" i="10" s="1"/>
  <c r="G540" i="10" s="1"/>
  <c r="G539" i="10"/>
  <c r="G538" i="10" s="1"/>
  <c r="G537" i="10" s="1"/>
  <c r="G536" i="10"/>
  <c r="G535" i="10" s="1"/>
  <c r="G534" i="10" s="1"/>
  <c r="G533" i="10"/>
  <c r="G532" i="10" s="1"/>
  <c r="G531" i="10" s="1"/>
  <c r="G529" i="10"/>
  <c r="G528" i="10" s="1"/>
  <c r="G524" i="10"/>
  <c r="G523" i="10" s="1"/>
  <c r="G521" i="10"/>
  <c r="G520" i="10" s="1"/>
  <c r="G519" i="10"/>
  <c r="G518" i="10" s="1"/>
  <c r="G517" i="10" s="1"/>
  <c r="G515" i="10"/>
  <c r="G514" i="10" s="1"/>
  <c r="G512" i="10"/>
  <c r="G511" i="10" s="1"/>
  <c r="G510" i="10" s="1"/>
  <c r="G509" i="10" s="1"/>
  <c r="G504" i="10"/>
  <c r="G503" i="10" s="1"/>
  <c r="G502" i="10" s="1"/>
  <c r="G501" i="10" s="1"/>
  <c r="G500" i="10" s="1"/>
  <c r="G499" i="10" s="1"/>
  <c r="G497" i="10"/>
  <c r="G496" i="10" s="1"/>
  <c r="G495" i="10" s="1"/>
  <c r="G494" i="10" s="1"/>
  <c r="G493" i="10" s="1"/>
  <c r="G492" i="10" s="1"/>
  <c r="G490" i="10"/>
  <c r="G489" i="10" s="1"/>
  <c r="G487" i="10"/>
  <c r="G486" i="10" s="1"/>
  <c r="G483" i="10"/>
  <c r="G482" i="10" s="1"/>
  <c r="G481" i="10" s="1"/>
  <c r="G480" i="10" s="1"/>
  <c r="G476" i="10"/>
  <c r="G475" i="10" s="1"/>
  <c r="G474" i="10" s="1"/>
  <c r="G473" i="10" s="1"/>
  <c r="G472" i="10" s="1"/>
  <c r="G471" i="10" s="1"/>
  <c r="G470" i="10"/>
  <c r="G469" i="10" s="1"/>
  <c r="G468" i="10"/>
  <c r="G467" i="10" s="1"/>
  <c r="G465" i="10"/>
  <c r="G457" i="10"/>
  <c r="G456" i="10" s="1"/>
  <c r="G455" i="10" s="1"/>
  <c r="G452" i="10"/>
  <c r="G451" i="10" s="1"/>
  <c r="G449" i="10"/>
  <c r="G448" i="10" s="1"/>
  <c r="G446" i="10"/>
  <c r="G445" i="10" s="1"/>
  <c r="G442" i="10"/>
  <c r="G441" i="10" s="1"/>
  <c r="G440" i="10" s="1"/>
  <c r="G439" i="10" s="1"/>
  <c r="G437" i="10"/>
  <c r="G435" i="10"/>
  <c r="G432" i="10"/>
  <c r="G431" i="10" s="1"/>
  <c r="G429" i="10"/>
  <c r="G428" i="10" s="1"/>
  <c r="G424" i="10"/>
  <c r="G423" i="10" s="1"/>
  <c r="G422" i="10" s="1"/>
  <c r="G420" i="10"/>
  <c r="G419" i="10" s="1"/>
  <c r="G418" i="10" s="1"/>
  <c r="G417" i="10" s="1"/>
  <c r="G416" i="10"/>
  <c r="G415" i="10" s="1"/>
  <c r="G414" i="10" s="1"/>
  <c r="G413" i="10" s="1"/>
  <c r="G411" i="10"/>
  <c r="G410" i="10"/>
  <c r="G409" i="10" s="1"/>
  <c r="G405" i="10"/>
  <c r="G404" i="10" s="1"/>
  <c r="G403" i="10" s="1"/>
  <c r="G402" i="10"/>
  <c r="G401" i="10" s="1"/>
  <c r="G400" i="10" s="1"/>
  <c r="G399" i="10" s="1"/>
  <c r="G398" i="10"/>
  <c r="G397" i="10" s="1"/>
  <c r="G396" i="10" s="1"/>
  <c r="G394" i="10"/>
  <c r="G393" i="10"/>
  <c r="G392" i="10" s="1"/>
  <c r="G386" i="10"/>
  <c r="G385" i="10"/>
  <c r="G384" i="10" s="1"/>
  <c r="G383" i="10"/>
  <c r="G382" i="10" s="1"/>
  <c r="G378" i="10"/>
  <c r="G376" i="10"/>
  <c r="G375" i="10" s="1"/>
  <c r="G374" i="10" s="1"/>
  <c r="G371" i="10"/>
  <c r="G370" i="10" s="1"/>
  <c r="G369" i="10" s="1"/>
  <c r="G368" i="10"/>
  <c r="G367" i="10" s="1"/>
  <c r="G366" i="10" s="1"/>
  <c r="G364" i="10"/>
  <c r="G363" i="10" s="1"/>
  <c r="G361" i="10"/>
  <c r="G360" i="10" s="1"/>
  <c r="G356" i="10"/>
  <c r="G355" i="10" s="1"/>
  <c r="G354" i="10"/>
  <c r="G353" i="10" s="1"/>
  <c r="G352" i="10" s="1"/>
  <c r="G351" i="10"/>
  <c r="G350" i="10" s="1"/>
  <c r="G349" i="10" s="1"/>
  <c r="G348" i="10"/>
  <c r="G347" i="10" s="1"/>
  <c r="G345" i="10"/>
  <c r="G343" i="10"/>
  <c r="G342" i="10" s="1"/>
  <c r="G341" i="10"/>
  <c r="G340" i="10" s="1"/>
  <c r="G335" i="10"/>
  <c r="G334" i="10" s="1"/>
  <c r="G333" i="10" s="1"/>
  <c r="G1002" i="10" s="1"/>
  <c r="G331" i="10"/>
  <c r="G330" i="10" s="1"/>
  <c r="G328" i="10"/>
  <c r="G327" i="10" s="1"/>
  <c r="G325" i="10"/>
  <c r="G324" i="10" s="1"/>
  <c r="G322" i="10"/>
  <c r="G321" i="10" s="1"/>
  <c r="G319" i="10"/>
  <c r="G318" i="10" s="1"/>
  <c r="G316" i="10"/>
  <c r="G315" i="10" s="1"/>
  <c r="G313" i="10"/>
  <c r="G311" i="10"/>
  <c r="G309" i="10"/>
  <c r="G308" i="10" s="1"/>
  <c r="G307" i="10" s="1"/>
  <c r="G304" i="10"/>
  <c r="G302" i="10"/>
  <c r="G300" i="10"/>
  <c r="G297" i="10"/>
  <c r="G296" i="10" s="1"/>
  <c r="G294" i="10"/>
  <c r="G293" i="10" s="1"/>
  <c r="G292" i="10"/>
  <c r="G291" i="10" s="1"/>
  <c r="G290" i="10" s="1"/>
  <c r="G288" i="10"/>
  <c r="G287" i="10" s="1"/>
  <c r="G285" i="10"/>
  <c r="G284" i="10" s="1"/>
  <c r="G283" i="10"/>
  <c r="G282" i="10" s="1"/>
  <c r="G281" i="10" s="1"/>
  <c r="G275" i="10"/>
  <c r="G274" i="10" s="1"/>
  <c r="G273" i="10" s="1"/>
  <c r="G272" i="10" s="1"/>
  <c r="G271" i="10" s="1"/>
  <c r="G270" i="10"/>
  <c r="G269" i="10" s="1"/>
  <c r="G268" i="10" s="1"/>
  <c r="G267" i="10"/>
  <c r="G266" i="10" s="1"/>
  <c r="G265" i="10" s="1"/>
  <c r="G264" i="10"/>
  <c r="G263" i="10" s="1"/>
  <c r="G262" i="10" s="1"/>
  <c r="G258" i="10"/>
  <c r="G257" i="10" s="1"/>
  <c r="G255" i="10"/>
  <c r="G254" i="10" s="1"/>
  <c r="G252" i="10"/>
  <c r="G251" i="10" s="1"/>
  <c r="G249" i="10"/>
  <c r="G248" i="10" s="1"/>
  <c r="G246" i="10"/>
  <c r="G245" i="10" s="1"/>
  <c r="G243" i="10"/>
  <c r="G242" i="10" s="1"/>
  <c r="G241" i="10"/>
  <c r="G240" i="10" s="1"/>
  <c r="G239" i="10" s="1"/>
  <c r="G233" i="10"/>
  <c r="G232" i="10" s="1"/>
  <c r="G231" i="10" s="1"/>
  <c r="G230" i="10" s="1"/>
  <c r="G229" i="10" s="1"/>
  <c r="G228" i="10" s="1"/>
  <c r="G226" i="10"/>
  <c r="G225" i="10" s="1"/>
  <c r="G224" i="10" s="1"/>
  <c r="G223" i="10" s="1"/>
  <c r="G222" i="10" s="1"/>
  <c r="G221" i="10" s="1"/>
  <c r="G219" i="10"/>
  <c r="G218" i="10" s="1"/>
  <c r="G217" i="10"/>
  <c r="G216" i="10" s="1"/>
  <c r="G211" i="10"/>
  <c r="G210" i="10" s="1"/>
  <c r="G209" i="10" s="1"/>
  <c r="G208" i="10" s="1"/>
  <c r="G207" i="10" s="1"/>
  <c r="G205" i="10"/>
  <c r="G204" i="10" s="1"/>
  <c r="G203" i="10" s="1"/>
  <c r="G200" i="10"/>
  <c r="G199" i="10" s="1"/>
  <c r="G198" i="10" s="1"/>
  <c r="G197" i="10" s="1"/>
  <c r="G196" i="10" s="1"/>
  <c r="G194" i="10"/>
  <c r="G193" i="10" s="1"/>
  <c r="G192" i="10"/>
  <c r="G191" i="10" s="1"/>
  <c r="G188" i="10"/>
  <c r="G187" i="10" s="1"/>
  <c r="G183" i="10"/>
  <c r="G182" i="10" s="1"/>
  <c r="G181" i="10" s="1"/>
  <c r="G180" i="10" s="1"/>
  <c r="G179" i="10" s="1"/>
  <c r="G178" i="10" s="1"/>
  <c r="G175" i="10"/>
  <c r="G174" i="10" s="1"/>
  <c r="G173" i="10"/>
  <c r="G172" i="10" s="1"/>
  <c r="G171" i="10"/>
  <c r="G170" i="10" s="1"/>
  <c r="G167" i="10"/>
  <c r="G166" i="10" s="1"/>
  <c r="G165" i="10"/>
  <c r="G164" i="10" s="1"/>
  <c r="G163" i="10" s="1"/>
  <c r="G157" i="10"/>
  <c r="G156" i="10" s="1"/>
  <c r="G155" i="10" s="1"/>
  <c r="G154" i="10" s="1"/>
  <c r="G152" i="10"/>
  <c r="G151" i="10" s="1"/>
  <c r="G150" i="10" s="1"/>
  <c r="G149" i="10" s="1"/>
  <c r="G148" i="10" s="1"/>
  <c r="G145" i="10"/>
  <c r="G144" i="10" s="1"/>
  <c r="G143" i="10"/>
  <c r="G142" i="10" s="1"/>
  <c r="G141" i="10"/>
  <c r="G140" i="10" s="1"/>
  <c r="G138" i="10"/>
  <c r="G137" i="10" s="1"/>
  <c r="G136" i="10"/>
  <c r="G135" i="10" s="1"/>
  <c r="G132" i="10"/>
  <c r="G131" i="10" s="1"/>
  <c r="G129" i="10"/>
  <c r="G128" i="10" s="1"/>
  <c r="G126" i="10"/>
  <c r="G125" i="10" s="1"/>
  <c r="G123" i="10"/>
  <c r="G122" i="10" s="1"/>
  <c r="G119" i="10"/>
  <c r="G118" i="10"/>
  <c r="G117" i="10" s="1"/>
  <c r="G114" i="10"/>
  <c r="G113" i="10" s="1"/>
  <c r="G111" i="10"/>
  <c r="G110" i="10" s="1"/>
  <c r="G109" i="10"/>
  <c r="G108" i="10" s="1"/>
  <c r="G107" i="10" s="1"/>
  <c r="G105" i="10"/>
  <c r="G104" i="10" s="1"/>
  <c r="G102" i="10"/>
  <c r="G100" i="10"/>
  <c r="G92" i="10"/>
  <c r="G91" i="10" s="1"/>
  <c r="G90" i="10" s="1"/>
  <c r="G89" i="10"/>
  <c r="G88" i="10" s="1"/>
  <c r="G87" i="10" s="1"/>
  <c r="G86" i="10" s="1"/>
  <c r="G1004" i="10" s="1"/>
  <c r="G84" i="10"/>
  <c r="G83" i="10" s="1"/>
  <c r="G82" i="10" s="1"/>
  <c r="G80" i="10"/>
  <c r="G79" i="10" s="1"/>
  <c r="G78" i="10" s="1"/>
  <c r="G76" i="10"/>
  <c r="G75" i="10" s="1"/>
  <c r="G74" i="10" s="1"/>
  <c r="G71" i="10"/>
  <c r="G70" i="10" s="1"/>
  <c r="G69" i="10"/>
  <c r="G68" i="10" s="1"/>
  <c r="G66" i="10"/>
  <c r="G64" i="10"/>
  <c r="G63" i="10" s="1"/>
  <c r="G62" i="10" s="1"/>
  <c r="G60" i="10"/>
  <c r="G59" i="10" s="1"/>
  <c r="G58" i="10" s="1"/>
  <c r="G57" i="10" s="1"/>
  <c r="G54" i="10"/>
  <c r="G53" i="10"/>
  <c r="G52" i="10" s="1"/>
  <c r="G47" i="10"/>
  <c r="G46" i="10" s="1"/>
  <c r="G45" i="10"/>
  <c r="G44" i="10" s="1"/>
  <c r="G40" i="10"/>
  <c r="G39" i="10" s="1"/>
  <c r="G38" i="10"/>
  <c r="G37" i="10" s="1"/>
  <c r="G36" i="10"/>
  <c r="G35" i="10" s="1"/>
  <c r="G34" i="10"/>
  <c r="G33" i="10" s="1"/>
  <c r="G25" i="10"/>
  <c r="G24" i="10" s="1"/>
  <c r="G23" i="10" s="1"/>
  <c r="G22" i="10" s="1"/>
  <c r="G20" i="10"/>
  <c r="G18" i="10"/>
  <c r="G16" i="10"/>
  <c r="G1169" i="4"/>
  <c r="G1166" i="4"/>
  <c r="G1151" i="4"/>
  <c r="G1121" i="4"/>
  <c r="G1136" i="4"/>
  <c r="G1135" i="4" s="1"/>
  <c r="G1113" i="4"/>
  <c r="G1105" i="4"/>
  <c r="G1103" i="4"/>
  <c r="G1077" i="4"/>
  <c r="G1070" i="4"/>
  <c r="G1067" i="4"/>
  <c r="G1062" i="4"/>
  <c r="G1073" i="4"/>
  <c r="G705" i="5"/>
  <c r="G1057" i="4"/>
  <c r="G692" i="5"/>
  <c r="G1030" i="4"/>
  <c r="G1026" i="4"/>
  <c r="G1022" i="4"/>
  <c r="G935" i="15"/>
  <c r="G927" i="15"/>
  <c r="G998" i="4"/>
  <c r="G914" i="15" s="1"/>
  <c r="H914" i="15" s="1"/>
  <c r="G996" i="4"/>
  <c r="G912" i="15" s="1"/>
  <c r="H912" i="15" s="1"/>
  <c r="G993" i="4"/>
  <c r="G990" i="4"/>
  <c r="G906" i="15" s="1"/>
  <c r="H906" i="15" s="1"/>
  <c r="G988" i="4"/>
  <c r="G904" i="15" s="1"/>
  <c r="H904" i="15" s="1"/>
  <c r="G984" i="4"/>
  <c r="G900" i="15" s="1"/>
  <c r="H900" i="15" s="1"/>
  <c r="G982" i="4"/>
  <c r="G882" i="15"/>
  <c r="H882" i="15" s="1"/>
  <c r="G944" i="4"/>
  <c r="G931" i="4"/>
  <c r="G917" i="4"/>
  <c r="F149" i="3"/>
  <c r="G902" i="4"/>
  <c r="G890" i="4"/>
  <c r="G850" i="4"/>
  <c r="G784" i="15" s="1"/>
  <c r="G843" i="4"/>
  <c r="G840" i="4"/>
  <c r="G424" i="5"/>
  <c r="G417" i="5"/>
  <c r="G818" i="4"/>
  <c r="G800" i="4"/>
  <c r="G776" i="4"/>
  <c r="G763" i="4"/>
  <c r="G759" i="4"/>
  <c r="G758" i="4" s="1"/>
  <c r="G743" i="4"/>
  <c r="G738" i="4"/>
  <c r="G705" i="4"/>
  <c r="G264" i="5"/>
  <c r="G683" i="4"/>
  <c r="G640" i="15"/>
  <c r="G637" i="15"/>
  <c r="G670" i="4"/>
  <c r="G654" i="4"/>
  <c r="G649" i="4"/>
  <c r="G629" i="4"/>
  <c r="G619" i="4"/>
  <c r="G615" i="4"/>
  <c r="G571" i="15"/>
  <c r="G605" i="4"/>
  <c r="G591" i="4"/>
  <c r="G562" i="4"/>
  <c r="G547" i="4"/>
  <c r="G540" i="4"/>
  <c r="G496" i="4"/>
  <c r="G139" i="5"/>
  <c r="G458" i="4"/>
  <c r="G444" i="4"/>
  <c r="G438" i="4"/>
  <c r="G417" i="15" s="1"/>
  <c r="H417" i="15" s="1"/>
  <c r="G436" i="4"/>
  <c r="G430" i="4"/>
  <c r="G425" i="4"/>
  <c r="G403" i="4"/>
  <c r="G399" i="4"/>
  <c r="G392" i="4"/>
  <c r="G388" i="4"/>
  <c r="F825" i="3"/>
  <c r="G48" i="5"/>
  <c r="G339" i="4"/>
  <c r="G316" i="4"/>
  <c r="G313" i="4"/>
  <c r="G291" i="4"/>
  <c r="G287" i="4"/>
  <c r="G283" i="4"/>
  <c r="G275" i="4"/>
  <c r="G270" i="4"/>
  <c r="G267" i="4"/>
  <c r="G264" i="4"/>
  <c r="G261" i="4"/>
  <c r="G258" i="4"/>
  <c r="F879" i="14"/>
  <c r="F878" i="14" s="1"/>
  <c r="F875" i="14" s="1"/>
  <c r="G230" i="4"/>
  <c r="G224" i="4"/>
  <c r="G204" i="4"/>
  <c r="G200" i="4"/>
  <c r="G182" i="4"/>
  <c r="G163" i="4"/>
  <c r="G156" i="4"/>
  <c r="G151" i="4"/>
  <c r="G146" i="4"/>
  <c r="G142" i="4"/>
  <c r="G374" i="5"/>
  <c r="G133" i="4"/>
  <c r="G132" i="4" s="1"/>
  <c r="G110" i="4"/>
  <c r="G107" i="4"/>
  <c r="F81" i="14"/>
  <c r="F80" i="14" s="1"/>
  <c r="F79" i="14"/>
  <c r="F78" i="14" s="1"/>
  <c r="F76" i="14"/>
  <c r="F75" i="14" s="1"/>
  <c r="F74" i="14"/>
  <c r="F73" i="14" s="1"/>
  <c r="F69" i="14"/>
  <c r="F68" i="14" s="1"/>
  <c r="F67" i="14" s="1"/>
  <c r="G64" i="4"/>
  <c r="G56" i="4"/>
  <c r="G52" i="4"/>
  <c r="G22" i="4"/>
  <c r="G19" i="4"/>
  <c r="G15" i="4"/>
  <c r="F1030" i="3"/>
  <c r="F989" i="3"/>
  <c r="F903" i="14" s="1"/>
  <c r="F983" i="3"/>
  <c r="F980" i="3"/>
  <c r="F964" i="3"/>
  <c r="F947" i="3"/>
  <c r="F946" i="3" s="1"/>
  <c r="F885" i="3"/>
  <c r="F868" i="3"/>
  <c r="F839" i="3"/>
  <c r="F833" i="3"/>
  <c r="F816" i="3"/>
  <c r="F668" i="3"/>
  <c r="F654" i="3"/>
  <c r="F610" i="3"/>
  <c r="F573" i="3"/>
  <c r="F569" i="3"/>
  <c r="F552" i="3"/>
  <c r="F542" i="3"/>
  <c r="F538" i="3"/>
  <c r="F528" i="3"/>
  <c r="F476" i="3"/>
  <c r="F442" i="3"/>
  <c r="G714" i="32" s="1"/>
  <c r="F439" i="3"/>
  <c r="F434" i="3"/>
  <c r="F372" i="3"/>
  <c r="F355" i="3"/>
  <c r="F340" i="14" s="1"/>
  <c r="G340" i="14" s="1"/>
  <c r="F330" i="3"/>
  <c r="F319" i="14" s="1"/>
  <c r="G319" i="14" s="1"/>
  <c r="F226" i="3"/>
  <c r="F222" i="3"/>
  <c r="F212" i="3"/>
  <c r="F208" i="3"/>
  <c r="F196" i="3"/>
  <c r="F193" i="3"/>
  <c r="F190" i="3"/>
  <c r="F111" i="3"/>
  <c r="F108" i="3"/>
  <c r="F50" i="3"/>
  <c r="F37" i="3"/>
  <c r="C193" i="1"/>
  <c r="C177" i="1"/>
  <c r="C176" i="1" s="1"/>
  <c r="C170" i="1" s="1"/>
  <c r="C74" i="1"/>
  <c r="C61" i="1"/>
  <c r="C59" i="1"/>
  <c r="C46" i="1"/>
  <c r="C44" i="1"/>
  <c r="C40" i="1"/>
  <c r="C32" i="1"/>
  <c r="C27" i="1"/>
  <c r="C21" i="1" s="1"/>
  <c r="G51" i="10" l="1"/>
  <c r="G50" i="10" s="1"/>
  <c r="G49" i="10" s="1"/>
  <c r="G48" i="10" s="1"/>
  <c r="G116" i="10"/>
  <c r="G485" i="10"/>
  <c r="G650" i="10"/>
  <c r="G838" i="10"/>
  <c r="G973" i="15"/>
  <c r="G660" i="16" s="1"/>
  <c r="F429" i="30"/>
  <c r="F427" i="30" s="1"/>
  <c r="F424" i="30" s="1"/>
  <c r="F420" i="30" s="1"/>
  <c r="F415" i="30" s="1"/>
  <c r="F409" i="30" s="1"/>
  <c r="G715" i="32"/>
  <c r="G713" i="32"/>
  <c r="G712" i="32" s="1"/>
  <c r="G633" i="10"/>
  <c r="G310" i="10"/>
  <c r="G344" i="10"/>
  <c r="G408" i="10"/>
  <c r="G407" i="10" s="1"/>
  <c r="G147" i="10"/>
  <c r="G982" i="10" s="1"/>
  <c r="G169" i="10"/>
  <c r="G792" i="10"/>
  <c r="G791" i="10" s="1"/>
  <c r="G786" i="10" s="1"/>
  <c r="G785" i="10" s="1"/>
  <c r="G161" i="11"/>
  <c r="G299" i="10"/>
  <c r="G280" i="10" s="1"/>
  <c r="G15" i="10"/>
  <c r="G14" i="10" s="1"/>
  <c r="G13" i="10" s="1"/>
  <c r="G12" i="10" s="1"/>
  <c r="G11" i="10" s="1"/>
  <c r="G10" i="10" s="1"/>
  <c r="G238" i="10"/>
  <c r="G237" i="10" s="1"/>
  <c r="G657" i="10"/>
  <c r="G656" i="10" s="1"/>
  <c r="G65" i="10"/>
  <c r="G61" i="10" s="1"/>
  <c r="G997" i="10" s="1"/>
  <c r="G306" i="10"/>
  <c r="G391" i="10"/>
  <c r="G139" i="10"/>
  <c r="G215" i="10"/>
  <c r="G214" i="10" s="1"/>
  <c r="G213" i="10" s="1"/>
  <c r="G212" i="10" s="1"/>
  <c r="G623" i="10"/>
  <c r="G622" i="10" s="1"/>
  <c r="G801" i="10"/>
  <c r="G913" i="10"/>
  <c r="G909" i="10" s="1"/>
  <c r="G396" i="11"/>
  <c r="G376" i="11" s="1"/>
  <c r="G375" i="11" s="1"/>
  <c r="G374" i="11" s="1"/>
  <c r="G404" i="11" s="1"/>
  <c r="G381" i="10"/>
  <c r="G380" i="10" s="1"/>
  <c r="G728" i="10"/>
  <c r="G727" i="10" s="1"/>
  <c r="G726" i="10" s="1"/>
  <c r="G879" i="10"/>
  <c r="G878" i="10" s="1"/>
  <c r="G968" i="10"/>
  <c r="G967" i="10" s="1"/>
  <c r="G966" i="10" s="1"/>
  <c r="G965" i="10" s="1"/>
  <c r="G964" i="10" s="1"/>
  <c r="G963" i="10" s="1"/>
  <c r="G32" i="10"/>
  <c r="G31" i="10" s="1"/>
  <c r="G43" i="10"/>
  <c r="G42" i="10" s="1"/>
  <c r="G190" i="10"/>
  <c r="G339" i="10"/>
  <c r="G338" i="10" s="1"/>
  <c r="G337" i="10" s="1"/>
  <c r="G613" i="10"/>
  <c r="G948" i="10"/>
  <c r="G947" i="10" s="1"/>
  <c r="G946" i="10" s="1"/>
  <c r="G945" i="10" s="1"/>
  <c r="F72" i="14"/>
  <c r="G220" i="16"/>
  <c r="G221" i="16" s="1"/>
  <c r="F501" i="14"/>
  <c r="G140" i="5"/>
  <c r="G138" i="5"/>
  <c r="G137" i="5" s="1"/>
  <c r="G136" i="5" s="1"/>
  <c r="G135" i="5" s="1"/>
  <c r="G134" i="5" s="1"/>
  <c r="G113" i="5" s="1"/>
  <c r="F573" i="14"/>
  <c r="F572" i="14" s="1"/>
  <c r="F571" i="14" s="1"/>
  <c r="G238" i="16"/>
  <c r="F570" i="14"/>
  <c r="F569" i="14" s="1"/>
  <c r="F568" i="14" s="1"/>
  <c r="G234" i="16"/>
  <c r="G464" i="10"/>
  <c r="G463" i="10" s="1"/>
  <c r="G462" i="10" s="1"/>
  <c r="G461" i="10" s="1"/>
  <c r="G460" i="10" s="1"/>
  <c r="G677" i="10"/>
  <c r="G676" i="10" s="1"/>
  <c r="G707" i="10"/>
  <c r="G706" i="10" s="1"/>
  <c r="G705" i="10" s="1"/>
  <c r="G527" i="10"/>
  <c r="G526" i="10" s="1"/>
  <c r="G612" i="10"/>
  <c r="G694" i="10"/>
  <c r="G693" i="10" s="1"/>
  <c r="G1007" i="10"/>
  <c r="G261" i="10"/>
  <c r="G260" i="10" s="1"/>
  <c r="G479" i="10"/>
  <c r="G478" i="10" s="1"/>
  <c r="G477" i="10" s="1"/>
  <c r="G513" i="10"/>
  <c r="G508" i="10" s="1"/>
  <c r="G99" i="10"/>
  <c r="G860" i="10"/>
  <c r="G859" i="10" s="1"/>
  <c r="G186" i="10"/>
  <c r="G185" i="10" s="1"/>
  <c r="G184" i="10" s="1"/>
  <c r="G177" i="10" s="1"/>
  <c r="G646" i="10"/>
  <c r="G666" i="10"/>
  <c r="G662" i="10" s="1"/>
  <c r="G655" i="10" s="1"/>
  <c r="G741" i="10"/>
  <c r="G740" i="10" s="1"/>
  <c r="G756" i="10"/>
  <c r="G755" i="10" s="1"/>
  <c r="G750" i="10" s="1"/>
  <c r="G749" i="10" s="1"/>
  <c r="G779" i="10"/>
  <c r="G778" i="10" s="1"/>
  <c r="G993" i="10" s="1"/>
  <c r="G837" i="10"/>
  <c r="G849" i="10"/>
  <c r="G902" i="10"/>
  <c r="G901" i="10" s="1"/>
  <c r="G953" i="10"/>
  <c r="G162" i="10"/>
  <c r="G161" i="10" s="1"/>
  <c r="G160" i="10" s="1"/>
  <c r="G159" i="10" s="1"/>
  <c r="G983" i="10" s="1"/>
  <c r="G359" i="10"/>
  <c r="G434" i="10"/>
  <c r="G421" i="10" s="1"/>
  <c r="G641" i="10"/>
  <c r="G735" i="10"/>
  <c r="G734" i="10" s="1"/>
  <c r="G827" i="10"/>
  <c r="G938" i="10"/>
  <c r="G937" i="10" s="1"/>
  <c r="G936" i="10" s="1"/>
  <c r="G935" i="10" s="1"/>
  <c r="G72" i="11"/>
  <c r="G71" i="11" s="1"/>
  <c r="G70" i="11" s="1"/>
  <c r="G69" i="11" s="1"/>
  <c r="G80" i="11" s="1"/>
  <c r="G777" i="10"/>
  <c r="G770" i="10" s="1"/>
  <c r="G996" i="10"/>
  <c r="G73" i="10"/>
  <c r="G999" i="10" s="1"/>
  <c r="G98" i="10"/>
  <c r="G134" i="10"/>
  <c r="G998" i="10"/>
  <c r="G202" i="10"/>
  <c r="G373" i="10"/>
  <c r="G581" i="10"/>
  <c r="G580" i="10" s="1"/>
  <c r="G1005" i="10"/>
  <c r="G444" i="10"/>
  <c r="G443" i="10" s="1"/>
  <c r="G552" i="10"/>
  <c r="G547" i="10" s="1"/>
  <c r="H187" i="15"/>
  <c r="F245" i="14"/>
  <c r="F244" i="14" s="1"/>
  <c r="G186" i="15"/>
  <c r="G645" i="15"/>
  <c r="G644" i="15" s="1"/>
  <c r="F712" i="14"/>
  <c r="F711" i="14" s="1"/>
  <c r="F710" i="14" s="1"/>
  <c r="G724" i="15"/>
  <c r="G723" i="15" s="1"/>
  <c r="H808" i="15"/>
  <c r="F928" i="14"/>
  <c r="F927" i="14" s="1"/>
  <c r="F926" i="14" s="1"/>
  <c r="G807" i="15"/>
  <c r="G806" i="15" s="1"/>
  <c r="G583" i="15"/>
  <c r="G582" i="15" s="1"/>
  <c r="H734" i="15"/>
  <c r="F719" i="14"/>
  <c r="F718" i="14" s="1"/>
  <c r="G733" i="15"/>
  <c r="F950" i="14"/>
  <c r="F949" i="14" s="1"/>
  <c r="G829" i="15"/>
  <c r="H888" i="15"/>
  <c r="H887" i="15" s="1"/>
  <c r="H886" i="15" s="1"/>
  <c r="G887" i="15"/>
  <c r="G886" i="15" s="1"/>
  <c r="H1012" i="15"/>
  <c r="G1011" i="15"/>
  <c r="G1006" i="15" s="1"/>
  <c r="F452" i="14"/>
  <c r="F451" i="14" s="1"/>
  <c r="F446" i="14" s="1"/>
  <c r="F77" i="14"/>
  <c r="H185" i="15"/>
  <c r="G243" i="14" s="1"/>
  <c r="G242" i="14" s="1"/>
  <c r="F243" i="14"/>
  <c r="F242" i="14" s="1"/>
  <c r="G184" i="15"/>
  <c r="F258" i="14"/>
  <c r="F257" i="14" s="1"/>
  <c r="F256" i="14" s="1"/>
  <c r="G199" i="15"/>
  <c r="G198" i="15" s="1"/>
  <c r="F702" i="14"/>
  <c r="F701" i="14" s="1"/>
  <c r="F700" i="14" s="1"/>
  <c r="G349" i="15"/>
  <c r="G348" i="15" s="1"/>
  <c r="G652" i="15"/>
  <c r="G651" i="15" s="1"/>
  <c r="F922" i="14"/>
  <c r="F921" i="14" s="1"/>
  <c r="F920" i="14" s="1"/>
  <c r="G801" i="15"/>
  <c r="G800" i="15" s="1"/>
  <c r="H820" i="15"/>
  <c r="G819" i="15"/>
  <c r="F940" i="14"/>
  <c r="F939" i="14" s="1"/>
  <c r="G969" i="15"/>
  <c r="G968" i="15" s="1"/>
  <c r="F410" i="14"/>
  <c r="F409" i="14" s="1"/>
  <c r="F408" i="14" s="1"/>
  <c r="H1020" i="15"/>
  <c r="F460" i="14"/>
  <c r="F459" i="14" s="1"/>
  <c r="F458" i="14" s="1"/>
  <c r="G1019" i="15"/>
  <c r="G1018" i="15" s="1"/>
  <c r="H1077" i="15"/>
  <c r="F39" i="14"/>
  <c r="F38" i="14" s="1"/>
  <c r="F37" i="14" s="1"/>
  <c r="G1076" i="15"/>
  <c r="G1075" i="15" s="1"/>
  <c r="H238" i="15"/>
  <c r="G877" i="14"/>
  <c r="G876" i="14" s="1"/>
  <c r="F629" i="14"/>
  <c r="F628" i="14" s="1"/>
  <c r="F627" i="14" s="1"/>
  <c r="G699" i="15"/>
  <c r="G698" i="15" s="1"/>
  <c r="H744" i="15"/>
  <c r="F729" i="14"/>
  <c r="F728" i="14" s="1"/>
  <c r="F727" i="14" s="1"/>
  <c r="G743" i="15"/>
  <c r="G742" i="15" s="1"/>
  <c r="H885" i="15"/>
  <c r="F325" i="14"/>
  <c r="F324" i="14" s="1"/>
  <c r="F323" i="14" s="1"/>
  <c r="G884" i="15"/>
  <c r="G883" i="15" s="1"/>
  <c r="H527" i="15"/>
  <c r="H526" i="15" s="1"/>
  <c r="H525" i="15" s="1"/>
  <c r="G526" i="15"/>
  <c r="G525" i="15" s="1"/>
  <c r="H748" i="15"/>
  <c r="G733" i="14" s="1"/>
  <c r="G732" i="14" s="1"/>
  <c r="F733" i="14"/>
  <c r="F732" i="14" s="1"/>
  <c r="G747" i="15"/>
  <c r="H859" i="15"/>
  <c r="F268" i="14"/>
  <c r="F267" i="14" s="1"/>
  <c r="F266" i="14" s="1"/>
  <c r="G858" i="15"/>
  <c r="G857" i="15" s="1"/>
  <c r="H181" i="15"/>
  <c r="G180" i="15"/>
  <c r="G179" i="15" s="1"/>
  <c r="G175" i="15" s="1"/>
  <c r="F239" i="14"/>
  <c r="F238" i="14" s="1"/>
  <c r="F237" i="14" s="1"/>
  <c r="F173" i="14"/>
  <c r="F172" i="14" s="1"/>
  <c r="F171" i="14" s="1"/>
  <c r="F170" i="14" s="1"/>
  <c r="G249" i="15"/>
  <c r="G248" i="15" s="1"/>
  <c r="G247" i="15" s="1"/>
  <c r="F328" i="14"/>
  <c r="F327" i="14" s="1"/>
  <c r="F326" i="14" s="1"/>
  <c r="G529" i="15"/>
  <c r="G528" i="15" s="1"/>
  <c r="F643" i="14"/>
  <c r="F642" i="14" s="1"/>
  <c r="F641" i="14" s="1"/>
  <c r="G713" i="15"/>
  <c r="G712" i="15" s="1"/>
  <c r="H736" i="15"/>
  <c r="F721" i="14"/>
  <c r="F720" i="14" s="1"/>
  <c r="G735" i="15"/>
  <c r="H750" i="15"/>
  <c r="G735" i="14" s="1"/>
  <c r="G734" i="14" s="1"/>
  <c r="F735" i="14"/>
  <c r="F734" i="14" s="1"/>
  <c r="G749" i="15"/>
  <c r="F908" i="14"/>
  <c r="F907" i="14" s="1"/>
  <c r="F906" i="14" s="1"/>
  <c r="H816" i="15"/>
  <c r="F936" i="14"/>
  <c r="F935" i="14" s="1"/>
  <c r="G815" i="15"/>
  <c r="H1029" i="15"/>
  <c r="F469" i="14"/>
  <c r="G1028" i="15"/>
  <c r="G1025" i="15" s="1"/>
  <c r="H1088" i="15"/>
  <c r="G1087" i="15"/>
  <c r="G1086" i="15" s="1"/>
  <c r="F111" i="14"/>
  <c r="F110" i="14" s="1"/>
  <c r="F109" i="14" s="1"/>
  <c r="H512" i="15"/>
  <c r="F152" i="14"/>
  <c r="F151" i="14" s="1"/>
  <c r="F150" i="14" s="1"/>
  <c r="G511" i="15"/>
  <c r="G510" i="15" s="1"/>
  <c r="G620" i="15"/>
  <c r="G619" i="15" s="1"/>
  <c r="G629" i="15"/>
  <c r="G628" i="15" s="1"/>
  <c r="G557" i="15"/>
  <c r="G556" i="15" s="1"/>
  <c r="G563" i="15"/>
  <c r="G562" i="15" s="1"/>
  <c r="G75" i="15"/>
  <c r="D164" i="1"/>
  <c r="D122" i="1"/>
  <c r="H86" i="15"/>
  <c r="G85" i="15"/>
  <c r="H88" i="15"/>
  <c r="G87" i="15"/>
  <c r="H81" i="15"/>
  <c r="G80" i="15"/>
  <c r="H241" i="15"/>
  <c r="G240" i="15"/>
  <c r="G237" i="15" s="1"/>
  <c r="E124" i="12" s="1"/>
  <c r="H83" i="15"/>
  <c r="G82" i="15"/>
  <c r="H15" i="15"/>
  <c r="G15" i="15"/>
  <c r="G211" i="15"/>
  <c r="G208" i="15" s="1"/>
  <c r="G843" i="16"/>
  <c r="G842" i="16" s="1"/>
  <c r="G841" i="16" s="1"/>
  <c r="G840" i="16" s="1"/>
  <c r="G845" i="16" s="1"/>
  <c r="G89" i="15"/>
  <c r="G1135" i="15" s="1"/>
  <c r="H89" i="15"/>
  <c r="H1135" i="15" s="1"/>
  <c r="H621" i="15"/>
  <c r="G554" i="14" s="1"/>
  <c r="G553" i="14" s="1"/>
  <c r="G552" i="14" s="1"/>
  <c r="G184" i="16"/>
  <c r="H646" i="15"/>
  <c r="G838" i="16"/>
  <c r="H353" i="15"/>
  <c r="G353" i="15"/>
  <c r="H103" i="16"/>
  <c r="H350" i="15"/>
  <c r="G48" i="16"/>
  <c r="H66" i="16"/>
  <c r="G66" i="16"/>
  <c r="H558" i="15"/>
  <c r="G488" i="14" s="1"/>
  <c r="G487" i="14" s="1"/>
  <c r="G486" i="14" s="1"/>
  <c r="G163" i="16"/>
  <c r="H584" i="15"/>
  <c r="H653" i="15"/>
  <c r="H282" i="16"/>
  <c r="G654" i="16"/>
  <c r="H630" i="15"/>
  <c r="G563" i="14" s="1"/>
  <c r="G562" i="14" s="1"/>
  <c r="G561" i="14" s="1"/>
  <c r="G196" i="16"/>
  <c r="H788" i="15"/>
  <c r="G438" i="16"/>
  <c r="H564" i="15"/>
  <c r="G494" i="14" s="1"/>
  <c r="G493" i="14" s="1"/>
  <c r="G492" i="14" s="1"/>
  <c r="G171" i="16"/>
  <c r="H700" i="15"/>
  <c r="G205" i="16"/>
  <c r="H253" i="16"/>
  <c r="H830" i="15"/>
  <c r="G455" i="16"/>
  <c r="H571" i="15"/>
  <c r="H640" i="15"/>
  <c r="H238" i="16" s="1"/>
  <c r="H637" i="15"/>
  <c r="H234" i="16" s="1"/>
  <c r="H935" i="15"/>
  <c r="H738" i="16" s="1"/>
  <c r="H737" i="16" s="1"/>
  <c r="H736" i="16" s="1"/>
  <c r="H735" i="16" s="1"/>
  <c r="H734" i="16" s="1"/>
  <c r="H733" i="16" s="1"/>
  <c r="G738" i="16"/>
  <c r="H927" i="15"/>
  <c r="H724" i="16" s="1"/>
  <c r="H723" i="16" s="1"/>
  <c r="H722" i="16" s="1"/>
  <c r="H721" i="16" s="1"/>
  <c r="H720" i="16" s="1"/>
  <c r="H719" i="16" s="1"/>
  <c r="G724" i="16"/>
  <c r="H973" i="15"/>
  <c r="H660" i="16" s="1"/>
  <c r="H661" i="16" s="1"/>
  <c r="G86" i="14"/>
  <c r="F86" i="14"/>
  <c r="F85" i="14" s="1"/>
  <c r="C146" i="12"/>
  <c r="F109" i="12"/>
  <c r="G106" i="4"/>
  <c r="G675" i="5"/>
  <c r="G674" i="5" s="1"/>
  <c r="G150" i="4"/>
  <c r="G149" i="4" s="1"/>
  <c r="G274" i="4"/>
  <c r="G545" i="5"/>
  <c r="G546" i="5" s="1"/>
  <c r="G312" i="15"/>
  <c r="G391" i="4"/>
  <c r="G390" i="4" s="1"/>
  <c r="G424" i="4"/>
  <c r="G443" i="4"/>
  <c r="G737" i="4"/>
  <c r="G775" i="4"/>
  <c r="F386" i="3"/>
  <c r="G780" i="32" s="1"/>
  <c r="G931" i="15"/>
  <c r="G155" i="4"/>
  <c r="G153" i="4" s="1"/>
  <c r="G263" i="4"/>
  <c r="G290" i="4"/>
  <c r="G289" i="4" s="1"/>
  <c r="G287" i="15"/>
  <c r="H287" i="15" s="1"/>
  <c r="G653" i="4"/>
  <c r="G285" i="5"/>
  <c r="G742" i="4"/>
  <c r="F803" i="3"/>
  <c r="G901" i="4"/>
  <c r="F151" i="3"/>
  <c r="F150" i="3" s="1"/>
  <c r="G21" i="4"/>
  <c r="G61" i="4"/>
  <c r="F166" i="3"/>
  <c r="G141" i="4"/>
  <c r="G181" i="4"/>
  <c r="G229" i="4"/>
  <c r="G228" i="4" s="1"/>
  <c r="G266" i="4"/>
  <c r="G259" i="15" s="1"/>
  <c r="G260" i="15"/>
  <c r="H260" i="15" s="1"/>
  <c r="G312" i="4"/>
  <c r="G584" i="5"/>
  <c r="G585" i="5" s="1"/>
  <c r="G495" i="4"/>
  <c r="G138" i="16" s="1"/>
  <c r="G542" i="4"/>
  <c r="G496" i="15"/>
  <c r="G561" i="4"/>
  <c r="G513" i="15" s="1"/>
  <c r="H513" i="15" s="1"/>
  <c r="G514" i="15"/>
  <c r="H514" i="15" s="1"/>
  <c r="G614" i="4"/>
  <c r="G628" i="4"/>
  <c r="G627" i="4" s="1"/>
  <c r="F675" i="3"/>
  <c r="G762" i="4"/>
  <c r="G709" i="15"/>
  <c r="H709" i="15" s="1"/>
  <c r="G817" i="4"/>
  <c r="G839" i="4"/>
  <c r="F998" i="3"/>
  <c r="F1048" i="3"/>
  <c r="F1047" i="3" s="1"/>
  <c r="F153" i="3"/>
  <c r="G943" i="4"/>
  <c r="G1021" i="4"/>
  <c r="G938" i="15"/>
  <c r="H938" i="15" s="1"/>
  <c r="G1061" i="4"/>
  <c r="G1076" i="4"/>
  <c r="G993" i="15"/>
  <c r="H993" i="15" s="1"/>
  <c r="F13" i="3"/>
  <c r="G260" i="4"/>
  <c r="G338" i="4"/>
  <c r="G402" i="4"/>
  <c r="G401" i="4" s="1"/>
  <c r="G546" i="4"/>
  <c r="G648" i="4"/>
  <c r="G849" i="4"/>
  <c r="G783" i="15" s="1"/>
  <c r="G782" i="15" s="1"/>
  <c r="H784" i="15"/>
  <c r="G1029" i="4"/>
  <c r="G946" i="15"/>
  <c r="H946" i="15" s="1"/>
  <c r="G58" i="4"/>
  <c r="G109" i="4"/>
  <c r="G203" i="4"/>
  <c r="G223" i="4"/>
  <c r="G282" i="4"/>
  <c r="G279" i="15"/>
  <c r="H279" i="15" s="1"/>
  <c r="G429" i="4"/>
  <c r="F549" i="3"/>
  <c r="G799" i="4"/>
  <c r="G889" i="4"/>
  <c r="G1069" i="4"/>
  <c r="G985" i="15" s="1"/>
  <c r="G986" i="15"/>
  <c r="G1022" i="15"/>
  <c r="H1022" i="15" s="1"/>
  <c r="G1150" i="4"/>
  <c r="G63" i="4"/>
  <c r="F168" i="3"/>
  <c r="G145" i="4"/>
  <c r="G199" i="4"/>
  <c r="G198" i="4" s="1"/>
  <c r="F299" i="3"/>
  <c r="F298" i="3" s="1"/>
  <c r="H210" i="15"/>
  <c r="G257" i="4"/>
  <c r="G254" i="15"/>
  <c r="G269" i="4"/>
  <c r="G286" i="4"/>
  <c r="G580" i="5"/>
  <c r="G387" i="4"/>
  <c r="G398" i="4"/>
  <c r="G34" i="6"/>
  <c r="G33" i="6" s="1"/>
  <c r="G32" i="6" s="1"/>
  <c r="G31" i="6" s="1"/>
  <c r="G30" i="6" s="1"/>
  <c r="G29" i="6" s="1"/>
  <c r="G544" i="4"/>
  <c r="F218" i="3"/>
  <c r="G545" i="15"/>
  <c r="H545" i="15" s="1"/>
  <c r="G546" i="15"/>
  <c r="H546" i="15" s="1"/>
  <c r="G604" i="4"/>
  <c r="G618" i="4"/>
  <c r="G580" i="15"/>
  <c r="H580" i="15" s="1"/>
  <c r="G669" i="4"/>
  <c r="G682" i="4"/>
  <c r="G641" i="15" s="1"/>
  <c r="H641" i="15" s="1"/>
  <c r="G642" i="15"/>
  <c r="H642" i="15" s="1"/>
  <c r="F622" i="3"/>
  <c r="G704" i="4"/>
  <c r="G703" i="4" s="1"/>
  <c r="G842" i="4"/>
  <c r="F1038" i="3"/>
  <c r="G916" i="4"/>
  <c r="F293" i="3"/>
  <c r="F282" i="14" s="1"/>
  <c r="G282" i="14" s="1"/>
  <c r="G873" i="15"/>
  <c r="G992" i="4"/>
  <c r="G908" i="15" s="1"/>
  <c r="H908" i="15" s="1"/>
  <c r="G909" i="15"/>
  <c r="H909" i="15" s="1"/>
  <c r="G1025" i="4"/>
  <c r="G942" i="15"/>
  <c r="H942" i="15" s="1"/>
  <c r="G714" i="5"/>
  <c r="G919" i="5"/>
  <c r="G918" i="5" s="1"/>
  <c r="G1112" i="4"/>
  <c r="G1168" i="4"/>
  <c r="G1080" i="15" s="1"/>
  <c r="G1081" i="15"/>
  <c r="H1081" i="15" s="1"/>
  <c r="G1072" i="4"/>
  <c r="G930" i="4"/>
  <c r="G590" i="4"/>
  <c r="G162" i="4"/>
  <c r="G170" i="15"/>
  <c r="H170" i="15" s="1"/>
  <c r="G941" i="5"/>
  <c r="G806" i="5"/>
  <c r="G373" i="5"/>
  <c r="G658" i="5"/>
  <c r="G813" i="5"/>
  <c r="G831" i="5"/>
  <c r="G948" i="5"/>
  <c r="G55" i="5"/>
  <c r="G19" i="6"/>
  <c r="G18" i="6" s="1"/>
  <c r="G17" i="6" s="1"/>
  <c r="F49" i="3"/>
  <c r="F433" i="3"/>
  <c r="F551" i="3"/>
  <c r="F550" i="3" s="1"/>
  <c r="F609" i="3"/>
  <c r="F832" i="3"/>
  <c r="F831" i="3" s="1"/>
  <c r="L807" i="3" s="1"/>
  <c r="F211" i="3"/>
  <c r="F438" i="3"/>
  <c r="F653" i="3"/>
  <c r="F148" i="3"/>
  <c r="F15" i="3"/>
  <c r="F110" i="3"/>
  <c r="F199" i="3"/>
  <c r="F221" i="3"/>
  <c r="F371" i="3"/>
  <c r="F357" i="14"/>
  <c r="G357" i="14" s="1"/>
  <c r="F537" i="3"/>
  <c r="F568" i="3"/>
  <c r="F667" i="3"/>
  <c r="F884" i="3"/>
  <c r="F963" i="3"/>
  <c r="F1029" i="3"/>
  <c r="F207" i="3"/>
  <c r="G202" i="14"/>
  <c r="G201" i="14" s="1"/>
  <c r="G200" i="14" s="1"/>
  <c r="F982" i="3"/>
  <c r="F527" i="3"/>
  <c r="F838" i="3"/>
  <c r="F859" i="14"/>
  <c r="F36" i="3"/>
  <c r="F202" i="3"/>
  <c r="F225" i="3"/>
  <c r="G219" i="14"/>
  <c r="G218" i="14" s="1"/>
  <c r="F541" i="3"/>
  <c r="F572" i="3"/>
  <c r="F979" i="3"/>
  <c r="F84" i="3"/>
  <c r="C48" i="1"/>
  <c r="E48" i="1" s="1"/>
  <c r="C192" i="1"/>
  <c r="C39" i="1"/>
  <c r="C73" i="1"/>
  <c r="F441" i="3"/>
  <c r="G721" i="5"/>
  <c r="C56" i="1"/>
  <c r="C55" i="1"/>
  <c r="C31" i="1"/>
  <c r="C58" i="1"/>
  <c r="C43" i="1"/>
  <c r="E43" i="1" s="1"/>
  <c r="C17" i="1"/>
  <c r="G899" i="5"/>
  <c r="G901" i="5"/>
  <c r="G880" i="5"/>
  <c r="G882" i="5"/>
  <c r="G870" i="5"/>
  <c r="G872" i="5"/>
  <c r="G874" i="5"/>
  <c r="G876" i="5"/>
  <c r="G865" i="5"/>
  <c r="G867" i="5"/>
  <c r="G860" i="5"/>
  <c r="G862" i="5"/>
  <c r="G849" i="5"/>
  <c r="G851" i="5"/>
  <c r="G837" i="5"/>
  <c r="G839" i="5"/>
  <c r="G822" i="5"/>
  <c r="G833" i="5"/>
  <c r="G835" i="5"/>
  <c r="G841" i="5"/>
  <c r="G843" i="5"/>
  <c r="G829" i="5"/>
  <c r="G800" i="5"/>
  <c r="G757" i="5"/>
  <c r="G759" i="5"/>
  <c r="G724" i="5"/>
  <c r="G726" i="5"/>
  <c r="G709" i="5"/>
  <c r="G711" i="5"/>
  <c r="G716" i="5"/>
  <c r="G718" i="5"/>
  <c r="G691" i="5"/>
  <c r="G693" i="5"/>
  <c r="G704" i="5"/>
  <c r="G649" i="5"/>
  <c r="G651" i="5"/>
  <c r="G442" i="5"/>
  <c r="G444" i="5"/>
  <c r="G431" i="5"/>
  <c r="G423" i="5"/>
  <c r="G425" i="5"/>
  <c r="G427" i="5"/>
  <c r="G429" i="5"/>
  <c r="G416" i="5"/>
  <c r="G418" i="5"/>
  <c r="G408" i="5"/>
  <c r="G410" i="5"/>
  <c r="G263" i="5"/>
  <c r="G265" i="5"/>
  <c r="G232" i="5"/>
  <c r="G234" i="5"/>
  <c r="G279" i="5"/>
  <c r="G281" i="5"/>
  <c r="G250" i="5"/>
  <c r="G252" i="5"/>
  <c r="G218" i="5"/>
  <c r="G220" i="5"/>
  <c r="G53" i="5"/>
  <c r="G899" i="4"/>
  <c r="F1040" i="3"/>
  <c r="G447" i="5"/>
  <c r="F994" i="3"/>
  <c r="G895" i="4"/>
  <c r="F1036" i="3"/>
  <c r="G880" i="4"/>
  <c r="F1021" i="3"/>
  <c r="G887" i="5"/>
  <c r="F1015" i="3"/>
  <c r="G464" i="5"/>
  <c r="G465" i="5" s="1"/>
  <c r="F1050" i="3"/>
  <c r="F960" i="3"/>
  <c r="F927" i="3"/>
  <c r="F908" i="3"/>
  <c r="G38" i="6"/>
  <c r="G37" i="6" s="1"/>
  <c r="G36" i="6" s="1"/>
  <c r="G35" i="6" s="1"/>
  <c r="F962" i="3"/>
  <c r="G326" i="4"/>
  <c r="F726" i="3"/>
  <c r="F718" i="3"/>
  <c r="G329" i="4"/>
  <c r="F756" i="3"/>
  <c r="F811" i="3"/>
  <c r="F810" i="3" s="1"/>
  <c r="G782" i="4"/>
  <c r="F767" i="3"/>
  <c r="G813" i="4"/>
  <c r="F801" i="3"/>
  <c r="G602" i="4"/>
  <c r="F526" i="3"/>
  <c r="G255" i="5"/>
  <c r="F546" i="3"/>
  <c r="G225" i="5"/>
  <c r="F598" i="3"/>
  <c r="F617" i="3"/>
  <c r="F616" i="3" s="1"/>
  <c r="F615" i="3" s="1"/>
  <c r="G756" i="4"/>
  <c r="F682" i="3"/>
  <c r="G211" i="5"/>
  <c r="F533" i="3"/>
  <c r="F601" i="3"/>
  <c r="G268" i="5"/>
  <c r="F614" i="3"/>
  <c r="G807" i="4"/>
  <c r="G804" i="4" s="1"/>
  <c r="F795" i="3"/>
  <c r="G1107" i="4"/>
  <c r="G1102" i="4" s="1"/>
  <c r="F479" i="3"/>
  <c r="G667" i="4"/>
  <c r="F588" i="3"/>
  <c r="G237" i="5"/>
  <c r="F607" i="3"/>
  <c r="G790" i="4"/>
  <c r="F775" i="3"/>
  <c r="G1128" i="4"/>
  <c r="F503" i="3"/>
  <c r="F502" i="3" s="1"/>
  <c r="G273" i="5"/>
  <c r="F693" i="3"/>
  <c r="G788" i="4"/>
  <c r="F773" i="3"/>
  <c r="G811" i="4"/>
  <c r="F799" i="3"/>
  <c r="G1123" i="4"/>
  <c r="G179" i="4"/>
  <c r="F251" i="3"/>
  <c r="G557" i="4"/>
  <c r="G556" i="4" s="1"/>
  <c r="F157" i="3"/>
  <c r="F378" i="3"/>
  <c r="F425" i="3"/>
  <c r="F428" i="3"/>
  <c r="G695" i="32" s="1"/>
  <c r="F252" i="3"/>
  <c r="F245" i="3"/>
  <c r="G961" i="4"/>
  <c r="F333" i="3"/>
  <c r="G574" i="4"/>
  <c r="F336" i="3"/>
  <c r="G967" i="4"/>
  <c r="F339" i="3"/>
  <c r="F382" i="3"/>
  <c r="G773" i="32" s="1"/>
  <c r="F248" i="3"/>
  <c r="F249" i="3"/>
  <c r="G212" i="4"/>
  <c r="F301" i="3"/>
  <c r="F279" i="3"/>
  <c r="F390" i="3"/>
  <c r="G787" i="32" s="1"/>
  <c r="F177" i="3"/>
  <c r="G71" i="4"/>
  <c r="F68" i="3"/>
  <c r="G73" i="4"/>
  <c r="F70" i="3"/>
  <c r="G76" i="4"/>
  <c r="F73" i="3"/>
  <c r="G78" i="4"/>
  <c r="F75" i="3"/>
  <c r="F683" i="3"/>
  <c r="F55" i="3"/>
  <c r="F353" i="3"/>
  <c r="G920" i="4"/>
  <c r="G1018" i="4"/>
  <c r="G1059" i="4"/>
  <c r="G306" i="4"/>
  <c r="G466" i="4"/>
  <c r="G767" i="4"/>
  <c r="F250" i="3"/>
  <c r="G622" i="4"/>
  <c r="F973" i="3"/>
  <c r="G177" i="4"/>
  <c r="G210" i="4"/>
  <c r="G486" i="4"/>
  <c r="G483" i="4" s="1"/>
  <c r="G677" i="4"/>
  <c r="G924" i="4"/>
  <c r="G938" i="4"/>
  <c r="G435" i="4"/>
  <c r="G302" i="4"/>
  <c r="G1010" i="4"/>
  <c r="F465" i="3"/>
  <c r="F1042" i="3"/>
  <c r="G236" i="4"/>
  <c r="G247" i="4"/>
  <c r="G318" i="4"/>
  <c r="G490" i="4"/>
  <c r="G815" i="4"/>
  <c r="G853" i="4"/>
  <c r="G922" i="4"/>
  <c r="F430" i="3"/>
  <c r="F992" i="3"/>
  <c r="F437" i="3"/>
  <c r="F474" i="3"/>
  <c r="F461" i="14"/>
  <c r="G461" i="14" s="1"/>
  <c r="F977" i="3"/>
  <c r="G173" i="4"/>
  <c r="G456" i="4"/>
  <c r="G460" i="4"/>
  <c r="G686" i="4"/>
  <c r="G693" i="4"/>
  <c r="G833" i="4"/>
  <c r="G837" i="4"/>
  <c r="G987" i="4"/>
  <c r="G903" i="15" s="1"/>
  <c r="G1050" i="4"/>
  <c r="G50" i="5"/>
  <c r="G355" i="4"/>
  <c r="G352" i="4" s="1"/>
  <c r="G215" i="5"/>
  <c r="G612" i="4"/>
  <c r="G259" i="5"/>
  <c r="F535" i="3"/>
  <c r="G976" i="4"/>
  <c r="G975" i="4" s="1"/>
  <c r="G934" i="5"/>
  <c r="G567" i="4"/>
  <c r="G749" i="4"/>
  <c r="F674" i="3"/>
  <c r="G897" i="4"/>
  <c r="G964" i="4"/>
  <c r="F602" i="3"/>
  <c r="G14" i="4"/>
  <c r="G512" i="5"/>
  <c r="G373" i="4"/>
  <c r="G66" i="5"/>
  <c r="G479" i="4"/>
  <c r="G152" i="5"/>
  <c r="G598" i="4"/>
  <c r="G625" i="4"/>
  <c r="G28" i="5"/>
  <c r="G128" i="4"/>
  <c r="G680" i="4"/>
  <c r="G229" i="5"/>
  <c r="G701" i="4"/>
  <c r="F590" i="3"/>
  <c r="G384" i="4"/>
  <c r="G857" i="4"/>
  <c r="G1006" i="4"/>
  <c r="G1164" i="4"/>
  <c r="G981" i="4"/>
  <c r="G995" i="4"/>
  <c r="G911" i="15" s="1"/>
  <c r="H911" i="15" s="1"/>
  <c r="F422" i="3"/>
  <c r="G130" i="4"/>
  <c r="G353" i="4"/>
  <c r="G515" i="5"/>
  <c r="G375" i="4"/>
  <c r="F827" i="3"/>
  <c r="G346" i="4"/>
  <c r="G54" i="4"/>
  <c r="G389" i="5"/>
  <c r="G385" i="5" s="1"/>
  <c r="G170" i="4"/>
  <c r="F241" i="3"/>
  <c r="G304" i="4"/>
  <c r="G509" i="5"/>
  <c r="G371" i="4"/>
  <c r="F823" i="3"/>
  <c r="G382" i="4"/>
  <c r="G577" i="4"/>
  <c r="G576" i="4" s="1"/>
  <c r="F580" i="3"/>
  <c r="G244" i="5"/>
  <c r="G461" i="5"/>
  <c r="G907" i="4"/>
  <c r="G609" i="4"/>
  <c r="G660" i="4"/>
  <c r="G690" i="4"/>
  <c r="G25" i="5"/>
  <c r="G950" i="4"/>
  <c r="G1014" i="4"/>
  <c r="G930" i="15" s="1"/>
  <c r="H930" i="15" s="1"/>
  <c r="G1053" i="4"/>
  <c r="G696" i="5"/>
  <c r="G874" i="4"/>
  <c r="G909" i="4"/>
  <c r="G952" i="4"/>
  <c r="G1055" i="4"/>
  <c r="G971" i="15" s="1"/>
  <c r="H971" i="15" s="1"/>
  <c r="G1065" i="4"/>
  <c r="G274" i="11"/>
  <c r="G273" i="11" s="1"/>
  <c r="G272" i="11" s="1"/>
  <c r="G293" i="11" s="1"/>
  <c r="G49" i="11"/>
  <c r="G48" i="11" s="1"/>
  <c r="G47" i="11" s="1"/>
  <c r="G46" i="11" s="1"/>
  <c r="G54" i="11" s="1"/>
  <c r="G120" i="11"/>
  <c r="G119" i="11" s="1"/>
  <c r="G118" i="11" s="1"/>
  <c r="G136" i="11" s="1"/>
  <c r="G22" i="11"/>
  <c r="G21" i="11" s="1"/>
  <c r="G20" i="11" s="1"/>
  <c r="G31" i="11" s="1"/>
  <c r="G230" i="11"/>
  <c r="G226" i="11" s="1"/>
  <c r="G225" i="11" s="1"/>
  <c r="G224" i="11" s="1"/>
  <c r="G241" i="11" s="1"/>
  <c r="G308" i="11"/>
  <c r="G355" i="11"/>
  <c r="G354" i="11" s="1"/>
  <c r="G353" i="11" s="1"/>
  <c r="G369" i="11" s="1"/>
  <c r="G436" i="11"/>
  <c r="G435" i="11" s="1"/>
  <c r="G434" i="11" s="1"/>
  <c r="G433" i="11" s="1"/>
  <c r="G450" i="11" s="1"/>
  <c r="G493" i="11"/>
  <c r="G489" i="11" s="1"/>
  <c r="G488" i="11" s="1"/>
  <c r="G13" i="11"/>
  <c r="G10" i="11" s="1"/>
  <c r="G163" i="11"/>
  <c r="G162" i="11" s="1"/>
  <c r="G141" i="11" s="1"/>
  <c r="G179" i="11" s="1"/>
  <c r="D18" i="2"/>
  <c r="D18" i="13" s="1"/>
  <c r="F876" i="3"/>
  <c r="G263" i="11"/>
  <c r="G249" i="11"/>
  <c r="G194" i="11"/>
  <c r="G188" i="11"/>
  <c r="G296" i="11"/>
  <c r="G295" i="11" s="1"/>
  <c r="G294" i="11" s="1"/>
  <c r="G300" i="11" s="1"/>
  <c r="G329" i="11"/>
  <c r="G328" i="11" s="1"/>
  <c r="G327" i="11" s="1"/>
  <c r="G104" i="11"/>
  <c r="G103" i="11" s="1"/>
  <c r="G219" i="11"/>
  <c r="G218" i="11" s="1"/>
  <c r="G217" i="11"/>
  <c r="G223" i="11" s="1"/>
  <c r="G460" i="11"/>
  <c r="G459" i="11" s="1"/>
  <c r="G458" i="11" s="1"/>
  <c r="G486" i="11" s="1"/>
  <c r="G521" i="11"/>
  <c r="G526" i="11"/>
  <c r="G320" i="11"/>
  <c r="G319" i="11" s="1"/>
  <c r="G318" i="11" s="1"/>
  <c r="G317" i="11" s="1"/>
  <c r="G325" i="11" s="1"/>
  <c r="G422" i="11"/>
  <c r="G421" i="11" s="1"/>
  <c r="G420" i="11" s="1"/>
  <c r="G500" i="11"/>
  <c r="G499" i="11" s="1"/>
  <c r="G510" i="11" s="1"/>
  <c r="G513" i="11"/>
  <c r="G512" i="11" s="1"/>
  <c r="G121" i="10" l="1"/>
  <c r="G97" i="10" s="1"/>
  <c r="G56" i="10" s="1"/>
  <c r="G28" i="10" s="1"/>
  <c r="D31" i="31"/>
  <c r="D28" i="31" s="1"/>
  <c r="D52" i="31" s="1"/>
  <c r="F326" i="30"/>
  <c r="G774" i="32"/>
  <c r="G772" i="32"/>
  <c r="G771" i="32" s="1"/>
  <c r="G770" i="32" s="1"/>
  <c r="G769" i="32" s="1"/>
  <c r="G768" i="32" s="1"/>
  <c r="G696" i="32"/>
  <c r="G694" i="32"/>
  <c r="G687" i="32" s="1"/>
  <c r="G682" i="32" s="1"/>
  <c r="G681" i="32" s="1"/>
  <c r="G680" i="32" s="1"/>
  <c r="G672" i="32" s="1"/>
  <c r="G781" i="32"/>
  <c r="G779" i="32"/>
  <c r="G778" i="32" s="1"/>
  <c r="G777" i="32" s="1"/>
  <c r="G776" i="32" s="1"/>
  <c r="G775" i="32" s="1"/>
  <c r="G786" i="32"/>
  <c r="G785" i="32" s="1"/>
  <c r="G784" i="32" s="1"/>
  <c r="G783" i="32" s="1"/>
  <c r="G782" i="32" s="1"/>
  <c r="G788" i="32"/>
  <c r="F875" i="3"/>
  <c r="G1101" i="4"/>
  <c r="G434" i="4"/>
  <c r="G433" i="4" s="1"/>
  <c r="G984" i="10"/>
  <c r="G279" i="10"/>
  <c r="G1001" i="10" s="1"/>
  <c r="G1000" i="10"/>
  <c r="G872" i="15"/>
  <c r="H872" i="15" s="1"/>
  <c r="H866" i="15" s="1"/>
  <c r="F375" i="14"/>
  <c r="G375" i="14" s="1"/>
  <c r="F367" i="14"/>
  <c r="G367" i="14" s="1"/>
  <c r="F371" i="14"/>
  <c r="G371" i="14" s="1"/>
  <c r="F413" i="14"/>
  <c r="G1021" i="15"/>
  <c r="H1021" i="15" s="1"/>
  <c r="G1127" i="4"/>
  <c r="G1115" i="4" s="1"/>
  <c r="G285" i="4"/>
  <c r="G358" i="10"/>
  <c r="G733" i="10"/>
  <c r="G725" i="10" s="1"/>
  <c r="G848" i="10"/>
  <c r="G847" i="10" s="1"/>
  <c r="G236" i="10"/>
  <c r="G235" i="10" s="1"/>
  <c r="G195" i="10"/>
  <c r="G1006" i="10"/>
  <c r="G900" i="10"/>
  <c r="G899" i="10" s="1"/>
  <c r="G278" i="10"/>
  <c r="E123" i="12"/>
  <c r="G207" i="15"/>
  <c r="G1109" i="15" s="1"/>
  <c r="F189" i="3"/>
  <c r="F188" i="3" s="1"/>
  <c r="G278" i="15"/>
  <c r="G281" i="4"/>
  <c r="G219" i="16"/>
  <c r="G218" i="16" s="1"/>
  <c r="G217" i="16" s="1"/>
  <c r="G216" i="16" s="1"/>
  <c r="G990" i="10"/>
  <c r="G926" i="10"/>
  <c r="G925" i="10" s="1"/>
  <c r="G390" i="10"/>
  <c r="G994" i="10" s="1"/>
  <c r="G381" i="4"/>
  <c r="G826" i="10"/>
  <c r="G800" i="10" s="1"/>
  <c r="G675" i="10"/>
  <c r="G674" i="10" s="1"/>
  <c r="G47" i="6"/>
  <c r="G301" i="4"/>
  <c r="G300" i="4" s="1"/>
  <c r="G30" i="10"/>
  <c r="G29" i="10" s="1"/>
  <c r="G645" i="10"/>
  <c r="G615" i="15"/>
  <c r="F31" i="14"/>
  <c r="H32" i="14"/>
  <c r="G548" i="14"/>
  <c r="H220" i="16"/>
  <c r="H221" i="16" s="1"/>
  <c r="G501" i="14"/>
  <c r="G500" i="14" s="1"/>
  <c r="G499" i="14" s="1"/>
  <c r="F500" i="14"/>
  <c r="F499" i="14" s="1"/>
  <c r="H1080" i="15"/>
  <c r="G1069" i="15"/>
  <c r="G370" i="4"/>
  <c r="G369" i="4" s="1"/>
  <c r="F567" i="14"/>
  <c r="F543" i="14" s="1"/>
  <c r="H252" i="16"/>
  <c r="H251" i="16" s="1"/>
  <c r="H250" i="16" s="1"/>
  <c r="H254" i="16"/>
  <c r="G787" i="4"/>
  <c r="G786" i="4" s="1"/>
  <c r="H281" i="16"/>
  <c r="H280" i="16" s="1"/>
  <c r="H279" i="16" s="1"/>
  <c r="H283" i="16"/>
  <c r="G586" i="14"/>
  <c r="G585" i="14" s="1"/>
  <c r="G584" i="14" s="1"/>
  <c r="G580" i="14" s="1"/>
  <c r="H277" i="16"/>
  <c r="H102" i="16"/>
  <c r="H101" i="16" s="1"/>
  <c r="H104" i="16"/>
  <c r="G514" i="14"/>
  <c r="G513" i="14" s="1"/>
  <c r="G512" i="14" s="1"/>
  <c r="H264" i="16"/>
  <c r="G579" i="14"/>
  <c r="G578" i="14" s="1"/>
  <c r="G577" i="14" s="1"/>
  <c r="H246" i="16"/>
  <c r="G139" i="16"/>
  <c r="G137" i="16"/>
  <c r="G136" i="16" s="1"/>
  <c r="G135" i="16" s="1"/>
  <c r="G134" i="16" s="1"/>
  <c r="G237" i="16"/>
  <c r="G236" i="16" s="1"/>
  <c r="G239" i="16"/>
  <c r="H235" i="16"/>
  <c r="H233" i="16"/>
  <c r="H232" i="16" s="1"/>
  <c r="H239" i="16"/>
  <c r="H237" i="16"/>
  <c r="H236" i="16" s="1"/>
  <c r="G235" i="16"/>
  <c r="G233" i="16"/>
  <c r="G232" i="16" s="1"/>
  <c r="G485" i="14"/>
  <c r="G573" i="14"/>
  <c r="G572" i="14" s="1"/>
  <c r="G571" i="14" s="1"/>
  <c r="G80" i="16"/>
  <c r="G79" i="16" s="1"/>
  <c r="G78" i="16" s="1"/>
  <c r="G82" i="16"/>
  <c r="D114" i="1"/>
  <c r="G226" i="15"/>
  <c r="G225" i="15" s="1"/>
  <c r="G227" i="4"/>
  <c r="G1215" i="4" s="1"/>
  <c r="G570" i="14"/>
  <c r="G569" i="14" s="1"/>
  <c r="G568" i="14" s="1"/>
  <c r="G87" i="16"/>
  <c r="G86" i="16" s="1"/>
  <c r="G85" i="16" s="1"/>
  <c r="G89" i="16"/>
  <c r="G384" i="5"/>
  <c r="G378" i="5" s="1"/>
  <c r="G947" i="4"/>
  <c r="G546" i="10"/>
  <c r="G704" i="10"/>
  <c r="G989" i="10" s="1"/>
  <c r="G459" i="10"/>
  <c r="G995" i="10"/>
  <c r="G507" i="10"/>
  <c r="G277" i="10"/>
  <c r="G1003" i="10"/>
  <c r="G978" i="10"/>
  <c r="G154" i="4"/>
  <c r="G810" i="4"/>
  <c r="G809" i="4" s="1"/>
  <c r="G51" i="4"/>
  <c r="H209" i="15"/>
  <c r="G288" i="14"/>
  <c r="G287" i="14" s="1"/>
  <c r="G539" i="4"/>
  <c r="G538" i="4" s="1"/>
  <c r="G537" i="4" s="1"/>
  <c r="F241" i="14"/>
  <c r="G579" i="15"/>
  <c r="H579" i="15" s="1"/>
  <c r="G455" i="4"/>
  <c r="G451" i="4" s="1"/>
  <c r="G176" i="4"/>
  <c r="G105" i="4"/>
  <c r="G919" i="4"/>
  <c r="G915" i="4" s="1"/>
  <c r="G235" i="4"/>
  <c r="D151" i="1" s="1"/>
  <c r="G894" i="4"/>
  <c r="G893" i="4" s="1"/>
  <c r="G892" i="4" s="1"/>
  <c r="F212" i="14"/>
  <c r="F211" i="14" s="1"/>
  <c r="F210" i="14" s="1"/>
  <c r="G519" i="15"/>
  <c r="G518" i="15" s="1"/>
  <c r="H135" i="15"/>
  <c r="F162" i="14"/>
  <c r="F161" i="14" s="1"/>
  <c r="G134" i="15"/>
  <c r="H1087" i="15"/>
  <c r="H1086" i="15" s="1"/>
  <c r="G111" i="14"/>
  <c r="G110" i="14" s="1"/>
  <c r="G109" i="14" s="1"/>
  <c r="G108" i="14" s="1"/>
  <c r="G239" i="14"/>
  <c r="G238" i="14" s="1"/>
  <c r="G237" i="14" s="1"/>
  <c r="H180" i="15"/>
  <c r="H179" i="15" s="1"/>
  <c r="H175" i="15" s="1"/>
  <c r="G928" i="14"/>
  <c r="G927" i="14" s="1"/>
  <c r="G926" i="14" s="1"/>
  <c r="H807" i="15"/>
  <c r="H806" i="15" s="1"/>
  <c r="F14" i="14"/>
  <c r="F13" i="14" s="1"/>
  <c r="G1052" i="15"/>
  <c r="G1051" i="15" s="1"/>
  <c r="H205" i="16"/>
  <c r="H206" i="16" s="1"/>
  <c r="G629" i="14"/>
  <c r="G628" i="14" s="1"/>
  <c r="G627" i="14" s="1"/>
  <c r="H699" i="15"/>
  <c r="H698" i="15" s="1"/>
  <c r="H654" i="16"/>
  <c r="H655" i="16" s="1"/>
  <c r="G410" i="14"/>
  <c r="G409" i="14" s="1"/>
  <c r="G408" i="14" s="1"/>
  <c r="H969" i="15"/>
  <c r="H968" i="15" s="1"/>
  <c r="H82" i="15"/>
  <c r="G76" i="14"/>
  <c r="G75" i="14" s="1"/>
  <c r="H80" i="15"/>
  <c r="G74" i="14"/>
  <c r="G73" i="14" s="1"/>
  <c r="H85" i="15"/>
  <c r="G79" i="14"/>
  <c r="G78" i="14" s="1"/>
  <c r="H1076" i="15"/>
  <c r="H1075" i="15" s="1"/>
  <c r="G39" i="14"/>
  <c r="G38" i="14" s="1"/>
  <c r="G37" i="14" s="1"/>
  <c r="G940" i="14"/>
  <c r="G939" i="14" s="1"/>
  <c r="H819" i="15"/>
  <c r="G732" i="15"/>
  <c r="G981" i="15"/>
  <c r="G980" i="15" s="1"/>
  <c r="G964" i="15" s="1"/>
  <c r="F422" i="14"/>
  <c r="F421" i="14" s="1"/>
  <c r="F420" i="14" s="1"/>
  <c r="F404" i="14" s="1"/>
  <c r="F399" i="14" s="1"/>
  <c r="H499" i="15"/>
  <c r="H498" i="15" s="1"/>
  <c r="G498" i="15"/>
  <c r="G493" i="15" s="1"/>
  <c r="H63" i="15"/>
  <c r="F56" i="14"/>
  <c r="F55" i="14" s="1"/>
  <c r="G62" i="15"/>
  <c r="G55" i="15" s="1"/>
  <c r="H845" i="15"/>
  <c r="F148" i="14"/>
  <c r="F147" i="14" s="1"/>
  <c r="G844" i="15"/>
  <c r="F912" i="14"/>
  <c r="F911" i="14" s="1"/>
  <c r="F910" i="14" s="1"/>
  <c r="G791" i="15"/>
  <c r="G790" i="15" s="1"/>
  <c r="F625" i="14"/>
  <c r="F624" i="14" s="1"/>
  <c r="F623" i="14" s="1"/>
  <c r="G695" i="15"/>
  <c r="G694" i="15" s="1"/>
  <c r="H66" i="15"/>
  <c r="F59" i="14"/>
  <c r="F58" i="14" s="1"/>
  <c r="F57" i="14" s="1"/>
  <c r="H843" i="15"/>
  <c r="F146" i="14"/>
  <c r="F145" i="14" s="1"/>
  <c r="G842" i="15"/>
  <c r="F468" i="14"/>
  <c r="F465" i="14"/>
  <c r="G936" i="14"/>
  <c r="G935" i="14" s="1"/>
  <c r="H815" i="15"/>
  <c r="G721" i="14"/>
  <c r="G720" i="14" s="1"/>
  <c r="H735" i="15"/>
  <c r="G729" i="14"/>
  <c r="G728" i="14" s="1"/>
  <c r="G727" i="14" s="1"/>
  <c r="H743" i="15"/>
  <c r="H742" i="15" s="1"/>
  <c r="G183" i="15"/>
  <c r="G182" i="15" s="1"/>
  <c r="H184" i="15"/>
  <c r="F717" i="14"/>
  <c r="F442" i="14"/>
  <c r="F441" i="14" s="1"/>
  <c r="F440" i="14" s="1"/>
  <c r="G1001" i="15"/>
  <c r="G1000" i="15" s="1"/>
  <c r="G660" i="15"/>
  <c r="G659" i="15" s="1"/>
  <c r="G658" i="15" s="1"/>
  <c r="H137" i="15"/>
  <c r="F164" i="14"/>
  <c r="F163" i="14" s="1"/>
  <c r="G136" i="15"/>
  <c r="F948" i="14"/>
  <c r="F947" i="14" s="1"/>
  <c r="F946" i="14" s="1"/>
  <c r="G827" i="15"/>
  <c r="G826" i="15" s="1"/>
  <c r="H698" i="16"/>
  <c r="H697" i="16" s="1"/>
  <c r="H696" i="16" s="1"/>
  <c r="G258" i="14"/>
  <c r="G257" i="14" s="1"/>
  <c r="G256" i="14" s="1"/>
  <c r="H199" i="15"/>
  <c r="H198" i="15" s="1"/>
  <c r="G823" i="14"/>
  <c r="G822" i="14" s="1"/>
  <c r="G821" i="14" s="1"/>
  <c r="G820" i="14" s="1"/>
  <c r="G819" i="14" s="1"/>
  <c r="G818" i="14" s="1"/>
  <c r="G438" i="15"/>
  <c r="G437" i="15" s="1"/>
  <c r="H1019" i="15"/>
  <c r="H1018" i="15" s="1"/>
  <c r="G460" i="14"/>
  <c r="G459" i="14" s="1"/>
  <c r="G458" i="14" s="1"/>
  <c r="H1011" i="15"/>
  <c r="H1006" i="15" s="1"/>
  <c r="G452" i="14"/>
  <c r="G451" i="14" s="1"/>
  <c r="G446" i="14" s="1"/>
  <c r="H747" i="15"/>
  <c r="H752" i="15"/>
  <c r="G737" i="14" s="1"/>
  <c r="G736" i="14" s="1"/>
  <c r="G731" i="14" s="1"/>
  <c r="F737" i="14"/>
  <c r="F736" i="14" s="1"/>
  <c r="F731" i="14" s="1"/>
  <c r="G751" i="15"/>
  <c r="G746" i="15" s="1"/>
  <c r="H455" i="16"/>
  <c r="H454" i="16" s="1"/>
  <c r="G950" i="14"/>
  <c r="G949" i="14" s="1"/>
  <c r="H829" i="15"/>
  <c r="H438" i="16"/>
  <c r="H439" i="16" s="1"/>
  <c r="G908" i="14"/>
  <c r="G907" i="14" s="1"/>
  <c r="G906" i="14" s="1"/>
  <c r="G902" i="14" s="1"/>
  <c r="H787" i="15"/>
  <c r="H786" i="15" s="1"/>
  <c r="H652" i="15"/>
  <c r="H651" i="15" s="1"/>
  <c r="H48" i="16"/>
  <c r="H49" i="16" s="1"/>
  <c r="G702" i="14"/>
  <c r="G701" i="14" s="1"/>
  <c r="G700" i="14" s="1"/>
  <c r="H349" i="15"/>
  <c r="H348" i="15" s="1"/>
  <c r="H645" i="15"/>
  <c r="H644" i="15" s="1"/>
  <c r="H749" i="15"/>
  <c r="H818" i="15"/>
  <c r="F938" i="14"/>
  <c r="F937" i="14" s="1"/>
  <c r="F934" i="14" s="1"/>
  <c r="G817" i="15"/>
  <c r="G814" i="15" s="1"/>
  <c r="G586" i="15"/>
  <c r="G585" i="15" s="1"/>
  <c r="F672" i="14"/>
  <c r="F671" i="14" s="1"/>
  <c r="F670" i="14" s="1"/>
  <c r="G322" i="15"/>
  <c r="G321" i="15" s="1"/>
  <c r="G712" i="14"/>
  <c r="G711" i="14" s="1"/>
  <c r="G710" i="14" s="1"/>
  <c r="H724" i="15"/>
  <c r="H723" i="15" s="1"/>
  <c r="G643" i="14"/>
  <c r="G642" i="14" s="1"/>
  <c r="G641" i="14" s="1"/>
  <c r="H713" i="15"/>
  <c r="H712" i="15" s="1"/>
  <c r="H583" i="15"/>
  <c r="H582" i="15" s="1"/>
  <c r="G173" i="14"/>
  <c r="G172" i="14" s="1"/>
  <c r="G171" i="14" s="1"/>
  <c r="G170" i="14" s="1"/>
  <c r="H249" i="15"/>
  <c r="H248" i="15" s="1"/>
  <c r="H247" i="15" s="1"/>
  <c r="H838" i="16"/>
  <c r="H837" i="16" s="1"/>
  <c r="H836" i="16" s="1"/>
  <c r="H835" i="16" s="1"/>
  <c r="H834" i="16" s="1"/>
  <c r="H807" i="16" s="1"/>
  <c r="H795" i="16" s="1"/>
  <c r="G922" i="14"/>
  <c r="G921" i="14" s="1"/>
  <c r="G920" i="14" s="1"/>
  <c r="H801" i="15"/>
  <c r="H800" i="15" s="1"/>
  <c r="H240" i="15"/>
  <c r="H237" i="15" s="1"/>
  <c r="F124" i="12" s="1"/>
  <c r="G879" i="14"/>
  <c r="G878" i="14" s="1"/>
  <c r="G875" i="14" s="1"/>
  <c r="H87" i="15"/>
  <c r="G81" i="14"/>
  <c r="G80" i="14" s="1"/>
  <c r="H1028" i="15"/>
  <c r="H1025" i="15" s="1"/>
  <c r="G469" i="14"/>
  <c r="G328" i="14"/>
  <c r="G327" i="14" s="1"/>
  <c r="G326" i="14" s="1"/>
  <c r="H529" i="15"/>
  <c r="H528" i="15" s="1"/>
  <c r="H858" i="15"/>
  <c r="H857" i="15" s="1"/>
  <c r="G268" i="14"/>
  <c r="G267" i="14" s="1"/>
  <c r="G266" i="14" s="1"/>
  <c r="G325" i="14"/>
  <c r="G324" i="14" s="1"/>
  <c r="G323" i="14" s="1"/>
  <c r="H884" i="15"/>
  <c r="H883" i="15" s="1"/>
  <c r="H733" i="15"/>
  <c r="G719" i="14"/>
  <c r="G718" i="14" s="1"/>
  <c r="G245" i="14"/>
  <c r="G244" i="14" s="1"/>
  <c r="G241" i="14" s="1"/>
  <c r="H186" i="15"/>
  <c r="H511" i="15"/>
  <c r="H510" i="15" s="1"/>
  <c r="G152" i="14"/>
  <c r="G151" i="14" s="1"/>
  <c r="G150" i="14" s="1"/>
  <c r="H184" i="16"/>
  <c r="H185" i="16" s="1"/>
  <c r="H620" i="15"/>
  <c r="H619" i="15" s="1"/>
  <c r="H196" i="16"/>
  <c r="H195" i="16" s="1"/>
  <c r="H194" i="16" s="1"/>
  <c r="H629" i="15"/>
  <c r="H628" i="15" s="1"/>
  <c r="G705" i="15"/>
  <c r="G704" i="15" s="1"/>
  <c r="F635" i="14"/>
  <c r="F634" i="14" s="1"/>
  <c r="F633" i="14" s="1"/>
  <c r="H163" i="16"/>
  <c r="H162" i="16" s="1"/>
  <c r="H161" i="16" s="1"/>
  <c r="H557" i="15"/>
  <c r="H556" i="15" s="1"/>
  <c r="H171" i="16"/>
  <c r="H170" i="16" s="1"/>
  <c r="H169" i="16" s="1"/>
  <c r="H563" i="15"/>
  <c r="H562" i="15" s="1"/>
  <c r="F669" i="14"/>
  <c r="F668" i="14" s="1"/>
  <c r="F667" i="14" s="1"/>
  <c r="G319" i="15"/>
  <c r="G318" i="15" s="1"/>
  <c r="F675" i="14"/>
  <c r="F674" i="14" s="1"/>
  <c r="F673" i="14" s="1"/>
  <c r="G325" i="15"/>
  <c r="G324" i="15" s="1"/>
  <c r="H75" i="15"/>
  <c r="H74" i="15" s="1"/>
  <c r="F140" i="12" s="1"/>
  <c r="G69" i="14"/>
  <c r="G68" i="14" s="1"/>
  <c r="G67" i="14" s="1"/>
  <c r="G253" i="15"/>
  <c r="G256" i="4"/>
  <c r="G255" i="4" s="1"/>
  <c r="H725" i="16"/>
  <c r="G148" i="4"/>
  <c r="D155" i="1"/>
  <c r="G84" i="15"/>
  <c r="E129" i="12" s="1"/>
  <c r="G74" i="15"/>
  <c r="E140" i="12" s="1"/>
  <c r="H497" i="15"/>
  <c r="F52" i="14"/>
  <c r="F51" i="14" s="1"/>
  <c r="G79" i="15"/>
  <c r="E122" i="12" s="1"/>
  <c r="F118" i="14"/>
  <c r="G651" i="4"/>
  <c r="G494" i="4"/>
  <c r="G337" i="4"/>
  <c r="G652" i="4"/>
  <c r="G544" i="5"/>
  <c r="G540" i="5" s="1"/>
  <c r="G536" i="5" s="1"/>
  <c r="F167" i="3"/>
  <c r="F385" i="3"/>
  <c r="F370" i="14" s="1"/>
  <c r="G370" i="14" s="1"/>
  <c r="F548" i="3"/>
  <c r="F547" i="3" s="1"/>
  <c r="G85" i="14"/>
  <c r="F152" i="3"/>
  <c r="G774" i="4"/>
  <c r="G589" i="4"/>
  <c r="G588" i="4" s="1"/>
  <c r="F621" i="3"/>
  <c r="F620" i="3" s="1"/>
  <c r="F619" i="3" s="1"/>
  <c r="G787" i="5"/>
  <c r="G788" i="5" s="1"/>
  <c r="H227" i="15"/>
  <c r="H226" i="15" s="1"/>
  <c r="H225" i="15" s="1"/>
  <c r="G653" i="16"/>
  <c r="G655" i="16"/>
  <c r="G164" i="16"/>
  <c r="G162" i="16"/>
  <c r="G161" i="16" s="1"/>
  <c r="G49" i="16"/>
  <c r="G47" i="16"/>
  <c r="G46" i="16" s="1"/>
  <c r="G45" i="16" s="1"/>
  <c r="G44" i="16" s="1"/>
  <c r="G43" i="16" s="1"/>
  <c r="G31" i="16" s="1"/>
  <c r="G333" i="15"/>
  <c r="G332" i="15"/>
  <c r="G605" i="15"/>
  <c r="G604" i="15"/>
  <c r="G269" i="15"/>
  <c r="G268" i="15"/>
  <c r="G437" i="16"/>
  <c r="G436" i="16" s="1"/>
  <c r="G431" i="16" s="1"/>
  <c r="G430" i="16" s="1"/>
  <c r="G429" i="16" s="1"/>
  <c r="G439" i="16"/>
  <c r="H1002" i="15"/>
  <c r="G859" i="16"/>
  <c r="H873" i="15"/>
  <c r="H28" i="16" s="1"/>
  <c r="H27" i="16" s="1"/>
  <c r="G28" i="16"/>
  <c r="G303" i="16"/>
  <c r="G867" i="16"/>
  <c r="G31" i="17"/>
  <c r="G30" i="17" s="1"/>
  <c r="G29" i="17" s="1"/>
  <c r="G28" i="17" s="1"/>
  <c r="G27" i="17" s="1"/>
  <c r="G45" i="17" s="1"/>
  <c r="H587" i="15"/>
  <c r="H706" i="15"/>
  <c r="G213" i="16"/>
  <c r="H792" i="15"/>
  <c r="F136" i="12" s="1"/>
  <c r="G445" i="16"/>
  <c r="H326" i="15"/>
  <c r="G557" i="16"/>
  <c r="G296" i="16"/>
  <c r="G716" i="15"/>
  <c r="G715" i="15"/>
  <c r="H541" i="15"/>
  <c r="H540" i="15" s="1"/>
  <c r="H539" i="15" s="1"/>
  <c r="H538" i="15" s="1"/>
  <c r="G541" i="15"/>
  <c r="G540" i="15" s="1"/>
  <c r="G539" i="15" s="1"/>
  <c r="G538" i="15" s="1"/>
  <c r="G454" i="15"/>
  <c r="H659" i="16"/>
  <c r="G454" i="16"/>
  <c r="G456" i="16"/>
  <c r="G204" i="16"/>
  <c r="G203" i="16" s="1"/>
  <c r="G206" i="16"/>
  <c r="G170" i="16"/>
  <c r="G169" i="16" s="1"/>
  <c r="G172" i="16"/>
  <c r="G195" i="16"/>
  <c r="G194" i="16" s="1"/>
  <c r="G197" i="16"/>
  <c r="G65" i="16"/>
  <c r="G64" i="16" s="1"/>
  <c r="G63" i="16" s="1"/>
  <c r="G62" i="16" s="1"/>
  <c r="G61" i="16" s="1"/>
  <c r="G60" i="16" s="1"/>
  <c r="G67" i="16"/>
  <c r="G839" i="16"/>
  <c r="G837" i="16"/>
  <c r="G836" i="16" s="1"/>
  <c r="G835" i="16" s="1"/>
  <c r="G834" i="16" s="1"/>
  <c r="G807" i="16" s="1"/>
  <c r="G795" i="16" s="1"/>
  <c r="G183" i="16"/>
  <c r="G182" i="16" s="1"/>
  <c r="G185" i="16"/>
  <c r="G866" i="15"/>
  <c r="G454" i="5"/>
  <c r="G453" i="5" s="1"/>
  <c r="F802" i="3"/>
  <c r="G672" i="16"/>
  <c r="H320" i="15"/>
  <c r="F134" i="12" s="1"/>
  <c r="G549" i="16"/>
  <c r="H323" i="15"/>
  <c r="F121" i="12" s="1"/>
  <c r="G553" i="16"/>
  <c r="G452" i="16"/>
  <c r="H67" i="16"/>
  <c r="H65" i="16"/>
  <c r="H64" i="16" s="1"/>
  <c r="H63" i="16" s="1"/>
  <c r="H62" i="16" s="1"/>
  <c r="H61" i="16" s="1"/>
  <c r="H60" i="16" s="1"/>
  <c r="H312" i="15"/>
  <c r="H514" i="16" s="1"/>
  <c r="H513" i="16" s="1"/>
  <c r="H509" i="16" s="1"/>
  <c r="H504" i="16" s="1"/>
  <c r="H503" i="16" s="1"/>
  <c r="H502" i="16" s="1"/>
  <c r="G514" i="16"/>
  <c r="H259" i="15"/>
  <c r="H783" i="15"/>
  <c r="H931" i="15"/>
  <c r="H731" i="16" s="1"/>
  <c r="H730" i="16" s="1"/>
  <c r="H729" i="16" s="1"/>
  <c r="H728" i="16" s="1"/>
  <c r="H727" i="16" s="1"/>
  <c r="H726" i="16" s="1"/>
  <c r="H711" i="16" s="1"/>
  <c r="G731" i="16"/>
  <c r="H739" i="16"/>
  <c r="G725" i="16"/>
  <c r="G723" i="16"/>
  <c r="G722" i="16" s="1"/>
  <c r="G721" i="16" s="1"/>
  <c r="G720" i="16" s="1"/>
  <c r="G719" i="16" s="1"/>
  <c r="H903" i="15"/>
  <c r="H902" i="15" s="1"/>
  <c r="G902" i="15"/>
  <c r="G737" i="16"/>
  <c r="G736" i="16" s="1"/>
  <c r="G735" i="16" s="1"/>
  <c r="G734" i="16" s="1"/>
  <c r="G733" i="16" s="1"/>
  <c r="G739" i="16"/>
  <c r="G661" i="16"/>
  <c r="G659" i="16"/>
  <c r="F858" i="14"/>
  <c r="G182" i="14"/>
  <c r="F182" i="14"/>
  <c r="H696" i="15"/>
  <c r="G156" i="16"/>
  <c r="D146" i="12"/>
  <c r="D145" i="12" s="1"/>
  <c r="C145" i="12"/>
  <c r="G698" i="16"/>
  <c r="G697" i="16" s="1"/>
  <c r="G696" i="16" s="1"/>
  <c r="F217" i="3"/>
  <c r="F216" i="3" s="1"/>
  <c r="G821" i="5"/>
  <c r="F292" i="3"/>
  <c r="G713" i="5"/>
  <c r="G712" i="5" s="1"/>
  <c r="F165" i="3"/>
  <c r="G773" i="4"/>
  <c r="G286" i="5"/>
  <c r="G272" i="4"/>
  <c r="G273" i="4"/>
  <c r="G336" i="4"/>
  <c r="G715" i="5"/>
  <c r="G284" i="5"/>
  <c r="G283" i="5" s="1"/>
  <c r="G282" i="5" s="1"/>
  <c r="F105" i="3"/>
  <c r="G581" i="5"/>
  <c r="G579" i="5"/>
  <c r="G578" i="5" s="1"/>
  <c r="G583" i="5"/>
  <c r="G582" i="5" s="1"/>
  <c r="G70" i="5"/>
  <c r="G54" i="5"/>
  <c r="G1064" i="4"/>
  <c r="G608" i="4"/>
  <c r="G569" i="15" s="1"/>
  <c r="G570" i="15"/>
  <c r="H570" i="15" s="1"/>
  <c r="G689" i="4"/>
  <c r="G649" i="15"/>
  <c r="H649" i="15" s="1"/>
  <c r="G1228" i="4"/>
  <c r="G169" i="4"/>
  <c r="G597" i="4"/>
  <c r="G596" i="4" s="1"/>
  <c r="H892" i="15"/>
  <c r="H893" i="15"/>
  <c r="G685" i="4"/>
  <c r="G246" i="4"/>
  <c r="G1009" i="4"/>
  <c r="G926" i="15"/>
  <c r="H926" i="15" s="1"/>
  <c r="G465" i="4"/>
  <c r="G966" i="4"/>
  <c r="G958" i="4"/>
  <c r="G878" i="15" s="1"/>
  <c r="G881" i="15"/>
  <c r="H881" i="15" s="1"/>
  <c r="G659" i="4"/>
  <c r="G658" i="4" s="1"/>
  <c r="G345" i="4"/>
  <c r="G1163" i="4"/>
  <c r="G1157" i="4" s="1"/>
  <c r="G700" i="4"/>
  <c r="G699" i="4" s="1"/>
  <c r="G748" i="4"/>
  <c r="G747" i="4" s="1"/>
  <c r="G611" i="4"/>
  <c r="G573" i="15"/>
  <c r="H573" i="15" s="1"/>
  <c r="G836" i="4"/>
  <c r="G835" i="4" s="1"/>
  <c r="G773" i="15"/>
  <c r="H773" i="15" s="1"/>
  <c r="G676" i="4"/>
  <c r="G635" i="15" s="1"/>
  <c r="G636" i="15"/>
  <c r="H636" i="15" s="1"/>
  <c r="G601" i="4"/>
  <c r="G328" i="4"/>
  <c r="G879" i="4"/>
  <c r="G878" i="4" s="1"/>
  <c r="G1024" i="4"/>
  <c r="G941" i="15"/>
  <c r="G386" i="4"/>
  <c r="G1149" i="4"/>
  <c r="G428" i="4"/>
  <c r="G202" i="4"/>
  <c r="G1028" i="4"/>
  <c r="G945" i="15"/>
  <c r="G647" i="4"/>
  <c r="G1075" i="4"/>
  <c r="G992" i="15"/>
  <c r="G1020" i="4"/>
  <c r="G937" i="15"/>
  <c r="G761" i="4"/>
  <c r="G708" i="15"/>
  <c r="G140" i="4"/>
  <c r="G60" i="4"/>
  <c r="H64" i="15" s="1"/>
  <c r="G741" i="4"/>
  <c r="G286" i="15"/>
  <c r="G285" i="15" s="1"/>
  <c r="G736" i="4"/>
  <c r="G422" i="4"/>
  <c r="G873" i="4"/>
  <c r="G1005" i="4"/>
  <c r="G478" i="4"/>
  <c r="G13" i="4"/>
  <c r="G963" i="4"/>
  <c r="G566" i="4"/>
  <c r="G832" i="4"/>
  <c r="G831" i="4" s="1"/>
  <c r="G621" i="4"/>
  <c r="G766" i="4"/>
  <c r="G1058" i="4"/>
  <c r="G573" i="4"/>
  <c r="G325" i="4"/>
  <c r="G856" i="4"/>
  <c r="G679" i="4"/>
  <c r="G638" i="15" s="1"/>
  <c r="H638" i="15" s="1"/>
  <c r="G639" i="15"/>
  <c r="H639" i="15" s="1"/>
  <c r="G624" i="4"/>
  <c r="G1049" i="4"/>
  <c r="G692" i="4"/>
  <c r="G172" i="4"/>
  <c r="G852" i="4"/>
  <c r="G315" i="4"/>
  <c r="G311" i="4" s="1"/>
  <c r="G311" i="15"/>
  <c r="H311" i="15" s="1"/>
  <c r="G937" i="4"/>
  <c r="G1017" i="4"/>
  <c r="G934" i="15"/>
  <c r="H934" i="15" s="1"/>
  <c r="G666" i="4"/>
  <c r="G662" i="4" s="1"/>
  <c r="G162" i="5"/>
  <c r="G397" i="4"/>
  <c r="G144" i="4"/>
  <c r="G146" i="15" s="1"/>
  <c r="G222" i="4"/>
  <c r="G942" i="4"/>
  <c r="F12" i="3"/>
  <c r="G164" i="5"/>
  <c r="G781" i="4"/>
  <c r="G657" i="5"/>
  <c r="G929" i="4"/>
  <c r="G65" i="5"/>
  <c r="G933" i="5"/>
  <c r="G249" i="5"/>
  <c r="G648" i="5"/>
  <c r="G690" i="5"/>
  <c r="G799" i="5"/>
  <c r="G869" i="5"/>
  <c r="G859" i="5"/>
  <c r="G873" i="5"/>
  <c r="G879" i="5"/>
  <c r="G892" i="5"/>
  <c r="G262" i="5"/>
  <c r="G415" i="5"/>
  <c r="G414" i="5" s="1"/>
  <c r="G422" i="5"/>
  <c r="G441" i="5"/>
  <c r="G848" i="5"/>
  <c r="G864" i="5"/>
  <c r="G898" i="5"/>
  <c r="G756" i="5"/>
  <c r="G755" i="5" s="1"/>
  <c r="G828" i="5"/>
  <c r="G840" i="5"/>
  <c r="G947" i="5"/>
  <c r="G812" i="5"/>
  <c r="G372" i="5"/>
  <c r="G940" i="5"/>
  <c r="G151" i="5"/>
  <c r="G150" i="5" s="1"/>
  <c r="G149" i="5" s="1"/>
  <c r="G278" i="5"/>
  <c r="G277" i="5" s="1"/>
  <c r="G231" i="5"/>
  <c r="G407" i="5"/>
  <c r="G406" i="5" s="1"/>
  <c r="G426" i="5"/>
  <c r="G430" i="5"/>
  <c r="G217" i="5"/>
  <c r="G708" i="5"/>
  <c r="G723" i="5"/>
  <c r="G832" i="5"/>
  <c r="G836" i="5"/>
  <c r="G917" i="5"/>
  <c r="G805" i="5"/>
  <c r="G161" i="4"/>
  <c r="G169" i="15"/>
  <c r="F240" i="3"/>
  <c r="F534" i="3"/>
  <c r="F990" i="3"/>
  <c r="F904" i="14" s="1"/>
  <c r="F80" i="3"/>
  <c r="F532" i="3"/>
  <c r="F961" i="3"/>
  <c r="F436" i="3"/>
  <c r="F692" i="3"/>
  <c r="F613" i="3"/>
  <c r="F1049" i="3"/>
  <c r="F206" i="3"/>
  <c r="F652" i="3"/>
  <c r="F432" i="3"/>
  <c r="F579" i="3"/>
  <c r="F578" i="3" s="1"/>
  <c r="F822" i="3"/>
  <c r="F754" i="14"/>
  <c r="F421" i="3"/>
  <c r="F51" i="3"/>
  <c r="F673" i="3"/>
  <c r="F672" i="3" s="1"/>
  <c r="F976" i="3"/>
  <c r="F975" i="3" s="1"/>
  <c r="F894" i="14"/>
  <c r="F429" i="3"/>
  <c r="F74" i="3"/>
  <c r="F82" i="3"/>
  <c r="F72" i="3"/>
  <c r="F67" i="3"/>
  <c r="F335" i="3"/>
  <c r="F244" i="3"/>
  <c r="F681" i="3"/>
  <c r="F725" i="3"/>
  <c r="F440" i="3"/>
  <c r="F69" i="3"/>
  <c r="F338" i="3"/>
  <c r="F332" i="3"/>
  <c r="F322" i="14"/>
  <c r="G322" i="14" s="1"/>
  <c r="F156" i="3"/>
  <c r="F155" i="3" s="1"/>
  <c r="F47" i="3"/>
  <c r="F34" i="3"/>
  <c r="F589" i="3"/>
  <c r="F464" i="3"/>
  <c r="F54" i="3"/>
  <c r="F278" i="3"/>
  <c r="F424" i="3"/>
  <c r="F798" i="3"/>
  <c r="F499" i="3"/>
  <c r="F606" i="3"/>
  <c r="F478" i="3"/>
  <c r="F600" i="3"/>
  <c r="F597" i="3"/>
  <c r="F766" i="3"/>
  <c r="F717" i="3"/>
  <c r="F661" i="14"/>
  <c r="G661" i="14" s="1"/>
  <c r="F926" i="3"/>
  <c r="F1068" i="3"/>
  <c r="F1020" i="3"/>
  <c r="F1039" i="3"/>
  <c r="F224" i="3"/>
  <c r="F945" i="3"/>
  <c r="F220" i="3"/>
  <c r="F45" i="3"/>
  <c r="F972" i="3"/>
  <c r="F971" i="3" s="1"/>
  <c r="F352" i="3"/>
  <c r="F300" i="3"/>
  <c r="F346" i="3"/>
  <c r="G335" i="14"/>
  <c r="F772" i="3"/>
  <c r="F774" i="3"/>
  <c r="F794" i="3"/>
  <c r="F791" i="3" s="1"/>
  <c r="F787" i="3" s="1"/>
  <c r="F545" i="3"/>
  <c r="F800" i="3"/>
  <c r="F728" i="3"/>
  <c r="F907" i="3"/>
  <c r="F959" i="3"/>
  <c r="F1014" i="3"/>
  <c r="F1035" i="3"/>
  <c r="F1060" i="3"/>
  <c r="F571" i="3"/>
  <c r="F666" i="3"/>
  <c r="F567" i="3"/>
  <c r="F357" i="3"/>
  <c r="F356" i="14"/>
  <c r="F210" i="3"/>
  <c r="C16" i="1"/>
  <c r="C191" i="1"/>
  <c r="C42" i="1"/>
  <c r="D42" i="1" s="1"/>
  <c r="F389" i="3"/>
  <c r="G794" i="5"/>
  <c r="F381" i="3"/>
  <c r="G780" i="5"/>
  <c r="F377" i="3"/>
  <c r="G773" i="5"/>
  <c r="G722" i="5"/>
  <c r="G720" i="5"/>
  <c r="F426" i="3"/>
  <c r="F411" i="14" s="1"/>
  <c r="G702" i="5"/>
  <c r="G886" i="5"/>
  <c r="G888" i="5"/>
  <c r="G695" i="5"/>
  <c r="G697" i="5"/>
  <c r="G508" i="5"/>
  <c r="G510" i="5"/>
  <c r="G511" i="5"/>
  <c r="G513" i="5"/>
  <c r="G514" i="5"/>
  <c r="G516" i="5"/>
  <c r="G463" i="5"/>
  <c r="G460" i="5"/>
  <c r="G462" i="5"/>
  <c r="G446" i="5"/>
  <c r="G448" i="5"/>
  <c r="G243" i="5"/>
  <c r="G245" i="5"/>
  <c r="G272" i="5"/>
  <c r="G274" i="5"/>
  <c r="G267" i="5"/>
  <c r="G269" i="5"/>
  <c r="G236" i="5"/>
  <c r="G238" i="5"/>
  <c r="G224" i="5"/>
  <c r="G226" i="5"/>
  <c r="G228" i="5"/>
  <c r="G230" i="5"/>
  <c r="G254" i="5"/>
  <c r="G256" i="5"/>
  <c r="G258" i="5"/>
  <c r="G260" i="5"/>
  <c r="G210" i="5"/>
  <c r="G212" i="5"/>
  <c r="G214" i="5"/>
  <c r="G216" i="5"/>
  <c r="G24" i="5"/>
  <c r="G26" i="5"/>
  <c r="G27" i="5"/>
  <c r="G29" i="5"/>
  <c r="G673" i="5"/>
  <c r="G755" i="4"/>
  <c r="G754" i="4" s="1"/>
  <c r="G200" i="5"/>
  <c r="F587" i="3"/>
  <c r="G187" i="5"/>
  <c r="F525" i="3"/>
  <c r="G174" i="5"/>
  <c r="F755" i="3"/>
  <c r="F988" i="3"/>
  <c r="F1037" i="3"/>
  <c r="F1041" i="3"/>
  <c r="F247" i="3"/>
  <c r="G247" i="3" s="1"/>
  <c r="G209" i="4"/>
  <c r="G75" i="4"/>
  <c r="D156" i="1" s="1"/>
  <c r="E156" i="1" s="1"/>
  <c r="G70" i="4"/>
  <c r="G986" i="4"/>
  <c r="I985" i="10"/>
  <c r="F176" i="3"/>
  <c r="F1058" i="3"/>
  <c r="G1013" i="4"/>
  <c r="G127" i="4"/>
  <c r="G1052" i="4"/>
  <c r="G906" i="4"/>
  <c r="I983" i="10"/>
  <c r="G19" i="11"/>
  <c r="G12" i="11"/>
  <c r="G11" i="11" s="1"/>
  <c r="G498" i="11"/>
  <c r="G18" i="11"/>
  <c r="G511" i="11"/>
  <c r="G520" i="11" s="1"/>
  <c r="G271" i="11"/>
  <c r="I986" i="10"/>
  <c r="G419" i="11"/>
  <c r="G432" i="11"/>
  <c r="G348" i="11"/>
  <c r="G326" i="11"/>
  <c r="G117" i="11"/>
  <c r="G102" i="11"/>
  <c r="G487" i="11"/>
  <c r="I990" i="10"/>
  <c r="I984" i="10"/>
  <c r="K326" i="30" l="1"/>
  <c r="H326" i="30"/>
  <c r="F1067" i="30"/>
  <c r="G760" i="32"/>
  <c r="G953" i="32" s="1"/>
  <c r="J578" i="5"/>
  <c r="G577" i="5"/>
  <c r="G576" i="5" s="1"/>
  <c r="G575" i="5" s="1"/>
  <c r="G1223" i="4"/>
  <c r="G324" i="4"/>
  <c r="F503" i="14"/>
  <c r="F502" i="14" s="1"/>
  <c r="G600" i="4"/>
  <c r="G66" i="4"/>
  <c r="G245" i="4"/>
  <c r="G244" i="4" s="1"/>
  <c r="E16" i="1"/>
  <c r="E8" i="1" s="1"/>
  <c r="C8" i="1"/>
  <c r="H1174" i="4" s="1"/>
  <c r="G784" i="10"/>
  <c r="G985" i="10" s="1"/>
  <c r="G1227" i="4"/>
  <c r="G1192" i="4"/>
  <c r="G421" i="5"/>
  <c r="G420" i="5" s="1"/>
  <c r="G419" i="5" s="1"/>
  <c r="G780" i="4"/>
  <c r="G779" i="4" s="1"/>
  <c r="G648" i="15"/>
  <c r="G647" i="15" s="1"/>
  <c r="G688" i="4"/>
  <c r="G139" i="4"/>
  <c r="F205" i="3"/>
  <c r="G389" i="10"/>
  <c r="G388" i="10" s="1"/>
  <c r="G988" i="10" s="1"/>
  <c r="G506" i="10"/>
  <c r="G986" i="10" s="1"/>
  <c r="G957" i="4"/>
  <c r="D150" i="1"/>
  <c r="E150" i="1" s="1"/>
  <c r="G208" i="4"/>
  <c r="G820" i="5"/>
  <c r="H100" i="16"/>
  <c r="H99" i="16" s="1"/>
  <c r="H98" i="16" s="1"/>
  <c r="H97" i="16" s="1"/>
  <c r="H278" i="15"/>
  <c r="H277" i="15" s="1"/>
  <c r="G277" i="15"/>
  <c r="G276" i="15" s="1"/>
  <c r="G275" i="15" s="1"/>
  <c r="G1009" i="10"/>
  <c r="G594" i="14"/>
  <c r="G593" i="14" s="1"/>
  <c r="G592" i="14" s="1"/>
  <c r="G591" i="14" s="1"/>
  <c r="G1048" i="4"/>
  <c r="G1043" i="4" s="1"/>
  <c r="G1220" i="4" s="1"/>
  <c r="H48" i="14"/>
  <c r="G72" i="14"/>
  <c r="F120" i="12"/>
  <c r="G31" i="14"/>
  <c r="I32" i="14"/>
  <c r="G177" i="16"/>
  <c r="H219" i="16"/>
  <c r="H218" i="16" s="1"/>
  <c r="H217" i="16" s="1"/>
  <c r="H216" i="16" s="1"/>
  <c r="F666" i="14"/>
  <c r="H615" i="15"/>
  <c r="H1069" i="15"/>
  <c r="H1068" i="15" s="1"/>
  <c r="H1067" i="15" s="1"/>
  <c r="H249" i="16"/>
  <c r="H248" i="16" s="1"/>
  <c r="H20" i="16"/>
  <c r="H19" i="16" s="1"/>
  <c r="H18" i="16" s="1"/>
  <c r="H17" i="16" s="1"/>
  <c r="H9" i="16" s="1"/>
  <c r="H276" i="16"/>
  <c r="H275" i="16" s="1"/>
  <c r="H270" i="16" s="1"/>
  <c r="H278" i="16"/>
  <c r="H265" i="16"/>
  <c r="H263" i="16"/>
  <c r="H262" i="16" s="1"/>
  <c r="G517" i="14"/>
  <c r="G516" i="14" s="1"/>
  <c r="G515" i="14" s="1"/>
  <c r="G508" i="14" s="1"/>
  <c r="G480" i="14" s="1"/>
  <c r="G479" i="14" s="1"/>
  <c r="H268" i="16"/>
  <c r="H267" i="16" s="1"/>
  <c r="H266" i="16" s="1"/>
  <c r="H269" i="16"/>
  <c r="H247" i="16"/>
  <c r="H245" i="16"/>
  <c r="H244" i="16" s="1"/>
  <c r="H231" i="16" s="1"/>
  <c r="H230" i="16" s="1"/>
  <c r="G131" i="16"/>
  <c r="G130" i="16" s="1"/>
  <c r="G129" i="16" s="1"/>
  <c r="G128" i="16" s="1"/>
  <c r="G127" i="16" s="1"/>
  <c r="G109" i="16" s="1"/>
  <c r="G133" i="16"/>
  <c r="G231" i="16"/>
  <c r="G230" i="16" s="1"/>
  <c r="G215" i="16" s="1"/>
  <c r="G567" i="14"/>
  <c r="H656" i="15"/>
  <c r="H655" i="15" s="1"/>
  <c r="H654" i="15" s="1"/>
  <c r="G589" i="14"/>
  <c r="G588" i="14" s="1"/>
  <c r="G587" i="14" s="1"/>
  <c r="G572" i="15"/>
  <c r="H572" i="15" s="1"/>
  <c r="F510" i="14"/>
  <c r="F509" i="14" s="1"/>
  <c r="G84" i="16"/>
  <c r="G83" i="16" s="1"/>
  <c r="G70" i="16"/>
  <c r="G69" i="16" s="1"/>
  <c r="G535" i="5"/>
  <c r="G534" i="5" s="1"/>
  <c r="G533" i="5" s="1"/>
  <c r="G20" i="5"/>
  <c r="H84" i="15"/>
  <c r="F129" i="12" s="1"/>
  <c r="G673" i="10"/>
  <c r="F281" i="14"/>
  <c r="G281" i="14" s="1"/>
  <c r="F287" i="3"/>
  <c r="F286" i="3" s="1"/>
  <c r="G748" i="10"/>
  <c r="G839" i="15"/>
  <c r="G27" i="10"/>
  <c r="G981" i="10"/>
  <c r="G987" i="10"/>
  <c r="H164" i="16"/>
  <c r="H456" i="16"/>
  <c r="H204" i="16"/>
  <c r="H203" i="16" s="1"/>
  <c r="H197" i="16"/>
  <c r="H727" i="15"/>
  <c r="H726" i="15" s="1"/>
  <c r="G290" i="14"/>
  <c r="G289" i="14" s="1"/>
  <c r="G286" i="14" s="1"/>
  <c r="H211" i="15"/>
  <c r="H208" i="15" s="1"/>
  <c r="H437" i="16"/>
  <c r="H436" i="16" s="1"/>
  <c r="H431" i="16" s="1"/>
  <c r="H430" i="16" s="1"/>
  <c r="H429" i="16" s="1"/>
  <c r="G617" i="4"/>
  <c r="G252" i="15"/>
  <c r="G251" i="15" s="1"/>
  <c r="G1144" i="15" s="1"/>
  <c r="H653" i="16"/>
  <c r="H652" i="16" s="1"/>
  <c r="H732" i="15"/>
  <c r="H252" i="15"/>
  <c r="H251" i="15" s="1"/>
  <c r="H1144" i="15" s="1"/>
  <c r="H751" i="15"/>
  <c r="H746" i="15" s="1"/>
  <c r="F160" i="14"/>
  <c r="H160" i="14" s="1"/>
  <c r="G717" i="14"/>
  <c r="H183" i="15"/>
  <c r="H182" i="15" s="1"/>
  <c r="G77" i="14"/>
  <c r="H183" i="16"/>
  <c r="H182" i="16" s="1"/>
  <c r="H177" i="16" s="1"/>
  <c r="H79" i="15"/>
  <c r="F122" i="12" s="1"/>
  <c r="G50" i="4"/>
  <c r="H553" i="16"/>
  <c r="H554" i="16" s="1"/>
  <c r="G672" i="14"/>
  <c r="G671" i="14" s="1"/>
  <c r="G670" i="14" s="1"/>
  <c r="H322" i="15"/>
  <c r="H321" i="15" s="1"/>
  <c r="H672" i="16"/>
  <c r="H673" i="16" s="1"/>
  <c r="G422" i="14"/>
  <c r="G421" i="14" s="1"/>
  <c r="G420" i="14" s="1"/>
  <c r="G404" i="14" s="1"/>
  <c r="G399" i="14" s="1"/>
  <c r="H981" i="15"/>
  <c r="H980" i="15" s="1"/>
  <c r="H964" i="15" s="1"/>
  <c r="G56" i="14"/>
  <c r="G55" i="14" s="1"/>
  <c r="H62" i="15"/>
  <c r="H55" i="15" s="1"/>
  <c r="H296" i="16"/>
  <c r="H295" i="16" s="1"/>
  <c r="H294" i="16" s="1"/>
  <c r="H293" i="16" s="1"/>
  <c r="G468" i="14"/>
  <c r="G465" i="14"/>
  <c r="G164" i="14"/>
  <c r="G163" i="14" s="1"/>
  <c r="H136" i="15"/>
  <c r="F142" i="14"/>
  <c r="H139" i="14" s="1"/>
  <c r="G59" i="14"/>
  <c r="G58" i="14" s="1"/>
  <c r="G57" i="14" s="1"/>
  <c r="H65" i="15"/>
  <c r="G148" i="14"/>
  <c r="G147" i="14" s="1"/>
  <c r="H844" i="15"/>
  <c r="G162" i="14"/>
  <c r="G161" i="14" s="1"/>
  <c r="H134" i="15"/>
  <c r="H156" i="16"/>
  <c r="H157" i="16" s="1"/>
  <c r="G625" i="14"/>
  <c r="G624" i="14" s="1"/>
  <c r="G623" i="14" s="1"/>
  <c r="H695" i="15"/>
  <c r="H694" i="15" s="1"/>
  <c r="H839" i="16"/>
  <c r="H172" i="16"/>
  <c r="H452" i="16"/>
  <c r="H453" i="16" s="1"/>
  <c r="G948" i="14"/>
  <c r="G947" i="14" s="1"/>
  <c r="G946" i="14" s="1"/>
  <c r="H827" i="15"/>
  <c r="H826" i="15" s="1"/>
  <c r="H47" i="16"/>
  <c r="H46" i="16" s="1"/>
  <c r="H45" i="16" s="1"/>
  <c r="H44" i="16" s="1"/>
  <c r="H43" i="16" s="1"/>
  <c r="H31" i="16" s="1"/>
  <c r="H303" i="16"/>
  <c r="H302" i="16" s="1"/>
  <c r="H301" i="16" s="1"/>
  <c r="H300" i="16" s="1"/>
  <c r="H660" i="15"/>
  <c r="H659" i="15" s="1"/>
  <c r="H658" i="15" s="1"/>
  <c r="H859" i="16"/>
  <c r="H858" i="16" s="1"/>
  <c r="H857" i="16" s="1"/>
  <c r="H856" i="16" s="1"/>
  <c r="H855" i="16" s="1"/>
  <c r="H854" i="16" s="1"/>
  <c r="H853" i="16" s="1"/>
  <c r="H1001" i="15"/>
  <c r="H1000" i="15" s="1"/>
  <c r="H999" i="15" s="1"/>
  <c r="H998" i="15" s="1"/>
  <c r="G442" i="14"/>
  <c r="G441" i="14" s="1"/>
  <c r="G440" i="14" s="1"/>
  <c r="G52" i="14"/>
  <c r="G51" i="14" s="1"/>
  <c r="H496" i="15"/>
  <c r="H493" i="15" s="1"/>
  <c r="H492" i="15" s="1"/>
  <c r="G938" i="14"/>
  <c r="G937" i="14" s="1"/>
  <c r="G934" i="14" s="1"/>
  <c r="H817" i="15"/>
  <c r="H814" i="15" s="1"/>
  <c r="G146" i="14"/>
  <c r="G145" i="14" s="1"/>
  <c r="H842" i="15"/>
  <c r="H867" i="16"/>
  <c r="H868" i="16" s="1"/>
  <c r="G212" i="14"/>
  <c r="G211" i="14" s="1"/>
  <c r="G210" i="14" s="1"/>
  <c r="H519" i="15"/>
  <c r="H518" i="15" s="1"/>
  <c r="H445" i="16"/>
  <c r="H446" i="16" s="1"/>
  <c r="G912" i="14"/>
  <c r="G911" i="14" s="1"/>
  <c r="G910" i="14" s="1"/>
  <c r="H791" i="15"/>
  <c r="H790" i="15" s="1"/>
  <c r="H586" i="15"/>
  <c r="H585" i="15" s="1"/>
  <c r="H578" i="15" s="1"/>
  <c r="H438" i="15"/>
  <c r="H437" i="15" s="1"/>
  <c r="H1052" i="15"/>
  <c r="H1051" i="15" s="1"/>
  <c r="G14" i="14"/>
  <c r="G13" i="14" s="1"/>
  <c r="G133" i="15"/>
  <c r="H213" i="16"/>
  <c r="H212" i="16" s="1"/>
  <c r="H211" i="16" s="1"/>
  <c r="H705" i="15"/>
  <c r="H704" i="15" s="1"/>
  <c r="H697" i="15" s="1"/>
  <c r="G635" i="14"/>
  <c r="G634" i="14" s="1"/>
  <c r="G633" i="14" s="1"/>
  <c r="H549" i="16"/>
  <c r="H550" i="16" s="1"/>
  <c r="G669" i="14"/>
  <c r="G668" i="14" s="1"/>
  <c r="G667" i="14" s="1"/>
  <c r="H319" i="15"/>
  <c r="H318" i="15" s="1"/>
  <c r="H324" i="15"/>
  <c r="H557" i="16"/>
  <c r="H558" i="16" s="1"/>
  <c r="G675" i="14"/>
  <c r="G674" i="14" s="1"/>
  <c r="G673" i="14" s="1"/>
  <c r="H325" i="15"/>
  <c r="G859" i="14"/>
  <c r="G858" i="14" s="1"/>
  <c r="F48" i="14"/>
  <c r="H13" i="14" s="1"/>
  <c r="G70" i="15"/>
  <c r="D169" i="1"/>
  <c r="G226" i="4"/>
  <c r="G168" i="4"/>
  <c r="H29" i="16"/>
  <c r="G955" i="14"/>
  <c r="F955" i="14"/>
  <c r="F384" i="3"/>
  <c r="F383" i="3" s="1"/>
  <c r="F164" i="3"/>
  <c r="F147" i="3"/>
  <c r="G786" i="5"/>
  <c r="G785" i="5" s="1"/>
  <c r="G160" i="16"/>
  <c r="G455" i="5"/>
  <c r="F104" i="3"/>
  <c r="F103" i="3" s="1"/>
  <c r="G974" i="4"/>
  <c r="G973" i="4" s="1"/>
  <c r="H160" i="16"/>
  <c r="G652" i="16"/>
  <c r="F11" i="3"/>
  <c r="G280" i="4"/>
  <c r="G279" i="4" s="1"/>
  <c r="G578" i="15"/>
  <c r="H891" i="15"/>
  <c r="H890" i="15" s="1"/>
  <c r="H201" i="15"/>
  <c r="G201" i="15"/>
  <c r="G29" i="16"/>
  <c r="G27" i="16"/>
  <c r="H332" i="15"/>
  <c r="H333" i="15"/>
  <c r="G219" i="15"/>
  <c r="G297" i="16"/>
  <c r="G295" i="16"/>
  <c r="G294" i="16" s="1"/>
  <c r="G293" i="16" s="1"/>
  <c r="G214" i="16"/>
  <c r="G212" i="16"/>
  <c r="G211" i="16" s="1"/>
  <c r="G202" i="16" s="1"/>
  <c r="H849" i="15"/>
  <c r="H848" i="15" s="1"/>
  <c r="H847" i="15" s="1"/>
  <c r="H846" i="15" s="1"/>
  <c r="G849" i="15"/>
  <c r="G848" i="15" s="1"/>
  <c r="G847" i="15" s="1"/>
  <c r="G846" i="15" s="1"/>
  <c r="G722" i="15"/>
  <c r="H992" i="15"/>
  <c r="H991" i="15" s="1"/>
  <c r="G991" i="15"/>
  <c r="G1112" i="15" s="1"/>
  <c r="H407" i="15"/>
  <c r="H406" i="15" s="1"/>
  <c r="G407" i="15"/>
  <c r="G406" i="15" s="1"/>
  <c r="H374" i="15"/>
  <c r="G374" i="15"/>
  <c r="H515" i="16"/>
  <c r="G304" i="16"/>
  <c r="G302" i="16"/>
  <c r="G301" i="16" s="1"/>
  <c r="G300" i="16" s="1"/>
  <c r="G860" i="16"/>
  <c r="G858" i="16"/>
  <c r="G857" i="16" s="1"/>
  <c r="G856" i="16" s="1"/>
  <c r="G855" i="16" s="1"/>
  <c r="G854" i="16" s="1"/>
  <c r="G853" i="16" s="1"/>
  <c r="H268" i="15"/>
  <c r="H269" i="15"/>
  <c r="H1042" i="15"/>
  <c r="H1041" i="15" s="1"/>
  <c r="H1040" i="15" s="1"/>
  <c r="H1039" i="15" s="1"/>
  <c r="H1038" i="15" s="1"/>
  <c r="G1042" i="15"/>
  <c r="G1041" i="15" s="1"/>
  <c r="G1040" i="15" s="1"/>
  <c r="G1039" i="15" s="1"/>
  <c r="G1038" i="15" s="1"/>
  <c r="H716" i="15"/>
  <c r="H715" i="15"/>
  <c r="G868" i="16"/>
  <c r="G866" i="16"/>
  <c r="G865" i="16" s="1"/>
  <c r="G864" i="16" s="1"/>
  <c r="G863" i="16" s="1"/>
  <c r="H464" i="15"/>
  <c r="H732" i="16"/>
  <c r="G453" i="16"/>
  <c r="G451" i="16"/>
  <c r="G450" i="16" s="1"/>
  <c r="G449" i="16" s="1"/>
  <c r="G448" i="16" s="1"/>
  <c r="G447" i="16" s="1"/>
  <c r="G550" i="16"/>
  <c r="G548" i="16"/>
  <c r="G547" i="16" s="1"/>
  <c r="H454" i="15"/>
  <c r="H605" i="15"/>
  <c r="H604" i="15"/>
  <c r="H524" i="15"/>
  <c r="H523" i="15" s="1"/>
  <c r="H522" i="15" s="1"/>
  <c r="H521" i="15" s="1"/>
  <c r="G524" i="15"/>
  <c r="G523" i="15" s="1"/>
  <c r="G522" i="15" s="1"/>
  <c r="G521" i="15" s="1"/>
  <c r="H687" i="15"/>
  <c r="H686" i="15" s="1"/>
  <c r="G687" i="15"/>
  <c r="G686" i="15" s="1"/>
  <c r="G999" i="15"/>
  <c r="G998" i="15" s="1"/>
  <c r="G554" i="16"/>
  <c r="G552" i="16"/>
  <c r="G551" i="16" s="1"/>
  <c r="G673" i="16"/>
  <c r="G671" i="16"/>
  <c r="G670" i="16" s="1"/>
  <c r="G558" i="16"/>
  <c r="G556" i="16"/>
  <c r="G555" i="16" s="1"/>
  <c r="G446" i="16"/>
  <c r="G444" i="16"/>
  <c r="G443" i="16" s="1"/>
  <c r="G442" i="16" s="1"/>
  <c r="G441" i="16" s="1"/>
  <c r="G440" i="16" s="1"/>
  <c r="H31" i="17"/>
  <c r="H30" i="17" s="1"/>
  <c r="H29" i="17" s="1"/>
  <c r="H28" i="17" s="1"/>
  <c r="H27" i="17" s="1"/>
  <c r="H45" i="17" s="1"/>
  <c r="G515" i="16"/>
  <c r="G513" i="16"/>
  <c r="G509" i="16" s="1"/>
  <c r="G504" i="16" s="1"/>
  <c r="G503" i="16" s="1"/>
  <c r="G502" i="16" s="1"/>
  <c r="H169" i="15"/>
  <c r="H168" i="15" s="1"/>
  <c r="H167" i="15" s="1"/>
  <c r="H166" i="15" s="1"/>
  <c r="H165" i="15" s="1"/>
  <c r="G168" i="15"/>
  <c r="G167" i="15" s="1"/>
  <c r="G166" i="15" s="1"/>
  <c r="G165" i="15" s="1"/>
  <c r="G1105" i="15" s="1"/>
  <c r="H286" i="15"/>
  <c r="H285" i="15" s="1"/>
  <c r="H569" i="15"/>
  <c r="G607" i="4"/>
  <c r="H600" i="15"/>
  <c r="H599" i="15" s="1"/>
  <c r="G600" i="15"/>
  <c r="G599" i="15" s="1"/>
  <c r="H635" i="15"/>
  <c r="H634" i="15" s="1"/>
  <c r="G634" i="15"/>
  <c r="H682" i="15"/>
  <c r="H681" i="15" s="1"/>
  <c r="G682" i="15"/>
  <c r="G681" i="15" s="1"/>
  <c r="H708" i="15"/>
  <c r="H707" i="15" s="1"/>
  <c r="G707" i="15"/>
  <c r="H862" i="15"/>
  <c r="H861" i="15" s="1"/>
  <c r="H860" i="15" s="1"/>
  <c r="G862" i="15"/>
  <c r="G861" i="15" s="1"/>
  <c r="G860" i="15" s="1"/>
  <c r="H878" i="15"/>
  <c r="H877" i="15" s="1"/>
  <c r="H876" i="15" s="1"/>
  <c r="H875" i="15" s="1"/>
  <c r="G877" i="15"/>
  <c r="G876" i="15" s="1"/>
  <c r="G875" i="15" s="1"/>
  <c r="G891" i="15"/>
  <c r="G890" i="15" s="1"/>
  <c r="H945" i="15"/>
  <c r="H944" i="15" s="1"/>
  <c r="G944" i="15"/>
  <c r="H937" i="15"/>
  <c r="H936" i="15" s="1"/>
  <c r="G936" i="15"/>
  <c r="H941" i="15"/>
  <c r="H940" i="15" s="1"/>
  <c r="G940" i="15"/>
  <c r="G732" i="16"/>
  <c r="G730" i="16"/>
  <c r="G729" i="16" s="1"/>
  <c r="G728" i="16" s="1"/>
  <c r="G727" i="16" s="1"/>
  <c r="G726" i="16" s="1"/>
  <c r="G711" i="16" s="1"/>
  <c r="C144" i="12"/>
  <c r="D144" i="12"/>
  <c r="G204" i="14"/>
  <c r="G199" i="14" s="1"/>
  <c r="F204" i="14"/>
  <c r="F199" i="14" s="1"/>
  <c r="F902" i="14"/>
  <c r="G356" i="14"/>
  <c r="G342" i="14" s="1"/>
  <c r="F342" i="14"/>
  <c r="G616" i="14"/>
  <c r="G615" i="14" s="1"/>
  <c r="F616" i="14"/>
  <c r="F615" i="14" s="1"/>
  <c r="G332" i="14"/>
  <c r="G331" i="14" s="1"/>
  <c r="F331" i="14"/>
  <c r="G157" i="16"/>
  <c r="G155" i="16"/>
  <c r="G154" i="16" s="1"/>
  <c r="G153" i="16" s="1"/>
  <c r="G142" i="16" s="1"/>
  <c r="G141" i="16" s="1"/>
  <c r="G1068" i="15"/>
  <c r="G1067" i="15" s="1"/>
  <c r="F12" i="14"/>
  <c r="F11" i="14" s="1"/>
  <c r="G492" i="15"/>
  <c r="G797" i="14"/>
  <c r="G796" i="14" s="1"/>
  <c r="F797" i="14"/>
  <c r="F796" i="14" s="1"/>
  <c r="H413" i="15"/>
  <c r="H412" i="15" s="1"/>
  <c r="G413" i="15"/>
  <c r="G412" i="15" s="1"/>
  <c r="G744" i="14"/>
  <c r="F744" i="14"/>
  <c r="H115" i="15"/>
  <c r="H114" i="15" s="1"/>
  <c r="H113" i="15" s="1"/>
  <c r="G115" i="15"/>
  <c r="G114" i="15" s="1"/>
  <c r="G113" i="15" s="1"/>
  <c r="H14" i="15"/>
  <c r="H13" i="15" s="1"/>
  <c r="H12" i="15" s="1"/>
  <c r="H11" i="15" s="1"/>
  <c r="H10" i="15" s="1"/>
  <c r="G14" i="15"/>
  <c r="G13" i="15" s="1"/>
  <c r="G12" i="15" s="1"/>
  <c r="G11" i="15" s="1"/>
  <c r="G10" i="15" s="1"/>
  <c r="G117" i="14"/>
  <c r="F117" i="14"/>
  <c r="H146" i="15"/>
  <c r="F1034" i="3"/>
  <c r="F1033" i="3" s="1"/>
  <c r="F1032" i="3" s="1"/>
  <c r="G1156" i="4"/>
  <c r="G572" i="4"/>
  <c r="G571" i="4" s="1"/>
  <c r="F771" i="3"/>
  <c r="F770" i="3" s="1"/>
  <c r="G675" i="4"/>
  <c r="F71" i="3"/>
  <c r="G69" i="5"/>
  <c r="G68" i="5" s="1"/>
  <c r="G161" i="5"/>
  <c r="G160" i="5" s="1"/>
  <c r="G371" i="5"/>
  <c r="G104" i="5"/>
  <c r="G102" i="5"/>
  <c r="G101" i="5" s="1"/>
  <c r="G100" i="5" s="1"/>
  <c r="G803" i="4"/>
  <c r="G802" i="4" s="1"/>
  <c r="G1016" i="4"/>
  <c r="G933" i="15"/>
  <c r="H1148" i="15"/>
  <c r="G1148" i="15"/>
  <c r="H1149" i="15"/>
  <c r="G1149" i="15"/>
  <c r="G380" i="4"/>
  <c r="G368" i="4" s="1"/>
  <c r="G855" i="4"/>
  <c r="G1204" i="4" s="1"/>
  <c r="G477" i="4"/>
  <c r="G872" i="4"/>
  <c r="G214" i="4"/>
  <c r="G1213" i="4" s="1"/>
  <c r="G646" i="4"/>
  <c r="G1148" i="4"/>
  <c r="G344" i="4"/>
  <c r="G555" i="4"/>
  <c r="G905" i="4"/>
  <c r="G904" i="4" s="1"/>
  <c r="G234" i="4"/>
  <c r="G1201" i="4" s="1"/>
  <c r="G126" i="4"/>
  <c r="G121" i="4" s="1"/>
  <c r="G1012" i="4"/>
  <c r="G929" i="15"/>
  <c r="G351" i="4"/>
  <c r="G936" i="4"/>
  <c r="G848" i="4"/>
  <c r="G1136" i="15"/>
  <c r="G772" i="15"/>
  <c r="G446" i="4"/>
  <c r="F345" i="3"/>
  <c r="F344" i="3" s="1"/>
  <c r="G175" i="4"/>
  <c r="G221" i="4"/>
  <c r="G765" i="4"/>
  <c r="G482" i="4"/>
  <c r="G481" i="4" s="1"/>
  <c r="G565" i="4"/>
  <c r="G12" i="4"/>
  <c r="G1004" i="4"/>
  <c r="H920" i="15"/>
  <c r="G735" i="4"/>
  <c r="G740" i="4"/>
  <c r="G427" i="4"/>
  <c r="G464" i="4"/>
  <c r="G463" i="4" s="1"/>
  <c r="G1008" i="4"/>
  <c r="G925" i="15"/>
  <c r="G104" i="4"/>
  <c r="G928" i="4"/>
  <c r="G868" i="5"/>
  <c r="G885" i="5"/>
  <c r="G939" i="5"/>
  <c r="G223" i="5"/>
  <c r="G445" i="5"/>
  <c r="G213" i="5"/>
  <c r="G271" i="5"/>
  <c r="G160" i="4"/>
  <c r="G916" i="5"/>
  <c r="G811" i="5"/>
  <c r="G946" i="5"/>
  <c r="G209" i="5"/>
  <c r="G242" i="5"/>
  <c r="G241" i="5" s="1"/>
  <c r="G253" i="5"/>
  <c r="G863" i="5"/>
  <c r="G932" i="5"/>
  <c r="F44" i="3"/>
  <c r="F66" i="3"/>
  <c r="G257" i="5"/>
  <c r="G227" i="5"/>
  <c r="G235" i="5"/>
  <c r="G266" i="5"/>
  <c r="G261" i="5" s="1"/>
  <c r="G719" i="5"/>
  <c r="G452" i="5"/>
  <c r="G897" i="5"/>
  <c r="G847" i="5"/>
  <c r="G891" i="5"/>
  <c r="G878" i="5"/>
  <c r="G858" i="5"/>
  <c r="G798" i="5"/>
  <c r="G647" i="5"/>
  <c r="G646" i="5" s="1"/>
  <c r="G633" i="5" s="1"/>
  <c r="G64" i="5"/>
  <c r="F754" i="3"/>
  <c r="F380" i="3"/>
  <c r="F366" i="14"/>
  <c r="G366" i="14" s="1"/>
  <c r="F215" i="3"/>
  <c r="F214" i="3"/>
  <c r="F665" i="3"/>
  <c r="F714" i="3"/>
  <c r="F710" i="3" s="1"/>
  <c r="F660" i="14"/>
  <c r="G660" i="14" s="1"/>
  <c r="F596" i="3"/>
  <c r="F243" i="3"/>
  <c r="F435" i="3"/>
  <c r="F423" i="3"/>
  <c r="F797" i="3"/>
  <c r="F958" i="3"/>
  <c r="L914" i="3" s="1"/>
  <c r="F524" i="3"/>
  <c r="F523" i="3" s="1"/>
  <c r="F586" i="3"/>
  <c r="F582" i="3" s="1"/>
  <c r="F376" i="3"/>
  <c r="F388" i="3"/>
  <c r="F374" i="14"/>
  <c r="G374" i="14" s="1"/>
  <c r="F246" i="3"/>
  <c r="F727" i="3"/>
  <c r="F1067" i="3"/>
  <c r="F337" i="3"/>
  <c r="F724" i="3"/>
  <c r="F821" i="3"/>
  <c r="F809" i="3" s="1"/>
  <c r="F808" i="3" s="1"/>
  <c r="G275" i="14"/>
  <c r="G270" i="14" s="1"/>
  <c r="G269" i="14" s="1"/>
  <c r="F473" i="3"/>
  <c r="F472" i="3" s="1"/>
  <c r="F79" i="3"/>
  <c r="F63" i="14" s="1"/>
  <c r="F566" i="3"/>
  <c r="F1013" i="3"/>
  <c r="F906" i="3"/>
  <c r="F544" i="3"/>
  <c r="F297" i="3"/>
  <c r="F219" i="3"/>
  <c r="F1019" i="3"/>
  <c r="F1018" i="3" s="1"/>
  <c r="F925" i="3"/>
  <c r="F765" i="3"/>
  <c r="F764" i="3" s="1"/>
  <c r="F599" i="3"/>
  <c r="F605" i="3"/>
  <c r="F277" i="3"/>
  <c r="F53" i="3"/>
  <c r="F463" i="3"/>
  <c r="F33" i="3"/>
  <c r="F27" i="3" s="1"/>
  <c r="F329" i="3"/>
  <c r="F321" i="14"/>
  <c r="G321" i="14" s="1"/>
  <c r="F680" i="3"/>
  <c r="F679" i="3" s="1"/>
  <c r="F334" i="3"/>
  <c r="F893" i="14"/>
  <c r="F420" i="3"/>
  <c r="F874" i="3"/>
  <c r="F651" i="3"/>
  <c r="F1046" i="3"/>
  <c r="F612" i="3"/>
  <c r="F691" i="3"/>
  <c r="F531" i="3"/>
  <c r="G781" i="5"/>
  <c r="G779" i="5"/>
  <c r="G703" i="5"/>
  <c r="G701" i="5"/>
  <c r="G774" i="5"/>
  <c r="G772" i="5"/>
  <c r="G795" i="5"/>
  <c r="G793" i="5"/>
  <c r="G587" i="4"/>
  <c r="G459" i="5"/>
  <c r="G507" i="5"/>
  <c r="G506" i="5" s="1"/>
  <c r="G370" i="5"/>
  <c r="G199" i="5"/>
  <c r="G201" i="5"/>
  <c r="G186" i="5"/>
  <c r="G188" i="5"/>
  <c r="G173" i="5"/>
  <c r="G175" i="5"/>
  <c r="G47" i="5"/>
  <c r="G49" i="5"/>
  <c r="G804" i="5"/>
  <c r="G33" i="5"/>
  <c r="F1055" i="3"/>
  <c r="F175" i="3"/>
  <c r="F174" i="3" s="1"/>
  <c r="G946" i="4"/>
  <c r="G941" i="4"/>
  <c r="G1210" i="4" s="1"/>
  <c r="I988" i="10"/>
  <c r="I989" i="10"/>
  <c r="I987" i="10"/>
  <c r="G534" i="11"/>
  <c r="G498" i="10" l="1"/>
  <c r="F10" i="3"/>
  <c r="F9" i="3" s="1"/>
  <c r="G830" i="4"/>
  <c r="G1217" i="4" s="1"/>
  <c r="G1219" i="4"/>
  <c r="G657" i="4"/>
  <c r="G656" i="4" s="1"/>
  <c r="G367" i="4"/>
  <c r="F723" i="3"/>
  <c r="F698" i="3" s="1"/>
  <c r="F59" i="3"/>
  <c r="L8" i="3" s="1"/>
  <c r="G1175" i="4"/>
  <c r="C198" i="1"/>
  <c r="G220" i="10"/>
  <c r="G120" i="4"/>
  <c r="G746" i="4"/>
  <c r="G1195" i="4"/>
  <c r="L325" i="3"/>
  <c r="F461" i="3"/>
  <c r="H648" i="15"/>
  <c r="H647" i="15" s="1"/>
  <c r="H610" i="15" s="1"/>
  <c r="G1189" i="4"/>
  <c r="G595" i="4"/>
  <c r="F328" i="3"/>
  <c r="H30" i="16"/>
  <c r="F123" i="12"/>
  <c r="H207" i="15"/>
  <c r="H1109" i="15" s="1"/>
  <c r="G1140" i="15"/>
  <c r="H1140" i="15"/>
  <c r="F10" i="14"/>
  <c r="D12" i="13" s="1"/>
  <c r="G148" i="5"/>
  <c r="G543" i="14"/>
  <c r="G542" i="14" s="1"/>
  <c r="G610" i="15"/>
  <c r="G609" i="15" s="1"/>
  <c r="F542" i="14"/>
  <c r="D34" i="13" s="1"/>
  <c r="F419" i="3"/>
  <c r="F414" i="3" s="1"/>
  <c r="G647" i="16"/>
  <c r="G646" i="16" s="1"/>
  <c r="G645" i="16" s="1"/>
  <c r="G644" i="16" s="1"/>
  <c r="H959" i="15"/>
  <c r="G959" i="15"/>
  <c r="G12" i="14"/>
  <c r="G11" i="14" s="1"/>
  <c r="G10" i="14" s="1"/>
  <c r="E12" i="13" s="1"/>
  <c r="F163" i="3"/>
  <c r="G164" i="3"/>
  <c r="G297" i="3"/>
  <c r="G62" i="3"/>
  <c r="H64" i="14"/>
  <c r="H215" i="16"/>
  <c r="G568" i="15"/>
  <c r="H1112" i="15"/>
  <c r="H276" i="15"/>
  <c r="H275" i="15" s="1"/>
  <c r="H274" i="15" s="1"/>
  <c r="H273" i="15" s="1"/>
  <c r="G299" i="4"/>
  <c r="G1218" i="4" s="1"/>
  <c r="H568" i="15"/>
  <c r="G20" i="16"/>
  <c r="G19" i="16" s="1"/>
  <c r="G18" i="16" s="1"/>
  <c r="G17" i="16" s="1"/>
  <c r="G9" i="16" s="1"/>
  <c r="G406" i="16"/>
  <c r="H257" i="16"/>
  <c r="H256" i="16" s="1"/>
  <c r="H255" i="16" s="1"/>
  <c r="G77" i="16"/>
  <c r="G76" i="16" s="1"/>
  <c r="G68" i="16" s="1"/>
  <c r="G30" i="16" s="1"/>
  <c r="G274" i="15"/>
  <c r="G273" i="15" s="1"/>
  <c r="G721" i="15"/>
  <c r="G720" i="15" s="1"/>
  <c r="H70" i="15"/>
  <c r="G49" i="4"/>
  <c r="G48" i="4" s="1"/>
  <c r="H839" i="15"/>
  <c r="H835" i="15" s="1"/>
  <c r="H834" i="15" s="1"/>
  <c r="H833" i="15" s="1"/>
  <c r="H832" i="15" s="1"/>
  <c r="G991" i="10"/>
  <c r="G975" i="10"/>
  <c r="G977" i="10" s="1"/>
  <c r="H444" i="16"/>
  <c r="H443" i="16" s="1"/>
  <c r="H442" i="16" s="1"/>
  <c r="H441" i="16" s="1"/>
  <c r="H440" i="16" s="1"/>
  <c r="H556" i="16"/>
  <c r="H555" i="16" s="1"/>
  <c r="H548" i="16"/>
  <c r="H547" i="16" s="1"/>
  <c r="G343" i="4"/>
  <c r="G342" i="4" s="1"/>
  <c r="H866" i="16"/>
  <c r="H865" i="16" s="1"/>
  <c r="H864" i="16" s="1"/>
  <c r="H863" i="16" s="1"/>
  <c r="H862" i="16" s="1"/>
  <c r="H202" i="16"/>
  <c r="H159" i="16" s="1"/>
  <c r="H158" i="16" s="1"/>
  <c r="H671" i="16"/>
  <c r="H670" i="16" s="1"/>
  <c r="H647" i="16" s="1"/>
  <c r="H646" i="16" s="1"/>
  <c r="H645" i="16" s="1"/>
  <c r="H644" i="16" s="1"/>
  <c r="F138" i="14"/>
  <c r="G142" i="14"/>
  <c r="G138" i="14" s="1"/>
  <c r="H155" i="16"/>
  <c r="H154" i="16" s="1"/>
  <c r="H153" i="16" s="1"/>
  <c r="H142" i="16" s="1"/>
  <c r="H141" i="16" s="1"/>
  <c r="H860" i="16"/>
  <c r="G233" i="4"/>
  <c r="G232" i="4" s="1"/>
  <c r="H451" i="16"/>
  <c r="H450" i="16" s="1"/>
  <c r="H449" i="16" s="1"/>
  <c r="H448" i="16" s="1"/>
  <c r="H447" i="16" s="1"/>
  <c r="G167" i="4"/>
  <c r="G166" i="4" s="1"/>
  <c r="G197" i="4"/>
  <c r="G196" i="4" s="1"/>
  <c r="H214" i="16"/>
  <c r="H297" i="16"/>
  <c r="H552" i="16"/>
  <c r="H551" i="16" s="1"/>
  <c r="G160" i="14"/>
  <c r="G48" i="14"/>
  <c r="G47" i="14" s="1"/>
  <c r="H304" i="16"/>
  <c r="H133" i="15"/>
  <c r="H132" i="15" s="1"/>
  <c r="H131" i="15" s="1"/>
  <c r="H130" i="15" s="1"/>
  <c r="H299" i="16"/>
  <c r="H298" i="16" s="1"/>
  <c r="H491" i="15"/>
  <c r="H490" i="15" s="1"/>
  <c r="G491" i="15"/>
  <c r="G490" i="15" s="1"/>
  <c r="G207" i="4"/>
  <c r="G206" i="4" s="1"/>
  <c r="F369" i="14"/>
  <c r="F368" i="14" s="1"/>
  <c r="F47" i="14"/>
  <c r="F143" i="3"/>
  <c r="K11" i="3" s="1"/>
  <c r="F159" i="14"/>
  <c r="E25" i="13"/>
  <c r="F330" i="14"/>
  <c r="G159" i="16"/>
  <c r="G158" i="16" s="1"/>
  <c r="F716" i="14"/>
  <c r="F715" i="14" s="1"/>
  <c r="F933" i="14"/>
  <c r="F932" i="14" s="1"/>
  <c r="H509" i="15"/>
  <c r="H508" i="15" s="1"/>
  <c r="G509" i="15"/>
  <c r="G508" i="15" s="1"/>
  <c r="H789" i="15"/>
  <c r="G789" i="15"/>
  <c r="H741" i="15"/>
  <c r="G741" i="15"/>
  <c r="H1017" i="15"/>
  <c r="G1017" i="15"/>
  <c r="H856" i="15"/>
  <c r="H855" i="15" s="1"/>
  <c r="H854" i="15" s="1"/>
  <c r="H853" i="15" s="1"/>
  <c r="G856" i="15"/>
  <c r="G855" i="15" s="1"/>
  <c r="G854" i="15" s="1"/>
  <c r="G853" i="15" s="1"/>
  <c r="H449" i="15"/>
  <c r="G449" i="15"/>
  <c r="G330" i="14"/>
  <c r="H458" i="15"/>
  <c r="H453" i="15" s="1"/>
  <c r="G458" i="15"/>
  <c r="G453" i="15" s="1"/>
  <c r="H517" i="15"/>
  <c r="G517" i="15"/>
  <c r="G1104" i="15" s="1"/>
  <c r="H711" i="15"/>
  <c r="G711" i="15"/>
  <c r="H1136" i="15"/>
  <c r="H347" i="15"/>
  <c r="G347" i="15"/>
  <c r="H236" i="15"/>
  <c r="H1121" i="15" s="1"/>
  <c r="G236" i="15"/>
  <c r="G1121" i="15" s="1"/>
  <c r="H246" i="15"/>
  <c r="H245" i="15" s="1"/>
  <c r="H244" i="15" s="1"/>
  <c r="H243" i="15" s="1"/>
  <c r="G246" i="15"/>
  <c r="G245" i="15" s="1"/>
  <c r="G244" i="15" s="1"/>
  <c r="G243" i="15" s="1"/>
  <c r="H340" i="15"/>
  <c r="G340" i="15"/>
  <c r="G546" i="16"/>
  <c r="G545" i="16" s="1"/>
  <c r="G544" i="16" s="1"/>
  <c r="G464" i="16" s="1"/>
  <c r="J464" i="16" s="1"/>
  <c r="G862" i="16"/>
  <c r="G861" i="16"/>
  <c r="H292" i="16"/>
  <c r="H291" i="16" s="1"/>
  <c r="H722" i="15"/>
  <c r="H825" i="15"/>
  <c r="H824" i="15" s="1"/>
  <c r="G825" i="15"/>
  <c r="G824" i="15" s="1"/>
  <c r="H317" i="15"/>
  <c r="G317" i="15"/>
  <c r="H436" i="15"/>
  <c r="G436" i="15"/>
  <c r="G835" i="15"/>
  <c r="G834" i="15" s="1"/>
  <c r="G833" i="15" s="1"/>
  <c r="G832" i="15" s="1"/>
  <c r="H782" i="15"/>
  <c r="H799" i="15"/>
  <c r="H798" i="15" s="1"/>
  <c r="H1145" i="15" s="1"/>
  <c r="G799" i="15"/>
  <c r="G798" i="15" s="1"/>
  <c r="G1145" i="15" s="1"/>
  <c r="H555" i="15"/>
  <c r="H1115" i="15" s="1"/>
  <c r="G555" i="15"/>
  <c r="G299" i="16"/>
  <c r="G298" i="16" s="1"/>
  <c r="G697" i="15"/>
  <c r="G292" i="16"/>
  <c r="G291" i="16" s="1"/>
  <c r="H772" i="15"/>
  <c r="H771" i="15" s="1"/>
  <c r="G771" i="15"/>
  <c r="H929" i="15"/>
  <c r="H928" i="15" s="1"/>
  <c r="G928" i="15"/>
  <c r="H925" i="15"/>
  <c r="H924" i="15" s="1"/>
  <c r="G924" i="15"/>
  <c r="H933" i="15"/>
  <c r="H932" i="15" s="1"/>
  <c r="G932" i="15"/>
  <c r="F892" i="14"/>
  <c r="G954" i="14"/>
  <c r="G953" i="14" s="1"/>
  <c r="F954" i="14"/>
  <c r="F953" i="14" s="1"/>
  <c r="F209" i="14"/>
  <c r="F208" i="14"/>
  <c r="G622" i="14"/>
  <c r="F622" i="14"/>
  <c r="G693" i="15"/>
  <c r="H194" i="15"/>
  <c r="H193" i="15" s="1"/>
  <c r="H192" i="15" s="1"/>
  <c r="G194" i="15"/>
  <c r="G193" i="15" s="1"/>
  <c r="G192" i="15" s="1"/>
  <c r="H1085" i="15"/>
  <c r="H1084" i="15" s="1"/>
  <c r="H1083" i="15" s="1"/>
  <c r="H106" i="14" s="1"/>
  <c r="G1085" i="15"/>
  <c r="G1084" i="15" s="1"/>
  <c r="G1083" i="15" s="1"/>
  <c r="H1050" i="15"/>
  <c r="H1049" i="15" s="1"/>
  <c r="H1048" i="15" s="1"/>
  <c r="G1050" i="15"/>
  <c r="G1049" i="15" s="1"/>
  <c r="G1048" i="15" s="1"/>
  <c r="H1024" i="15"/>
  <c r="G1024" i="15"/>
  <c r="H1005" i="15"/>
  <c r="H1004" i="15" s="1"/>
  <c r="G1005" i="15"/>
  <c r="G1004" i="15" s="1"/>
  <c r="H813" i="15"/>
  <c r="H812" i="15" s="1"/>
  <c r="G813" i="15"/>
  <c r="G812" i="15" s="1"/>
  <c r="H805" i="15"/>
  <c r="H804" i="15" s="1"/>
  <c r="G805" i="15"/>
  <c r="G804" i="15" s="1"/>
  <c r="H745" i="15"/>
  <c r="G745" i="15"/>
  <c r="H731" i="15"/>
  <c r="H730" i="15" s="1"/>
  <c r="G731" i="15"/>
  <c r="G730" i="15" s="1"/>
  <c r="H423" i="15"/>
  <c r="H422" i="15" s="1"/>
  <c r="G423" i="15"/>
  <c r="G422" i="15" s="1"/>
  <c r="G752" i="14"/>
  <c r="G743" i="14" s="1"/>
  <c r="F752" i="14"/>
  <c r="F743" i="14" s="1"/>
  <c r="F742" i="14" s="1"/>
  <c r="H368" i="15"/>
  <c r="H359" i="15" s="1"/>
  <c r="H358" i="15" s="1"/>
  <c r="G368" i="15"/>
  <c r="H296" i="15"/>
  <c r="G296" i="15"/>
  <c r="H174" i="15"/>
  <c r="H173" i="15" s="1"/>
  <c r="H172" i="15" s="1"/>
  <c r="G174" i="15"/>
  <c r="G173" i="15" s="1"/>
  <c r="G172" i="15" s="1"/>
  <c r="G1106" i="15" s="1"/>
  <c r="G240" i="14"/>
  <c r="F240" i="14"/>
  <c r="G132" i="15"/>
  <c r="G131" i="15" s="1"/>
  <c r="G130" i="15" s="1"/>
  <c r="H54" i="15"/>
  <c r="G54" i="15"/>
  <c r="G956" i="4"/>
  <c r="G955" i="4" s="1"/>
  <c r="G240" i="5"/>
  <c r="G877" i="4"/>
  <c r="G819" i="5"/>
  <c r="G818" i="5" s="1"/>
  <c r="G208" i="5"/>
  <c r="G103" i="4"/>
  <c r="G220" i="4"/>
  <c r="G1003" i="4"/>
  <c r="G972" i="4" s="1"/>
  <c r="G278" i="4"/>
  <c r="H1131" i="15"/>
  <c r="G1131" i="15"/>
  <c r="G11" i="4"/>
  <c r="G10" i="4" s="1"/>
  <c r="G536" i="4"/>
  <c r="G554" i="4"/>
  <c r="G1147" i="4"/>
  <c r="G871" i="4"/>
  <c r="G1224" i="4" s="1"/>
  <c r="G570" i="4"/>
  <c r="G1155" i="4"/>
  <c r="G1154" i="4" s="1"/>
  <c r="G1100" i="4"/>
  <c r="G1099" i="4" s="1"/>
  <c r="G564" i="4"/>
  <c r="G935" i="4"/>
  <c r="G476" i="4"/>
  <c r="G475" i="4" s="1"/>
  <c r="G785" i="4"/>
  <c r="G1225" i="4"/>
  <c r="G797" i="5"/>
  <c r="G796" i="5" s="1"/>
  <c r="G914" i="4"/>
  <c r="G586" i="4"/>
  <c r="G927" i="4"/>
  <c r="G222" i="5"/>
  <c r="G803" i="5"/>
  <c r="G172" i="5"/>
  <c r="G171" i="5" s="1"/>
  <c r="G198" i="5"/>
  <c r="G197" i="5" s="1"/>
  <c r="G458" i="5"/>
  <c r="G896" i="5"/>
  <c r="G884" i="5"/>
  <c r="G771" i="5"/>
  <c r="G778" i="5"/>
  <c r="G857" i="5"/>
  <c r="G810" i="5"/>
  <c r="G792" i="5"/>
  <c r="G694" i="5"/>
  <c r="G689" i="5" s="1"/>
  <c r="G688" i="5" s="1"/>
  <c r="G687" i="5" s="1"/>
  <c r="G931" i="5"/>
  <c r="G944" i="5"/>
  <c r="G945" i="5"/>
  <c r="G276" i="5"/>
  <c r="G275" i="5" s="1"/>
  <c r="G159" i="4"/>
  <c r="G894" i="5"/>
  <c r="G890" i="5"/>
  <c r="G405" i="5"/>
  <c r="G270" i="5"/>
  <c r="G938" i="5"/>
  <c r="G19" i="5"/>
  <c r="G915" i="5"/>
  <c r="G185" i="5"/>
  <c r="G180" i="5" s="1"/>
  <c r="G248" i="5"/>
  <c r="G63" i="5"/>
  <c r="G877" i="5"/>
  <c r="G846" i="5"/>
  <c r="G451" i="5"/>
  <c r="G784" i="5"/>
  <c r="G489" i="5"/>
  <c r="J489" i="5" s="1"/>
  <c r="G440" i="5"/>
  <c r="F957" i="3"/>
  <c r="F498" i="3"/>
  <c r="F486" i="3" s="1"/>
  <c r="F690" i="3"/>
  <c r="F671" i="3" s="1"/>
  <c r="F1045" i="3"/>
  <c r="F1044" i="3" s="1"/>
  <c r="F318" i="14"/>
  <c r="H7" i="14" s="1"/>
  <c r="F763" i="3"/>
  <c r="F296" i="3"/>
  <c r="L263" i="3" s="1"/>
  <c r="F1012" i="3"/>
  <c r="F281" i="3"/>
  <c r="F1066" i="3"/>
  <c r="F769" i="3"/>
  <c r="F387" i="3"/>
  <c r="F373" i="14"/>
  <c r="F796" i="3"/>
  <c r="F379" i="3"/>
  <c r="F365" i="14"/>
  <c r="F753" i="3"/>
  <c r="F154" i="3"/>
  <c r="F595" i="3"/>
  <c r="F239" i="3"/>
  <c r="F540" i="3"/>
  <c r="F530" i="3"/>
  <c r="F608" i="3"/>
  <c r="F625" i="3"/>
  <c r="F108" i="14"/>
  <c r="F462" i="3"/>
  <c r="F276" i="3"/>
  <c r="F924" i="3"/>
  <c r="F905" i="3"/>
  <c r="F43" i="3"/>
  <c r="K10" i="3" s="1"/>
  <c r="F375" i="3"/>
  <c r="G32" i="5"/>
  <c r="G46" i="5"/>
  <c r="G11" i="5"/>
  <c r="F1054" i="3"/>
  <c r="I981" i="10"/>
  <c r="G940" i="4"/>
  <c r="G295" i="15" l="1"/>
  <c r="H1104" i="15"/>
  <c r="G632" i="5"/>
  <c r="G298" i="4"/>
  <c r="G594" i="4"/>
  <c r="G1212" i="4"/>
  <c r="G1208" i="4"/>
  <c r="F408" i="3"/>
  <c r="D30" i="2" s="1"/>
  <c r="F518" i="3"/>
  <c r="G1115" i="15"/>
  <c r="G766" i="15"/>
  <c r="G765" i="15" s="1"/>
  <c r="G1124" i="15"/>
  <c r="H1097" i="15"/>
  <c r="G1097" i="15"/>
  <c r="G359" i="15"/>
  <c r="G1139" i="15" s="1"/>
  <c r="F670" i="3"/>
  <c r="H609" i="15"/>
  <c r="G140" i="16"/>
  <c r="I13" i="14"/>
  <c r="I64" i="14"/>
  <c r="G550" i="15"/>
  <c r="G549" i="15" s="1"/>
  <c r="D11" i="2"/>
  <c r="G53" i="15"/>
  <c r="G52" i="15" s="1"/>
  <c r="G32" i="15" s="1"/>
  <c r="H766" i="15"/>
  <c r="H765" i="15" s="1"/>
  <c r="H550" i="15"/>
  <c r="H549" i="15" s="1"/>
  <c r="G692" i="15"/>
  <c r="G691" i="15" s="1"/>
  <c r="H406" i="16"/>
  <c r="H206" i="15"/>
  <c r="H205" i="15" s="1"/>
  <c r="H191" i="15" s="1"/>
  <c r="G206" i="15"/>
  <c r="G205" i="15" s="1"/>
  <c r="G191" i="15" s="1"/>
  <c r="G1107" i="15" s="1"/>
  <c r="G1108" i="15" s="1"/>
  <c r="G247" i="5"/>
  <c r="H721" i="15"/>
  <c r="H720" i="15" s="1"/>
  <c r="G294" i="15"/>
  <c r="H295" i="15"/>
  <c r="H294" i="15" s="1"/>
  <c r="G435" i="15"/>
  <c r="G434" i="15" s="1"/>
  <c r="G411" i="15" s="1"/>
  <c r="H435" i="15"/>
  <c r="H434" i="15" s="1"/>
  <c r="H411" i="15" s="1"/>
  <c r="H53" i="15"/>
  <c r="H52" i="15" s="1"/>
  <c r="H861" i="16"/>
  <c r="H140" i="16"/>
  <c r="G1221" i="4"/>
  <c r="H546" i="16"/>
  <c r="H545" i="16" s="1"/>
  <c r="H544" i="16" s="1"/>
  <c r="H464" i="16" s="1"/>
  <c r="L464" i="16" s="1"/>
  <c r="G953" i="15"/>
  <c r="G516" i="15"/>
  <c r="G507" i="15" s="1"/>
  <c r="G489" i="15" s="1"/>
  <c r="G488" i="15" s="1"/>
  <c r="H516" i="15"/>
  <c r="H507" i="15" s="1"/>
  <c r="H489" i="15" s="1"/>
  <c r="H488" i="15" s="1"/>
  <c r="G63" i="14"/>
  <c r="G46" i="14" s="1"/>
  <c r="G45" i="14" s="1"/>
  <c r="E14" i="13" s="1"/>
  <c r="H448" i="15"/>
  <c r="H447" i="15" s="1"/>
  <c r="G448" i="15"/>
  <c r="G447" i="15" s="1"/>
  <c r="G553" i="4"/>
  <c r="G369" i="14"/>
  <c r="G368" i="14" s="1"/>
  <c r="G829" i="4"/>
  <c r="G159" i="14"/>
  <c r="G235" i="15"/>
  <c r="G234" i="15" s="1"/>
  <c r="G218" i="15" s="1"/>
  <c r="H235" i="15"/>
  <c r="H234" i="15" s="1"/>
  <c r="H218" i="15" s="1"/>
  <c r="G716" i="14"/>
  <c r="G715" i="14" s="1"/>
  <c r="G149" i="14"/>
  <c r="F149" i="14"/>
  <c r="G933" i="14"/>
  <c r="G932" i="14" s="1"/>
  <c r="H740" i="15"/>
  <c r="H729" i="15" s="1"/>
  <c r="G1016" i="15"/>
  <c r="G1003" i="15" s="1"/>
  <c r="H339" i="15"/>
  <c r="H338" i="15" s="1"/>
  <c r="H337" i="15" s="1"/>
  <c r="H1047" i="15"/>
  <c r="H1046" i="15" s="1"/>
  <c r="H953" i="15"/>
  <c r="H1016" i="15"/>
  <c r="H1003" i="15" s="1"/>
  <c r="H919" i="15"/>
  <c r="H889" i="15" s="1"/>
  <c r="F46" i="14"/>
  <c r="F45" i="14" s="1"/>
  <c r="G803" i="15"/>
  <c r="G740" i="15"/>
  <c r="G729" i="15" s="1"/>
  <c r="G1047" i="15"/>
  <c r="G339" i="15"/>
  <c r="G338" i="15" s="1"/>
  <c r="G337" i="15" s="1"/>
  <c r="G919" i="15"/>
  <c r="G889" i="15" s="1"/>
  <c r="G742" i="14"/>
  <c r="E39" i="13" s="1"/>
  <c r="D39" i="13"/>
  <c r="G726" i="14"/>
  <c r="F726" i="14"/>
  <c r="G233" i="14"/>
  <c r="G232" i="14" s="1"/>
  <c r="G231" i="14" s="1"/>
  <c r="F233" i="14"/>
  <c r="F232" i="14" s="1"/>
  <c r="F231" i="14" s="1"/>
  <c r="G365" i="14"/>
  <c r="G364" i="14" s="1"/>
  <c r="F364" i="14"/>
  <c r="G666" i="14"/>
  <c r="G644" i="14" s="1"/>
  <c r="F644" i="14"/>
  <c r="G709" i="14"/>
  <c r="F709" i="14"/>
  <c r="G318" i="14"/>
  <c r="G317" i="14" s="1"/>
  <c r="G316" i="14" s="1"/>
  <c r="G315" i="14" s="1"/>
  <c r="E28" i="13" s="1"/>
  <c r="F317" i="14"/>
  <c r="F316" i="14" s="1"/>
  <c r="F315" i="14" s="1"/>
  <c r="D28" i="13" s="1"/>
  <c r="G457" i="14"/>
  <c r="F457" i="14"/>
  <c r="G919" i="14"/>
  <c r="G918" i="14" s="1"/>
  <c r="F919" i="14"/>
  <c r="F918" i="14" s="1"/>
  <c r="G945" i="14"/>
  <c r="G944" i="14" s="1"/>
  <c r="F945" i="14"/>
  <c r="F944" i="14" s="1"/>
  <c r="G874" i="14"/>
  <c r="G873" i="14" s="1"/>
  <c r="G872" i="14" s="1"/>
  <c r="E45" i="13" s="1"/>
  <c r="F874" i="14"/>
  <c r="F873" i="14" s="1"/>
  <c r="F872" i="14" s="1"/>
  <c r="D45" i="13" s="1"/>
  <c r="G208" i="14"/>
  <c r="G209" i="14"/>
  <c r="G966" i="14"/>
  <c r="G965" i="14" s="1"/>
  <c r="G952" i="14" s="1"/>
  <c r="F966" i="14"/>
  <c r="F965" i="14" s="1"/>
  <c r="F952" i="14" s="1"/>
  <c r="G265" i="14"/>
  <c r="G264" i="14" s="1"/>
  <c r="G263" i="14" s="1"/>
  <c r="F265" i="14"/>
  <c r="F264" i="14" s="1"/>
  <c r="F263" i="14" s="1"/>
  <c r="D24" i="13" s="1"/>
  <c r="F438" i="14"/>
  <c r="F439" i="14"/>
  <c r="G626" i="14"/>
  <c r="F626" i="14"/>
  <c r="G699" i="14"/>
  <c r="G691" i="14" s="1"/>
  <c r="G690" i="14" s="1"/>
  <c r="F699" i="14"/>
  <c r="F691" i="14" s="1"/>
  <c r="F690" i="14" s="1"/>
  <c r="G373" i="14"/>
  <c r="G372" i="14" s="1"/>
  <c r="F372" i="14"/>
  <c r="G169" i="14"/>
  <c r="G168" i="14" s="1"/>
  <c r="F169" i="14"/>
  <c r="F168" i="14" s="1"/>
  <c r="G640" i="14"/>
  <c r="F640" i="14"/>
  <c r="H693" i="15"/>
  <c r="H692" i="15" s="1"/>
  <c r="H691" i="15" s="1"/>
  <c r="G285" i="14"/>
  <c r="G284" i="14" s="1"/>
  <c r="G283" i="14" s="1"/>
  <c r="E26" i="13" s="1"/>
  <c r="F285" i="14"/>
  <c r="F284" i="14" s="1"/>
  <c r="F283" i="14" s="1"/>
  <c r="D26" i="13" s="1"/>
  <c r="G252" i="14"/>
  <c r="G251" i="14" s="1"/>
  <c r="G250" i="14" s="1"/>
  <c r="F252" i="14"/>
  <c r="F251" i="14" s="1"/>
  <c r="F250" i="14" s="1"/>
  <c r="G107" i="14"/>
  <c r="G106" i="14" s="1"/>
  <c r="E15" i="13" s="1"/>
  <c r="F107" i="14"/>
  <c r="F106" i="14" s="1"/>
  <c r="D15" i="13" s="1"/>
  <c r="G30" i="14"/>
  <c r="G29" i="14" s="1"/>
  <c r="E13" i="13" s="1"/>
  <c r="F30" i="14"/>
  <c r="F29" i="14" s="1"/>
  <c r="G464" i="14"/>
  <c r="F464" i="14"/>
  <c r="G445" i="14"/>
  <c r="G444" i="14" s="1"/>
  <c r="F445" i="14"/>
  <c r="F444" i="14" s="1"/>
  <c r="H803" i="15"/>
  <c r="G925" i="14"/>
  <c r="G924" i="14" s="1"/>
  <c r="F925" i="14"/>
  <c r="F924" i="14" s="1"/>
  <c r="G730" i="14"/>
  <c r="F730" i="14"/>
  <c r="G807" i="14"/>
  <c r="G806" i="14" s="1"/>
  <c r="G795" i="14" s="1"/>
  <c r="F807" i="14"/>
  <c r="F806" i="14" s="1"/>
  <c r="F795" i="14" s="1"/>
  <c r="G195" i="4"/>
  <c r="G207" i="5"/>
  <c r="G221" i="5"/>
  <c r="G569" i="4"/>
  <c r="G1146" i="4"/>
  <c r="G9" i="4"/>
  <c r="G462" i="4"/>
  <c r="G432" i="4" s="1"/>
  <c r="G784" i="4"/>
  <c r="G913" i="4"/>
  <c r="G243" i="4"/>
  <c r="G219" i="4"/>
  <c r="G165" i="4"/>
  <c r="H1124" i="15"/>
  <c r="G1226" i="4"/>
  <c r="G1222" i="4"/>
  <c r="G31" i="4"/>
  <c r="H1146" i="15"/>
  <c r="G1146" i="15"/>
  <c r="G934" i="4"/>
  <c r="H1134" i="15"/>
  <c r="G1134" i="15"/>
  <c r="G876" i="4"/>
  <c r="G277" i="4"/>
  <c r="G926" i="4"/>
  <c r="G99" i="5"/>
  <c r="G98" i="5" s="1"/>
  <c r="G97" i="5" s="1"/>
  <c r="G45" i="5"/>
  <c r="G845" i="5"/>
  <c r="G158" i="4"/>
  <c r="G951" i="5"/>
  <c r="G770" i="5"/>
  <c r="G883" i="5"/>
  <c r="G895" i="5"/>
  <c r="G457" i="5"/>
  <c r="G450" i="5"/>
  <c r="G783" i="5"/>
  <c r="G62" i="5"/>
  <c r="G914" i="5"/>
  <c r="G913" i="5" s="1"/>
  <c r="G403" i="5"/>
  <c r="G404" i="5"/>
  <c r="G239" i="5"/>
  <c r="G439" i="5"/>
  <c r="G18" i="5"/>
  <c r="G936" i="5"/>
  <c r="G937" i="5"/>
  <c r="G930" i="5"/>
  <c r="G791" i="5"/>
  <c r="G505" i="5"/>
  <c r="G488" i="5" s="1"/>
  <c r="G487" i="5" s="1"/>
  <c r="G817" i="5"/>
  <c r="G413" i="5"/>
  <c r="G889" i="5"/>
  <c r="G777" i="5"/>
  <c r="G377" i="5"/>
  <c r="G369" i="5" s="1"/>
  <c r="F26" i="3"/>
  <c r="F374" i="3"/>
  <c r="F343" i="3" s="1"/>
  <c r="F280" i="3"/>
  <c r="F1017" i="3"/>
  <c r="F1016" i="3" s="1"/>
  <c r="F956" i="3"/>
  <c r="F1053" i="3"/>
  <c r="F471" i="3"/>
  <c r="F275" i="3"/>
  <c r="F238" i="3"/>
  <c r="F237" i="3" s="1"/>
  <c r="F327" i="3"/>
  <c r="F265" i="3"/>
  <c r="F904" i="3"/>
  <c r="F923" i="3"/>
  <c r="F922" i="3" s="1"/>
  <c r="F1011" i="3"/>
  <c r="F624" i="3"/>
  <c r="F173" i="3"/>
  <c r="F172" i="3" s="1"/>
  <c r="F142" i="3"/>
  <c r="K142" i="3" s="1"/>
  <c r="F745" i="3"/>
  <c r="F786" i="3"/>
  <c r="F1065" i="3"/>
  <c r="F295" i="3"/>
  <c r="F42" i="3"/>
  <c r="H1142" i="15"/>
  <c r="G1142" i="15"/>
  <c r="G586" i="5"/>
  <c r="H165" i="4" l="1"/>
  <c r="G242" i="4"/>
  <c r="H11" i="4" s="1"/>
  <c r="G1211" i="4"/>
  <c r="F141" i="3"/>
  <c r="D17" i="2" s="1"/>
  <c r="G1184" i="4"/>
  <c r="G1102" i="15"/>
  <c r="G1103" i="15" s="1"/>
  <c r="G358" i="15"/>
  <c r="G357" i="15" s="1"/>
  <c r="G1116" i="15" s="1"/>
  <c r="G1117" i="15" s="1"/>
  <c r="F623" i="3"/>
  <c r="F577" i="3" s="1"/>
  <c r="F576" i="3" s="1"/>
  <c r="G764" i="15"/>
  <c r="G31" i="15"/>
  <c r="D14" i="13"/>
  <c r="I45" i="14"/>
  <c r="I7" i="14"/>
  <c r="H32" i="15"/>
  <c r="H31" i="15" s="1"/>
  <c r="H45" i="14"/>
  <c r="G30" i="4"/>
  <c r="G548" i="15"/>
  <c r="I1098" i="15"/>
  <c r="H1139" i="15"/>
  <c r="J1098" i="15"/>
  <c r="G828" i="4"/>
  <c r="G1132" i="15"/>
  <c r="J505" i="5"/>
  <c r="G170" i="5"/>
  <c r="G169" i="5" s="1"/>
  <c r="G206" i="5"/>
  <c r="G621" i="14"/>
  <c r="G620" i="14" s="1"/>
  <c r="F621" i="14"/>
  <c r="F620" i="14" s="1"/>
  <c r="E40" i="13"/>
  <c r="E38" i="13" s="1"/>
  <c r="D40" i="13"/>
  <c r="D38" i="13" s="1"/>
  <c r="H446" i="15"/>
  <c r="H445" i="15" s="1"/>
  <c r="H1119" i="15" s="1"/>
  <c r="D33" i="13"/>
  <c r="G446" i="15"/>
  <c r="G445" i="15" s="1"/>
  <c r="G1119" i="15" s="1"/>
  <c r="G1120" i="15" s="1"/>
  <c r="G1046" i="15"/>
  <c r="E33" i="13"/>
  <c r="G893" i="16"/>
  <c r="E24" i="13"/>
  <c r="G249" i="14"/>
  <c r="G293" i="15"/>
  <c r="H293" i="15"/>
  <c r="F836" i="14"/>
  <c r="F689" i="14"/>
  <c r="D36" i="13" s="1"/>
  <c r="G230" i="14"/>
  <c r="E21" i="13"/>
  <c r="E20" i="13" s="1"/>
  <c r="G725" i="14"/>
  <c r="G714" i="14" s="1"/>
  <c r="E37" i="13" s="1"/>
  <c r="G689" i="14"/>
  <c r="E36" i="13" s="1"/>
  <c r="F923" i="14"/>
  <c r="D48" i="13" s="1"/>
  <c r="H874" i="15"/>
  <c r="H831" i="15" s="1"/>
  <c r="H548" i="15"/>
  <c r="H537" i="15" s="1"/>
  <c r="D21" i="13"/>
  <c r="D20" i="13" s="1"/>
  <c r="F230" i="14"/>
  <c r="F725" i="14"/>
  <c r="F714" i="14" s="1"/>
  <c r="H764" i="15"/>
  <c r="H756" i="15" s="1"/>
  <c r="H357" i="15"/>
  <c r="G923" i="14"/>
  <c r="E48" i="13" s="1"/>
  <c r="G836" i="14"/>
  <c r="G829" i="14" s="1"/>
  <c r="G456" i="14"/>
  <c r="G443" i="14" s="1"/>
  <c r="E31" i="13" s="1"/>
  <c r="G874" i="15"/>
  <c r="F456" i="14"/>
  <c r="F443" i="14" s="1"/>
  <c r="D31" i="13" s="1"/>
  <c r="F951" i="14"/>
  <c r="D50" i="13"/>
  <c r="D49" i="13" s="1"/>
  <c r="G951" i="14"/>
  <c r="E50" i="13"/>
  <c r="E49" i="13" s="1"/>
  <c r="G438" i="14"/>
  <c r="G439" i="14"/>
  <c r="F359" i="14"/>
  <c r="F393" i="14"/>
  <c r="D30" i="13" s="1"/>
  <c r="G359" i="14"/>
  <c r="G137" i="14"/>
  <c r="F137" i="14"/>
  <c r="F136" i="14" s="1"/>
  <c r="D23" i="13"/>
  <c r="D22" i="13" s="1"/>
  <c r="F249" i="14"/>
  <c r="E23" i="13"/>
  <c r="D13" i="13"/>
  <c r="F470" i="3"/>
  <c r="G680" i="5"/>
  <c r="G679" i="5" s="1"/>
  <c r="G341" i="4"/>
  <c r="G297" i="4" s="1"/>
  <c r="H1143" i="15"/>
  <c r="G1143" i="15"/>
  <c r="G1037" i="4"/>
  <c r="G912" i="4"/>
  <c r="G933" i="4"/>
  <c r="G1187" i="4" s="1"/>
  <c r="G745" i="4"/>
  <c r="H1147" i="15"/>
  <c r="G1147" i="15"/>
  <c r="G535" i="4"/>
  <c r="G1145" i="4"/>
  <c r="G778" i="4"/>
  <c r="G474" i="4"/>
  <c r="G776" i="5"/>
  <c r="G17" i="5"/>
  <c r="G449" i="5"/>
  <c r="G412" i="5"/>
  <c r="G928" i="5"/>
  <c r="G929" i="5"/>
  <c r="G943" i="5"/>
  <c r="G754" i="5"/>
  <c r="G769" i="5"/>
  <c r="G44" i="5"/>
  <c r="G61" i="5"/>
  <c r="G856" i="5"/>
  <c r="G782" i="5"/>
  <c r="G790" i="5"/>
  <c r="G438" i="5"/>
  <c r="G456" i="5"/>
  <c r="G1183" i="4"/>
  <c r="G246" i="5"/>
  <c r="F921" i="3"/>
  <c r="D25" i="2"/>
  <c r="F264" i="3"/>
  <c r="F326" i="3"/>
  <c r="F274" i="3"/>
  <c r="F1052" i="3"/>
  <c r="F768" i="3"/>
  <c r="F102" i="3"/>
  <c r="D14" i="2" s="1"/>
  <c r="F41" i="3"/>
  <c r="F294" i="3"/>
  <c r="F744" i="3"/>
  <c r="F997" i="3"/>
  <c r="F903" i="3"/>
  <c r="F955" i="3"/>
  <c r="F25" i="3"/>
  <c r="I991" i="10"/>
  <c r="G147" i="5" l="1"/>
  <c r="H195" i="4"/>
  <c r="D13" i="2"/>
  <c r="K9" i="3"/>
  <c r="G411" i="5"/>
  <c r="F873" i="3"/>
  <c r="F807" i="3" s="1"/>
  <c r="G1185" i="4"/>
  <c r="G954" i="4"/>
  <c r="G844" i="5"/>
  <c r="G537" i="15"/>
  <c r="G1113" i="15"/>
  <c r="G1114" i="15" s="1"/>
  <c r="G756" i="15"/>
  <c r="G1122" i="15"/>
  <c r="G1123" i="15" s="1"/>
  <c r="G831" i="15"/>
  <c r="G1110" i="15"/>
  <c r="G534" i="4"/>
  <c r="G136" i="14"/>
  <c r="G9" i="14" s="1"/>
  <c r="F829" i="14"/>
  <c r="H830" i="14" s="1"/>
  <c r="H1102" i="15"/>
  <c r="K487" i="5"/>
  <c r="E43" i="13"/>
  <c r="E41" i="13" s="1"/>
  <c r="I830" i="14"/>
  <c r="D37" i="13"/>
  <c r="F914" i="3"/>
  <c r="K914" i="3" s="1"/>
  <c r="G366" i="4"/>
  <c r="G593" i="4"/>
  <c r="G1193" i="4" s="1"/>
  <c r="E35" i="13"/>
  <c r="G242" i="15"/>
  <c r="H242" i="15"/>
  <c r="H1094" i="15" s="1"/>
  <c r="H1096" i="15" s="1"/>
  <c r="D17" i="13"/>
  <c r="D11" i="13" s="1"/>
  <c r="F9" i="14"/>
  <c r="E22" i="13"/>
  <c r="F329" i="14"/>
  <c r="D29" i="13" s="1"/>
  <c r="D27" i="13" s="1"/>
  <c r="G329" i="14"/>
  <c r="E29" i="13" s="1"/>
  <c r="F741" i="14"/>
  <c r="H742" i="14" s="1"/>
  <c r="G741" i="14"/>
  <c r="I742" i="14" s="1"/>
  <c r="D35" i="13"/>
  <c r="G393" i="14"/>
  <c r="E30" i="13" s="1"/>
  <c r="D43" i="13"/>
  <c r="D41" i="13" s="1"/>
  <c r="F517" i="3"/>
  <c r="D33" i="2" s="1"/>
  <c r="G1230" i="4"/>
  <c r="G955" i="32" s="1"/>
  <c r="G956" i="32" s="1"/>
  <c r="G1188" i="4"/>
  <c r="G1141" i="15"/>
  <c r="H1141" i="15"/>
  <c r="G1153" i="4"/>
  <c r="G241" i="4"/>
  <c r="H10" i="4" s="1"/>
  <c r="H1133" i="15"/>
  <c r="G1133" i="15"/>
  <c r="H1106" i="15"/>
  <c r="G473" i="4"/>
  <c r="H1132" i="15"/>
  <c r="G920" i="5"/>
  <c r="G43" i="5"/>
  <c r="D40" i="2"/>
  <c r="H1105" i="15"/>
  <c r="G789" i="5"/>
  <c r="G768" i="5"/>
  <c r="G775" i="5"/>
  <c r="G60" i="5"/>
  <c r="G753" i="5"/>
  <c r="G935" i="5"/>
  <c r="G9" i="5"/>
  <c r="D45" i="2"/>
  <c r="D26" i="2"/>
  <c r="D29" i="2"/>
  <c r="D24" i="2"/>
  <c r="F263" i="3"/>
  <c r="K263" i="3" s="1"/>
  <c r="D23" i="2"/>
  <c r="F236" i="3"/>
  <c r="D21" i="2"/>
  <c r="D31" i="2"/>
  <c r="F325" i="3"/>
  <c r="D39" i="2"/>
  <c r="F8" i="3"/>
  <c r="K8" i="3" s="1"/>
  <c r="D12" i="2"/>
  <c r="F996" i="3"/>
  <c r="F743" i="3"/>
  <c r="D37" i="2"/>
  <c r="F1051" i="3"/>
  <c r="D50" i="2"/>
  <c r="D28" i="2"/>
  <c r="G1199" i="4" l="1"/>
  <c r="H219" i="4"/>
  <c r="H297" i="4"/>
  <c r="G1190" i="4"/>
  <c r="G1191" i="4" s="1"/>
  <c r="H569" i="4"/>
  <c r="G1180" i="4"/>
  <c r="G962" i="5"/>
  <c r="G767" i="5"/>
  <c r="G1094" i="15"/>
  <c r="C18" i="18" s="1"/>
  <c r="G1111" i="15"/>
  <c r="G1128" i="15" s="1"/>
  <c r="G1127" i="15"/>
  <c r="H325" i="3"/>
  <c r="K325" i="3"/>
  <c r="E17" i="13"/>
  <c r="E11" i="13" s="1"/>
  <c r="K807" i="3"/>
  <c r="G585" i="4"/>
  <c r="E56" i="13"/>
  <c r="F478" i="14"/>
  <c r="G1196" i="4"/>
  <c r="G240" i="4"/>
  <c r="E27" i="13"/>
  <c r="F314" i="14"/>
  <c r="D18" i="18"/>
  <c r="G314" i="14"/>
  <c r="D32" i="13"/>
  <c r="E34" i="13"/>
  <c r="E32" i="13" s="1"/>
  <c r="G478" i="14"/>
  <c r="G911" i="4"/>
  <c r="H1107" i="15"/>
  <c r="H1108" i="15" s="1"/>
  <c r="H1103" i="15"/>
  <c r="H1138" i="15"/>
  <c r="H1151" i="15" s="1"/>
  <c r="G1138" i="15"/>
  <c r="G752" i="5"/>
  <c r="I844" i="5"/>
  <c r="G31" i="5"/>
  <c r="G30" i="5" s="1"/>
  <c r="G67" i="5"/>
  <c r="F995" i="3"/>
  <c r="F970" i="3" s="1"/>
  <c r="D36" i="2"/>
  <c r="D10" i="2"/>
  <c r="D35" i="2"/>
  <c r="D48" i="2"/>
  <c r="D43" i="2"/>
  <c r="D41" i="2" s="1"/>
  <c r="D49" i="2"/>
  <c r="D38" i="2"/>
  <c r="D20" i="2"/>
  <c r="D22" i="2"/>
  <c r="F969" i="3" l="1"/>
  <c r="D56" i="13"/>
  <c r="G1129" i="15"/>
  <c r="L968" i="3"/>
  <c r="G1202" i="4"/>
  <c r="G1206" i="4" s="1"/>
  <c r="G820" i="4"/>
  <c r="G1171" i="4" s="1"/>
  <c r="H895" i="16"/>
  <c r="G1151" i="15"/>
  <c r="G895" i="16" s="1"/>
  <c r="G897" i="16" s="1"/>
  <c r="G909" i="14"/>
  <c r="F909" i="14"/>
  <c r="H1122" i="15"/>
  <c r="H1123" i="15" s="1"/>
  <c r="H1116" i="15"/>
  <c r="H1117" i="15" s="1"/>
  <c r="H1110" i="15"/>
  <c r="H1111" i="15" s="1"/>
  <c r="H1113" i="15"/>
  <c r="H1114" i="15" s="1"/>
  <c r="G1200" i="4"/>
  <c r="I487" i="5"/>
  <c r="D27" i="2"/>
  <c r="F993" i="3"/>
  <c r="F1068" i="30" l="1"/>
  <c r="F1069" i="30" s="1"/>
  <c r="G1174" i="4"/>
  <c r="H1171" i="4" s="1"/>
  <c r="D57" i="31"/>
  <c r="D58" i="31" s="1"/>
  <c r="D53" i="31"/>
  <c r="D54" i="31" s="1"/>
  <c r="G1203" i="4"/>
  <c r="H1127" i="15"/>
  <c r="H1130" i="15" s="1"/>
  <c r="F887" i="14"/>
  <c r="G887" i="14"/>
  <c r="G886" i="14" s="1"/>
  <c r="H1120" i="15"/>
  <c r="H1128" i="15" s="1"/>
  <c r="I30" i="5"/>
  <c r="D34" i="2"/>
  <c r="F516" i="3"/>
  <c r="L516" i="3" s="1"/>
  <c r="G1068" i="30" l="1"/>
  <c r="G1069" i="30" s="1"/>
  <c r="E57" i="31"/>
  <c r="E58" i="31" s="1"/>
  <c r="E53" i="31"/>
  <c r="E54" i="31" s="1"/>
  <c r="H516" i="3"/>
  <c r="C19" i="7"/>
  <c r="F886" i="14"/>
  <c r="D47" i="13" s="1"/>
  <c r="D46" i="13" s="1"/>
  <c r="D51" i="13" s="1"/>
  <c r="D56" i="2"/>
  <c r="D52" i="2"/>
  <c r="E47" i="13"/>
  <c r="E46" i="13" s="1"/>
  <c r="G885" i="14"/>
  <c r="G970" i="14" s="1"/>
  <c r="E52" i="13" s="1"/>
  <c r="F1071" i="3"/>
  <c r="H1129" i="15"/>
  <c r="D32" i="2"/>
  <c r="D58" i="13" l="1"/>
  <c r="F885" i="14"/>
  <c r="F970" i="14" s="1"/>
  <c r="D52" i="13" s="1"/>
  <c r="G1130" i="15"/>
  <c r="L1130" i="15" s="1"/>
  <c r="E51" i="13"/>
  <c r="G1096" i="15"/>
  <c r="E1095" i="15" s="1"/>
  <c r="F971" i="14"/>
  <c r="D47" i="2"/>
  <c r="F968" i="3"/>
  <c r="H968" i="3" l="1"/>
  <c r="K968" i="3"/>
  <c r="E58" i="13"/>
  <c r="F972" i="14"/>
  <c r="L1128" i="15"/>
  <c r="L1095" i="15"/>
  <c r="G971" i="14"/>
  <c r="G972" i="14" s="1"/>
  <c r="D46" i="2"/>
  <c r="F1070" i="3"/>
  <c r="D51" i="2" l="1"/>
  <c r="D57" i="2" s="1"/>
  <c r="M1128" i="15"/>
  <c r="F1072" i="3"/>
  <c r="D53" i="2" l="1"/>
  <c r="I147" i="5" l="1"/>
  <c r="G960" i="5" l="1"/>
  <c r="G963" i="5" s="1"/>
  <c r="D120" i="12" l="1"/>
  <c r="C121" i="12"/>
  <c r="D121" i="12" l="1"/>
  <c r="C125" i="12" l="1"/>
  <c r="C124" i="12" s="1"/>
  <c r="C127" i="12"/>
  <c r="D127" i="12" l="1"/>
  <c r="C129" i="12"/>
  <c r="D129" i="12" s="1"/>
  <c r="D117" i="12" l="1"/>
  <c r="D116" i="12" s="1"/>
  <c r="D115" i="12" s="1"/>
  <c r="D75" i="12" s="1"/>
  <c r="D74" i="12" s="1"/>
  <c r="D156" i="12" s="1"/>
  <c r="H1098" i="15" s="1"/>
  <c r="C117" i="12"/>
  <c r="H1099" i="15" l="1"/>
  <c r="F74" i="12"/>
  <c r="D155" i="12"/>
  <c r="H1100" i="15" s="1"/>
  <c r="C142" i="1"/>
  <c r="C141" i="1" s="1"/>
  <c r="C77" i="1" l="1"/>
  <c r="C76" i="1" s="1"/>
  <c r="E1174" i="29" s="1"/>
  <c r="I141" i="1"/>
  <c r="C116" i="12"/>
  <c r="C115" i="12" s="1"/>
  <c r="C75" i="12" s="1"/>
  <c r="C74" i="12" s="1"/>
  <c r="C156" i="12" s="1"/>
  <c r="E53" i="13"/>
  <c r="E55" i="13" s="1"/>
  <c r="D17" i="18"/>
  <c r="D19" i="18" s="1"/>
  <c r="D11" i="18" s="1"/>
  <c r="D10" i="18" s="1"/>
  <c r="E1173" i="4" l="1"/>
  <c r="C199" i="1"/>
  <c r="H1175" i="4"/>
  <c r="G1176" i="4"/>
  <c r="G1098" i="15"/>
  <c r="G1099" i="15" s="1"/>
  <c r="C155" i="12"/>
  <c r="G1100" i="15" s="1"/>
  <c r="E74" i="12"/>
  <c r="E76" i="12" s="1"/>
  <c r="C197" i="1"/>
  <c r="G1172" i="4" l="1"/>
  <c r="G1173" i="4" s="1"/>
  <c r="D55" i="31"/>
  <c r="D56" i="31" s="1"/>
  <c r="G1177" i="4"/>
  <c r="D76" i="1"/>
  <c r="C17" i="18"/>
  <c r="C19" i="18" s="1"/>
  <c r="C11" i="18" s="1"/>
  <c r="C10" i="18" s="1"/>
  <c r="D53" i="13"/>
  <c r="D55" i="13" s="1"/>
  <c r="C18" i="7"/>
  <c r="D54" i="2"/>
  <c r="D55" i="2" s="1"/>
  <c r="C20" i="7" l="1"/>
  <c r="C14" i="7" s="1"/>
  <c r="C13" i="7" s="1"/>
  <c r="C13" i="18"/>
  <c r="C14" i="18" s="1"/>
  <c r="C11" i="7"/>
  <c r="D13" i="18" l="1"/>
  <c r="D14" i="18" s="1"/>
  <c r="C12" i="18"/>
  <c r="D12" i="18" s="1"/>
  <c r="D9" i="18" s="1"/>
  <c r="C15" i="7"/>
  <c r="C24" i="7" s="1"/>
  <c r="C10" i="7"/>
  <c r="H365" i="16" l="1"/>
  <c r="H364" i="16" s="1"/>
  <c r="H356" i="16" s="1"/>
  <c r="H893" i="16" s="1"/>
  <c r="H897" i="16" s="1"/>
  <c r="C9" i="18"/>
  <c r="G1194" i="4" l="1"/>
  <c r="G1207" i="4" s="1"/>
</calcChain>
</file>

<file path=xl/comments1.xml><?xml version="1.0" encoding="utf-8"?>
<comments xmlns="http://schemas.openxmlformats.org/spreadsheetml/2006/main">
  <authors>
    <author>Автор</author>
  </authors>
  <commentList>
    <comment ref="D103" authorId="0">
      <text>
        <r>
          <rPr>
            <b/>
            <sz val="9"/>
            <color indexed="81"/>
            <rFont val="Tahoma"/>
            <family val="2"/>
            <charset val="204"/>
          </rPr>
          <t>в тя средства ФБ - 2238,2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Tahoma"/>
            <family val="2"/>
            <charset val="204"/>
          </rPr>
          <t>в тч средства ФБ 1120,3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2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 тч средства ФБ 3940,0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E97" authorId="0">
      <text>
        <r>
          <rPr>
            <b/>
            <sz val="9"/>
            <color indexed="81"/>
            <rFont val="Tahoma"/>
            <family val="2"/>
            <charset val="204"/>
          </rPr>
          <t>в тя средства ФБ 4011,8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97" authorId="0">
      <text>
        <r>
          <rPr>
            <b/>
            <sz val="9"/>
            <color indexed="81"/>
            <rFont val="Tahoma"/>
            <family val="2"/>
            <charset val="204"/>
          </rPr>
          <t>в тя средства ФБ 4011,8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14" authorId="0">
      <text>
        <r>
          <rPr>
            <b/>
            <sz val="9"/>
            <color indexed="81"/>
            <rFont val="Tahoma"/>
            <family val="2"/>
            <charset val="204"/>
          </rPr>
          <t>в тч средстыва ФБ 4011,8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<sst xmlns="http://schemas.openxmlformats.org/spreadsheetml/2006/main" count="62096" uniqueCount="1824">
  <si>
    <t>к решению СПОГО</t>
  </si>
  <si>
    <t>(тыс.руб.)</t>
  </si>
  <si>
    <t xml:space="preserve">Код </t>
  </si>
  <si>
    <t>Наименование налога</t>
  </si>
  <si>
    <t>План на 2017 год</t>
  </si>
  <si>
    <t>1 00 00000 00 0000 000</t>
  </si>
  <si>
    <t>НАЛОГОВЫЕ И НЕНАЛОГОВЫЕ ДОХОДЫ</t>
  </si>
  <si>
    <t>1 01 00000 00 0000 000</t>
  </si>
  <si>
    <t>НАЛОГИ НА ПРИБЫЛЬ, ДОХОДЫ</t>
  </si>
  <si>
    <t>1 01 02000 01 0000 110</t>
  </si>
  <si>
    <t>Налог на доходы физических лиц</t>
  </si>
  <si>
    <t>1 01 02010 01 0000 110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</si>
  <si>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</si>
  <si>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1 01 02020 01 0000 110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</si>
  <si>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 и других лиц, занимающихся частной практикой в соответствии со статьей 227 Налогового кодекса Российской Федерации</t>
  </si>
  <si>
    <t>1 01 02030 01 0000 110</t>
  </si>
  <si>
    <t>Налог на доходы физических лиц с доходов,  полученных физическими лицами в соответствии со статьей 228 Налогового Кодекса Российской Федерации</t>
  </si>
  <si>
    <t>1 01 02040 01 0000 110</t>
  </si>
  <si>
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</t>
  </si>
  <si>
    <t>1 03 00000 00 0000 000</t>
  </si>
  <si>
    <t>НАЛОГИ НА ТОВАРЫ (РАБОТЫ, УСЛУГИ), РЕАЛИЗУЕМЫЕ НА ТЕРРИТОРИИ РОССИЙСКОЙ ФЕДЕРАЦИИ</t>
  </si>
  <si>
    <t>1 03 02000 01 0000 110</t>
  </si>
  <si>
    <t>Акцизы по подакцизным товарам (продукции), производимым на территории Российской Федерации</t>
  </si>
  <si>
    <t>1 05 00000 00 0000 000</t>
  </si>
  <si>
    <t>НАЛОГИ НА СОВОКУПНЫЙ ДОХОД</t>
  </si>
  <si>
    <t>1 05 01000 00 0000 110</t>
  </si>
  <si>
    <t>Налог, взимаемый в связи с применением упрощенной системы налогообложения</t>
  </si>
  <si>
    <t>1 05 01011 01 0000 110</t>
  </si>
  <si>
    <t>Налог, взимаемый с налогоплательщиков, выбравших в качестве объекта налогообложения доходы</t>
  </si>
  <si>
    <t>1 05 01021 01 0000 110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</si>
  <si>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</si>
  <si>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1 05 02000 02 0000 110</t>
  </si>
  <si>
    <t>Единый налог на вмененный доход для отдельных видов деятельности</t>
  </si>
  <si>
    <t>1 05 02010 02 0000 110</t>
  </si>
  <si>
    <t>1 05 04010 02 0000 110</t>
  </si>
  <si>
    <t>Налог, взимаемый в связи с применением патентной системы налогообложения, зачисляемый в бюджеты городских округов</t>
  </si>
  <si>
    <t>1 06 00000 00 0000 000</t>
  </si>
  <si>
    <t>НАЛОГИ НА ИМУЩЕСТВО</t>
  </si>
  <si>
    <t>1 06 01000 00 0000 110</t>
  </si>
  <si>
    <t>Налог на имущество физических лиц</t>
  </si>
  <si>
    <t>1 06 01020 04 0000 110</t>
  </si>
  <si>
    <t>Налог на имущество физических лиц, взимаемый по ставкам, применяемым к объектам налогообложения, расположенным в границах городских округов</t>
  </si>
  <si>
    <t>1 06 06000 00 0000 110</t>
  </si>
  <si>
    <t>Земельный налог</t>
  </si>
  <si>
    <t>1 06 06032 04 0000 110</t>
  </si>
  <si>
    <t>Земельный налог с организаций, обладающих земельным участком, расположенным в границах городских округов</t>
  </si>
  <si>
    <t>1 06 06042 04 0000 110</t>
  </si>
  <si>
    <t>Земельный налог с физических лиц, обладающих земельным участком, расположенным в границах городских округов</t>
  </si>
  <si>
    <t>1 08 00000 00 0000 000</t>
  </si>
  <si>
    <t>ГОСУДАРСТВЕННАЯ ПОШЛИНА</t>
  </si>
  <si>
    <t>1 08 03000 01 0000 110</t>
  </si>
  <si>
    <t>Государственная пошлина по делам, рассматриваемым в судах общей юрисдикции, мировыми судьями</t>
  </si>
  <si>
    <t>1 08 03010 01 0000 110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</si>
  <si>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</si>
  <si>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1 11 00000 00 0000 000</t>
  </si>
  <si>
    <t>ДОХОДЫ ОТ ИСПОЛЬЗОВАНИЯ ИМУЩЕСТВА, НАХОДЯЩЕГОСЯ В ГОСУДАРСТВЕННОЙ И МУНИЦИПАЛЬНОЙ СОБСТВЕННОСТИ</t>
  </si>
  <si>
    <t>1 11 05000 00 0000 120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</si>
  <si>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автономных учреждений, а также имущества государственных и муниципальных унитарных предприятий, в том числе казенных)</t>
  </si>
  <si>
    <t>1 11 05010 00 0000 120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</si>
  <si>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</si>
  <si>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1 11 05012 04 0000 120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</si>
  <si>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округов, а также средства от продажи права на заключение договоров аренды указанных земельных участков</t>
  </si>
  <si>
    <t>1 11 05070 00 0000 120</t>
  </si>
  <si>
    <t>Доходы от сдачи в аренду имущества, составляющего государственную (муниципальную) казну (за исключением земельных участков)</t>
  </si>
  <si>
    <t>1 11 05074 04 0000 120</t>
  </si>
  <si>
    <t>Доходы от сдачи в аренду имущества, составляющего казну городских округов (за исключением земельных участков)</t>
  </si>
  <si>
    <t>1 12 00000 00 0000 000</t>
  </si>
  <si>
    <t>ПЛАТЕЖИ ПРИ ПОЛЬЗОВАНИИ ПРИРОДНЫМИ РЕСУРСАМИ</t>
  </si>
  <si>
    <t>1 12 01000 01 0000 120</t>
  </si>
  <si>
    <t>Плата за негативное воздействие на окружающую среду</t>
  </si>
  <si>
    <t>1 12 01010 01 0000 120</t>
  </si>
  <si>
    <t>Плата за выбросы загрязняющих веществ в атмосферный воздух стационарными объектами</t>
  </si>
  <si>
    <t>1 12 01030 01 0000 120</t>
  </si>
  <si>
    <t>Плата за сбросы загрязняющих веществ в водные объекты</t>
  </si>
  <si>
    <t>1 13 00000 00 0000 000</t>
  </si>
  <si>
    <t>ДОХОДЫ ОТ ОКАЗАНИЯ ПЛАТНЫХ УСЛУГ (РАБОТ) И КОМПЕНСАЦИИ ЗАТРАТ ГОСУДАРСТВА</t>
  </si>
  <si>
    <t>1 13 01990 00 0000 130</t>
  </si>
  <si>
    <t>Прочие доходы от оказания платных услуг (работ)</t>
  </si>
  <si>
    <t>1 13 01994 04 0000 130</t>
  </si>
  <si>
    <t>Прочие доходы от оказания платных услуг (работ) получателями средств бюджетов городских округов</t>
  </si>
  <si>
    <t>1 14 00000 00 0000 000</t>
  </si>
  <si>
    <t>ДОХОДЫ ОТ ПРОДАЖИ МАТЕРИАЛЬНЫХ И НЕМАТЕРИАЛЬНЫХ АКТИВОВ</t>
  </si>
  <si>
    <t>1 14 02000 00 0000 000</t>
  </si>
  <si>
    <t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 предприятий, в том числе казенных)</t>
  </si>
  <si>
    <t>1 14 02043 04 0000 410</t>
  </si>
  <si>
    <t>1 14 06000 00 0000 430</t>
  </si>
  <si>
    <t>Доходы от продажи земельных участков, находящихся в государственной и муниципальной собственности</t>
  </si>
  <si>
    <t>1 14 06012 04 0000 430</t>
  </si>
  <si>
    <t>Доходы от продажи земельных участков, государственная собственность на которые не разграничена и которые расположены в границах городских округов</t>
  </si>
  <si>
    <t>1 16 00000 00 0000 000</t>
  </si>
  <si>
    <t>ШТРАФЫ, САНКЦИИ, ВОЗМЕЩЕНИЕ УЩЕРБА</t>
  </si>
  <si>
    <t>Денежные взыскания (штрафы) за нарушение законодательства о налогах и сборах</t>
  </si>
  <si>
    <t>2 00 00000 00 0000 000</t>
  </si>
  <si>
    <t>БЕЗВОЗМЕЗДНЫЕ ПОСТУПЛЕНИЯ</t>
  </si>
  <si>
    <t>2 02 00000 00 0000 000</t>
  </si>
  <si>
    <t>БЕЗВОЗМЕЗДНЫЕ ПОСТУПЛЕНИЯ ОТ ДРУГИХ БЮДЖЕТОВ БЮДЖЕТНОЙ СИСТЕМЫ РОССИЙСКОЙ ФЕДЕРАЦИИ</t>
  </si>
  <si>
    <t>Дотации бюджетам субъектов РФ и муниципальных образований</t>
  </si>
  <si>
    <t>Субсидии бюджетам бюджетной системы Российской Федерации (межбюджетные субсидии)</t>
  </si>
  <si>
    <t>Прочие субсидии бюджетам городских округов</t>
  </si>
  <si>
    <t>в том числе</t>
  </si>
  <si>
    <t>Субвенции бюджетам бюджетной системы Российской Федерации</t>
  </si>
  <si>
    <t>Субвенции местным бюджетам на выполнение передаваемых полномочий субъектов Российской Федерации</t>
  </si>
  <si>
    <t>Субвенции  бюджетам  городских округов на выполнение передаваемых полномочий субъектов Российской Федерации</t>
  </si>
  <si>
    <t>Субвенции бюджетам на государственную регистрацию актов гражданского состояния</t>
  </si>
  <si>
    <t>Субвенции бюджетам городских округов на государственную регистрацию актов гражданского состояния</t>
  </si>
  <si>
    <t>Иные межбюджетные трансферты</t>
  </si>
  <si>
    <t>Прочие межбюджетные трансферты, передаваемые бюджетам</t>
  </si>
  <si>
    <t>ВСЕГО ДОХОДОВ:</t>
  </si>
  <si>
    <t>Приложение № 5</t>
  </si>
  <si>
    <t xml:space="preserve">Ведомственная  структура расходов бюджета Омсукчанского городского округа на 2017 год </t>
  </si>
  <si>
    <t xml:space="preserve">Наименование бюджетной классификации </t>
  </si>
  <si>
    <t>Код главы ГРБС</t>
  </si>
  <si>
    <t>Рз</t>
  </si>
  <si>
    <t>Пр</t>
  </si>
  <si>
    <t>ЦС</t>
  </si>
  <si>
    <t>ВР</t>
  </si>
  <si>
    <t>Комитет финансов администрации  Омсукчанского городского округа</t>
  </si>
  <si>
    <t>Общегосударственные вопросы</t>
  </si>
  <si>
    <t>01</t>
  </si>
  <si>
    <t>Обеспечение деятельности финансовых, налоговых и таможенных органов и органов финансового (финансово-бюджетного) надзора</t>
  </si>
  <si>
    <t>06</t>
  </si>
  <si>
    <t>Непрограммные мероприятия</t>
  </si>
  <si>
    <t>68 0 00 00000</t>
  </si>
  <si>
    <t>Расходы на обеспечение деятельности органов местного самоуправления</t>
  </si>
  <si>
    <t>68 1 00 00000</t>
  </si>
  <si>
    <t>Расходы на обеспечение деятельности муниципальных служащих местной администрации</t>
  </si>
  <si>
    <t>68 1 00 01030</t>
  </si>
  <si>
    <t>Расходы на выплату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</si>
  <si>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100</t>
  </si>
  <si>
    <t>Расходы на выплаты персоналу государственных (муниципальных) органов</t>
  </si>
  <si>
    <t>120</t>
  </si>
  <si>
    <t>Закупка товаров, работ и услуг для  государственных (муниципальных) нужд</t>
  </si>
  <si>
    <t>200</t>
  </si>
  <si>
    <t>Иные закупки товаров, работ и услуг для обеспечения государственных (муниципальных) нужд</t>
  </si>
  <si>
    <t>240</t>
  </si>
  <si>
    <t>Иные бюджетные ассигнования</t>
  </si>
  <si>
    <t xml:space="preserve">800 </t>
  </si>
  <si>
    <t>Уплата налогов, сборо в и иных платежей</t>
  </si>
  <si>
    <t>850</t>
  </si>
  <si>
    <t>Другие общегосударственные вопросы</t>
  </si>
  <si>
    <t>13</t>
  </si>
  <si>
    <t>Прочие непрограммные мероприятия</t>
  </si>
  <si>
    <t>68 3 00 00000</t>
  </si>
  <si>
    <t>Расходы на исполнение судебных актов</t>
  </si>
  <si>
    <t>68 3 00 01350</t>
  </si>
  <si>
    <t>800</t>
  </si>
  <si>
    <t>Исполнение судебных актов</t>
  </si>
  <si>
    <t>830</t>
  </si>
  <si>
    <t>Администрация Омсукчанского городского округа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</si>
  <si>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</si>
  <si>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04</t>
  </si>
  <si>
    <t>Расходы на обеспечение деятельности главы  местной администрации</t>
  </si>
  <si>
    <t>68 1 00 01040</t>
  </si>
  <si>
    <t>Расходы на обеспечение деятельности  прочих работников аппарата местной администрации</t>
  </si>
  <si>
    <t>68 3 00 01050</t>
  </si>
  <si>
    <t>Муниципальная программа "Развитие малого и среднего предпринимательства в Омсукчанском городском округе на 2015-2017 годы"</t>
  </si>
  <si>
    <t>53 0 00 00000</t>
  </si>
  <si>
    <t>Проведение  мероприятий по реализации муниципальных программ</t>
  </si>
  <si>
    <t>53 0 00 01150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</si>
  <si>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</si>
  <si>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810</t>
  </si>
  <si>
    <t>Муниципальная программа "Развитие муниципальной службы Омсукчанского городского округа на 2015-2017 годы"</t>
  </si>
  <si>
    <t>54 0 00 00000</t>
  </si>
  <si>
    <t>Приобретение и использование справочно-правовых систем</t>
  </si>
  <si>
    <t>54 0 00 01510</t>
  </si>
  <si>
    <t>Организация дополнительного профессионального образования муниципальных служащих и лиц, замещающих муниципальные должности</t>
  </si>
  <si>
    <t>54 0 00 01520</t>
  </si>
  <si>
    <t>Муниципальная программа " Обеспечение безопасности, профилактика правонарушений, коррупции и противодействие незаконному обороту наркотических средств на территории Омсукчанского городского округа" на 2016-2018 годы"</t>
  </si>
  <si>
    <t>56 0 00 00000</t>
  </si>
  <si>
    <t>Подпрограмма "Комплексные меры противодействия злоупотреблению наркотическими средствами и их незаконному обороту на территории Омсукчанского городского округа" на 2016-2018 годы"</t>
  </si>
  <si>
    <t>56 1 00 00000</t>
  </si>
  <si>
    <t>Мероприятия по профилактике злоупотребления наркотическими средствами</t>
  </si>
  <si>
    <t>56 1 00 01560</t>
  </si>
  <si>
    <t>Подпрограмма "Профилактика правонарушений и обеспечение общественной безопасности на территории Омсукчанского городского округа" на 2016-2018 годы"</t>
  </si>
  <si>
    <t>56 2 00 00000</t>
  </si>
  <si>
    <t>Меропрития по профилактике правонарушений</t>
  </si>
  <si>
    <t>56 2 00 01170</t>
  </si>
  <si>
    <t>Подпрограмма "Профилактика коррупции на территории Омсукчанского городского округа" на 2016-2018 годы"</t>
  </si>
  <si>
    <t>56 3 00 00000</t>
  </si>
  <si>
    <t>Мероприятия по противодействию коррупции</t>
  </si>
  <si>
    <t>56 3 00 01180</t>
  </si>
  <si>
    <t>Муниципальная программа "Развитие торговли на территории Омсукчанского городского округа" на 2016-2020 годы"</t>
  </si>
  <si>
    <t>61 0 00 00000</t>
  </si>
  <si>
    <t>61 0 00 01150</t>
  </si>
  <si>
    <t>Субсидии юридическим лицам (кроме некоммерческих организаций), индивидуальным предпринимателям, физическим лицам</t>
  </si>
  <si>
    <t>Осуществление расходов за счет безвозмездных поступлений</t>
  </si>
  <si>
    <t>68 2 00 00000</t>
  </si>
  <si>
    <t>Осуществление государственных полномочий по составлению списков кандидатов в присяжные заседатели</t>
  </si>
  <si>
    <t>68 2 00 51200</t>
  </si>
  <si>
    <t>Осуществление государственных полномочий Российской Федерации по государственной регистрации актов гражданского состояния</t>
  </si>
  <si>
    <t>68 2 00 59300</t>
  </si>
  <si>
    <t>Подготовка участников резерва управленческих кадров Магаданской области из числа муниципальных служащих</t>
  </si>
  <si>
    <t>68 2 00 73270</t>
  </si>
  <si>
    <t>Подготовка резерва управленческих кадров и его эффективное использование</t>
  </si>
  <si>
    <t>Осуществление государственных полномочий по созданию и организации  деятельности комиссий по делам несовершеннолетних и защите их прав</t>
  </si>
  <si>
    <t>68 2 00 74020</t>
  </si>
  <si>
    <t>Осуществление государственных полномочий по созданию и организации деятельности административных комиссий</t>
  </si>
  <si>
    <t>68 2 00 74030</t>
  </si>
  <si>
    <t>Закупка товаров, работ и услуг для обеспечения государственных (муниципальных) нужд</t>
  </si>
  <si>
    <t>Выполнение других обязательств государства</t>
  </si>
  <si>
    <t>68 3 00 01070</t>
  </si>
  <si>
    <t>Мероприятия в области социальной политики</t>
  </si>
  <si>
    <t>68 3 00 01130</t>
  </si>
  <si>
    <t>Мероприятия по повышению безопасности дорожного движения</t>
  </si>
  <si>
    <t>68 3 00 01160</t>
  </si>
  <si>
    <t>68 3 00 01180</t>
  </si>
  <si>
    <t>Расходы на содержание муниципального архива</t>
  </si>
  <si>
    <t>68 3 00 01200</t>
  </si>
  <si>
    <t>Расходы на выплату персоналу казенных учреждений</t>
  </si>
  <si>
    <t>110</t>
  </si>
  <si>
    <t>Расходы на обеспечение деятельности органа по государственной регистрации актов гражданского состояния</t>
  </si>
  <si>
    <t>68 3 00 01210</t>
  </si>
  <si>
    <t>Национальная оборона</t>
  </si>
  <si>
    <t>02</t>
  </si>
  <si>
    <t>Мобилизационная и всевойсковая подготовка</t>
  </si>
  <si>
    <t>03</t>
  </si>
  <si>
    <t>Осуществление первичного воинского учета на территориях, где отсутствуют военные комиссариаты</t>
  </si>
  <si>
    <t>68 2 00 51180</t>
  </si>
  <si>
    <t>Другие вопросы в области национальной обороны</t>
  </si>
  <si>
    <t>09</t>
  </si>
  <si>
    <t>Мероприятия в области национальной обороны</t>
  </si>
  <si>
    <t>68 3 00 01320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</si>
  <si>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</si>
  <si>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гражданская оборона</t>
  </si>
  <si>
    <t xml:space="preserve">Мероприятия по предупреждению и ликвидации последствий чрезвычайных ситуаций и стихийных бедствий </t>
  </si>
  <si>
    <t>68 3 00 01080</t>
  </si>
  <si>
    <t>Мероприятия по гражданской обороне</t>
  </si>
  <si>
    <t>68 3 00 01090</t>
  </si>
  <si>
    <t>Расходы на содержание Единой дежурной диспетчерской службы</t>
  </si>
  <si>
    <t>68 3 00 01220</t>
  </si>
  <si>
    <t>Мероприятия по пожарной безопасности</t>
  </si>
  <si>
    <t>68 3 00 01250</t>
  </si>
  <si>
    <t>Национальная экономика</t>
  </si>
  <si>
    <t>Сельское хозяйство и рыболовство</t>
  </si>
  <si>
    <t>05</t>
  </si>
  <si>
    <t>Организация и проведение областных универсальных совместных ярмарок</t>
  </si>
  <si>
    <t>68 2 00 73900</t>
  </si>
  <si>
    <t>Другие вопросы в области национальной экономики</t>
  </si>
  <si>
    <t>12</t>
  </si>
  <si>
    <t>Реализация мероприятий поддержки развития малого и среднего предпринимательства</t>
  </si>
  <si>
    <t>68 2 00 73360</t>
  </si>
  <si>
    <t>Осуществление государственных полномочий по предоставлению жилищных субсидий гражданам, выезжающим из районов Крайнего Севера и приравненных к ним местностей</t>
  </si>
  <si>
    <t>68 2 00 74040</t>
  </si>
  <si>
    <t>Социальная политика</t>
  </si>
  <si>
    <t>10</t>
  </si>
  <si>
    <t>Пенсионное обеспечение</t>
  </si>
  <si>
    <t>Доплаты к пенсиям муниципальных служащих</t>
  </si>
  <si>
    <t>68 3 00 01120</t>
  </si>
  <si>
    <t>Социальное обеспечение и иные выплаты населению</t>
  </si>
  <si>
    <t>300</t>
  </si>
  <si>
    <t>Социальные выплаты гражданам, кроме публичных нормативных социальных выплат</t>
  </si>
  <si>
    <t>320</t>
  </si>
  <si>
    <t>Социальное обеспечение населения</t>
  </si>
  <si>
    <t>Муниципальная программа "Содействие расселению граждан, проживающих в неперспективных населенных пунктах Омсукчанского городского округа в 2015-2020 годах"</t>
  </si>
  <si>
    <t>55 0 00 00000</t>
  </si>
  <si>
    <t>55 0 00 01150</t>
  </si>
  <si>
    <t>Расселение наиболее неблагоприятных для проживания населенных пунктов Магаданской области</t>
  </si>
  <si>
    <t>68 2 00 61060</t>
  </si>
  <si>
    <t>Другие вопросы в области социальной политики</t>
  </si>
  <si>
    <t xml:space="preserve">Осуществление государственных полномочий по организации и осуществлению деятельности органов опеки и попечительства </t>
  </si>
  <si>
    <t>68 2 00 74090</t>
  </si>
  <si>
    <t>Управление культуры, социальной и молодежной политики  администрации Омсукчанского городского округа</t>
  </si>
  <si>
    <t>68 3 00  01180</t>
  </si>
  <si>
    <t>Образование</t>
  </si>
  <si>
    <t>07</t>
  </si>
  <si>
    <t>Дополнительное образование детей</t>
  </si>
  <si>
    <t>Муниципальная программа "Развитие культуры в Омсукчанском городском округе на 2015-2020 г.г."</t>
  </si>
  <si>
    <t>58 0 00 00000</t>
  </si>
  <si>
    <t>Подпрограмма "Развитие дополнительного образования детей в области культуры в Омсукчанском городском округе на 2015-2020 г.г."</t>
  </si>
  <si>
    <t>58 3 00 00000</t>
  </si>
  <si>
    <t>Субсидии муниципальным учреждениям дополнительного образования на выполнение муниципального задания</t>
  </si>
  <si>
    <t>58 3 00 13000</t>
  </si>
  <si>
    <t>Предоставление субсидий бюджетным, автономным учреждениям и иным некоммерческим организациям</t>
  </si>
  <si>
    <t>600</t>
  </si>
  <si>
    <t>Субсидии бюджетным учреждениям</t>
  </si>
  <si>
    <t>610</t>
  </si>
  <si>
    <t>Целевые субсидии муниципальным учреждениям  на выполнение мероприятий в области культуры и искусства</t>
  </si>
  <si>
    <t>58 3 00  20020</t>
  </si>
  <si>
    <t>Целевые субсидии муниципальным учреждениям  на проведение ремонта недвижимого  имущества</t>
  </si>
  <si>
    <t>58 3 00 20030</t>
  </si>
  <si>
    <t>Целевые субсидии муниципальным учреждениям  на оснащение</t>
  </si>
  <si>
    <t>58 3 00 20040</t>
  </si>
  <si>
    <t>Целевые субсидии муниципальным учреждениям  на выплату стипендии учащимся</t>
  </si>
  <si>
    <t>58 3 00 20060</t>
  </si>
  <si>
    <t>Целевые субсидии муниципальным учреждениям  на оплату контейнера</t>
  </si>
  <si>
    <t>58 1 00 20070</t>
  </si>
  <si>
    <t>58 3 00 20070</t>
  </si>
  <si>
    <t>Целевые субсидии муниципальным учреждениям на приобретение жилья работникам учреждения</t>
  </si>
  <si>
    <t>58 3 00 20100</t>
  </si>
  <si>
    <t>Осуществление  государственных полномочий по предоставлению дополнительных мер социальной поддержки работникам муниципальных образовательных учреждений</t>
  </si>
  <si>
    <t>68 2 00 74060</t>
  </si>
  <si>
    <t>Осуществление государственных полномочий по предоставлению дополнительных мер социальной поддержки педагогическим работникам муниципальных образовательных учреждений</t>
  </si>
  <si>
    <t>68 2 00 74070</t>
  </si>
  <si>
    <t>Возмещение расходов на предоставление мер социальной поддержки по оплате жилых помещений и коммунальных услуг отдельных категорий граждан, проживающих на территории Магаданской области (Закон Магаданской области от 28 декабря 2004 года № 528-ОЗ)</t>
  </si>
  <si>
    <t>68 2 00 75010</t>
  </si>
  <si>
    <t>Другие вопросы в области образования</t>
  </si>
  <si>
    <t>Поддержка преподавания этнических языков (корякский, эвенский, юкагарский и якутский)</t>
  </si>
  <si>
    <t>68 2 00 73470</t>
  </si>
  <si>
    <t>Культура, кинематография</t>
  </si>
  <si>
    <t>08</t>
  </si>
  <si>
    <t>Культура</t>
  </si>
  <si>
    <t>Подпрограмма "Развитие народного творчества и проведение культурного досуга населения в Омсукчанском городском округе на 2015-2020 г.г."</t>
  </si>
  <si>
    <t>58 1 00 00000</t>
  </si>
  <si>
    <t>Субсидии муниципальным учреждениям культуры на выполнение муниципального задания</t>
  </si>
  <si>
    <t>58 1 00 15000</t>
  </si>
  <si>
    <t>58 1 00 20020</t>
  </si>
  <si>
    <t>58 1 00 20030</t>
  </si>
  <si>
    <t>Целевые субсидии на оснащение учреждений</t>
  </si>
  <si>
    <t>58 1 00 20040</t>
  </si>
  <si>
    <t>58 1 00 20100</t>
  </si>
  <si>
    <t xml:space="preserve">Обеспечение деятельности подведомственных учреждений </t>
  </si>
  <si>
    <t>58 1 00 40000</t>
  </si>
  <si>
    <t>Подпрограмма "Развитие библиотечного дела в Омсукчанском городском округе на 2015-2020 г.г."</t>
  </si>
  <si>
    <t>58 2 00 00000</t>
  </si>
  <si>
    <t>58 2 00 15000</t>
  </si>
  <si>
    <t>Развитие библиотечного дела Магаданской области</t>
  </si>
  <si>
    <t>58 2 00 S3160</t>
  </si>
  <si>
    <t>58 2 00 20020</t>
  </si>
  <si>
    <t>58 2 00 20030</t>
  </si>
  <si>
    <t>58 2 00 20040</t>
  </si>
  <si>
    <t>58 2 00 20070</t>
  </si>
  <si>
    <t>Целевые субсидии муниципальным учреждениям на комплектование библиотечных фондов</t>
  </si>
  <si>
    <t>58 2 00 20080</t>
  </si>
  <si>
    <t>Муниципальная программа "Энергосбережение и повышение энергетической эффективности в Омсукчанском городском округе" на 2015-2017 годы</t>
  </si>
  <si>
    <t>59 0 00 00000</t>
  </si>
  <si>
    <t>Целевые субсидии на проведение мероприятий по энергосбережению и проведению энергетической эффективности</t>
  </si>
  <si>
    <t>59 0 00 20110</t>
  </si>
  <si>
    <t>Комплектование книжных фондов библиотек муниципальных образований</t>
  </si>
  <si>
    <t>68 2 00 51440</t>
  </si>
  <si>
    <t>Развитие библиотечного дела в Магаданской области</t>
  </si>
  <si>
    <t>68 2 00 73160</t>
  </si>
  <si>
    <t>Осуществление государственных полномочий по выплате ежемесячной надбавки к окладу (должностному окладу) работникам муниципальных учреждений, которым присвоено почетное звание в сфере  культуры</t>
  </si>
  <si>
    <t>68 2 00 74110</t>
  </si>
  <si>
    <t>Другие вопросы в области культуры, кинематографии</t>
  </si>
  <si>
    <t>Муниципальная программа "Формирование доступной среды в Омсукчанском городском округе" на 2017-2020 годы"</t>
  </si>
  <si>
    <t>63 0 00 00000</t>
  </si>
  <si>
    <t>Адаптация муниципальных учреждений для доступности инвалидам и МГН</t>
  </si>
  <si>
    <t>63 0 00 01570</t>
  </si>
  <si>
    <t>Обеспечение  новогодними подарками детей-инвалидов</t>
  </si>
  <si>
    <t>63 0 00 01590</t>
  </si>
  <si>
    <t>Расходы на обеспечение деятельности  обслуживающего персонала</t>
  </si>
  <si>
    <t>68 3 00 01370</t>
  </si>
  <si>
    <t>Расходы на выплаты персоналу казенных учреждений</t>
  </si>
  <si>
    <t>Муниципальная программа "Проведение социальной политики в Омсукчанском городском округе" на 2015-2020 г.г.</t>
  </si>
  <si>
    <t>51 0 00 00000</t>
  </si>
  <si>
    <t>Подпрограмма "Молодежь Омсукчанского городского округа"</t>
  </si>
  <si>
    <t>51 1 00 00000</t>
  </si>
  <si>
    <t>51 1 00 01150</t>
  </si>
  <si>
    <t>Публичные нормативные социальные выплаты гражданам</t>
  </si>
  <si>
    <t>310</t>
  </si>
  <si>
    <t>Целевые субсидии на организацию трудоустройства несовершеннолетних детей</t>
  </si>
  <si>
    <t>51 1 00 20120</t>
  </si>
  <si>
    <t xml:space="preserve">Подпрограмма  "Обеспечение жильем молодых семей" </t>
  </si>
  <si>
    <t>51 2 00 00000</t>
  </si>
  <si>
    <t>51 2 00 01150</t>
  </si>
  <si>
    <t xml:space="preserve">Подпрограмма  "Улучшение демографической ситуации в Омсукчанском городском округе" </t>
  </si>
  <si>
    <t>51 3 00 00000</t>
  </si>
  <si>
    <t>51 3 00 01150</t>
  </si>
  <si>
    <t xml:space="preserve">Подпрограмма  "Забота о старшем поколении" </t>
  </si>
  <si>
    <t>51 4 00 00000</t>
  </si>
  <si>
    <t>51 4 00 01150</t>
  </si>
  <si>
    <t>Подпрограмма  "Оказание адресной социальной помощи отдельным категориям граждан"</t>
  </si>
  <si>
    <t>51 5 00 00000</t>
  </si>
  <si>
    <t>51 5 00 01150</t>
  </si>
  <si>
    <t xml:space="preserve">Подпрограмма  "Организация мероприятий, направленных на поддержку семьи, материнства и детства в Омсукчанском городском округе" </t>
  </si>
  <si>
    <t>51 6 00 00000</t>
  </si>
  <si>
    <t>51 6 00 01150</t>
  </si>
  <si>
    <t xml:space="preserve">Подпрограмма  "Комплексные меры по поддержке малочисленных народов Севера, проживающих на территории Омсукчанского городского округа" </t>
  </si>
  <si>
    <t>51 7 00 00000</t>
  </si>
  <si>
    <t>Проведение мероприятий в рамках реализации муниципальных программ</t>
  </si>
  <si>
    <t>51 7 00 01150</t>
  </si>
  <si>
    <t xml:space="preserve">Субсидии некоммерческим организациям (за исключением государственных (муниципальных) учреждений)
</t>
  </si>
  <si>
    <t>630</t>
  </si>
  <si>
    <t>Укрепление материально-технической базы муниципальных предприятий, муниципальных сельскохозяйственных предприятий,крестьянских (фермерских) хозяйств, территориально соседских общин, родовых общин коренных малочисленных народов Севера, занятых традиционным природопользованием</t>
  </si>
  <si>
    <t>51 7 00 S3290</t>
  </si>
  <si>
    <t>Предоставление социальных выплат на приобретение жилых помещений гражданам из числа коренных малочисленных народов Севера</t>
  </si>
  <si>
    <t>51 7 00 S3310</t>
  </si>
  <si>
    <t xml:space="preserve">Поддержка преподавания этнических языков (корякский, эвенский, юкагирский и якутский) </t>
  </si>
  <si>
    <t>51 7 00 S3470</t>
  </si>
  <si>
    <t>51 7 00 L3470</t>
  </si>
  <si>
    <t>Подпрограмма "Содействие развитию институтов гражданского общества, укреплению единства российской нации и гармонизации межнациональных отношений на территории Омсукчанского городского округа" на 2016-2020 годы"</t>
  </si>
  <si>
    <t>51 8 00 00000</t>
  </si>
  <si>
    <t>51 8 00 01150</t>
  </si>
  <si>
    <t>Обеспечение жильем молодых семей</t>
  </si>
  <si>
    <t>68 2 00 R0200</t>
  </si>
  <si>
    <t>68 2 00 73310</t>
  </si>
  <si>
    <t>68 2 00 76030</t>
  </si>
  <si>
    <t>Комитет по управлению муниципальным имуществом администрации Омсукчанского городского округа</t>
  </si>
  <si>
    <t>Оценка недвижимости, признание прав и регулирование отношений по государственной и муниципальной собственности</t>
  </si>
  <si>
    <t>68 3 00 01060</t>
  </si>
  <si>
    <t>Жилищно-коммунальное хозяйство</t>
  </si>
  <si>
    <t>Жилищное хозяйство</t>
  </si>
  <si>
    <t>Мероприятия, реализуемых с привлечением средств Фонда содействия реформированию жилищно-коммунального хозяйства</t>
  </si>
  <si>
    <t>68 2 00 96000</t>
  </si>
  <si>
    <t>Обеспечение мероприятий по переселению граждан из аварийного жилищного фонда</t>
  </si>
  <si>
    <t>68 2 00 96020</t>
  </si>
  <si>
    <t>Приобретение жилья на вторичном рынке</t>
  </si>
  <si>
    <t>68 3 00 01380</t>
  </si>
  <si>
    <t>Взносы на капитальный ремонт муниципального жилищного фонда</t>
  </si>
  <si>
    <t>68 3 00 01330</t>
  </si>
  <si>
    <t>Охрана семьи и детства</t>
  </si>
  <si>
    <t>Осуществление государственных полномочий по обеспечению жилыми помещениями детей-сирот</t>
  </si>
  <si>
    <t>68 2 00 74100</t>
  </si>
  <si>
    <t>Управление образования администрации Омсукчанского городского округа</t>
  </si>
  <si>
    <t>Дошкольное образование</t>
  </si>
  <si>
    <t>Муниципальная программа "Развитие системы образования в Омсукчанском городском округе  на 2015-2020 г.г."</t>
  </si>
  <si>
    <t>52 0 00 00000</t>
  </si>
  <si>
    <t>Подпрограмма "Управление развитием отрасли образования в Омсукчанском городском округе"</t>
  </si>
  <si>
    <t>52 1 00 00000</t>
  </si>
  <si>
    <t>Субсидии муниципальным учреждениям дошкольного образования на выполнение муниципального задания</t>
  </si>
  <si>
    <t>52 1 00 11000</t>
  </si>
  <si>
    <t>Подпрограмма "Развитие дошкольного образования в Омсукчанском городском округе"</t>
  </si>
  <si>
    <t>52 2 00 00000</t>
  </si>
  <si>
    <t>52 2 00 20030</t>
  </si>
  <si>
    <t>52 2 00 20040</t>
  </si>
  <si>
    <t xml:space="preserve">Целевые субсидии муниципальным учреждениям  на выполнение мероприятий по организации питания </t>
  </si>
  <si>
    <t>52 2 00 20050</t>
  </si>
  <si>
    <t>52 2 00 20070</t>
  </si>
  <si>
    <t>Укрепление материально-технической базы учреждений дошкольного образования детей</t>
  </si>
  <si>
    <t>68 2 00 73180</t>
  </si>
  <si>
    <t>Осуществление   государственных полномочий по предоставлению дополнительных мер социальной поддержки педагогическим работникам муниципальных образовательных учреждений</t>
  </si>
  <si>
    <t>Осуществление  отдельных государственных полномочий на финансовое обеспечение реализации прав граждан на получение общедоступного и бесплатного дошкольного образования в муниципальных дошкольных образовательных организациях</t>
  </si>
  <si>
    <t>68 2 00 74120</t>
  </si>
  <si>
    <t>Возмещение расходов по присмотру и уходу за детьми -инвалидами, детьми-сиротами и детьми, оставшимися без попечения родителей, а также за детьми с туберкулезной интоксикацией, обучающимися в муниципальных образовательных организациях, реализующих образовательную программу дошкольного образования, расположенных на территории Магаданской области</t>
  </si>
  <si>
    <t>68 2 00 75050</t>
  </si>
  <si>
    <t>Общее образование</t>
  </si>
  <si>
    <t>Муниципальная программа "Развитие системы образования в Омсукчанском городском округе на 2015-2020 г.г."</t>
  </si>
  <si>
    <t>Субсидии муниципальным учреждениям общего образования на выполнение муниципального задания</t>
  </si>
  <si>
    <t>52 1 00 12000</t>
  </si>
  <si>
    <t>52 1 00 13000</t>
  </si>
  <si>
    <t>Подпрограмма "Развитие общего образования в Омсукчанском городском округе"</t>
  </si>
  <si>
    <t>52 3 00 00000</t>
  </si>
  <si>
    <t>Целевые субсидии на осуществление мероприятий по реконструкции и капитальному ремонту общеобразовательных организаций</t>
  </si>
  <si>
    <t>52 3 00 S3100</t>
  </si>
  <si>
    <t>Целевые субсидии на приобретение школьных автобусов</t>
  </si>
  <si>
    <t>52 3 00 S3150</t>
  </si>
  <si>
    <t xml:space="preserve">Целевые субсидии муниципальным учреждениям  на выполнение мероприятий по совершенствованию питания учащихся
</t>
  </si>
  <si>
    <t>52 3 00 S3440</t>
  </si>
  <si>
    <t>Целевые субсидии на питание (завтрак или полдник) детей из многодетных семей, обучающихся в общеобразовательных организациях</t>
  </si>
  <si>
    <t>52 3 00 S3950</t>
  </si>
  <si>
    <t>Целевые субсидии муниципальным учреждениям  на проведение физкультурно-спортивных мероприятий</t>
  </si>
  <si>
    <t>52 3 00 20010</t>
  </si>
  <si>
    <t>52 3 00 20030</t>
  </si>
  <si>
    <t>52 3 00 20040</t>
  </si>
  <si>
    <t>52 3 00 20060</t>
  </si>
  <si>
    <t>52 3 00 20070</t>
  </si>
  <si>
    <t>Подпрограмма "Развитие дополнительного  образования в Омсукчанском городском округе"</t>
  </si>
  <si>
    <t>52 4 00 00000</t>
  </si>
  <si>
    <t>52 4 00 S3190</t>
  </si>
  <si>
    <t>52 4 00 20030</t>
  </si>
  <si>
    <t>Осуществление мероприятий по реконструкции и капитальному ремонту общеобразовательных организаций</t>
  </si>
  <si>
    <t>68 2 00 73100</t>
  </si>
  <si>
    <t>Приобретение школьных автобусов</t>
  </si>
  <si>
    <t>68 2 00 73150</t>
  </si>
  <si>
    <t xml:space="preserve">Укрепление материально-технической базы учреждений дополнительного образования </t>
  </si>
  <si>
    <t>68 2 00 73190</t>
  </si>
  <si>
    <t>Совершенствование питания учащихся в общеобразовательных организациях</t>
  </si>
  <si>
    <t>68 2 00 73440</t>
  </si>
  <si>
    <t>Питание (завтрак или полдник) детей из многодетных семей, обучающихся в общеобразовательных организациях</t>
  </si>
  <si>
    <t>68 2 00 73950</t>
  </si>
  <si>
    <t>Осуществление  отдельных государственных полномочий по финансовому обеспечению муниципальных общеобразовательных организаций в части реализации ими государственного стандарта общего образования</t>
  </si>
  <si>
    <t>68 2 00 74050</t>
  </si>
  <si>
    <t xml:space="preserve">Выполнение государственных полномочий по обеспечению ежемесячного денежного вознаграждения за классное руководство </t>
  </si>
  <si>
    <t>68 2 00 74130</t>
  </si>
  <si>
    <t>Возмещение расходов на предоставление мер социальной поддержки по оплате жилых помещений и коммунальных услуг отдельных категорий граждан, проживающих на территории Магаданской области "Закон Магаданской области от 28 декабря 2004 года № 528-ОЗ"</t>
  </si>
  <si>
    <t>Непрограммные мерприятия</t>
  </si>
  <si>
    <t>Молодежная политика и оздоровление детей</t>
  </si>
  <si>
    <t>Подпрограмма "Оздоровление детей и подростков в Омсукчанском городском округе"</t>
  </si>
  <si>
    <t xml:space="preserve">07 </t>
  </si>
  <si>
    <t>52 5 00 00000</t>
  </si>
  <si>
    <t>Субсидии муниципальным учреждениям  общего образования на выполнение муниципального задания</t>
  </si>
  <si>
    <t>52 5 00 S3210</t>
  </si>
  <si>
    <t>Выполнение полномочий органов местного самоуправления по вопросам местного значения за счет субсидий из областного бюджета</t>
  </si>
  <si>
    <t>68 2 00 73000</t>
  </si>
  <si>
    <t>Организация отдыха и оздоровление детей в лагерях дневного пребывания</t>
  </si>
  <si>
    <t>68 2 00 73210</t>
  </si>
  <si>
    <t>Обучение специалистов для организации обучения детей с ограниченными возможностями здоровья, в том числе детей-инвалидов</t>
  </si>
  <si>
    <t>63 0 00 01580</t>
  </si>
  <si>
    <t>Прочие мероприятия в области образования</t>
  </si>
  <si>
    <t>68 3 00 01190</t>
  </si>
  <si>
    <t>Управление спорта и туризма администрации Омсукчанского городского округа</t>
  </si>
  <si>
    <t>Муниципальная программа "Развитие физической культуры и спорта в Омсукчанском городском округе на 2015-2020 г.г."</t>
  </si>
  <si>
    <t>57 0 00 00000</t>
  </si>
  <si>
    <t>Подпрограмма "Развитие дополнительного образования детей в области физической культуры и спорта на 2015-2020 г.г."</t>
  </si>
  <si>
    <t>57 2 00 00000</t>
  </si>
  <si>
    <t>57 2 00 13000</t>
  </si>
  <si>
    <t>57 2 00 20030</t>
  </si>
  <si>
    <t>57 2 00 20040</t>
  </si>
  <si>
    <t>57 2 00 20060</t>
  </si>
  <si>
    <t>57 2 00 20070</t>
  </si>
  <si>
    <t>Физическая культура и спорт</t>
  </si>
  <si>
    <t>11</t>
  </si>
  <si>
    <t xml:space="preserve">Физическая культура </t>
  </si>
  <si>
    <t>Подпрограмма "Развитие массовой физической культуры и спорта в Омсукчанском городском округе на 2015-2020 г.г."</t>
  </si>
  <si>
    <t>57 1 00 00000</t>
  </si>
  <si>
    <t>Субсидии муниципальным учреждениям спорта на выполнение муниципального задания</t>
  </si>
  <si>
    <t>57 1 00 14000</t>
  </si>
  <si>
    <t>57 1 00 20030</t>
  </si>
  <si>
    <t>57 1 00 20040</t>
  </si>
  <si>
    <t>57 1 00 20070</t>
  </si>
  <si>
    <t>Другие вопросы в области физической культуры и спорта</t>
  </si>
  <si>
    <t>Подпрограмма "Физкультурно-спортивные мероприятия окружного и областного уровней на 2015-2020 годы"</t>
  </si>
  <si>
    <t>57 3 00 00000</t>
  </si>
  <si>
    <t>57 3 00 01150</t>
  </si>
  <si>
    <t>Управление ЖКХ и градостроительства  администрации Омсукчанского городского округа</t>
  </si>
  <si>
    <t>Транспорт</t>
  </si>
  <si>
    <t>Мероприятия в области автомобильного транспорта</t>
  </si>
  <si>
    <t>68 3 00 01100</t>
  </si>
  <si>
    <t>Дорожное хозяйство (дорожные фонды)</t>
  </si>
  <si>
    <t>Муниципальная программа "Развитие транспортной инфраструктуры  Омсукчанского городского округа" на 2015-2017 годы"</t>
  </si>
  <si>
    <t>50 0 00 00000</t>
  </si>
  <si>
    <t>Содержание автомобильных дорог</t>
  </si>
  <si>
    <t>50 0 00 01530</t>
  </si>
  <si>
    <t>Возмещение убытков по пустующему жилью</t>
  </si>
  <si>
    <t>68 2 00 10790</t>
  </si>
  <si>
    <t>Мероприятия в области жилищного хозяйства</t>
  </si>
  <si>
    <t>68 3 00 01240</t>
  </si>
  <si>
    <t>Коммунальное хозяйство</t>
  </si>
  <si>
    <t>62 0 00 00000</t>
  </si>
  <si>
    <t>Осуществление мероприятий по подготовке к осенне-зимнему отопительному периоду 2016-2017 годов</t>
  </si>
  <si>
    <t>62 0 00 S2110</t>
  </si>
  <si>
    <t>Ремонт и подготовка жилфонда</t>
  </si>
  <si>
    <t>62 0 00 01440</t>
  </si>
  <si>
    <t>Подготовка тепловых сетей</t>
  </si>
  <si>
    <t>62 0 00 01450</t>
  </si>
  <si>
    <t>Подготовка и ремонт котельных</t>
  </si>
  <si>
    <t>62 0 00 01460</t>
  </si>
  <si>
    <t>Подготовка и ремонт канализационных сетей</t>
  </si>
  <si>
    <t>62 0 00 01470</t>
  </si>
  <si>
    <t>Подготовка и ремонт водозаборов</t>
  </si>
  <si>
    <t>62 0 00 01480</t>
  </si>
  <si>
    <t>Подготовка и ремонт канализационных насосных станций</t>
  </si>
  <si>
    <t>62 0 00 01490</t>
  </si>
  <si>
    <t>Подготовка и ремонт очистных сооружений</t>
  </si>
  <si>
    <t>62 0 00 01500</t>
  </si>
  <si>
    <t>68 2 00 17010</t>
  </si>
  <si>
    <t>68 2 00 62110</t>
  </si>
  <si>
    <t>Мероприятия в области коммунального хозяйства</t>
  </si>
  <si>
    <t>68 3 00 01270</t>
  </si>
  <si>
    <t>Расходы по содержанию пустующего жилья</t>
  </si>
  <si>
    <t>68 3 00 01340</t>
  </si>
  <si>
    <t>Благоустройство</t>
  </si>
  <si>
    <t>Муниципальная программа "Благоустройство территории Омсукчанского городского округа на 2016-2020 годы"</t>
  </si>
  <si>
    <t>60 0 00 00000</t>
  </si>
  <si>
    <t>Подпрограмма "Обеспечение комфортными условиями проживания населения Омсукчанского городского округа"</t>
  </si>
  <si>
    <t>60 1 00 00000</t>
  </si>
  <si>
    <t xml:space="preserve">Прочие мероприятия в области  благоустройства </t>
  </si>
  <si>
    <t>60 1 00 01280</t>
  </si>
  <si>
    <t>Наружнее освещение, иллюминация</t>
  </si>
  <si>
    <t>60 1 00 01390</t>
  </si>
  <si>
    <t>Благоустройство в дворовых территориях</t>
  </si>
  <si>
    <t>60 1 00 01400</t>
  </si>
  <si>
    <t>Подпрограмма "Санитарное содержание территорий поселений Омсукчанского городского округа на 2016-2020 годы"</t>
  </si>
  <si>
    <t>60 2 00 00000</t>
  </si>
  <si>
    <t>60 2 00 01400</t>
  </si>
  <si>
    <t>Озеленение</t>
  </si>
  <si>
    <t>60 2 00 01410</t>
  </si>
  <si>
    <t>Мероприятия по благоустройству мест несанкционированного размещения твердых бытовых отходов в поселениях</t>
  </si>
  <si>
    <t>60 2 00 01420</t>
  </si>
  <si>
    <t>Санация территории от безнадзорных животных</t>
  </si>
  <si>
    <t>60 2 00 01430</t>
  </si>
  <si>
    <t>Проведение мероприятий по благоустройству территорий городских округов</t>
  </si>
  <si>
    <t>68 2 00 62010</t>
  </si>
  <si>
    <t>68 2 00 75040</t>
  </si>
  <si>
    <t>Содержание мест захоронения</t>
  </si>
  <si>
    <t>68 3 00 01110</t>
  </si>
  <si>
    <t>Мероприятия в области благоустройства</t>
  </si>
  <si>
    <t>68 3 00 01280</t>
  </si>
  <si>
    <t>Уплата налогов, сборов в и иных платежей</t>
  </si>
  <si>
    <t>Другие вопросы в области жилищно-коммунального хозяйства</t>
  </si>
  <si>
    <t>Прочие мероприятия в области жилищно-коммунального хозяйства</t>
  </si>
  <si>
    <t>68 3 00 01260</t>
  </si>
  <si>
    <t>Организация ритуальных услуг</t>
  </si>
  <si>
    <t>68 3 00  01140</t>
  </si>
  <si>
    <t>Собрание представителей Омсукчанского городского округа</t>
  </si>
  <si>
    <t>Функционирование высшего должностного лица субъекта Российской Федерации и муниципального образования</t>
  </si>
  <si>
    <t>Расходы на обеспечение деятельности высшего должностного лица муниципального образования</t>
  </si>
  <si>
    <t>68 1 00 01010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</si>
  <si>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</si>
  <si>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Расходы на обеспечение деятельности представительных органов муниципальных образований</t>
  </si>
  <si>
    <t>68 1 00 01020</t>
  </si>
  <si>
    <t>МКУ "Редакция газеты "Омсукчанские вести"</t>
  </si>
  <si>
    <t>Средства массовой информации</t>
  </si>
  <si>
    <t>Периодическая печать и издательства</t>
  </si>
  <si>
    <t>Расходы на обеспечение деятельности казенных учреждений</t>
  </si>
  <si>
    <t>68 4 00 00000</t>
  </si>
  <si>
    <t>68 4 00 40000</t>
  </si>
  <si>
    <t>ВСЕГО РАСХОДЫ</t>
  </si>
  <si>
    <t>м/б</t>
  </si>
  <si>
    <t>обл/б</t>
  </si>
  <si>
    <t>МП</t>
  </si>
  <si>
    <t xml:space="preserve">к решению СПОГО </t>
  </si>
  <si>
    <t>Наименование</t>
  </si>
  <si>
    <t>Муниципальная программа "Обеспечение безопасности, профилактика правонарушений, коррупции и противодействие незаконному обороту наркотических средств на территории Омсукчанского городского округа" на 2016-2018 годы"</t>
  </si>
  <si>
    <t>Муниципальная программа "Комплексное развитие  систем коммунальной инфраструктуры муниципального образования " Омсукчанский городской округ" на 2016-2018 годы"</t>
  </si>
  <si>
    <t>Целевые субсидии муниципальным учреждениям  на выполнение мероприятий по физической культуре и спорту</t>
  </si>
  <si>
    <t>52 2 2001</t>
  </si>
  <si>
    <t>52 2 2003</t>
  </si>
  <si>
    <t>Субсидии бюджетным учреждениям на иные цели</t>
  </si>
  <si>
    <t>612</t>
  </si>
  <si>
    <t>52 2 2007</t>
  </si>
  <si>
    <t>52 3 2001</t>
  </si>
  <si>
    <t>Целевые субсидии муниципальным учреждениям  на выполнение мероприятий по совершенствованию питания учащихся</t>
  </si>
  <si>
    <t xml:space="preserve">Целевые субсидии муниципальным учреждениям  на ремонт недвижимого имущества </t>
  </si>
  <si>
    <t>52 3 2007</t>
  </si>
  <si>
    <t>52 3 2008</t>
  </si>
  <si>
    <t>52 4 2003</t>
  </si>
  <si>
    <t>Целевые субсидии муниципальным учреждениям  на оплату разовых услуг</t>
  </si>
  <si>
    <t>58 3 2009</t>
  </si>
  <si>
    <t>Организация  отдыха и оздоровление детей в лагерях дневного пребывания</t>
  </si>
  <si>
    <t>58 1 2002</t>
  </si>
  <si>
    <t>58 1 2007</t>
  </si>
  <si>
    <t>Целевые субсидии на проведение ремонта недвижимого имущества</t>
  </si>
  <si>
    <t>58 2 2007</t>
  </si>
  <si>
    <t>Осуществление социальных выплат  молодым семьям</t>
  </si>
  <si>
    <t>51 2 00 S6030</t>
  </si>
  <si>
    <t>Приложение № 6</t>
  </si>
  <si>
    <t>Целевая статья</t>
  </si>
  <si>
    <t>Раздел</t>
  </si>
  <si>
    <t>Подраздел</t>
  </si>
  <si>
    <t>Вид расхода</t>
  </si>
  <si>
    <t>Ведомство</t>
  </si>
  <si>
    <t>Муниципальная программа "Развитие транспортной инфраструктуры  Омсукчанского городского округа" на 2015-2017 гг."</t>
  </si>
  <si>
    <t>Управление  ЖКХ и градостроительства администрации Омсукчанского городского округа</t>
  </si>
  <si>
    <t>908</t>
  </si>
  <si>
    <t xml:space="preserve">Подпрограмма "Молодежь Омсукчанского городского округа" </t>
  </si>
  <si>
    <t>51 1 00 11500</t>
  </si>
  <si>
    <t>903</t>
  </si>
  <si>
    <t xml:space="preserve">Подпрограмма  "Обеспечение жильем молодых семей в Омсукчанском городском округе" </t>
  </si>
  <si>
    <t xml:space="preserve">Подпрограмма "Улучшение демографической ситуации в Омсукчанском городском округе" </t>
  </si>
  <si>
    <t>51 3 00 11500</t>
  </si>
  <si>
    <t>Подпрограмма "Забота о старшем поколении"</t>
  </si>
  <si>
    <t>51 4 00 11500</t>
  </si>
  <si>
    <t>Подпрограмма "Оказание адресной социальной помощи отдельным категориям граждан"</t>
  </si>
  <si>
    <t>51 5 00 11500</t>
  </si>
  <si>
    <t>51 6 00 11500</t>
  </si>
  <si>
    <t>906</t>
  </si>
  <si>
    <t>Целевые субсидии муниципальным учреждениям  на содержаиние социальной группы</t>
  </si>
  <si>
    <t>Целевые субсидии муниципальным учреждениям  на ремонт учреждений</t>
  </si>
  <si>
    <t xml:space="preserve">02 </t>
  </si>
  <si>
    <t>Целевые субсидии муниципальным учреждениям  на оснащение учреждений</t>
  </si>
  <si>
    <t>902</t>
  </si>
  <si>
    <t>Подпрограмма "Развитие дополнительного образования детей в области физической культуры и спорта в Омсукчанском городском округе на 2015-2020 г.г."</t>
  </si>
  <si>
    <t>57 2 00 20010</t>
  </si>
  <si>
    <t>57 2 2003</t>
  </si>
  <si>
    <t>57 2 2004</t>
  </si>
  <si>
    <t>57 1 00 20010</t>
  </si>
  <si>
    <t>57 1 2004</t>
  </si>
  <si>
    <t>57 1 2007</t>
  </si>
  <si>
    <t>58 3 2002</t>
  </si>
  <si>
    <t>58 3 2003</t>
  </si>
  <si>
    <t>58 3 2004</t>
  </si>
  <si>
    <t>58 2 2002</t>
  </si>
  <si>
    <t>Целевые субсидии  на оснащение учреждений</t>
  </si>
  <si>
    <t>Развитие бибилиотечного дела Магаданской области</t>
  </si>
  <si>
    <t>Целевые субсидии муниципальным учреждениям на проведение меропрятий в области энергосбережения</t>
  </si>
  <si>
    <t>Муниципальная программа "Комплексное развитие систем коммунальной инфраструктуры муниципального образования "Омсукчанский городской округ" на 2016-2018 годы"</t>
  </si>
  <si>
    <t>ИТОГО:</t>
  </si>
  <si>
    <t>Управление культуры, социальной и молодежной политики  адмнистрации Омсукчанского городского округа</t>
  </si>
  <si>
    <t>Источники внутреннего финансирования дефицита</t>
  </si>
  <si>
    <t>Код бюджетной классификации</t>
  </si>
  <si>
    <t>Наименование источника</t>
  </si>
  <si>
    <t>901 01 05 00 00 00 0000 000</t>
  </si>
  <si>
    <t>Изменение остатков средств на счетах по учету средств бюджета</t>
  </si>
  <si>
    <t>901 01 05 02 01 00 0000 500</t>
  </si>
  <si>
    <t>Увеличение прочих остатков средств бюджетов</t>
  </si>
  <si>
    <t>901 01 05 02 01 04 0000 510</t>
  </si>
  <si>
    <t>Увеличение прочих остатков денежных средств бюджетов городских округов</t>
  </si>
  <si>
    <t>901 01 05 02 01 00 0000 600</t>
  </si>
  <si>
    <t>Уменьшение прочих остатков средств бюджетов</t>
  </si>
  <si>
    <t>901 01 05 02 01 04 0000 610</t>
  </si>
  <si>
    <t>Уменьшение прочих остатков денежных средств бюджетов городских округов</t>
  </si>
  <si>
    <t>доходы</t>
  </si>
  <si>
    <t>расходы</t>
  </si>
  <si>
    <t>дефицит</t>
  </si>
  <si>
    <t>Наименование бюджетной классификации</t>
  </si>
  <si>
    <t>РЗ</t>
  </si>
  <si>
    <t>ПР</t>
  </si>
  <si>
    <t>Всего расходов</t>
  </si>
  <si>
    <t>Оказание помощи инвалидам, семьям с детьми-инвалидами в адаптации их жилых помещений</t>
  </si>
  <si>
    <t>63 0 00 01700</t>
  </si>
  <si>
    <t>Расходы за счет резервных фондов органов государственной власти субъекта РФ на ликвидацию чрезвычайных ситуаций</t>
  </si>
  <si>
    <t xml:space="preserve">54 0 00 S3270 </t>
  </si>
  <si>
    <t>Поддержка отрасли культуры</t>
  </si>
  <si>
    <t>58 2 00 S5190</t>
  </si>
  <si>
    <t xml:space="preserve">Поддержка отрасли культуры </t>
  </si>
  <si>
    <t>68 2 00 R5190</t>
  </si>
  <si>
    <t xml:space="preserve">Осуществление мероприятий по подготовке к осенне-зимнему отопительному периоду </t>
  </si>
  <si>
    <t>Реализация муниципальных программ энергосбережения по установке общедомовых приборов учета энегетических ресурсов</t>
  </si>
  <si>
    <t>68 2 00 73880</t>
  </si>
  <si>
    <t>Осуществление государственных полномочий по отлову и содержанию безнадзорных животных</t>
  </si>
  <si>
    <t>68 2 00 74170</t>
  </si>
  <si>
    <t>Благоустройство территорий городских округов и развитие объектов социально-культурного назначения</t>
  </si>
  <si>
    <t>Поддержка государственных программ субъектов Российской Федерации и муниципальных программ формирования современной городской среды</t>
  </si>
  <si>
    <t>68 2 00 R5550</t>
  </si>
  <si>
    <t>Организация дополнительного профессионального образования для лиц, замещающих муниципальные должности Магаданской области</t>
  </si>
  <si>
    <t>54 0 00 S3260</t>
  </si>
  <si>
    <t>68 2 00 73260</t>
  </si>
  <si>
    <t>(тыс. руб.)</t>
  </si>
  <si>
    <t>Доходы от реализации иного имущества, находящегося в   собственности городских округов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</si>
  <si>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Подпрограмма "Развитие дополнительного образования в Омсукчанском городском округе"</t>
  </si>
  <si>
    <t>Целевые субсидии на проведение обследования здания</t>
  </si>
  <si>
    <t>52 4 00 20130</t>
  </si>
  <si>
    <t>Целевые субсидии муниципальным учреждениям  на проведение  мероприятий в области культуры и искусства</t>
  </si>
  <si>
    <t>Уплата налогов, сборов и иных платежей</t>
  </si>
  <si>
    <t>64 0 00 00000</t>
  </si>
  <si>
    <t>64 0 00 01730</t>
  </si>
  <si>
    <t>Муниципальная программа "Профилактика экстеремизма и терроризма на территории Омсукчанского городского округа на 2017-2021 годы"</t>
  </si>
  <si>
    <t>Оказание помощи инвалидам, семьям с детьми-инвалидами в адаптации их жилых помещений, приобретение технических средств реабилитации</t>
  </si>
  <si>
    <t>Муниципальная программа "Формирование современной городской среды муниципального образования "Омсукчанский городской округ" на 2017год"</t>
  </si>
  <si>
    <t>Проведение мероприятий в рамках муниципальных программ</t>
  </si>
  <si>
    <t>65 0 00 00000</t>
  </si>
  <si>
    <t>65 0 00 01150</t>
  </si>
  <si>
    <t>64 0 00 01150</t>
  </si>
  <si>
    <t xml:space="preserve"> Распределение бюджетных ассигнований, направляемых на реализацию муниципальных программ  из бюджета Омсукчанского городского округа  на  2017 год</t>
  </si>
  <si>
    <t>(-1733,7)</t>
  </si>
  <si>
    <t>(+1112,5)</t>
  </si>
  <si>
    <t>(+621,1)</t>
  </si>
  <si>
    <t>(+140,0)</t>
  </si>
  <si>
    <t>(-100)</t>
  </si>
  <si>
    <t>(+100)</t>
  </si>
  <si>
    <t>(-74,0)</t>
  </si>
  <si>
    <t>(+74)</t>
  </si>
  <si>
    <t>(-5,8)</t>
  </si>
  <si>
    <t>(+5,8)</t>
  </si>
  <si>
    <t>(+800,0)</t>
  </si>
  <si>
    <t>(+59,4)</t>
  </si>
  <si>
    <t>(+90)</t>
  </si>
  <si>
    <t>68 2 00 11830</t>
  </si>
  <si>
    <t>(+88,7)</t>
  </si>
  <si>
    <t>Укрепление материально-технической базы в области физической культуры и спорта</t>
  </si>
  <si>
    <t>(+297,5)</t>
  </si>
  <si>
    <t>(+500)</t>
  </si>
  <si>
    <t>(+308)</t>
  </si>
  <si>
    <t>68 2 00 73240</t>
  </si>
  <si>
    <t>Укрепление гражданского единства, гармонизация межнациональных отношений, профилактика экстремизма"</t>
  </si>
  <si>
    <t xml:space="preserve">Дополнительная социальная выплата при рождении (усыновлении) каждого ребенка и на обеспечение жильем молодых семей </t>
  </si>
  <si>
    <t xml:space="preserve">от   08.2017г. № </t>
  </si>
  <si>
    <t xml:space="preserve">от    08.2017г. № </t>
  </si>
  <si>
    <t>(+400)</t>
  </si>
  <si>
    <t>(+25)</t>
  </si>
  <si>
    <t>(+800, +300, +45)</t>
  </si>
  <si>
    <t>(+356,2)</t>
  </si>
  <si>
    <t>(-356,2)</t>
  </si>
  <si>
    <t>(+2977)</t>
  </si>
  <si>
    <t>(-522, -255)</t>
  </si>
  <si>
    <t>(+59,9)</t>
  </si>
  <si>
    <t>(-59,9)</t>
  </si>
  <si>
    <t>(+45)</t>
  </si>
  <si>
    <t>(+16500)</t>
  </si>
  <si>
    <t>(-2200)</t>
  </si>
  <si>
    <t>(+15,271)</t>
  </si>
  <si>
    <t>(-15,271)</t>
  </si>
  <si>
    <t>(-140,0)</t>
  </si>
  <si>
    <t>(-327,4)</t>
  </si>
  <si>
    <t>(-55,2)</t>
  </si>
  <si>
    <t>(+55,2)</t>
  </si>
  <si>
    <t>(-60,0)</t>
  </si>
  <si>
    <t>(+60,0)</t>
  </si>
  <si>
    <t>(+327,4)</t>
  </si>
  <si>
    <t>(-180)</t>
  </si>
  <si>
    <t>(+180)</t>
  </si>
  <si>
    <t>(-6)</t>
  </si>
  <si>
    <t>(+6)</t>
  </si>
  <si>
    <t>Целевые субсидии муниципальным учреждениям на оплату проезда к месту отдыха и обратно</t>
  </si>
  <si>
    <t>Целевые субсидии муниципальным учреждениям на оплату северных надбавок к заработной плате вновь прибывшим работникам</t>
  </si>
  <si>
    <t>Целевые субсидии муниципальным учреждениям на обследование здания</t>
  </si>
  <si>
    <t>ПРОЧИЕ НЕНАЛОГОВЫЕ ДОХОДЫ</t>
  </si>
  <si>
    <t>Прочие неналоговые доходы</t>
  </si>
  <si>
    <t>1 17 05040 04 0000 180</t>
  </si>
  <si>
    <t>Прочие неналоговые доходы бюджетов городских округов</t>
  </si>
  <si>
    <t>Участие лиц с ограниченными возможностями здоровья в творческих мероприятиях за пределами Магаданской области</t>
  </si>
  <si>
    <t>Размещение рекламно-информационных материалов и баннеров</t>
  </si>
  <si>
    <t>Создание условий для образования детей - инвалидов</t>
  </si>
  <si>
    <t xml:space="preserve">05 </t>
  </si>
  <si>
    <t>Другие вопросы национальной экономики</t>
  </si>
  <si>
    <t>Организационные и пропагандистские мероприятия по профилактике экстремизма и терроризма</t>
  </si>
  <si>
    <t xml:space="preserve">Мероприятия по формированию толерантности и патриотизма среди населения </t>
  </si>
  <si>
    <t xml:space="preserve">Мероприятия по антитеррористической защищенности муниципальных учреждений </t>
  </si>
  <si>
    <t>Осуществление государственных полномочий по составлению (изменению) списков кандидатов в присяжные заседатели</t>
  </si>
  <si>
    <t xml:space="preserve">Целевые субсидии на мероприятия по антитеррористической защищенности муниципальных учреждений </t>
  </si>
  <si>
    <t>Муниципальная программа "Энергосбережение и повышение энергетической эффективности в Омсукчанском городском округе" на 2018-2020 годы"</t>
  </si>
  <si>
    <t>66 0 00 00000</t>
  </si>
  <si>
    <t>2 07 00000 00 0000 180</t>
  </si>
  <si>
    <t>Прочие безвозмездные поступления</t>
  </si>
  <si>
    <t>2 07 04000 04 0000 180</t>
  </si>
  <si>
    <t>Прочие безвозмездные поступления в бюджеты городских округов</t>
  </si>
  <si>
    <t>Иные межбюджетные трансферты бюджетам городских округов на возмещение расходов на предоставление мер социальной поддержки по оплате жилых помещений и коммунальных услуг отдельных категорий граждан, проживающих на территории Магаданской области на подпрограмма "Управление развитием отрасли образования в Магаданской области" на 2014-2020 годы" государственной программы Магаданской области "Развитие образования в Магаданской области" на 2014-2020 годы"</t>
  </si>
  <si>
    <t>Иные межбюджетные трансферты бюджетам городских округов на возмещение расходов на предоставление мер социальной поддержки   по оплате жилых помещений и коммунальных услуг отдельных категорий граждан, проживающих на территории Магаданской области подпрограмма "Оказание государственных услуг в сфере культуры и отраслевого образования Магаданской области" на 2014-2020 годы" государственной программы Магаданской области "Развитие культуры и туризма в Магаданской области" на 2014-2020 годы"</t>
  </si>
  <si>
    <t>Целевые субсидии бюджетным учреждениям на выполнение мероприятий по физической культуре и спорту</t>
  </si>
  <si>
    <t>Проведение комплексных кадастровых работ на территории Магаданской области</t>
  </si>
  <si>
    <t>Целевые субсидии муниципальным учреждениям на оплату контейнера</t>
  </si>
  <si>
    <t>2 02 25497 04 0000 151</t>
  </si>
  <si>
    <t>Модернизация квартальной котельной в пос.Омсукчан за счет средств внебюджетного фонда социально-экономического развития Магаданской области</t>
  </si>
  <si>
    <t>Субсидии бюджетам городских округов на реализацию мероприятий по обеспечению жильем молодых семей</t>
  </si>
  <si>
    <t>1 12 01041 01 0000 120</t>
  </si>
  <si>
    <t>Плата за размещение отходов производства</t>
  </si>
  <si>
    <t>1 12 01042 01 0000 120</t>
  </si>
  <si>
    <t>Плата за размещение твердых коммунальных отходов</t>
  </si>
  <si>
    <t>Выплата стипендии обучающимся казенных учреждений</t>
  </si>
  <si>
    <t xml:space="preserve">Обеспечение деятельности казенных  учреждений </t>
  </si>
  <si>
    <t xml:space="preserve">Обеспечение деятельности казенных учреждений </t>
  </si>
  <si>
    <t>Субсидии бюджетам городских округов, предоставляемых в рамках реализации подпрограммы   "Формирование и подготовка резерва управленческих кадров Магаданской области " на 2017-2021 годы"   государственной  программы   Магаданской области "Развитие системы государственного и муниципального управления  и профилактика коррупции в Магаданской области " на 2017-2021 годы" на 2019 год</t>
  </si>
  <si>
    <t>2 02 49999 00 0000 150</t>
  </si>
  <si>
    <t>2 02 40000 00 0000 150</t>
  </si>
  <si>
    <t>2 02 35930 04 0000 150</t>
  </si>
  <si>
    <t>2 02 35930 00 0000 150</t>
  </si>
  <si>
    <t>2 02 30024 04 0000 150</t>
  </si>
  <si>
    <t>2 02 30024 00 0000 150</t>
  </si>
  <si>
    <t>2 02 30000 00 0000 150</t>
  </si>
  <si>
    <t>2 02 29999 04 0000 150</t>
  </si>
  <si>
    <t>2 02 25555 04 0000 150</t>
  </si>
  <si>
    <t>2 02 20000 00 0000 150</t>
  </si>
  <si>
    <t>2 02 15001 04 0000 150</t>
  </si>
  <si>
    <t>2 02 10000 00 0000 150</t>
  </si>
  <si>
    <t>2 02 49999 04 0000 150</t>
  </si>
  <si>
    <t>Проведение казенными учреждениями  мероприятий в области культуры и искусства</t>
  </si>
  <si>
    <t>67 0 00 00000</t>
  </si>
  <si>
    <t>69 0 00 00000</t>
  </si>
  <si>
    <t>340</t>
  </si>
  <si>
    <t>Стипендии</t>
  </si>
  <si>
    <t>Комплектование библиотечных фондов казенными учреждениями</t>
  </si>
  <si>
    <t>Мероприятия по профилактике правонарушений</t>
  </si>
  <si>
    <t>Формирование и увеличение уставного фонда муниципальных унитарных предприятий</t>
  </si>
  <si>
    <t>Реализация мероприятий по обеспечению жильем молодых семей</t>
  </si>
  <si>
    <t>2 02 25511 04 0000 150</t>
  </si>
  <si>
    <t xml:space="preserve">Субсидии бюджетам городских округов на проведение комплексных кадастровых работ
</t>
  </si>
  <si>
    <t>Мероприятия по модернизации и реконструкции объектов инженерной и коммунальной инфраструктуры</t>
  </si>
  <si>
    <t>Целевые субсидии на организацию питания детей с ограниченными возможностями здоровья, обучающихся в общеобразовательных организациях</t>
  </si>
  <si>
    <t>Иные межбюджетные трансферты бюджетам городских округов на возмещение расходов на предоставление мер социальной поддержки   по оплате жилых помещений и коммунальных услуг отдельных категорий граждан, проживающих на территории Магаданской области подпрограмма "Управление развитием отрасли физической культуры и спорта" на 2015-2021 годы" государственной программы Магаданской области "Развитие физической культуры и спорта в Магаданской области" на 2014-2021 годы"</t>
  </si>
  <si>
    <t>Целевые субсидии на выплату стипендии</t>
  </si>
  <si>
    <t>Прочие безвозмездные поступления в бюджеты городских округов на реализацию мероприятия  "Модернизация и реконструкция объектов инженерной и  коммунальной инфраструктур в населенных пунктах городских округов, расположенных на территории Магаданской области" программы развития Особой экономической зоны в Магаданской области на 2019 год</t>
  </si>
  <si>
    <t>Прочие безвозмездные поступления в бюджеты городских округов на реализацию мероприятия "Реконструкция инженерных сетей в пос. Дукат и технологическое присоединение к сетям строящейся угольной котельной" программы развития Особой экономической зоны в Магаданской области на 2019 год</t>
  </si>
  <si>
    <t xml:space="preserve">Реконструкция инженерных сетей в пос.Дукат и технологическое присоединение к сетям строящейся угольной котельной </t>
  </si>
  <si>
    <t>2 07 04050 04 0000 150</t>
  </si>
  <si>
    <t>65 0 F2 55550</t>
  </si>
  <si>
    <t>Исполнение судебных актов Российской Федерации и мировых соглашений по возмещению причиненного вреда</t>
  </si>
  <si>
    <t>400</t>
  </si>
  <si>
    <t>Капитальные вложения в объекты государственной (муниципальной) собственности</t>
  </si>
  <si>
    <t xml:space="preserve">Компенсация расходов на оплату стоимости проезда и провоза багажа к месту использования отпуска и обратно </t>
  </si>
  <si>
    <t>Расходы на обеспечение деятельности  прочих работников органов местного самоуправления</t>
  </si>
  <si>
    <t>54 0 01 01510</t>
  </si>
  <si>
    <t>54 0 02 01520</t>
  </si>
  <si>
    <t>Основное мероприятие "Организация дополнительного профессионального образования муниципальных служащих и лиц, замещающих муниципальные должности"</t>
  </si>
  <si>
    <t xml:space="preserve">54 0 03 S3270 </t>
  </si>
  <si>
    <t>54 0 03 73270</t>
  </si>
  <si>
    <t>Основное мероприятие "Организационные и пропагандистские мероприятия по профилактике экстремизма и терроризма"</t>
  </si>
  <si>
    <t>64 0 01 01640</t>
  </si>
  <si>
    <t>64 0 03 01660</t>
  </si>
  <si>
    <t>54 0 01 00000</t>
  </si>
  <si>
    <t>54 0 02 00000</t>
  </si>
  <si>
    <t>54 0 03 00000</t>
  </si>
  <si>
    <t>64 0 01 00000</t>
  </si>
  <si>
    <t>64 0 03 00000</t>
  </si>
  <si>
    <t>Основное мероприятие "Мероприятия по профилактике злоупотребления наркотическими средствами"</t>
  </si>
  <si>
    <t>67 0 01 01560</t>
  </si>
  <si>
    <t>Основное мероприятие "Мероприятия по профилактике правонарушений"</t>
  </si>
  <si>
    <t>69 0 01 01170</t>
  </si>
  <si>
    <t>01 0 00 00000</t>
  </si>
  <si>
    <t>01 0 02 00000</t>
  </si>
  <si>
    <t>01 0 02 01030</t>
  </si>
  <si>
    <t>01 0 02 01050</t>
  </si>
  <si>
    <t>01 0 02 01790</t>
  </si>
  <si>
    <t>01 0 03 00000</t>
  </si>
  <si>
    <t>69 0 01 00000</t>
  </si>
  <si>
    <t>02 0 02 00000</t>
  </si>
  <si>
    <t>02 0 00 00000</t>
  </si>
  <si>
    <t>02 0 03 00000</t>
  </si>
  <si>
    <t>02 0 03 01200</t>
  </si>
  <si>
    <t>02 0 03 01790</t>
  </si>
  <si>
    <t>Иные непрограммные мероприятия в рамках непрограммной деятельности</t>
  </si>
  <si>
    <t>02 0 02 01320</t>
  </si>
  <si>
    <t>02 0 04 00000</t>
  </si>
  <si>
    <t>02 0 04 01220</t>
  </si>
  <si>
    <t>02 0 04 01790</t>
  </si>
  <si>
    <t>02 0 02 01080</t>
  </si>
  <si>
    <t>02 0 02 01250</t>
  </si>
  <si>
    <t>61 0 01 00000</t>
  </si>
  <si>
    <t>Поддержка социальных магазинов</t>
  </si>
  <si>
    <t>61 0 02 00000</t>
  </si>
  <si>
    <t>61 0 01 73900</t>
  </si>
  <si>
    <t>02 0 02 01120</t>
  </si>
  <si>
    <t>55 0 01 00000</t>
  </si>
  <si>
    <t>Социльные выплаты для приобретения (строительства) жилья</t>
  </si>
  <si>
    <t>Основное мероприятие "Предоставление социальных выплат для приобретения (строительства) жилья"</t>
  </si>
  <si>
    <t>Осуществление государственных полномочий органами местного самоуправления</t>
  </si>
  <si>
    <t>Укрепление гражданского единства, гармонизация межнациональных отношений, профилактика экстремизма</t>
  </si>
  <si>
    <t>58 3 03 01720</t>
  </si>
  <si>
    <t>64 0 02 00000</t>
  </si>
  <si>
    <t>64 0 02 01650</t>
  </si>
  <si>
    <t>Основное мероприятие "Проведение мероприятий по антитеррористической защищенности муниципальных учреждений"</t>
  </si>
  <si>
    <t>Основное мероприятие "Осуществление государственных полномочий"</t>
  </si>
  <si>
    <t>51 1 01 00000</t>
  </si>
  <si>
    <t>51 1 01 01730</t>
  </si>
  <si>
    <t>51 1 02 00000</t>
  </si>
  <si>
    <t>Основное мероприятие "Обеспечение деятельности подведомственных  учреждений культуры"</t>
  </si>
  <si>
    <t>58 1 02 01720</t>
  </si>
  <si>
    <t xml:space="preserve">Расходы на обеспечение деятельности муниципальных служащих </t>
  </si>
  <si>
    <t>61 0 01 S3900</t>
  </si>
  <si>
    <t>61 0 02 01800</t>
  </si>
  <si>
    <t>Основное мероприятие "Осуществление государственных полномочий муниципальными учреждениями"</t>
  </si>
  <si>
    <t>51 1 02 01830</t>
  </si>
  <si>
    <t xml:space="preserve">Основное мероприятие "Комплектование библиотечных фондов" </t>
  </si>
  <si>
    <t>Расходы на обеспечение деятельности  централизованной бухгалтерии</t>
  </si>
  <si>
    <t>51 2 01 00000</t>
  </si>
  <si>
    <t>Основное мероприятие "Обеспечение жильем молодых семей"</t>
  </si>
  <si>
    <t>51 2 01 L4970</t>
  </si>
  <si>
    <t>51 3 01 00000</t>
  </si>
  <si>
    <t>51 3 01 01850</t>
  </si>
  <si>
    <t>51 4 01 00000</t>
  </si>
  <si>
    <t>51 4 01 01860</t>
  </si>
  <si>
    <t>51 4 02 01870</t>
  </si>
  <si>
    <t>51 5 01 01880</t>
  </si>
  <si>
    <t>51 5 01 00000</t>
  </si>
  <si>
    <t>02 0 05 00000</t>
  </si>
  <si>
    <t>02 0 05 01370</t>
  </si>
  <si>
    <t>02 0 05 01790</t>
  </si>
  <si>
    <t>Обеспечение деятельности органов местного самоуправления</t>
  </si>
  <si>
    <t>Местная администрация</t>
  </si>
  <si>
    <t>01 0 03 51200</t>
  </si>
  <si>
    <t>01 0 03 59300</t>
  </si>
  <si>
    <t>01 0 03 74030</t>
  </si>
  <si>
    <t>Содержание муниципального архива в рамках непрограммной деятельности</t>
  </si>
  <si>
    <t>Содержание Единой дежурной диспетчерской службы  в рамках непрограммной деятельности</t>
  </si>
  <si>
    <t>01 0 03 74040</t>
  </si>
  <si>
    <t>01 0 03 74090</t>
  </si>
  <si>
    <t xml:space="preserve">Прочие непрограммные мероприятия </t>
  </si>
  <si>
    <t>Расходы на обеспечение деятельности  Единой дежурной диспетчерской службы</t>
  </si>
  <si>
    <t>Расходы на обеспечение деятельности муниципального архива</t>
  </si>
  <si>
    <t>Содержание  централизованной бухгалтерии в рамках непрограммной деятельности</t>
  </si>
  <si>
    <t>Основное мероприятие "Проведение комплексных кадастровых работ"</t>
  </si>
  <si>
    <t>Прочие мероприятия по управлению имуществом казны муниципального образования</t>
  </si>
  <si>
    <t>Расходы по содержанию пустующих помещений жилищного фонда, производственных помещений</t>
  </si>
  <si>
    <t>Основное мероприятие "Присмотр и уход за детьми -инвалидами, детьми-сиротами и детьми, оставшимися без попечения родителей, а также за детьми с туберкулезной интоксикацией"</t>
  </si>
  <si>
    <t>59 0 01 00000</t>
  </si>
  <si>
    <t>59 0 01 20110</t>
  </si>
  <si>
    <t>64 0 02 20160</t>
  </si>
  <si>
    <t>Основное мероприятие "Обеспечение деятельности подведомственных учреждений"</t>
  </si>
  <si>
    <t>Основное мероприятие "Совершенствование питания учащихся"</t>
  </si>
  <si>
    <t>Основное мероприятие "Питание детей из многодетных семей"</t>
  </si>
  <si>
    <t>Основное мероприятие "Питание детей с ограниченными возможностями здоровья"</t>
  </si>
  <si>
    <t>Основное мероприятие "Развитие учреждений дополнительного образования"</t>
  </si>
  <si>
    <t xml:space="preserve">03 </t>
  </si>
  <si>
    <t>Основное мероприятие "Оздоровление детей и подростков"</t>
  </si>
  <si>
    <t>02 0 02 01190</t>
  </si>
  <si>
    <t>Основное мероприятие "Развитие учреждений спорта"</t>
  </si>
  <si>
    <t>57 1 02 00000</t>
  </si>
  <si>
    <t>Основное мероприятие "Обеспечение гарантий работникам муниципальных учреждений"</t>
  </si>
  <si>
    <t>Основное мероприятие "Обеспечение гарантий работникам муниципальных  учреждений"</t>
  </si>
  <si>
    <t>57 1 02 20030</t>
  </si>
  <si>
    <t>57 1 02 20040</t>
  </si>
  <si>
    <t>Основное мероприятие "Проведение физкультурно-спортивных мероприятий"</t>
  </si>
  <si>
    <t>Проведение  физкультурно-спортивных мероприятий</t>
  </si>
  <si>
    <t>02 0 01 00000</t>
  </si>
  <si>
    <t xml:space="preserve">Содержание казенных учреждений </t>
  </si>
  <si>
    <t>02 0 01 40000</t>
  </si>
  <si>
    <t>02 0 01 01790</t>
  </si>
  <si>
    <t>02 0 02 01100</t>
  </si>
  <si>
    <t>50 0 01 00000</t>
  </si>
  <si>
    <t>50 0 02 00000</t>
  </si>
  <si>
    <t>02 0 02 01240</t>
  </si>
  <si>
    <t>02 0 02 01330</t>
  </si>
  <si>
    <t>02 0 02 01340</t>
  </si>
  <si>
    <t>Основное мероприятие "Ремонт и подготовка жилищного фонда"</t>
  </si>
  <si>
    <t>Ремонт и подготовка жилищного фонда</t>
  </si>
  <si>
    <t>62 0 01 00000</t>
  </si>
  <si>
    <t>62 0 01 01440</t>
  </si>
  <si>
    <t>Основное мероприятие "Подготовка тепловых сетей"</t>
  </si>
  <si>
    <t>62 0 02 00000</t>
  </si>
  <si>
    <t>Основное мероприятие "Подготовка и ремонт котельных"</t>
  </si>
  <si>
    <t>62 0 03 00000</t>
  </si>
  <si>
    <t>62 0 02 01450</t>
  </si>
  <si>
    <t>62 0 03 01460</t>
  </si>
  <si>
    <t>Основное мероприятие "Подготовка и ремонт канализационных сетей"</t>
  </si>
  <si>
    <t>62 0 04 00000</t>
  </si>
  <si>
    <t>62 0 04 01470</t>
  </si>
  <si>
    <t>62 0 07 01500</t>
  </si>
  <si>
    <t>Основное мероприятие "Подготовка и ремонт очистных сооружений"</t>
  </si>
  <si>
    <t>62 0 07 00000</t>
  </si>
  <si>
    <t>02 0 02 01270</t>
  </si>
  <si>
    <t>02 0 06 00000</t>
  </si>
  <si>
    <t>02 0 06 01670</t>
  </si>
  <si>
    <t>02 0 06 01680</t>
  </si>
  <si>
    <t>02 0 06 01700</t>
  </si>
  <si>
    <t>02 0 02 01260</t>
  </si>
  <si>
    <t>02 0 02 01140</t>
  </si>
  <si>
    <t>Представительный орган муниципального образования</t>
  </si>
  <si>
    <t>01 0 01 00000</t>
  </si>
  <si>
    <t>01 0 01 01010</t>
  </si>
  <si>
    <t>01 0 01 01790</t>
  </si>
  <si>
    <t>Расходы на обеспечение деятельности муниципальных служащих</t>
  </si>
  <si>
    <t>01 0 01 01030</t>
  </si>
  <si>
    <t>54 0 02 73260</t>
  </si>
  <si>
    <t>54 0 02 S3260</t>
  </si>
  <si>
    <t>Приобретение технических средств реабилитации</t>
  </si>
  <si>
    <t>Основное мероприятие "Поддержка этнических языков"</t>
  </si>
  <si>
    <t>Мероприятия по поддержке семьи, материнства и детства</t>
  </si>
  <si>
    <t>Основное мероприятие "Поддержка семьи, материнства и детства"</t>
  </si>
  <si>
    <t>Мероприятия по поддержка граждан старшего поколения</t>
  </si>
  <si>
    <t>Основное мероприятие "Мероприятия по безопасности дорожного движения"</t>
  </si>
  <si>
    <t>50 0 01 01300</t>
  </si>
  <si>
    <t>Мероприятия в области дорожного движения</t>
  </si>
  <si>
    <t>50 0 02 01530</t>
  </si>
  <si>
    <t>Основное мероприятие "Формирование и подготовка участников резерва управленческих кадров Магаданской области из числа муниципальных служащих"</t>
  </si>
  <si>
    <t xml:space="preserve">Мероприятия по антитеррористической защищенности муниципальных казенных учреждений </t>
  </si>
  <si>
    <r>
      <t xml:space="preserve">Приобретение и возложение цветов в День </t>
    </r>
    <r>
      <rPr>
        <sz val="12"/>
        <color theme="1"/>
        <rFont val="Times New Roman"/>
        <family val="1"/>
        <charset val="204"/>
      </rPr>
      <t>Победы в Великой Отечественной войне, в День солидарности в борьбе с терроризмом.</t>
    </r>
  </si>
  <si>
    <t>Основное мероприятие "Организация ярмарочной торговли на территории округа"</t>
  </si>
  <si>
    <t>Основное мероприятие "Создание и поддержка  социальных магазинов (отделов) на территории округа"</t>
  </si>
  <si>
    <t>Целевые субсидии на проведение мероприятий по энергосбережению и повышению энергетической эффективности</t>
  </si>
  <si>
    <t>Основное мероприятие  "Мероприятия по энергосбережению и повышению энергоэффективности в муниципальных учреждениях"</t>
  </si>
  <si>
    <t>Основное мероприятие  "Развитие библиотечного дела"</t>
  </si>
  <si>
    <t>02 0 02 01060</t>
  </si>
  <si>
    <t>02 0 02 01760</t>
  </si>
  <si>
    <t>Непрограммные мероприятия за счет средств внебюджетного фонда социально-экономического развития Магаданской области</t>
  </si>
  <si>
    <t>Основное мероприятие "Подготовка и ремонт водозаборов"</t>
  </si>
  <si>
    <t>62 0 05 00000</t>
  </si>
  <si>
    <t>Основное мероприятие "Подготовка и ремонт канализационных насосных станций"</t>
  </si>
  <si>
    <t>62 0 06 00000</t>
  </si>
  <si>
    <t>62 0 05 01480</t>
  </si>
  <si>
    <t>62 0 06 01490</t>
  </si>
  <si>
    <t>66 0 01 00000</t>
  </si>
  <si>
    <t>66 0 01 L5110</t>
  </si>
  <si>
    <t xml:space="preserve">Мероприятия по антитеррористической защищенности муниципальных казенных  учреждений </t>
  </si>
  <si>
    <t>Основное мероприятие "Мероприятия по формированию толерантности и патриотизма"</t>
  </si>
  <si>
    <t>Основное мероприятие "Мероприятия по энерогосбережению и повышению энергоэффективности в муниципальных учреждениях"</t>
  </si>
  <si>
    <t>Основное мероприятие "Мероприятия по энергосбережению и повышению энергоэффективности в муниципальных учреждениях"</t>
  </si>
  <si>
    <t>59 0 01 01900</t>
  </si>
  <si>
    <t>План на 2022 год</t>
  </si>
  <si>
    <t>01 0 03 74020</t>
  </si>
  <si>
    <t>Основное мероприятие "Содействие профессиональной ориентации, трудоустройству и временной занятости молодежи"</t>
  </si>
  <si>
    <t>Проведение творческих профессиональных конкурсов</t>
  </si>
  <si>
    <t>Основное мероприятие "Гражданское становление, патриотическое воспитание, пропаганда здорового образа жизни среди молодежи,  поддержка талантливой молодежи"</t>
  </si>
  <si>
    <t>Мероприятия в области молодежной политики</t>
  </si>
  <si>
    <t>51 1 03 00000</t>
  </si>
  <si>
    <t>Единовременные денежные выплаты молодым специалистам учреждений культуры, спорта, здравоохранения, образования</t>
  </si>
  <si>
    <t xml:space="preserve">Организация трудоустройства несовершеннолетних граждан </t>
  </si>
  <si>
    <t>Поддержка семьи новорожденного ребенка</t>
  </si>
  <si>
    <t>Основное мероприятие "Поддержка молодых специалистов  учреждений социальногй сферы"</t>
  </si>
  <si>
    <t>Основное мероприятие "Поддержка ветеранов труда Омсукчанского района"</t>
  </si>
  <si>
    <t>Ежемесячная выплата неработающим пенсионерам старше 65 лет, имеющим звание «Ветеран труда Омсукчанского района»</t>
  </si>
  <si>
    <t>Предоставление материальной помощи отдельным категориям граждан, оказавшимся в трудной жизненной ситуации</t>
  </si>
  <si>
    <t>Основное мероприятие "Улучшение материально-технической базы родовых общин"</t>
  </si>
  <si>
    <t>Основное мероприятие "Улучшение условий проживания семей коренных малочисленных народов Севера"</t>
  </si>
  <si>
    <t>Укрепление материально-технической базы кружков по изучению и укреплению этнических языков</t>
  </si>
  <si>
    <t>Основное мероприятие "Укрепление гражданского единства, гармонизация межнациональных отношений, профилактика экстремизма"</t>
  </si>
  <si>
    <t>Мероприятия, направленные на гармонизацию межнациональных отнолшений</t>
  </si>
  <si>
    <t>51 1 01 01820</t>
  </si>
  <si>
    <t>51 1 03 01840</t>
  </si>
  <si>
    <t>Строительство (реконструкция) объектов недвижимого имущества государственными (муниципальными) бюджетными и автономными учреждениями</t>
  </si>
  <si>
    <t>Основное мероприятие "Мероприятия по формированию доступной среды"</t>
  </si>
  <si>
    <t>63 0 01 00000</t>
  </si>
  <si>
    <t>63 0 01 01570</t>
  </si>
  <si>
    <t>63 0 01 01590</t>
  </si>
  <si>
    <t>63 0 01 01600</t>
  </si>
  <si>
    <t>63 0 01 01610</t>
  </si>
  <si>
    <t>63 0 01 01630</t>
  </si>
  <si>
    <t>63 0 01 01580</t>
  </si>
  <si>
    <t>52 4 01 00000</t>
  </si>
  <si>
    <t>52 4 01 20130</t>
  </si>
  <si>
    <t>Мероприятия по организации отдыха и оздоровления детей в лагерях дневного пребывания</t>
  </si>
  <si>
    <t>Основное мероприятие "Содержание и ремонт автомобильных дорог общего пользования"</t>
  </si>
  <si>
    <t>53 0 01 00000</t>
  </si>
  <si>
    <t>53 0 01 S3360</t>
  </si>
  <si>
    <t>53 0 01 73360</t>
  </si>
  <si>
    <t>Основное мероприятие "Финансовая поддержка субъектов малого и среднего предпринимательства"</t>
  </si>
  <si>
    <t>Финансовая поддержка субъектов малого и среднего предпринимательства</t>
  </si>
  <si>
    <t>Основное мероприятие "Обустройство дворовой и общественной территории"</t>
  </si>
  <si>
    <t>410</t>
  </si>
  <si>
    <t xml:space="preserve">Модернизация котельной в пос.Дукат дооборудованием вспомогательного объекта </t>
  </si>
  <si>
    <t>02 0 06 01780</t>
  </si>
  <si>
    <t>Осуществление государственных полномочий для организации мероприятий при осуществлении деятельности по обращению с животными без владельцев</t>
  </si>
  <si>
    <t>02 0 02 01750</t>
  </si>
  <si>
    <t xml:space="preserve">01 0 03 51200 </t>
  </si>
  <si>
    <t>63 0 01 01620</t>
  </si>
  <si>
    <t>02 0 02 01110</t>
  </si>
  <si>
    <t>67 0 01 00000</t>
  </si>
  <si>
    <t xml:space="preserve">Управление культуры, соиальной и молодежной политики администрации Омсукчанского городского округа </t>
  </si>
  <si>
    <t>Уплата налогов, сборов  и иных платежей</t>
  </si>
  <si>
    <t>Физическая культура</t>
  </si>
  <si>
    <t>Мероприятия по энергосбережению и повышению  энергетической эффективности в казенных муниципальных учреждениях</t>
  </si>
  <si>
    <t>Мероприятия по энергосбережению и повышению энергетической эффективности в казенных муниципальных учреждениях</t>
  </si>
  <si>
    <t>Целевые субсидии на проведение мероприятий по энергосбережению и повышение энергетической эффективности</t>
  </si>
  <si>
    <t xml:space="preserve">План на 2022 год </t>
  </si>
  <si>
    <t>Расходы на обеспечение деятельности централизованной бухгалтерии</t>
  </si>
  <si>
    <t>Социальная политики</t>
  </si>
  <si>
    <t>Приложение № 8.1.</t>
  </si>
  <si>
    <t>Наружное освещение, иллюминация</t>
  </si>
  <si>
    <t>65 0 F2 00000</t>
  </si>
  <si>
    <t xml:space="preserve">Содержание, благоустройство внутридворовых территорий и дорог </t>
  </si>
  <si>
    <t>Субсидии некоммерческим организациям (за исключение государственных (муниципальных) учреждений, государственных корпораций (компаний), публично-правовых компаний)</t>
  </si>
  <si>
    <t>Рд</t>
  </si>
  <si>
    <t>Вр</t>
  </si>
  <si>
    <t>Цс</t>
  </si>
  <si>
    <t>Предоставление социальных выплат на приобретение жилых помещений гражданам из числа коренных малочисленных народов Севера для улучшения условий проживания</t>
  </si>
  <si>
    <t xml:space="preserve">Организация дополнительного профессионального образования для лиц, замещающих муниципальные должности </t>
  </si>
  <si>
    <t>Мероприятия, направленные на гармонизацию межнациональных отношений</t>
  </si>
  <si>
    <t>1 16 01000 00 0000 140</t>
  </si>
  <si>
    <t>1 16 01063 01 0000 140</t>
  </si>
  <si>
    <t>1 16 01053 01 0000 140</t>
  </si>
  <si>
    <t>1 17 00000 00 0000 000</t>
  </si>
  <si>
    <t>1 17 05000 00 0000 180</t>
  </si>
  <si>
    <t>1 16 01203 01 0000 140</t>
  </si>
  <si>
    <t>Основное мероприятие "Развитие материальной базы для поддержки этнической культуры"</t>
  </si>
  <si>
    <t>Реставрация редких национальных экспонатов-костюмов ,украшений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</si>
  <si>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граждан, налагаемые мировыми судьями, комиссиями по делам несовершеннолетних и защите их прав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</si>
  <si>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</si>
  <si>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</si>
  <si>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</t>
  </si>
  <si>
    <t>1 16 01200 01 0000 140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</si>
  <si>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</t>
  </si>
  <si>
    <t>1 16 01050 01 0000 140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</si>
  <si>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</si>
  <si>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1 16 01060 01 0000 140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</si>
  <si>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</si>
  <si>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1 05 01020 01 0000 110</t>
  </si>
  <si>
    <t>1 05 01010 01 0000 110</t>
  </si>
  <si>
    <t>Налог, взимаемый в связи с применением патентной системы налогообложения</t>
  </si>
  <si>
    <t>Плата за размещение отходов производства и потребления</t>
  </si>
  <si>
    <t>2 02 25497 00 0000 151</t>
  </si>
  <si>
    <t>2 02 25511 00 0000 150</t>
  </si>
  <si>
    <t>2 02 25555 00 0000 150</t>
  </si>
  <si>
    <t>Субсидии бюджетам на поддержку  программ формирования современной городской среды</t>
  </si>
  <si>
    <t xml:space="preserve">Прочие субсидии </t>
  </si>
  <si>
    <t>2 02 29999 00 0000 150</t>
  </si>
  <si>
    <t>Прочие межбюджетные трансферты, передаваемые бюджетам городских округов</t>
  </si>
  <si>
    <t>1 05 04000 02 0000 110</t>
  </si>
  <si>
    <t>Земельный налог с организаций</t>
  </si>
  <si>
    <t>1 06 06030 00 0000 110</t>
  </si>
  <si>
    <t>Земельный налог с физических лиц</t>
  </si>
  <si>
    <t>1 06 06040 00 0000 110</t>
  </si>
  <si>
    <t>Дотации бюджетам  на выравнивание бюджетной обеспеченности</t>
  </si>
  <si>
    <t>2 02 15001 00 0000 150</t>
  </si>
  <si>
    <t>Субсидии бюджетам  на реализацию мероприятий по обеспечению жильем молодых семей</t>
  </si>
  <si>
    <t xml:space="preserve">Поступления доходов в </t>
  </si>
  <si>
    <t>Распределение бюджетных ассигнований</t>
  </si>
  <si>
    <t xml:space="preserve"> по разделам и подразделам классификации </t>
  </si>
  <si>
    <t xml:space="preserve"> по разделам и подразделам классификации</t>
  </si>
  <si>
    <t>Резервные средства</t>
  </si>
  <si>
    <t>02 0 02 99999</t>
  </si>
  <si>
    <t>870</t>
  </si>
  <si>
    <t>Дотации бюджетам городских округов на выравнивание бюджетной обеспеченности из бюджета субъекта Российской Федерации</t>
  </si>
  <si>
    <t>70 0 00 00000</t>
  </si>
  <si>
    <t>Основное мероприятие "Проведение ремонта водозабора в п.Дукат"</t>
  </si>
  <si>
    <t>70 0 02 00000</t>
  </si>
  <si>
    <t>70 0 02 01270</t>
  </si>
  <si>
    <t>Мероприятия в области коммунального хазяйства</t>
  </si>
  <si>
    <t>02 0 02 01070</t>
  </si>
  <si>
    <t>Проведение выборов</t>
  </si>
  <si>
    <t>Мероприятия по реставрации редких национальных экспонатов-костюмов,украшений</t>
  </si>
  <si>
    <t>2 02 25519 04 0000 150</t>
  </si>
  <si>
    <t>Субсидия бюджетам городских округов на поддержку отрасли культуры</t>
  </si>
  <si>
    <t>2 02 25519 00 0000 150</t>
  </si>
  <si>
    <t>Субсидия бюджетам  на поддержку отрасли культуры</t>
  </si>
  <si>
    <t xml:space="preserve">Субсидии бюджетам городских округов на укрепление материально-технической базы муниципальных предприятий, муниципальных сельскохозяйственных предприятий, крестьянско-фермерских хозяйств, территориально соседских общин, родовых общин коренных малочисленных народов Севера, занятых традиционным природопользованием в рамках государственной программы Магаданской области «Социально-экономическое и культурное развитие коренных малочисленных народов Севера, проживающих на территории Магаданской области»  </t>
  </si>
  <si>
    <t>2 02 25169 04 0000 150</t>
  </si>
  <si>
    <t>2 02 25169 00 0000 150</t>
  </si>
  <si>
    <t>Субсидии бюджетам городских округов на обновление материально-технической базы для формирования у обучающихся современных технологических и гуманитарных навыков</t>
  </si>
  <si>
    <t>Субсидии бюджетам  на обновление материально-технической базы для формирования у обучающихся современных технологических и гуманитарных навыков</t>
  </si>
  <si>
    <t>2 02 25467 00 0000 150</t>
  </si>
  <si>
    <t>2 02 25467 04 0000 150</t>
  </si>
  <si>
    <t>Субсидии бюджетам городских округов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</si>
  <si>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</si>
  <si>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 xml:space="preserve">Субсидии бюджетам городских округов на расселение неблагоприятных для проживания населенных пунктов Магаданской области, на территории которых отсутствуют общеобразовательные учреждения государственной программы Магаданской области «Обеспечение качественными жилищно-коммунальными услугами и комфортными условиями проживания населения Магаданской области» </t>
  </si>
  <si>
    <t>2 02 35120 00 0000 150</t>
  </si>
  <si>
    <t>2 02 35120 04 0000 150</t>
  </si>
  <si>
    <t>Субвенции бюджетам городских округов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</si>
  <si>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Основное мероприятие "Присмотр и уход за детьми, обучающимися в образовательных организациях, реализующих образоваительные программы дошкольного образования, родители которых относятся к коренным малочисленным народам Севера"</t>
  </si>
  <si>
    <t>Развитие и укрепление материально-технической базы домов культуры в населенных пунктах с числом жителей до 50 тысяч человек</t>
  </si>
  <si>
    <t>01 0 03 74180</t>
  </si>
  <si>
    <t>Осуществление государственных полномочий Российской Федерации по предоставлению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</si>
  <si>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01 0 03 74100</t>
  </si>
  <si>
    <t>Осуществление государтсвенных полномочий по обеспечению отдельных категорий граждан жилыми помещениями</t>
  </si>
  <si>
    <t>Основное мероприятие "Формирование  у обучающихся современных технологических и гуманитарных навыков"</t>
  </si>
  <si>
    <t>01 0 03 54690</t>
  </si>
  <si>
    <t>Осуществление государственных полномочий Российской Федерации по подготовке и проведению Всероссийской переписи населения</t>
  </si>
  <si>
    <t>55 0 01 61070</t>
  </si>
  <si>
    <t>Расходы на расселение неблагоприятных для проживания населенных пунктов Магаанской области, на территории которых отсутствуют общеобразовательные учреждения</t>
  </si>
  <si>
    <t>Муниципальная программа "Проведение комплексных кадастровых работ на территории муниципального образования "Омсукчанский городской округ" на 2021-2025 годы</t>
  </si>
  <si>
    <t>Муниципальная программа "Развитие муниципальной службы Омсукчанского городского округа на 2021-2030 годы"</t>
  </si>
  <si>
    <t>Основное мероприятие "Государственная поддержка отрасли культуры"</t>
  </si>
  <si>
    <t>Обновление материально- технической базы для формирования  у обучающихся современных технологических и гуманитарных навыков</t>
  </si>
  <si>
    <t xml:space="preserve">Возмещение расходов по присмотру и уходу за детьми, обучающимися в образовательных организациях, реализующих образоваительные программы дошкольного образования, родители которых относятся к коренным малочисленным народам Севера </t>
  </si>
  <si>
    <t>Организации отдыха и оздоровление детей в лагерях дневного пребывания</t>
  </si>
  <si>
    <t>Осуществление отдельных государственных полномочий на финансовое обеспечение реализации прав граждан на получение общедоступного и бесплатного дошкольного образования в муниципальных дошкольных образовательных организациях</t>
  </si>
  <si>
    <t>Осуществление отдельных государственных полномочий по финансовому обеспечению муниципальных общеобразовательных организаций в части реализации ими государственного стандарта общего образования</t>
  </si>
  <si>
    <t xml:space="preserve">Целевые субсидии на присмотр и уход за детьми, обучающимися в образовательных организациях, реализующих образоваительные программы дошкольного образования, родители которых относятся к коренным малочисленным народам Севера </t>
  </si>
  <si>
    <t>Государственная поддержка отрасли культуры</t>
  </si>
  <si>
    <t>Расходы на расселение неблагоприятных для проживания населенных пунктов Магаданской области, на территории которых отсутствуют общеобразовательные учреждения</t>
  </si>
  <si>
    <t>55 0 01 S1070</t>
  </si>
  <si>
    <t>Субсидии бюджетам городских округов на государственную поддержку отрасли культуры в рамках подпрограммы "Государственная поддержка развития культуры Магаданской области" государственной программы Магаданской области "Развитие культуры и туризма Магаданской области" на плановый период 2021 и 2022 годов</t>
  </si>
  <si>
    <t>Социальные выплаты для приобретения (строительства) жилья</t>
  </si>
  <si>
    <t>Исполнене судебных актов</t>
  </si>
  <si>
    <t>Основное мероприятие " Поддержка спортивных организаций, осуществляющих подготовку спортивного резерва сборных команд Российской Федерации"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</si>
  <si>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</si>
  <si>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</si>
  <si>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330</t>
  </si>
  <si>
    <t>Публичные нормативные выплаты гражданам несоциального характера</t>
  </si>
  <si>
    <t xml:space="preserve">Муниципальная программа "Проведение социальной и молодежной политики в Омсукчанском муниципальном  округе" </t>
  </si>
  <si>
    <t>51 4 01 S3240</t>
  </si>
  <si>
    <t>51 3 02 00000</t>
  </si>
  <si>
    <t>51 3 02 S3290</t>
  </si>
  <si>
    <t>51 3 04 00000</t>
  </si>
  <si>
    <t>51 3 04 01920</t>
  </si>
  <si>
    <t>58 0 01 00000</t>
  </si>
  <si>
    <t>58 0 01 40000</t>
  </si>
  <si>
    <t>58 0 02 00000</t>
  </si>
  <si>
    <t>58 0 02 01710</t>
  </si>
  <si>
    <t>58 0 02 01720</t>
  </si>
  <si>
    <t>58 0 03 00000</t>
  </si>
  <si>
    <t>58 0 03 01790</t>
  </si>
  <si>
    <t>58 0 04 00000</t>
  </si>
  <si>
    <t>58 0 04 74060</t>
  </si>
  <si>
    <t>58 0 04 74070</t>
  </si>
  <si>
    <t>58 0 A1 00000</t>
  </si>
  <si>
    <t>58 0 A1 55190</t>
  </si>
  <si>
    <t>58 0 05 00000</t>
  </si>
  <si>
    <t>58 0 05 01740</t>
  </si>
  <si>
    <t>58 0 06 00000</t>
  </si>
  <si>
    <t>58 0 06 S3160</t>
  </si>
  <si>
    <t>Основное мероприятие "Создание модельных библиотек" в рамках Федеральной программы "Культура"</t>
  </si>
  <si>
    <t xml:space="preserve">Муниципальная программа "Энергосбережение и повышение энергетической эффективности в Омсукчанском муиципальном  округе" </t>
  </si>
  <si>
    <t>51 5 03 00000</t>
  </si>
  <si>
    <t>51 5 03 01890</t>
  </si>
  <si>
    <t>51 5 03 01850</t>
  </si>
  <si>
    <t>51 5 01 01860</t>
  </si>
  <si>
    <t>Мероприятия по поддержка отдельных категорий граждан</t>
  </si>
  <si>
    <t>51 5 02 00000</t>
  </si>
  <si>
    <t>51 5 02 01870</t>
  </si>
  <si>
    <t>Основное мероприятие  "Поддержка отдельных категорий граждан"</t>
  </si>
  <si>
    <t xml:space="preserve">Субсидии муниципальным учреждениям дошкольного образования на выполнение муниципального задания </t>
  </si>
  <si>
    <t>52 0 01 00000</t>
  </si>
  <si>
    <t>52 0 01 11000</t>
  </si>
  <si>
    <t>52 0 02 00000</t>
  </si>
  <si>
    <t>52 0 02 74060</t>
  </si>
  <si>
    <t>52 0 02 74070</t>
  </si>
  <si>
    <t>52 0 02 74120</t>
  </si>
  <si>
    <t xml:space="preserve">Субсидии муниципальным учреждениям общего образования на выполнение муниципального задания </t>
  </si>
  <si>
    <t>52 0 03 00000</t>
  </si>
  <si>
    <t>52 0 03 20050</t>
  </si>
  <si>
    <t>52 0 04 00000</t>
  </si>
  <si>
    <t>52 0 05 00000</t>
  </si>
  <si>
    <t>52 0 05 20140</t>
  </si>
  <si>
    <t>52 0 05 20150</t>
  </si>
  <si>
    <t>52 0 06 00000</t>
  </si>
  <si>
    <t>52 0 06 S3С20</t>
  </si>
  <si>
    <t>52 0 06 73С20</t>
  </si>
  <si>
    <t>52 0 10 00000</t>
  </si>
  <si>
    <t>52 0 10 S3420</t>
  </si>
  <si>
    <t>52 0 10 73420</t>
  </si>
  <si>
    <t>52 0 01 12000</t>
  </si>
  <si>
    <t>52 0 02 74050</t>
  </si>
  <si>
    <t>52 0 02 74130</t>
  </si>
  <si>
    <t>Основное мероприятие "Развитие образовательных  учреждений"</t>
  </si>
  <si>
    <t>52 0 03 20060</t>
  </si>
  <si>
    <t>52 0 07 00000</t>
  </si>
  <si>
    <t>52 0 07 S3440</t>
  </si>
  <si>
    <t>52 0 08 00000</t>
  </si>
  <si>
    <t>52 0 08 S3950</t>
  </si>
  <si>
    <t>52 0 05 20070</t>
  </si>
  <si>
    <t>52 0 09 00000</t>
  </si>
  <si>
    <t>52 0 01 13000</t>
  </si>
  <si>
    <t>52 0 04 S3210</t>
  </si>
  <si>
    <t>52 0 04 73210</t>
  </si>
  <si>
    <t>57 0 01 00000</t>
  </si>
  <si>
    <t>57 0 01 14000</t>
  </si>
  <si>
    <t>57 0 02 00000</t>
  </si>
  <si>
    <t>57 0 02 20060</t>
  </si>
  <si>
    <t>57 0 03 00000</t>
  </si>
  <si>
    <t>57 0 03 20140</t>
  </si>
  <si>
    <t>57 0 04 00000</t>
  </si>
  <si>
    <t>57 0 P5 00000</t>
  </si>
  <si>
    <t>57 0 05 00000</t>
  </si>
  <si>
    <t>57 0 05 01910</t>
  </si>
  <si>
    <t>60 0 01 00000</t>
  </si>
  <si>
    <t>60 0 02 00000</t>
  </si>
  <si>
    <t>60 0 02 01410</t>
  </si>
  <si>
    <t>60 0 02 01420</t>
  </si>
  <si>
    <t>60 0 02 01430</t>
  </si>
  <si>
    <t>60 0 02 01770</t>
  </si>
  <si>
    <t xml:space="preserve">Благоустройство мест  размещения твердых коммунальных  отходов </t>
  </si>
  <si>
    <t>гор.среда</t>
  </si>
  <si>
    <t>кадастр</t>
  </si>
  <si>
    <t>поддержка культуры</t>
  </si>
  <si>
    <t>жилье мол.семье</t>
  </si>
  <si>
    <t>Субсидии на создание модельных библиотек</t>
  </si>
  <si>
    <t>05 00</t>
  </si>
  <si>
    <t>01 13</t>
  </si>
  <si>
    <t>08 01</t>
  </si>
  <si>
    <t>10 03</t>
  </si>
  <si>
    <t>Ведомственная  структура расходов бюджета Омсукчанского городского округа на плановый период 2022-2023 годов</t>
  </si>
  <si>
    <t>План на 2023 год</t>
  </si>
  <si>
    <t>58 0 04 74110</t>
  </si>
  <si>
    <t>Основное мероприятие "Развитие образовательных учреждений"</t>
  </si>
  <si>
    <t xml:space="preserve">Субсидии муниципальным учреждениям спорта на выполнение муниципального задания </t>
  </si>
  <si>
    <t>проставить</t>
  </si>
  <si>
    <t>60 0 03 74190</t>
  </si>
  <si>
    <t>60 0 03 00000</t>
  </si>
  <si>
    <t>51 4 01 73240</t>
  </si>
  <si>
    <t>60 0 02 01400</t>
  </si>
  <si>
    <t>Основное мероприятие "Обеспечение деятельности подведомственных  учреждений"</t>
  </si>
  <si>
    <t>Основное мероприятие "Обспечение деятельности подведомственных учреждений"</t>
  </si>
  <si>
    <t>Основное мероприятие "Развитие подведомственных учреждений"</t>
  </si>
  <si>
    <t>Основное мероприятие "Развитие  подведомственных учреждений"</t>
  </si>
  <si>
    <t>Основное мероприятие "Развитие подведомственных  учреждений"</t>
  </si>
  <si>
    <t>Основное мероприятие "Развитие  образовательных учреждений"</t>
  </si>
  <si>
    <t>57 0 03 20070</t>
  </si>
  <si>
    <t>Распределение бюджетных ассигнований по разделам и подразделам, муниципальным программам и непрограммным направлениям деятельности, группам и подгруппам видов расходов классификации расходов бюджетов Российской Федерации на плановый период 2022-2023 годов</t>
  </si>
  <si>
    <t xml:space="preserve">План на 2023 год </t>
  </si>
  <si>
    <t xml:space="preserve">Приобретение и использование справочно-правовых систем, автоматизация кадровых процедур,  материально-техническое оснащение </t>
  </si>
  <si>
    <t>51 3 03 00000</t>
  </si>
  <si>
    <t>51 3 03 S3470</t>
  </si>
  <si>
    <t>58 0 А1 00000</t>
  </si>
  <si>
    <t>58 0 01 01790</t>
  </si>
  <si>
    <t>на плановый период 2022-2023 годов</t>
  </si>
  <si>
    <t xml:space="preserve"> расходов бюджетов Российской Федерации на  плановый период 2022-2023 годов</t>
  </si>
  <si>
    <t>Управление культуры, социальной и молодежной политики  администрации Омсукчанского муниципального  округа</t>
  </si>
  <si>
    <t>51 3 01 S3310</t>
  </si>
  <si>
    <t>52 0 03 20010</t>
  </si>
  <si>
    <t>52 0 03 20030</t>
  </si>
  <si>
    <t>52 0 03 20040</t>
  </si>
  <si>
    <t>52 0 E1 00000</t>
  </si>
  <si>
    <t>52 0 E1 51690</t>
  </si>
  <si>
    <t>Администрация Омсукчанского муниципального  округа</t>
  </si>
  <si>
    <t>57 0 02 20030</t>
  </si>
  <si>
    <t>57 0 02 20040</t>
  </si>
  <si>
    <t>57 0 P5 50810</t>
  </si>
  <si>
    <t>Основное мероприятие "Развитие подвдомственных учреждений"</t>
  </si>
  <si>
    <t>60 0 03 74170</t>
  </si>
  <si>
    <t xml:space="preserve"> Распределение бюджетных ассигнований, направляемых на реализацию муниципальных программ   Омсукчанского городского округа  на  плановый период 2022-2023 годов</t>
  </si>
  <si>
    <t>52 0 03 20130</t>
  </si>
  <si>
    <t>01 0 02 01010</t>
  </si>
  <si>
    <t>Основное мероприятие "Поддержка спортивных организаций, осуществляющих подготовку спортивного резерва сборных команд Российской Федерации"</t>
  </si>
  <si>
    <t xml:space="preserve">Основное мероприятие "Создание модельных библиотек" </t>
  </si>
  <si>
    <t>мод.библ</t>
  </si>
  <si>
    <t>бюджета Омсукчанского городского округа  на 2022-2023 годы</t>
  </si>
  <si>
    <t>Осуществление государственных полномочий по обеспечению отдельных категорий граждан жилыми помещениями</t>
  </si>
  <si>
    <t xml:space="preserve">Муниципальная программа "Развитие малого и среднего предпринимательства в Омсукчанском городском округе" </t>
  </si>
  <si>
    <t>бюджет Омсукчанского городского округа</t>
  </si>
  <si>
    <t>Муниципальная программа "Развитие муниципальной службы в Омсукчанском городском округе"</t>
  </si>
  <si>
    <t>Основное мероприятие "Информационное и материально-техническое обеспечение деятельности органов местного самоуправления Омсукчанского городского округа"</t>
  </si>
  <si>
    <t>Основное мероприятие "Организация дополнительного профессионального образования, повышения квалификации  в органах местного самоуправления Омсукчанского городского округа"</t>
  </si>
  <si>
    <t>Муниципальная программа "Профилактика экстремизма и терроризма на территории Омсукчанского городского округа"</t>
  </si>
  <si>
    <t xml:space="preserve">Муниципальная программа "Комплексные меры противодействия злоупотреблению наркотическими средствами и их незаконному обороту на территории Омсукчанского городского  округа" </t>
  </si>
  <si>
    <t xml:space="preserve">Муниципальная программа "Профилактика правонарушений и обеспечение общественной безопасности на территории Омсукчанского городского округа" </t>
  </si>
  <si>
    <t xml:space="preserve">Муниципальная программа "Развитие торговли на территории Омсукчанского городского округа" </t>
  </si>
  <si>
    <t>Защита населения и территории от чрезвычайных ситуаций природного и техногенного характера, пожарная безопасность</t>
  </si>
  <si>
    <t>Муниципальная программа "Содействие расселению граждан, проживающих в неперспективных населенных пунктах Омсукчанского городского округа"</t>
  </si>
  <si>
    <t xml:space="preserve">Муниципальная программа "Проведение социальной и молодежной политики в Омсукчанском городском  округе" </t>
  </si>
  <si>
    <t xml:space="preserve">Подпрограмма "Содействие развитию институтов гражданского общества, укреплению единства российской нации и гармонизации межнациональных отношений на территории Омсукчанского городского округа" </t>
  </si>
  <si>
    <t xml:space="preserve">Муниципальная программа "Формирование доступной среды в Омсукчанском городском округе" </t>
  </si>
  <si>
    <t>Муниципальная программа "Профилактика экстеремизма и терроризма на территории Омсукчанского городского  округа"</t>
  </si>
  <si>
    <t>Муниципальная программа "Развитие культуры в Омсукчанском городском округе"</t>
  </si>
  <si>
    <t>Муниципальная программа "Профилактика экстеремизма и терроризма на территории Омсукчанского городского округа"</t>
  </si>
  <si>
    <t xml:space="preserve">Подпрограмма  "Улучшение демографической ситуации в Омсукчанском городском  округе" </t>
  </si>
  <si>
    <t xml:space="preserve">Муниципальная программа "Проведение комплексных кадастровых работ на территории муниципального образования "Омсукчанский городской округ" </t>
  </si>
  <si>
    <t xml:space="preserve">Муниципальная программа "Формирование доступной среды в Омсукчанском городском  округе" </t>
  </si>
  <si>
    <t>Муниципальная программа "Развитие  образования в Омсукчанском городском округе"</t>
  </si>
  <si>
    <t xml:space="preserve">Муниципальная программа "Энергосбережение и повышение энергетической эффективности в Омсукчанском городском округе" </t>
  </si>
  <si>
    <t>Муниципальная программа "Развитие образования в Омсукчанском городском округе"</t>
  </si>
  <si>
    <t>Муниципальная программа "Формирование доступной среды в Омсукчанском городском округе"</t>
  </si>
  <si>
    <t>Муниципальная программа "Развитие физической культуры и спорта в Омсукчанском городском  округе"</t>
  </si>
  <si>
    <t>Муниципальная программа "Развитие транспортной инфраструктуры  Омсукчанского городского округа"</t>
  </si>
  <si>
    <t>Муниципальная программа "Благоустройство территории Омсукчанского городского округа"</t>
  </si>
  <si>
    <t>Расходы на обеспечение деятельности председателя представительного органа муниципального образования</t>
  </si>
  <si>
    <t>Муниципальная программа "Развитие муниципальной службы в Омсукчанском городском  округе"</t>
  </si>
  <si>
    <t xml:space="preserve">Муниципальная программа "Комплексные меры противодействия злоупотреблению наркотическими средствами и их незаконному обороту на территории Омсукчанского городского округа" </t>
  </si>
  <si>
    <t xml:space="preserve">Муниципальная программа "Проведение социальной  и молодежной политики в Омсукчанском городском  округе" </t>
  </si>
  <si>
    <t>Муниципальная программа "Развитие культуры в Омсукчанском городском  округе"</t>
  </si>
  <si>
    <t>Управление спорта и туризма администрации Омсукчанского городского  округа</t>
  </si>
  <si>
    <t>Муниципальная программа "Развитие физической культуры и спорта в Омсукчанском городском округе"</t>
  </si>
  <si>
    <t xml:space="preserve">Муниципальная программа "Развитие транспортной инфраструктуры  Омсукчанского городского округа" </t>
  </si>
  <si>
    <t>Собрание представителей Омсукчанского городского  округа</t>
  </si>
  <si>
    <t xml:space="preserve">Муниципальная программа "Проведение социальной и молодежной политики в Омсукчанском городском округе" </t>
  </si>
  <si>
    <t>Муниципальная программа "Комплексные меры противодействия злоупотреблению наркотическими средствами и их незаконному обороту на территории Омсукчанского городского  округа"</t>
  </si>
  <si>
    <t xml:space="preserve">Муниципальная программа "Профилактика правонарушений и обеспечение общественной безопасности на территории Омсукчанского городского  округа" </t>
  </si>
  <si>
    <t>Муниципальная программа "Развитие торговли на территории Омсукчанского городского округа"</t>
  </si>
  <si>
    <t>Муниципальная программа "Энергосбережение и повышение энергетической эффективности в Омсукчанском городском округе"</t>
  </si>
  <si>
    <t>Муниципальная программа "Развитие  образования в Омсукчанском городском  округе"</t>
  </si>
  <si>
    <t xml:space="preserve">Муниципальная программа "Проведение социальной и молодежной  политики в Омсукчанском городском округе" </t>
  </si>
  <si>
    <t>Подпрограмма "Содействие развитию институтов гражданского общества, укреплению единства российской нации и гармонизации межнациональных отношений на территории Омсукчанского городского округа"</t>
  </si>
  <si>
    <t>Муниципальная программа "Проведение комплексных кадастровых работ на территории муниципального образования "Омсукчанский городской округ"</t>
  </si>
  <si>
    <t xml:space="preserve">Муниципальная программа "Развитие торговли на территории Омсукчанского городского  округа" </t>
  </si>
  <si>
    <t xml:space="preserve">Муниципальная программа "Проведение социальной и молодежнй политики в Омсукчанском городском округе" </t>
  </si>
  <si>
    <t xml:space="preserve">Подпрограмма  "Обеспечение жильем молодых семей в Омсукчанском городском  округе" </t>
  </si>
  <si>
    <t>Муниципальная программа "Развитие малого и среднего предпринимательства в Омсукчанском городском  округе"</t>
  </si>
  <si>
    <t>Комитет по управлению муниципальным имуществом администрации Омсукчанского  городского округа</t>
  </si>
  <si>
    <t xml:space="preserve">Межбюджетные трансферты бюджетам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
</t>
  </si>
  <si>
    <t xml:space="preserve">Межбюджетные трансферты бюджетам городских округов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
</t>
  </si>
  <si>
    <t xml:space="preserve">
2 02 45303 00 0000 150
</t>
  </si>
  <si>
    <t>2 02 45303 04 0000150</t>
  </si>
  <si>
    <t>52 0 02 74010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</si>
  <si>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</si>
  <si>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</si>
  <si>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52 0 02 53030</t>
  </si>
  <si>
    <t xml:space="preserve">Муниципальная программа "Развитие транспортной инфраструктуры Омсукчанского городского округа" </t>
  </si>
  <si>
    <t>Муниципальная программа "Проведение социальной и молодежной политики в Омсукчанском городском округе"</t>
  </si>
  <si>
    <t xml:space="preserve">Подпрограмма "Обеспечение жильем молодых семей в Омсукчанском городском округе" </t>
  </si>
  <si>
    <t xml:space="preserve">Подпрограмма "Комплексные меры по поддержке малочисленных народов Севера, проживающих на территории Омсукчанского городского округа" </t>
  </si>
  <si>
    <t>Реставрация редких национальных экспонатов-костюмов, украшений</t>
  </si>
  <si>
    <t>Основное мероприятие "Поддержка отдельных категорий граждан"</t>
  </si>
  <si>
    <t>Резервный фонд</t>
  </si>
  <si>
    <t>01 0 01 01020</t>
  </si>
  <si>
    <t>57 0 04 74010</t>
  </si>
  <si>
    <t>58 0 04 74010</t>
  </si>
  <si>
    <t>52 0 11 00000</t>
  </si>
  <si>
    <t>Основное мероприятие "Организация бесплатного горячего питания обучающихся"</t>
  </si>
  <si>
    <t>Основное мероприятие "Поддержка молодых специалистов  учреждений социальной сферы"</t>
  </si>
  <si>
    <t>Резервные фонды</t>
  </si>
  <si>
    <t>07 02</t>
  </si>
  <si>
    <t>гор.питание</t>
  </si>
  <si>
    <t>Основное мероприятие "Присмотр и уход за детьми, обучающимися в образовательных организациях, реализующих образовательные программы дошкольного образования, родители которых относятся к коренным малочисленным народам Севера"</t>
  </si>
  <si>
    <t>Условно-утверждаемые расходы</t>
  </si>
  <si>
    <t>Условно утвержденные расходы</t>
  </si>
  <si>
    <t>условные расходы</t>
  </si>
  <si>
    <t>52 0 12 00000</t>
  </si>
  <si>
    <t>Целевые субсидии на приобретение школьного автобуса</t>
  </si>
  <si>
    <t>было</t>
  </si>
  <si>
    <t>52 0 12 S3150</t>
  </si>
  <si>
    <t>60 0 02 01390</t>
  </si>
  <si>
    <t>60 0 01 L5760</t>
  </si>
  <si>
    <t xml:space="preserve">Субсидии бюджетам городских округов, предоставляемых в рамках реализации государственной программы Магаданской области «Развитие системы государственного и муниципального управления и профилактика коррупции в Магаданской области» </t>
  </si>
  <si>
    <t xml:space="preserve">Субсидии бюджетам городских округов, предоставляемых в рамках реализации подпрограммы   "Формирование и подготовка резерва управленческих кадров Магаданской области "  государственной  программы   Магаданской области "Развитие системы государственного и муниципального управления  и профилактика коррупции в Магаданской области " </t>
  </si>
  <si>
    <t>Субсидии бюджетам городских округов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</si>
  <si>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городских округов на расселение неблагоприятных для проживания населенных пунктов Магаданской области, на территории которых отсутствуют общеобразовательные учреждения</t>
  </si>
  <si>
    <t xml:space="preserve">Питание детей-инвалидов, детей с ограниченными возможностями здоровья </t>
  </si>
  <si>
    <t>52 0 09 S3443</t>
  </si>
  <si>
    <t>52 0 09 73443</t>
  </si>
  <si>
    <t>05 03</t>
  </si>
  <si>
    <t>Основное мероприятие "Приобретение школьного автобуса"</t>
  </si>
  <si>
    <t>60 0 02 01280</t>
  </si>
  <si>
    <t>Основное мероприятие "Мероприятия, направленные на комплексное развитие сельских территорий"</t>
  </si>
  <si>
    <t>Обеспечение комплексного развития сельских территорий</t>
  </si>
  <si>
    <t>Мероприятия по организации сбора, вывоза несанкционированных свалок</t>
  </si>
  <si>
    <t>Основное мероприятие "Прочие мероприятия по благоустройству территории поселениц"</t>
  </si>
  <si>
    <t xml:space="preserve">Муниципальная программа "Энергосбережение и повышение энергетической эффективности в Омсукчанском городском  округе" </t>
  </si>
  <si>
    <t>1 12 01040 01 0000 120</t>
  </si>
  <si>
    <t>оценка МФ</t>
  </si>
  <si>
    <t>Субсидии бюджетам городских округов на обеспечение комплексного развития сельских территорий</t>
  </si>
  <si>
    <t>Субсидии бюджетам на обеспечение комплексного развития сельских территорий</t>
  </si>
  <si>
    <t>2 02 25576 00 0000 150</t>
  </si>
  <si>
    <t>2 02 25576 04 0000 150</t>
  </si>
  <si>
    <t xml:space="preserve">2 02 25304 00 0000 150
</t>
  </si>
  <si>
    <t>Субсидии бюджетам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</si>
  <si>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2 02 25304 04 0000 150</t>
  </si>
  <si>
    <t xml:space="preserve">Субвенции бюджетам городских округов на осуществление государственных полномочий Магаданской области по организации мероприятий при осуществлении деятельности по обращению с животными без владельцев </t>
  </si>
  <si>
    <t>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</t>
  </si>
  <si>
    <t>в рамках подпрограммы «Оказание государственных услуг в сфере культуры и отраслевого образования Магаданской области» государственной программы Магаданской области «Развитие культуры и туризма Магаданской области»</t>
  </si>
  <si>
    <t>в рамках подпрограммы «Управление развитием отрасли физической культуры и спорта» государственной программы Магаданской области «Развитие физической культуры и спорта в Магаданской области»</t>
  </si>
  <si>
    <t>Распределения ассигнований, направляемых на исполнение публичных нормативных обязательств на плановый период 2022-2023 годов</t>
  </si>
  <si>
    <t xml:space="preserve">52 0 11 L3040 </t>
  </si>
  <si>
    <t>Основное мероприятие "Прочие мероприятия по благоустройству территории поселений"</t>
  </si>
  <si>
    <t>2 02 15002 00 0000 150</t>
  </si>
  <si>
    <t>Дотации бюджетам  на поддержку мер по обеспечению сбалансированности бюджетов</t>
  </si>
  <si>
    <t>2 02 15002 04 0000 150</t>
  </si>
  <si>
    <t>Дотации бюджетам городских округов на поддержку мер по обеспечению сбалансированности бюджетов</t>
  </si>
  <si>
    <t xml:space="preserve">2 02 25081 00 0000 150
</t>
  </si>
  <si>
    <t xml:space="preserve">Субсидии бюджетам на государственную поддержку спортивных организаций, осуществляющих подготовку спортивного резерва для сборных команд Российской Федерации
</t>
  </si>
  <si>
    <t xml:space="preserve">2 02 25081 04 0000 150
</t>
  </si>
  <si>
    <t xml:space="preserve">Субсидии бюджетам городских округов на государственную поддержку спортивных организаций, осуществляющих подготовку спортивного резерва для сборных команд Российской Федерации
</t>
  </si>
  <si>
    <t xml:space="preserve">Субсидии бюджетам на создание в общеобразовательных организациях, расположенных в сельской местности и малых городах, условий для занятий физической культурой и спортом
</t>
  </si>
  <si>
    <t xml:space="preserve">2 02 25097 00 0000 150
</t>
  </si>
  <si>
    <t xml:space="preserve">2 02 25097 04 0000 150
</t>
  </si>
  <si>
    <t xml:space="preserve">Субсидии бюджетам городских округов на создание в общеобразовательных организациях, расположенных в сельской местности и малых городах, условий для занятий физической культурой и спортом
</t>
  </si>
  <si>
    <t>Основное мероприятие "Создание условий для занятий физической культурой и спортом"</t>
  </si>
  <si>
    <t>52 0 E2 00000</t>
  </si>
  <si>
    <t>52 0 E2 50970</t>
  </si>
  <si>
    <t xml:space="preserve">2 02 25210 00 0000 150
</t>
  </si>
  <si>
    <t xml:space="preserve">2 02 25210 04 0000 150
</t>
  </si>
  <si>
    <t>Субсидии бюджетам на внедрение целевой модели цифровой образовательной среды в общеобразовательных организациях и профессиональных образовательных организациях</t>
  </si>
  <si>
    <t>Субсидии бюджетам городских округов на внедрение целевой модели цифровой образовательной среды в общеобразовательных организациях и профессиональных образовательных организациях</t>
  </si>
  <si>
    <t>52 0 E4 00000</t>
  </si>
  <si>
    <t>52 0 E4 52100</t>
  </si>
  <si>
    <t>Основное мероприятие "Цифровая образовательная среда"</t>
  </si>
  <si>
    <t>2 02 35469 00 0000 150</t>
  </si>
  <si>
    <t>Субвенции бюджетам на проведение Всероссийской переписи населения 2020 года</t>
  </si>
  <si>
    <t>2 02 35469 04 0000 150</t>
  </si>
  <si>
    <t>Субвенции бюджетам городских округов на проведение Всероссийской переписи населения 2020 года</t>
  </si>
  <si>
    <t>ремонт спортзала</t>
  </si>
  <si>
    <t>МТБ в школах</t>
  </si>
  <si>
    <t>поддержка спорта</t>
  </si>
  <si>
    <t>11 01</t>
  </si>
  <si>
    <t>58 0 01 S3У10</t>
  </si>
  <si>
    <t>обл/б+фед</t>
  </si>
  <si>
    <t>Цифровая среда</t>
  </si>
  <si>
    <t>Обеспечение гарантированного комплектования фондов муниципальных библиотек</t>
  </si>
  <si>
    <t>библиотеч.дело</t>
  </si>
  <si>
    <t>организация отдыха детей</t>
  </si>
  <si>
    <t>07 07</t>
  </si>
  <si>
    <t>совершенств.питания</t>
  </si>
  <si>
    <t>приобр.автобуса</t>
  </si>
  <si>
    <t>питание многодет.</t>
  </si>
  <si>
    <t>уход за детьми инвалидами</t>
  </si>
  <si>
    <t>07 01</t>
  </si>
  <si>
    <t xml:space="preserve">Целевые субсидии на возмещение расходов по присмотру и уходу за детьми, обучающимися в образовательных организациях, реализующих образоваительные программы дошкольного образования, родители которых относятся к коренным малочисленным народам Севера </t>
  </si>
  <si>
    <t>уход за детьми, родители которых КМНС</t>
  </si>
  <si>
    <t xml:space="preserve">07 01 </t>
  </si>
  <si>
    <t>питание детей инвалидов</t>
  </si>
  <si>
    <t>ярмарки</t>
  </si>
  <si>
    <t>до.образ.</t>
  </si>
  <si>
    <t>04 05</t>
  </si>
  <si>
    <t>01 02</t>
  </si>
  <si>
    <t>Укрепление материально-технической базы муниципальных предприятий, муниципальных сельскохозяйственных предприятий,крестьянско-фермерских хозяйств, территориально соседских общин, родовых общин коренных малочисленных народов Севера, занятых традиционным природопользованием</t>
  </si>
  <si>
    <t>04 12</t>
  </si>
  <si>
    <t>род.общины</t>
  </si>
  <si>
    <t>52 0 01 S3У10</t>
  </si>
  <si>
    <t xml:space="preserve">Обеспечение оплаты труда отдельным категориям работников </t>
  </si>
  <si>
    <t>Целевые субсидии на возмещение расходов по присмотру и уходу за детьми -инвалидами, детьми-сиротами и детьми, оставшимися без попечения родителей, а также за детьми с туберкулезной интоксикацией, обучающимися в муниципальных образовательных организациях дошкольного образования</t>
  </si>
  <si>
    <t>Целевые субсидии на возмещение расходов по присмотру и уходу за детьми, обучающимися в образовательных организациях, реализующих образовательные программы дошкольного образования, родители которых относятся к коренным малочисленным народам Севера</t>
  </si>
  <si>
    <t xml:space="preserve">Поступление доходов в </t>
  </si>
  <si>
    <t xml:space="preserve">                 от 21.12.2020г. № 24</t>
  </si>
  <si>
    <t xml:space="preserve">                 к решению СПОГО</t>
  </si>
  <si>
    <t xml:space="preserve">               Приложение № 1.1</t>
  </si>
  <si>
    <t>от 21.12.2020г. № 24</t>
  </si>
  <si>
    <t xml:space="preserve">            от 21.12.2020г. № 24</t>
  </si>
  <si>
    <t xml:space="preserve">          к решению СПОГО</t>
  </si>
  <si>
    <t xml:space="preserve">         Приложение № 4.1.</t>
  </si>
  <si>
    <t xml:space="preserve">         Приложение № 5.1.</t>
  </si>
  <si>
    <t xml:space="preserve">                к решению СПОГО</t>
  </si>
  <si>
    <t xml:space="preserve">               Приложение № 6.1.</t>
  </si>
  <si>
    <t xml:space="preserve">          к решению СПОГО </t>
  </si>
  <si>
    <t xml:space="preserve">        Приложение № 7.1.</t>
  </si>
  <si>
    <t>Обеспечение образовательных организаций материально-технической базой для внедрения цифровой образовательной среды</t>
  </si>
  <si>
    <t>Создание и обеспечение функционирования центров образования естественно-научной и технологической направленности в общеобразовательных организациях, расположенных в сельской местности и малых городах</t>
  </si>
  <si>
    <t>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</si>
  <si>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 xml:space="preserve">Проведение комплексных кадастровых работ </t>
  </si>
  <si>
    <t>Муниципальная программа "Комплексное развитие  систем коммунальной инфраструктуры Омсукчанского городского округа на 2019-203 годы"</t>
  </si>
  <si>
    <t>Муниципальная программа "Комплексное развитие  систем коммунальной инфраструктуры Омсукчанского городского округа на 2019-2023 годы"</t>
  </si>
  <si>
    <t>Муниципальная программа "Комплексное развитие  систем коммунальной инфраструктуры Омсукчанского городского округа на 2019- 2023 годы"</t>
  </si>
  <si>
    <t xml:space="preserve">Муниципальная программа "Чистая вода Омсукчанского городского округа на 2020-2024 годы" </t>
  </si>
  <si>
    <t xml:space="preserve">Муниципальная программа "Проведение комплексных кадастровых работ на территории муниципального образования "Омсукчанский городской округ на 2017-2021 годы" </t>
  </si>
  <si>
    <t>Муниципальная программа "Формирование современной городской среды муниципального образования "Омсукчанский городской округ" на 2018-2022 годы"</t>
  </si>
  <si>
    <t xml:space="preserve">Муниципальная программа "Формирование современной городской среды муниципального образования "Омсукчанский городской округ" на 2018-2022 годы" </t>
  </si>
  <si>
    <t>Основное мероприятие "Проведение ремонта водозабора в п.Омсукчан"</t>
  </si>
  <si>
    <t>Итого</t>
  </si>
  <si>
    <t>Иные выплаты населению</t>
  </si>
  <si>
    <t xml:space="preserve"> Социальное обеспечение и иные выплаты населению</t>
  </si>
  <si>
    <t>360</t>
  </si>
  <si>
    <t>1 03 02231 01 0000 110</t>
  </si>
  <si>
    <t xml:space="preserve">1 03 02241 01 0000 110 </t>
  </si>
  <si>
    <t xml:space="preserve">1 03 02251 01 0000 110 </t>
  </si>
  <si>
    <t>Приложение № 1</t>
  </si>
  <si>
    <t>переселение</t>
  </si>
  <si>
    <t>(НП и ФЦП) 2022 год</t>
  </si>
  <si>
    <t>НП и ФЦП 2023 год</t>
  </si>
  <si>
    <t>субсидии (S) на 2022год</t>
  </si>
  <si>
    <t>субсидии (S) 2023 год</t>
  </si>
  <si>
    <t>поддержка предприним.</t>
  </si>
  <si>
    <t>укрепление гражд.единства</t>
  </si>
  <si>
    <t xml:space="preserve">Субсидии бюджетам городских округов на организацию дополнительного профессионального образования для лиц, замещающих муниципальные должности в Магаданской области, предоставляемых в рамках реализации подпрограммы «Дополнительное профессиональное образование лиц, замещающих муниципальные должности в Магаданской области» государственной программы Магаданской области «Развитие системы государственного и муниципального управления и профилактика коррупции
в Магаданской области» на 2021 год
</t>
  </si>
  <si>
    <t>Субсидии бюджетам городских округов округов  на обеспечение гарантированного комплектования фондов муниципальных библиотек в рамках подпрограммы «Развитие библиотечного дела Магаданской области» государственной программы Магаданской области «Развитие культуры и туризма Магаданской области» на 2021 год</t>
  </si>
  <si>
    <t>Субсидии бюджетам городских округов на приобретение школьных автобусов в рамках подпрограммы «Развитие общего образования в Магаданской области» государственной программы Магаданской области «Развитие образования в Магаданской области» на 2021 год</t>
  </si>
  <si>
    <t>Субсидии бюджетам городских округов на питание (завтрак или полдник) детей из многодетных семей, обучающихся в общеобразовательных организациях, в рамках подпрограммы «Развитие общего образования в Магаданской области» государственной программы Магаданской области «Развитие образования в Магаданской области» на 2021 год</t>
  </si>
  <si>
    <t>Cубсидии бюджетам городских округов на возмещение расходов по присмотру и уходу за детьми инвалидами, детьми-сиротами и детьми, оставшимися без попечения родителей, а также за детьми с туберкулезной интоксикацией, обучающимися в муниципальных образовательных организациях, реализующих образовательную программу дошкольного образования, расположенных на территории Магаданской области, в рамках подпрограммы «Повышение качества и доступности дошкольного образования в Магаданской области» государственной программы Магаданской области «Развитие образования в Магаданской области» на 2021 год</t>
  </si>
  <si>
    <t xml:space="preserve">Субсидии бюджетам городских округов на питание детей-инвалидов, детей с ограниченными возможностями здоровья в рамках реализации подпрограммы «Развитие общего образования в Магаданской области» государственной программы Магаданской области «Развитие образования в Магаданской области» на 2021 год
</t>
  </si>
  <si>
    <t>Субвенции бюджетам городских округов на осуществление государственных полномочий по предоставлению дополнительных мер социальной поддержки педагогическим работникам муниципальных образовательных организаций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 на 2021 год</t>
  </si>
  <si>
    <t>Субвенции бюджетам городских округов на осуществление государственных полномочий по предоставлению дополнительных мер социальной поддержки работникам муниципальных образовательных организаций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 на 2021 год</t>
  </si>
  <si>
    <t xml:space="preserve">Субвенции бюджетам городских округов   на осуществление государственных полномочий по созданию и организации деятельности комиссий по делам
несовершеннолетних и защите их прав в рамках подпрограммы
«Управление развитием отрасли образования в Магаданской области» государственной программы Магаданской области «Развитие образования в
Магаданской области» на 2021 год
</t>
  </si>
  <si>
    <t>Субвенции бюджетам городских округов на финансовое обеспечение муниципальных дошкольных организаций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 на 2021 год</t>
  </si>
  <si>
    <t xml:space="preserve">Субвенции бюджетам городских округов на осуществление государственных полномочий по выплате вознаграждения за выполнение функций классного руководителя педагогическим работникам муниципальных образовательных организаций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 на плановый период 2022 и 2023 годов
</t>
  </si>
  <si>
    <t xml:space="preserve">Субвенции  бюджетам городских округов на финансовое обеспечение муниципальных общеобразовательных организаций в части реализации ими государственного стандарта общего образования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
на плановый период 2022 и 2023 годов
</t>
  </si>
  <si>
    <t>Субвенции бюджетам городских округов на осуществление государственных полномочий по предоставлению дополнительных мер социальной поддержки работникам муниципальных образовательных организаций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 на плановый период 2022 и 2023 годов</t>
  </si>
  <si>
    <t>Субвенции бюджетам городских округов на осуществление государственных полномочий по предоставлению дополнительных мер социальной поддержки педагогическим работникам муниципальных образовательных организаций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 на плановый период 2022 и 2023 годов</t>
  </si>
  <si>
    <t>Субвенции бюджетам городских округов   на осуществление государственных полномочий по созданию и организации деятельности комиссий по делам несовершеннолетних и защите их прав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 на плановый период 2022 и 2023 годов</t>
  </si>
  <si>
    <t>Субвенции бюджетам городских округов   на обеспечение осуществления государственных полномочий по предоставлению жилых помещений детям-сиротам и детям, оставшимся без попечения родителей, а также лицам из числа детей-сирот, детей, оставшихся без попечения родителей, благоустроенными жилыми помещениями специализированного жилищного фонда по договорам найма специализированных жилых помещений в рамках подпрограммы «Обеспечение жилыми помещениями детей-сирот, детей, оставшихся без попечения родителей, лиц из числа детей-сирот, детей, оставшихся без попечения родителей в Магаданской области» государственной программы Магаданской области «Развитие образования в Магаданской области» на плановый период 2022 и 2023 годов</t>
  </si>
  <si>
    <t>Субвенции бюджетам городских округов на реализацию Закона Магаданской области от 28 декабря 2009 года № 1220-ОЗ «О наделении органов местного самоуправления государственными полномочиями Магаданской области по постановке на учет и учету граждан, имеющих право на получение единовременных социальных выплат на приобретение или строительство жилых помещений и выезжающих из районов Крайнего Севера и приравненных к ним местностей, а также закрывающихся населенных пунктов в районах Крайнего Севера и приравненных к ним местностей» на плановый период 2022 и 2023 годов</t>
  </si>
  <si>
    <t xml:space="preserve">Субвенции бюджетам городских округов на осуществление государственных полномочий по организации и осуществлению деятельности органов опеки и попечительства на плановый период 2022 и 2023 годов:
</t>
  </si>
  <si>
    <t>на осуществление государственных полномочий по организации и осуществлению деятельности органов опеки и попечительства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</t>
  </si>
  <si>
    <t>на осуществление государственных полномочий по организации и осуществлению деятельности по опеке совершеннолетних лиц, признанных судом недееспособными вследствие психического расстройства, а также попечительству в отношении совершеннолетних лиц, ограниченных судом в дееспособности вследствие злоупотребления спиртными напитками или наркотическими средствами, в рамках отдельных мероприятий в области социальной политики государственной программы Магаданской области «Развитие социальной защиты населения Магаданской области»</t>
  </si>
  <si>
    <t>Субвенции бюджетам городских округов на финансовое обеспечение муниципальных дошкольных организаций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 на плановый период 2022 и 2023 годов</t>
  </si>
  <si>
    <t>Субвенции бюджетам городских округов на осуществление государственных полномочий по выплате ежемесячной надбавки к окладу (должностному окладу) работникам муниципальных учреждений, которым присвоено почетное звание в сфере культуры, в рамках реализации подпрограммы «Финансовая поддержка творческих общественных объединений, деятелей культуры и искусства, социально ориентированных некоммерческих организаций Магаданской области» на плановый период 2022 и 2023 годов</t>
  </si>
  <si>
    <t xml:space="preserve">Субвенции бюджетам городских округов  на осуществление государственных полномочий по созданию и организации деятельности административных комиссий на плановый период 2022 и 2023 годов
</t>
  </si>
  <si>
    <t>Субвенции бюджетам городских округов для финансового обеспечения благоустроенными жилыми помещениями детей-сирот, детей, оставшихся без попечения родителей, лиц из числа детей-сирот, детей, оставшихся без попечения родителей, по договорам найма специализированных жилых помещений в рамках подпрограммы «Обеспечение жилыми помещениями детей-сирот, детей, оставшихся без попечения родителей, лиц из числа детей-сирот, детей, оставшихся без попечения родителей, в Магаданской области» государственной программы Магаданской области «Развитие образования в Магаданской области» на плановый период 2022 и 2023 годов</t>
  </si>
  <si>
    <t>Субвенции бюджетам городских округов на возмещение расходов на возмещение расходов на предоставление мер социальной поддержки по оплате жилых помещений и коммунальных услуг отдельных категорий граждан, проживающих на территории Магаданской области на плановый период 2022 и 2023 годов</t>
  </si>
  <si>
    <t>Субсидии бюджетам городских округов на организацию дополнительного профессионального образования для лиц, замещающих муниципальные должности в Магаданской области, предоставляемых в рамках реализации подпрограммы «Дополнительное профессиональное образование лиц, замещающих муниципальные должности в Магаданской области» государственной программы Магаданской области «Развитие системы государственного и муниципального управления и профилактика коррупции в Магаданской области» на плановый период 2022 и 2023 годов</t>
  </si>
  <si>
    <t xml:space="preserve">Субсидии бюджетам городских округов на обеспечение гарантированного комплектования фондов муниципальных библиотек в рамках подпрограммы «Развитие библиотечного дела Магаданской области» государственной программы Магаданской области «Развитие культуры и туризма Магаданской области» на плановый период 2022 и 2023 годов
</t>
  </si>
  <si>
    <t>Субсидии бюджетам городских округов на организацию отдыха и оздоровления детей в лагерях дневного пребывания в рамках подпрограммы «Организация и обеспечение отдыха и оздоровления детей в Магаданской области» государственной программы Магаданской области «Развитие образования в Магаданской области» на плановый период 2022 и 2023 годов</t>
  </si>
  <si>
    <t>Субсидии бюджетам городских округов на совершенствование питания учащихся в общеобразовательных организациях в рамках подпрограммы «Развитие общего образования в Магаданской области» государственной программы Магаданской области «Развитие образования в Магаданской области» на плановый период 2022 и 2023 годов</t>
  </si>
  <si>
    <t xml:space="preserve">Субсидии бюджетам городских округов на питание (завтрак или полдник) детей из многодетных семей, обучающихся в общеобразовательных организациях, в рамках подпрограммы «Развитие общего образования в Магаданской области» государственной программы Магаданской области «Развитие образования в Магаданской области» на плановый период 2022 и 2023 годов
</t>
  </si>
  <si>
    <t>Субсидии бюджетам городских округов на организацию и проведение областных универсальных совместных ярмарок в рамках подпрограммы «Развитие торговли на территории Магаданской области на 2019-2024 годы» государственной программы Магаданской области «Развитие сельского хозяйства Магаданской области на 2014-2024 годы» на плановый период 2022 и 2023 годов</t>
  </si>
  <si>
    <t xml:space="preserve">Субсидии бюджетам городских округов на частичное возмещение расходов по присмотру и уходу за детьми, обучающимися в образовательных организациях, реализующих образовательные программы дошкольного образования, родители которых относятся к коренным малочисленным народам Севера, в рамках государственной программы Магаданской области «Социально-экономическое и культурное развитие коренных малочисленных народов Севера, проживающих на территории Магаданской области» на плановый период 2022 и 2023 годов
</t>
  </si>
  <si>
    <t>Cубсидии бюджетам городских округов на возмещение расходов по присмотру и уходу за детьми-инвалидами, детьми-сиротами и детьми, оставшимися без попечения родителей, а также за детьми с туберкулезной интоксикацией, обучающимися в муниципальных образовательных организациях, реализующих образовательную программу дошкольного образования, расположенных на территории Магаданской области, в рамках подпрограммы «Повышение качества и доступности дошкольного образования в Магаданской области» государственной программы Магаданской области «Развитие образования в Магаданской области» на плановый период 2022 и 2023 годов</t>
  </si>
  <si>
    <t xml:space="preserve">Субсидии бюджетам городских округов на питание детей-инвалидов, детей с ограниченными возможностями здоровья в рамках реализации подпрограммы «Развитие общего образования в Магаданской области» государственной программы Магаданской области «Развитие образования в Магаданской области» на плановый период 2022 и 2023 годов
</t>
  </si>
  <si>
    <t>Субсидии бюджетам городских округов на предоставление субсидий на укрепление материально-технической базы муниципальных предприятий, муниципальных сельскохозяйственных предприятий, крестьянско-фермерских хозяйств, территориально соседских общин, родовых общин коренных малочисленных народов Севера, занятых традиционным природопользованием в рамках государственной программы Магаданской области «Социально-экономическое и культурное развитие коренных малочисленных народов Севера, проживающих на территории Магаданской области» на плановый период 2022 и 2023 годов</t>
  </si>
  <si>
    <t>Межбюджетные трансферты бюджетам городских округов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</si>
  <si>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(-191,4)</t>
  </si>
  <si>
    <t>(-198,7)</t>
  </si>
  <si>
    <t>(-1,4)</t>
  </si>
  <si>
    <t>(+8,7)</t>
  </si>
  <si>
    <t>(-369,9)</t>
  </si>
  <si>
    <t>(-273,9)</t>
  </si>
  <si>
    <t>(-1,9)</t>
  </si>
  <si>
    <t>(-94,1)</t>
  </si>
  <si>
    <t xml:space="preserve"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
</t>
  </si>
  <si>
    <t xml:space="preserve"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
</t>
  </si>
  <si>
    <t xml:space="preserve"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
</t>
  </si>
  <si>
    <t>112 01040 01 0000 120</t>
  </si>
  <si>
    <t>(-218,088)</t>
  </si>
  <si>
    <t>(-210,612)</t>
  </si>
  <si>
    <t>(-56,138)</t>
  </si>
  <si>
    <t>(-49,232)</t>
  </si>
  <si>
    <t>(-423,36)</t>
  </si>
  <si>
    <t>(-445,47)</t>
  </si>
  <si>
    <t>(-633,766)</t>
  </si>
  <si>
    <t>(-633,826)</t>
  </si>
  <si>
    <t>(+63,76)</t>
  </si>
  <si>
    <t>(+71,548)</t>
  </si>
  <si>
    <t xml:space="preserve">                 от     .03.2021г. № </t>
  </si>
  <si>
    <t xml:space="preserve">Муниципальная программа "Формирование современной городской среды муниципального образования "Омсукчанский городской округ" на 2018-2024 годы" </t>
  </si>
  <si>
    <t>2 03 04099 04 0000 150</t>
  </si>
  <si>
    <t xml:space="preserve">Прочие безвозмездные поступления от государственных (муниципальных) организаций в бюджеты городских округов
</t>
  </si>
  <si>
    <t>2 03 00000 00 0000 000</t>
  </si>
  <si>
    <t>ставим с областью (область-5833,22)</t>
  </si>
  <si>
    <t>Восстановление и модернизация муниципального имущества в городских округах Магаданской области</t>
  </si>
  <si>
    <t>02 0 02 S1110</t>
  </si>
  <si>
    <t xml:space="preserve">Субсидии бюджетам городских округов на реализацию мероприятий в сфере укрепления гражданского единства, гармонизации межнациональных отношений, профилактики экстремизма  в рамках подпрограммы "Гармонизациямежнациональных отношений, этнокультурное развитие народов и профилактика экстремистских проявлений в Магаданской области" государственная программа Магаданской области "Содействие развитию институтов гражданского общества, укреплению единства российской нации и гармонизации межнациональных отношений в Магаданской области" на 2021 год
</t>
  </si>
  <si>
    <t>2 03 04000 04 0000 150</t>
  </si>
  <si>
    <t>БЕЗВОЗМЕЗДНЫЕ ПОСТУПЛЕНИЯ ОТ ГОСУДАРСТВЕННЫХ (МУНИЦИПАЛЬНЫХ) ОРГАНИЗАЦИЙ</t>
  </si>
  <si>
    <t>Безвозмездные поступления от государственных (муниципальных) организаций в бюджеты городских округов</t>
  </si>
  <si>
    <t>Приложение № 3</t>
  </si>
  <si>
    <t>Основное мероприятие "Реконструкция и капитальный ремонт общеобразовательных организаций"</t>
  </si>
  <si>
    <t>52 0 14 00000</t>
  </si>
  <si>
    <t>52 0 14 S3100</t>
  </si>
  <si>
    <t>Мероприятия по поддержке социально ориентированных некоммерческих организаций</t>
  </si>
  <si>
    <t>05 01</t>
  </si>
  <si>
    <t>Основное мероприятие "Обеспечение пожарной безопасности"</t>
  </si>
  <si>
    <t>64 0 04 00000</t>
  </si>
  <si>
    <t>64 0 04 01250</t>
  </si>
  <si>
    <t xml:space="preserve">2 02 45160 00 0000 150
</t>
  </si>
  <si>
    <t xml:space="preserve">Межбюджетные трансферты, передаваемые бюджетам для компенсации дополнительных расходов, возникших в результате решений, принятых органами власти другого уровня
</t>
  </si>
  <si>
    <t xml:space="preserve">2 02 45160 04 0000 150
</t>
  </si>
  <si>
    <t xml:space="preserve">Межбюджетные трансферты, передаваемые бюджетам городских округов для компенсации дополнительных расходов, возникших в результате решений, принятых органами власти другого уровня
</t>
  </si>
  <si>
    <t>Основное мероприятие "Антитеррористическая защищенность образовательных организаций"</t>
  </si>
  <si>
    <t>Повышение уровня антитеррористической защищенности образовательных организаций</t>
  </si>
  <si>
    <t>52 0 15 00000</t>
  </si>
  <si>
    <t>52 0 15 S3230</t>
  </si>
  <si>
    <t>Основное мероприятие "Обустройство автогородсков в дошкольных образовательных организациях"</t>
  </si>
  <si>
    <t>Осуществление мероприятий по обустройству автогородков в дошкольных образовательных организациях</t>
  </si>
  <si>
    <t>52 0 16 S3480</t>
  </si>
  <si>
    <t>52 0 16 00000</t>
  </si>
  <si>
    <t>Автогородки</t>
  </si>
  <si>
    <t>Субсидии бюджетам городских округов на реализацию мероприятий по поддержке социально ориентированных некоммерческих организаций</t>
  </si>
  <si>
    <t>Субсидии бюджетам городских округов  на обустройство автогородков в дошкольных образовательных организациях</t>
  </si>
  <si>
    <t>Субсидии бюджетам городских округов  на повышение уровня антитеррористической защищенности образовательных организаций</t>
  </si>
  <si>
    <t>Субсидии бюджетам городских округов на создание и обеспечение функционирования центров образования естественно-научной и технологической направленностей в общеобразовательных организациях, расположенных в сельской местности и малых городах</t>
  </si>
  <si>
    <t>Субсидии бюджетам городских округов на реализацию программ формирования современной городской среды</t>
  </si>
  <si>
    <t>2 02 45303 04 0000 150</t>
  </si>
  <si>
    <t>Основное мероприятие "Расходы за счет средств резервного фонда"</t>
  </si>
  <si>
    <t>Осуществление расходов за счет средств резервного фонда Правительства Магаданской области для поощрения победителей ежегодного областного конкурса</t>
  </si>
  <si>
    <t>58 0 07 00000</t>
  </si>
  <si>
    <t>58 0 07 17010</t>
  </si>
  <si>
    <t xml:space="preserve">Мероприятия по ликвидации несанкционированных свалок </t>
  </si>
  <si>
    <t>Основное мероприятие "Ликвидация несанкционированных  свалок"</t>
  </si>
  <si>
    <t>60 0 04 00000</t>
  </si>
  <si>
    <t>60 0 04 S3П08</t>
  </si>
  <si>
    <t>Ликвидация свалок</t>
  </si>
  <si>
    <t>Субсидии бюджетам городских округов  на ликвидацию несанкционированных свалок на территории городских округов Магаданской области</t>
  </si>
  <si>
    <t>51 4 01 S3280</t>
  </si>
  <si>
    <t>Специальные расходы</t>
  </si>
  <si>
    <t>880</t>
  </si>
  <si>
    <t>Мероприятия по оборудованию квартир отдельных категорий граждан автономными пожарными извещателями</t>
  </si>
  <si>
    <t>64 0 04 S0720</t>
  </si>
  <si>
    <t>Обор.граждан пожар.извещателями</t>
  </si>
  <si>
    <t>03 10</t>
  </si>
  <si>
    <t>02 0 02 17010</t>
  </si>
  <si>
    <t>Мероприятия по новогоднему оформлению территории за счет средств резервного фонда Правительства Магаданской области</t>
  </si>
  <si>
    <t>дефицит 35839 (свободный остаток м/б 31 - экономия по кадастр.работам)</t>
  </si>
  <si>
    <t>57 0 06 00000</t>
  </si>
  <si>
    <t>57 0 06 S3080</t>
  </si>
  <si>
    <t>Основное мероприятие "Возмещение расходов по коммунальным услугам физкультурно-оздоровительным и спортивным комплексам"</t>
  </si>
  <si>
    <t>Возмещение расходов по коммунальным услугам физкультурно-оздоровительным и спортивным комплексам</t>
  </si>
  <si>
    <t>возмещ комун услуг ФОК</t>
  </si>
  <si>
    <t>Формирование и увеличение уставного фонда предприятий жилищно-коммунального хозяйства</t>
  </si>
  <si>
    <t>02 0 02 01960</t>
  </si>
  <si>
    <t>Субсидии бюджетам городских округов  на возмещение расходов по коммунальным услугам физкультурно-оздоровительным и спортивным комплексам</t>
  </si>
  <si>
    <t>Бюджетные инвестиции иным юридическим лицам</t>
  </si>
  <si>
    <t>450</t>
  </si>
  <si>
    <t>11 05</t>
  </si>
  <si>
    <t>60 0 05 00000</t>
  </si>
  <si>
    <t>Основное мероприятие "Реализация инициативных проектов в области благоустройства"</t>
  </si>
  <si>
    <t>Субсидии бюджетам городских округов на реализацию инициативных проектов</t>
  </si>
  <si>
    <t>инициативный проект</t>
  </si>
  <si>
    <t>Основное мероприятие "Синхронизация мероприятий по благоустройству территорий муниципальных образований с мероприятиями, реализуемыми в рамках национальных проектов, с программами (планами) строительства (реконструкции, ремонта) объектов недвижимого имущества и инженерных сетей"</t>
  </si>
  <si>
    <t>65 0 01 00000</t>
  </si>
  <si>
    <t>65 0 01 S2160</t>
  </si>
  <si>
    <t>синхронизация с НЦ Городская среда</t>
  </si>
  <si>
    <t xml:space="preserve">Субсидии бюджетам городских округов на синхронизацию мероприятий по благоустройству территорий муниципальных образований с мероприятиями, реализуемыми в рамках национальных проектов, с программами (планами) строительства (реконструкции, ремонта) объектов недвижимого имущества и инженерных сетей </t>
  </si>
  <si>
    <t>60 0 05 S2140</t>
  </si>
  <si>
    <t>57 0 02 20100</t>
  </si>
  <si>
    <t>Субсидии бюджетам городских округов на предоставление субсидий на укрепление материально-технической базы муниципальных предприятий, муниципальных сельскохозяйственных предприятий, крестьянско-фермерских хозяйств, территориально соседских общин, родовых общин коренных малочисленных народов Севера, занятых традиционным природопользованием в рамках государственной программы Магаданской области «Социально-экономическое и культурное развитие коренных малочисленных народов Севера, проживающих на территории Магаданской области» на 2021 год</t>
  </si>
  <si>
    <t>1 03 02230 01 0000 110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</si>
  <si>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</si>
  <si>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 xml:space="preserve">1 03 02240 01 0000 110 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</si>
  <si>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</si>
  <si>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 xml:space="preserve">1 03 02250 01 0000 110 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</si>
  <si>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</si>
  <si>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 xml:space="preserve">Субсидии бюджетам городских округов на  организацию отдыха и оздоровления детей в лагерях дневного пребывания </t>
  </si>
  <si>
    <t>Субвенции бюджетам городских округов на реализацию Закона Магаданской области от 28 декабря 2009 года № 1220-ОЗ «О наделении органов местного самоуправления государственными полномочиями Магаданской области по постановке на учет и учету граждан, имеющих право на получение единовременных социальных выплат на приобретение или строительство жилых помещений и выезжающих из районов Крайнего Севера и приравненных к ним местностей, а также закрывающихся населенных пунктов в районах Крайнего Севера и приравненных к ним местностей»</t>
  </si>
  <si>
    <t xml:space="preserve">Субвенции бюджетам городских округов  на осуществление государственных полномочий по созданию и организации деятельности административных комиссий </t>
  </si>
  <si>
    <t xml:space="preserve">Субвенции бюджетам городских округов на возмещение расходов на предоставление мер социальной поддержки по оплате жилых помещений и коммунальных услуг отдельных категорий граждан, проживающих на территории Магаданской области </t>
  </si>
  <si>
    <t>Субсидии на софинансирование расходов бюджетов городских округов на софинансирование расходов на повышение оплаты труда работникам муниципальных учреждений культуры и педагогическим работникам муниципальных организаций дополнительного образования детей, в целях исполнения поручений Президента Российской Федерации по сохранению достигнутого соотношения между уровнем их оплаты труда и уровнем средней заработной платы в регионе на 2021 год</t>
  </si>
  <si>
    <t>Основное мероприятие"Обеспечение персонифицированного финансирования дополнительного образования детей"</t>
  </si>
  <si>
    <t>52 0 17 00000</t>
  </si>
  <si>
    <t xml:space="preserve">Субсидии автономным учреждениям
</t>
  </si>
  <si>
    <t>620</t>
  </si>
  <si>
    <t>Синхронизация мероприятий по благоустройству территорий муниципальных образований с мероприятиями, реализуемыми в рамках национальных проектов, с программами (планами) строительства (реконструкции, ремонта) объектов недвижимого имущества и инженерных сетей</t>
  </si>
  <si>
    <t>Контрольно-счетный орган муниципального образования</t>
  </si>
  <si>
    <t>01 0 04 00000</t>
  </si>
  <si>
    <t>Расходы на обеспечение деятельности муниципальных должностей контрольно-счетной палаты муниципального образования</t>
  </si>
  <si>
    <t>01 0 04 01040</t>
  </si>
  <si>
    <t>01 0 04 01030</t>
  </si>
  <si>
    <t>58 0 A1 5454F</t>
  </si>
  <si>
    <t>Создание модельных муниципальных библиотек за счет резервного фонда Правительства Российской Федерации</t>
  </si>
  <si>
    <t>Единая субвенция, предоставляемая бюджетам городских округов Магаданской области из областного бюджета, для осуществления переданных государственных полномочий Магаданской области</t>
  </si>
  <si>
    <t>Содержание  казенных учреждений</t>
  </si>
  <si>
    <t>Контрольно- счетная палата Омсукчанского городского округа</t>
  </si>
  <si>
    <t>Основное мероприятие "Организация питания в образовательных учреждениях"</t>
  </si>
  <si>
    <t>Целевые субсидии на организацию питания в образовательных учреждениях</t>
  </si>
  <si>
    <t>52 0 06 S3090</t>
  </si>
  <si>
    <t>Основное мероприятие ""</t>
  </si>
  <si>
    <t>Основное мероприятие " "</t>
  </si>
  <si>
    <t>Обеспечение персонифицированного финансирования дополнительного образования детей</t>
  </si>
  <si>
    <t>52 0 17 01570</t>
  </si>
  <si>
    <t xml:space="preserve">от     .     .2021 года  № </t>
  </si>
  <si>
    <t>бюджет Омсукчанского городского округа в 2022 году</t>
  </si>
  <si>
    <t xml:space="preserve">Ведомственная  структура расходов бюджета Омсукчанского городского округа на 2022 год </t>
  </si>
  <si>
    <t xml:space="preserve">от        12.2021 года  № </t>
  </si>
  <si>
    <t>1 01 02080 01 0000110</t>
  </si>
  <si>
    <t>Субсидии бюджетам городских округов на обеспечение образовательных организаций материально-технической базой для внедрения цифровой образовательной среды</t>
  </si>
  <si>
    <t>2 02 25210 04 0000 150</t>
  </si>
  <si>
    <t>Внедрение целевой модели цифровой образовательной среды в общеобразовательных организациях и профессиональных образовательных организациях</t>
  </si>
  <si>
    <t>Всего</t>
  </si>
  <si>
    <t>область</t>
  </si>
  <si>
    <t>РзПр</t>
  </si>
  <si>
    <t>федер.</t>
  </si>
  <si>
    <t>Формула расчета</t>
  </si>
  <si>
    <t>Процент софинансирования м/б</t>
  </si>
  <si>
    <t xml:space="preserve">Субсидии бюджетам городских округов на организацию отдыха и оздоровления детей в лагерях дневного пребывания в рамках подпрограммы «Организация и обеспечение отдыха и оздоровления детей в Магаданской области» государственной программы Магаданской области «Развитие образования в Магаданской области» </t>
  </si>
  <si>
    <t>Субсидии бюджетам городских округов на организацию питания в образовательных учреждениях</t>
  </si>
  <si>
    <t>Субсидии бюджетам городских округов на укрепление материально-технической базы в области физической культуры и спорта</t>
  </si>
  <si>
    <t>Основное мероприятие "Укрепление материально-технической базы"</t>
  </si>
  <si>
    <t>57 0 07 00000</t>
  </si>
  <si>
    <t>57 0 07 S1830</t>
  </si>
  <si>
    <t>Укрепление материально-технической базы в области физической культуры  и спорта</t>
  </si>
  <si>
    <t>57 0 07 S3080</t>
  </si>
  <si>
    <t>осок</t>
  </si>
  <si>
    <t>Субсидии бюджетам городских округов на реализацию мероприятий в сфере укрепления гражданского единства, гармонизации межнациональных отношений, профилактики экстремизма</t>
  </si>
  <si>
    <t>Мероприятия в сфере укрепления гражданского единства, гармонизации межнациональных отношений, профилактики экстремизма</t>
  </si>
  <si>
    <t>Мероприятия по реализации инициативных проектов</t>
  </si>
  <si>
    <t>Субсидии бюджетам городских округов на укрепление материально-технической базы муниципальных предприятий, муниципальных сельскохозяйственных предприятий, крестьянско-фермерских хозяйств, территориально соседских общин, родовых общин коренных малочисленных народов Севера, занятых традиционным природопользованием</t>
  </si>
  <si>
    <t>Субсидии бюджетам городских округов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</si>
  <si>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Мероприятия по увековечиванию памяти погибших при защите Отечества</t>
  </si>
  <si>
    <t>51 4 01 L2990</t>
  </si>
  <si>
    <t xml:space="preserve">Субсидии бюджетам городских округов на частичное возмещение расходов по присмотру и уходу за детьми, обучающимися в образовательных организациях, реализующих образовательные программы дошкольного образования, родители которых относятся к коренным малочисленным народам Севера, в рамках государственной программы Магаданской области «Социально-экономическое и культурное развитие коренных малочисленных народов Севера, проживающих на территории Магаданской области» 
</t>
  </si>
  <si>
    <t>Развитие сети учреждений культурно-досугового типа</t>
  </si>
  <si>
    <t>58 0 A1 55130</t>
  </si>
  <si>
    <t>Субсидии бюджетам городских округов на развитие сети учреждений культурно-досугового типа</t>
  </si>
  <si>
    <t>Мероприятия по государственной поддержке отрасли культуры</t>
  </si>
  <si>
    <t>58 0 06 L5190</t>
  </si>
  <si>
    <t>2 02 25497 04 0000 150</t>
  </si>
  <si>
    <t xml:space="preserve">Субсидии бюджетам городских округов на организацию и проведение областных универсальных совместных ярмарок в рамках подпрограммы «Развитие торговли на территории Магаданской области на 2019-2024 годы» государственной программы Магаданской области «Развитие сельского хозяйства Магаданской области на 2014-2024 годы» </t>
  </si>
  <si>
    <t xml:space="preserve">Субвенции бюджетам городских округов   на обеспечение осуществления государственных полномочий по предоставлению жилых помещений детям-сиротам и детям, оставшимся без попечения родителей, лицам из их числа по договорам найма специализированных жилых помещений в рамках подпрограммы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 в Магаданской области» государственной программы Магаданской области «Развитие образования в Магаданской области» </t>
  </si>
  <si>
    <t xml:space="preserve">Субвенции бюджетам городских округов для финансового обеспечения благоустроенными жилыми помещениями детей-сирот, детей, оставшихся без попечения родителей, лиц из числа детей-сирот, детей, оставшихся без попечения родителей, по договорам найма специализированных жилых помещений в рамках подпрограммы «Обеспечение жилыми помещениями детей-сирот, детей, оставшихся без попечения родителей, лиц из числа детей-сирот, детей, оставшихся без попечения родителей, в Магаданской области» государственной программы Магаданской области «Развитие образования в Магаданской области» </t>
  </si>
  <si>
    <t xml:space="preserve">Субвенции бюджетам городских округов на осуществление государственных полномочий по выплате вознаграждения за выполнение функций классного руководителя педагогическим работникам муниципальных образовательных организаций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 </t>
  </si>
  <si>
    <t xml:space="preserve">Субвенции бюджетам городских округов на осуществление государственных полномочий по выплате ежемесячной надбавки к окладу (должностному окладу) работникам муниципальных учреждений, которым присвоено почетное звание в сфере культуры, в рамках реализации подпрограммы «Финансовая поддержка творческих общественных объединений, деятелей культуры и искусства, социально ориентированных некоммерческих организаций Магаданской области» государственной программы Магаданской области «Развитие культуры и туризма Магаданской области» </t>
  </si>
  <si>
    <t>Субвенции  бюджетам городских округов на финансовое обеспечение муниципальных общеобразовательных организаций в части реализации ими государственного стандарта общего образования в рамках подпрограммы «Управление развитием отрасли образования в Магаданской области» государственной программы Магаданской области «Развитие образования в Магаданской области»</t>
  </si>
  <si>
    <t>Субсидии бюджетам городских округов  на реализацию мероприятия "Восстановление и модернизация муниципального имущества в городских округах Магаданской области" в рамках  подпрограммы "Содействие муниципальным образованиям в оптимизации системы расселения в Магаданской области" государственной программы Магаданской области  "Обеспечение качественными жилищно-коммунальными услугами и комфортными условиями проживания населения Магаданской области"</t>
  </si>
  <si>
    <t>Осуществление переданных государственных полномочий Магаданской области за счет единой субвенции</t>
  </si>
  <si>
    <t>52 0 02 74200</t>
  </si>
  <si>
    <t>58 0 04 74200</t>
  </si>
  <si>
    <t>07 01                         0702</t>
  </si>
  <si>
    <t>Область и федерация</t>
  </si>
  <si>
    <t>бюджета Омсукчанского городского округа  на 2022 год</t>
  </si>
  <si>
    <t xml:space="preserve">от      .2021 года  №      </t>
  </si>
  <si>
    <t xml:space="preserve"> расходов бюджетов Российской Федерации на  2022 год</t>
  </si>
  <si>
    <t xml:space="preserve">от     .2021 года  №       </t>
  </si>
  <si>
    <t>Приложение № 2</t>
  </si>
  <si>
    <t>Распределение бюджетных массигнований по разделам и подразделам, муниципальным программам и непрограммным направлениям деятельности, группам и подгруппам видов расходов классификации расходов бюджетов Российской Федерации на 2022 год</t>
  </si>
  <si>
    <t>01 0 03 74200</t>
  </si>
  <si>
    <t>01 0 04 01790</t>
  </si>
  <si>
    <t>52 0 07 S3090</t>
  </si>
  <si>
    <t xml:space="preserve">Субвенции бюджетам городских округов на осуществление государственных полномочий по организации и осуществлению деятельности органов опеки и попечительства 
</t>
  </si>
  <si>
    <t xml:space="preserve">                 от        2021г. №</t>
  </si>
  <si>
    <t>на плановый период 2023-2024 годов</t>
  </si>
  <si>
    <t>План на 2024 год</t>
  </si>
  <si>
    <t>Приложение №4</t>
  </si>
  <si>
    <t>Распределения бюджетных ассигнований, направляемых на исполнение публичных нормативных обязательств на 2022 год</t>
  </si>
  <si>
    <t xml:space="preserve">от       .2021 года № </t>
  </si>
  <si>
    <t xml:space="preserve"> Распределение бюджетных ассигнований, направляемых на реализацию муниципальных программ  Омсукчанского городского округа на 2022 год</t>
  </si>
  <si>
    <t xml:space="preserve">2 02 25299 04 0000 150
</t>
  </si>
  <si>
    <t xml:space="preserve">2 02 25299 00 0000 150
</t>
  </si>
  <si>
    <t>Субсидии бюджетам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</si>
  <si>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2 02 25497 00 0000 150</t>
  </si>
  <si>
    <t>Субсидии бюджетам на реализацию мероприятий по обеспечению жильем молодых семей</t>
  </si>
  <si>
    <t>2 02 25513 00 0000 150</t>
  </si>
  <si>
    <t>Субсидии бюджетам на развитие сети учреждений культурно-досугового типа</t>
  </si>
  <si>
    <t>2 02 25513 04 0000 150</t>
  </si>
  <si>
    <t>Субсидии бюджетам городских округов на возмещение расходов по коммунальным услугам учреждениям социальной сферы</t>
  </si>
  <si>
    <t>Субсидии бюджетам на обеспечение образовательных организаций материально-технической базой для внедрения цифровой образовательной среды</t>
  </si>
  <si>
    <t xml:space="preserve">Субсидии бюджетам на реализацию мероприятий по обеспечению жильем молодых семей
</t>
  </si>
  <si>
    <t xml:space="preserve">Субсидии бюджетам городских округов на реализацию мероприятий по обеспечению жильем молодых семей
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</si>
  <si>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компании)</t>
  </si>
  <si>
    <t xml:space="preserve">1 16 01070 01 0000 140
</t>
  </si>
  <si>
    <t xml:space="preserve">1 16 01073 01 0000 140
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</si>
  <si>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</si>
  <si>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налагаемые мировыми судьями, комиссиями по делам несовершеннолетних и защите их прав</t>
  </si>
  <si>
    <t xml:space="preserve">Ведомственная  структура расходов бюджета Омсукчанского городского округа на 2023-2024 годы </t>
  </si>
  <si>
    <t>по расчету области</t>
  </si>
  <si>
    <t xml:space="preserve">от        .2021 года  № </t>
  </si>
  <si>
    <t>от                 2021г. №</t>
  </si>
  <si>
    <t>от            .2021 года  №</t>
  </si>
  <si>
    <t xml:space="preserve">План на 2023год </t>
  </si>
  <si>
    <t>='Пр.4.1 ведом.23-24 '!G1030</t>
  </si>
  <si>
    <t xml:space="preserve"> расходов бюджетов Российской Федерации на  2023-2024 годы</t>
  </si>
  <si>
    <t xml:space="preserve"> Распределение бюджетных ассигнований, направляемых на реализацию муниципальных программ  Омсукчанского городского округа на 2023-2024 годы</t>
  </si>
  <si>
    <t>Муниципальная программа "Профилактика правонарушений и обеспечение общественной безопасности на территории Омсукчанского городского  округа"</t>
  </si>
  <si>
    <t>Приложение № 2.2</t>
  </si>
  <si>
    <t>от       .2021 года  №</t>
  </si>
  <si>
    <t>Распределение бюджетных массигнований по разделам и подразделам, муниципальным программам и непрограммным направлениям деятельности, группам и подгруппам видов расходов классификации расходов бюджетов Российской Федерации на 2023-2024 годы</t>
  </si>
  <si>
    <t xml:space="preserve">План на 2024год </t>
  </si>
  <si>
    <t>Приложение № 3.1.</t>
  </si>
  <si>
    <t>Приложение № 6.1.</t>
  </si>
  <si>
    <t>Распределения бюджетных ассигнований, направляемых на исполнение публичных нормативных обязательств на 2023-2024 годы</t>
  </si>
  <si>
    <t>Приложение №4.1</t>
  </si>
  <si>
    <t>Приложение № 5.1.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</si>
</sst>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р_._-;\-* #,##0.00_р_._-;_-* &quot;-&quot;??_р_._-;_-@_-"/>
    <numFmt numFmtId="165" formatCode="#,##0.0"/>
    <numFmt numFmtId="166" formatCode="0.0"/>
    <numFmt numFmtId="167" formatCode="0.000"/>
    <numFmt numFmtId="168" formatCode="#,##0.000"/>
  </numFmts>
  <fonts count="54" x14ac:knownFonts="1"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3"/>
      <name val="Times New Roman"/>
      <family val="1"/>
      <charset val="204"/>
    </font>
    <font>
      <sz val="12"/>
      <name val="Times New Roman"/>
      <family val="1"/>
    </font>
    <font>
      <b/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Times New Roman"/>
      <family val="1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color theme="1"/>
      <name val="Calibri"/>
      <family val="2"/>
      <scheme val="minor"/>
    </font>
    <font>
      <b/>
      <sz val="16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2"/>
      <color rgb="FFFF0000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4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rgb="FF000000"/>
      <name val="Times New Roman"/>
      <family val="1"/>
      <charset val="204"/>
    </font>
    <font>
      <sz val="14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9"/>
      <color theme="1"/>
      <name val="Calibri"/>
      <family val="2"/>
      <scheme val="minor"/>
    </font>
    <font>
      <b/>
      <sz val="12"/>
      <color rgb="FFFF0000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color rgb="FFFF0000"/>
      <name val="Times New Roman"/>
      <family val="1"/>
      <charset val="204"/>
    </font>
    <font>
      <i/>
      <sz val="12"/>
      <name val="Times New Roman"/>
      <family val="1"/>
      <charset val="204"/>
    </font>
    <font>
      <sz val="9"/>
      <color rgb="FFFF0000"/>
      <name val="Calibri"/>
      <family val="2"/>
      <scheme val="minor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000000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0" fontId="8" fillId="0" borderId="0"/>
    <xf numFmtId="164" fontId="14" fillId="0" borderId="0" applyFont="0" applyFill="0" applyBorder="0" applyAlignment="0" applyProtection="0"/>
    <xf numFmtId="0" fontId="36" fillId="0" borderId="0" applyNumberFormat="0" applyFill="0" applyBorder="0" applyAlignment="0" applyProtection="0"/>
    <xf numFmtId="9" fontId="50" fillId="0" borderId="0" applyFont="0" applyFill="0" applyBorder="0" applyAlignment="0" applyProtection="0"/>
    <xf numFmtId="164" fontId="14" fillId="0" borderId="0" applyFont="0" applyFill="0" applyBorder="0" applyAlignment="0" applyProtection="0"/>
  </cellStyleXfs>
  <cellXfs count="760">
    <xf numFmtId="0" fontId="0" fillId="0" borderId="0" xfId="0"/>
    <xf numFmtId="0" fontId="0" fillId="0" borderId="0" xfId="0" applyFill="1"/>
    <xf numFmtId="0" fontId="1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65" fontId="2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165" fontId="1" fillId="0" borderId="2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165" fontId="1" fillId="0" borderId="2" xfId="0" applyNumberFormat="1" applyFont="1" applyFill="1" applyBorder="1" applyAlignment="1">
      <alignment horizontal="center" vertical="center" wrapText="1"/>
    </xf>
    <xf numFmtId="0" fontId="7" fillId="0" borderId="0" xfId="0" applyFont="1"/>
    <xf numFmtId="0" fontId="1" fillId="0" borderId="0" xfId="0" applyFont="1"/>
    <xf numFmtId="0" fontId="2" fillId="0" borderId="0" xfId="1" applyFont="1" applyFill="1" applyAlignment="1">
      <alignment horizontal="center" wrapText="1"/>
    </xf>
    <xf numFmtId="0" fontId="1" fillId="0" borderId="8" xfId="1" applyFont="1" applyFill="1" applyBorder="1" applyAlignment="1">
      <alignment horizontal="center" vertical="center" wrapText="1"/>
    </xf>
    <xf numFmtId="0" fontId="1" fillId="0" borderId="8" xfId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/>
    </xf>
    <xf numFmtId="3" fontId="1" fillId="0" borderId="2" xfId="1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center" vertical="center"/>
    </xf>
    <xf numFmtId="165" fontId="2" fillId="0" borderId="2" xfId="1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2" fillId="0" borderId="2" xfId="1" applyFont="1" applyFill="1" applyBorder="1" applyAlignment="1">
      <alignment vertical="center" wrapText="1"/>
    </xf>
    <xf numFmtId="49" fontId="2" fillId="0" borderId="2" xfId="1" applyNumberFormat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vertical="center" wrapText="1"/>
    </xf>
    <xf numFmtId="165" fontId="1" fillId="0" borderId="2" xfId="1" applyNumberFormat="1" applyFont="1" applyFill="1" applyBorder="1" applyAlignment="1">
      <alignment horizontal="center" vertical="center" wrapText="1"/>
    </xf>
    <xf numFmtId="165" fontId="1" fillId="0" borderId="2" xfId="1" applyNumberFormat="1" applyFont="1" applyFill="1" applyBorder="1" applyAlignment="1">
      <alignment horizontal="center" vertical="center"/>
    </xf>
    <xf numFmtId="165" fontId="1" fillId="0" borderId="2" xfId="1" applyNumberFormat="1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2" xfId="1" applyFont="1" applyFill="1" applyBorder="1" applyAlignment="1">
      <alignment horizontal="left" vertical="center" wrapText="1"/>
    </xf>
    <xf numFmtId="49" fontId="1" fillId="0" borderId="2" xfId="1" applyNumberFormat="1" applyFont="1" applyFill="1" applyBorder="1" applyAlignment="1">
      <alignment horizontal="center" vertical="center" wrapText="1"/>
    </xf>
    <xf numFmtId="0" fontId="1" fillId="0" borderId="0" xfId="1" applyFont="1" applyFill="1" applyAlignment="1">
      <alignment horizontal="left" vertical="center" wrapText="1"/>
    </xf>
    <xf numFmtId="0" fontId="2" fillId="0" borderId="2" xfId="1" applyFont="1" applyFill="1" applyBorder="1" applyAlignment="1">
      <alignment horizontal="left" vertical="center" wrapText="1"/>
    </xf>
    <xf numFmtId="0" fontId="1" fillId="0" borderId="0" xfId="1" applyFont="1" applyFill="1" applyAlignment="1">
      <alignment vertical="center" wrapText="1"/>
    </xf>
    <xf numFmtId="0" fontId="1" fillId="0" borderId="2" xfId="1" applyFont="1" applyFill="1" applyBorder="1" applyAlignment="1">
      <alignment horizontal="justify" vertical="center" wrapText="1"/>
    </xf>
    <xf numFmtId="0" fontId="1" fillId="0" borderId="13" xfId="1" applyFont="1" applyFill="1" applyBorder="1" applyAlignment="1">
      <alignment horizontal="center" vertical="center" wrapText="1"/>
    </xf>
    <xf numFmtId="0" fontId="1" fillId="0" borderId="2" xfId="1" applyNumberFormat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vertical="top" wrapText="1"/>
    </xf>
    <xf numFmtId="49" fontId="1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 wrapText="1"/>
    </xf>
    <xf numFmtId="0" fontId="1" fillId="0" borderId="11" xfId="1" applyFont="1" applyFill="1" applyBorder="1" applyAlignment="1">
      <alignment horizontal="justify" vertical="center" wrapText="1"/>
    </xf>
    <xf numFmtId="0" fontId="2" fillId="0" borderId="2" xfId="1" applyFont="1" applyFill="1" applyBorder="1" applyAlignment="1">
      <alignment horizontal="left" vertical="center"/>
    </xf>
    <xf numFmtId="165" fontId="2" fillId="0" borderId="2" xfId="1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2" fillId="0" borderId="2" xfId="1" applyFont="1" applyFill="1" applyBorder="1" applyAlignment="1">
      <alignment horizontal="center" vertical="center"/>
    </xf>
    <xf numFmtId="1" fontId="2" fillId="0" borderId="2" xfId="1" applyNumberFormat="1" applyFont="1" applyFill="1" applyBorder="1" applyAlignment="1">
      <alignment vertical="center" wrapText="1"/>
    </xf>
    <xf numFmtId="165" fontId="11" fillId="0" borderId="2" xfId="1" applyNumberFormat="1" applyFont="1" applyFill="1" applyBorder="1" applyAlignment="1">
      <alignment horizontal="center"/>
    </xf>
    <xf numFmtId="0" fontId="8" fillId="0" borderId="0" xfId="1" applyFill="1"/>
    <xf numFmtId="0" fontId="7" fillId="0" borderId="0" xfId="1" applyFont="1" applyFill="1"/>
    <xf numFmtId="4" fontId="12" fillId="0" borderId="0" xfId="1" applyNumberFormat="1" applyFont="1" applyFill="1" applyAlignment="1">
      <alignment horizontal="center"/>
    </xf>
    <xf numFmtId="0" fontId="7" fillId="0" borderId="0" xfId="1" applyFont="1" applyFill="1" applyAlignment="1"/>
    <xf numFmtId="1" fontId="7" fillId="0" borderId="0" xfId="1" applyNumberFormat="1" applyFont="1" applyFill="1"/>
    <xf numFmtId="2" fontId="7" fillId="0" borderId="0" xfId="1" applyNumberFormat="1" applyFont="1" applyFill="1"/>
    <xf numFmtId="0" fontId="8" fillId="0" borderId="0" xfId="0" applyFont="1" applyFill="1"/>
    <xf numFmtId="0" fontId="1" fillId="0" borderId="0" xfId="1" applyFont="1" applyFill="1"/>
    <xf numFmtId="0" fontId="2" fillId="0" borderId="2" xfId="0" applyFont="1" applyFill="1" applyBorder="1" applyAlignment="1">
      <alignment horizontal="left" vertical="center" wrapText="1"/>
    </xf>
    <xf numFmtId="165" fontId="2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1" fontId="2" fillId="0" borderId="2" xfId="0" applyNumberFormat="1" applyFont="1" applyFill="1" applyBorder="1" applyAlignment="1">
      <alignment vertical="center" wrapText="1"/>
    </xf>
    <xf numFmtId="0" fontId="1" fillId="0" borderId="0" xfId="0" applyFont="1" applyFill="1"/>
    <xf numFmtId="0" fontId="7" fillId="0" borderId="0" xfId="0" applyFont="1" applyFill="1"/>
    <xf numFmtId="0" fontId="2" fillId="0" borderId="0" xfId="0" applyFont="1" applyFill="1"/>
    <xf numFmtId="0" fontId="1" fillId="0" borderId="0" xfId="0" applyFont="1" applyFill="1" applyAlignment="1">
      <alignment horizont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1" fillId="0" borderId="14" xfId="0" applyFont="1" applyFill="1" applyBorder="1" applyAlignment="1">
      <alignment horizontal="left" vertical="center" wrapText="1"/>
    </xf>
    <xf numFmtId="0" fontId="4" fillId="0" borderId="2" xfId="0" applyFont="1" applyFill="1" applyBorder="1"/>
    <xf numFmtId="0" fontId="2" fillId="0" borderId="2" xfId="0" applyFont="1" applyFill="1" applyBorder="1"/>
    <xf numFmtId="0" fontId="1" fillId="0" borderId="2" xfId="0" applyFont="1" applyFill="1" applyBorder="1"/>
    <xf numFmtId="2" fontId="1" fillId="0" borderId="2" xfId="0" applyNumberFormat="1" applyFont="1" applyFill="1" applyBorder="1" applyAlignment="1">
      <alignment horizontal="center" vertical="center"/>
    </xf>
    <xf numFmtId="2" fontId="2" fillId="0" borderId="2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11" fillId="0" borderId="2" xfId="0" applyFont="1" applyFill="1" applyBorder="1"/>
    <xf numFmtId="0" fontId="2" fillId="0" borderId="2" xfId="0" applyFont="1" applyBorder="1"/>
    <xf numFmtId="0" fontId="16" fillId="0" borderId="2" xfId="0" applyFont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49" fontId="1" fillId="0" borderId="10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0" fontId="18" fillId="0" borderId="1" xfId="0" applyFont="1" applyBorder="1" applyAlignment="1">
      <alignment horizontal="right"/>
    </xf>
    <xf numFmtId="0" fontId="19" fillId="0" borderId="2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vertical="center"/>
    </xf>
    <xf numFmtId="0" fontId="1" fillId="0" borderId="2" xfId="1" applyFont="1" applyFill="1" applyBorder="1" applyAlignment="1">
      <alignment vertical="center"/>
    </xf>
    <xf numFmtId="0" fontId="1" fillId="0" borderId="2" xfId="1" applyFont="1" applyFill="1" applyBorder="1" applyAlignment="1">
      <alignment horizontal="left" vertical="center"/>
    </xf>
    <xf numFmtId="0" fontId="1" fillId="4" borderId="2" xfId="1" applyFont="1" applyFill="1" applyBorder="1" applyAlignment="1">
      <alignment vertical="center" wrapText="1"/>
    </xf>
    <xf numFmtId="0" fontId="2" fillId="4" borderId="2" xfId="1" applyFont="1" applyFill="1" applyBorder="1" applyAlignment="1">
      <alignment vertical="center" wrapText="1"/>
    </xf>
    <xf numFmtId="0" fontId="9" fillId="0" borderId="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center" wrapText="1"/>
    </xf>
    <xf numFmtId="0" fontId="1" fillId="0" borderId="0" xfId="1" applyFont="1" applyFill="1" applyBorder="1" applyAlignment="1">
      <alignment vertical="center" wrapText="1"/>
    </xf>
    <xf numFmtId="0" fontId="1" fillId="0" borderId="0" xfId="1" applyFont="1" applyFill="1" applyAlignment="1">
      <alignment horizontal="center"/>
    </xf>
    <xf numFmtId="0" fontId="12" fillId="0" borderId="0" xfId="1" applyFont="1" applyFill="1" applyAlignment="1">
      <alignment horizontal="center"/>
    </xf>
    <xf numFmtId="165" fontId="7" fillId="0" borderId="0" xfId="1" applyNumberFormat="1" applyFont="1" applyFill="1"/>
    <xf numFmtId="2" fontId="13" fillId="0" borderId="0" xfId="1" applyNumberFormat="1" applyFont="1" applyFill="1"/>
    <xf numFmtId="2" fontId="0" fillId="0" borderId="0" xfId="0" applyNumberFormat="1" applyFill="1"/>
    <xf numFmtId="49" fontId="1" fillId="0" borderId="15" xfId="1" applyNumberFormat="1" applyFont="1" applyFill="1" applyBorder="1" applyAlignment="1">
      <alignment horizontal="center" vertical="center"/>
    </xf>
    <xf numFmtId="0" fontId="0" fillId="0" borderId="0" xfId="0" applyBorder="1"/>
    <xf numFmtId="49" fontId="1" fillId="0" borderId="0" xfId="1" applyNumberFormat="1" applyFont="1" applyFill="1" applyBorder="1" applyAlignment="1">
      <alignment horizontal="center" vertical="center"/>
    </xf>
    <xf numFmtId="0" fontId="0" fillId="0" borderId="0" xfId="0" applyFill="1" applyBorder="1"/>
    <xf numFmtId="49" fontId="21" fillId="0" borderId="2" xfId="1" applyNumberFormat="1" applyFont="1" applyFill="1" applyBorder="1" applyAlignment="1">
      <alignment horizontal="center" vertical="center"/>
    </xf>
    <xf numFmtId="49" fontId="20" fillId="0" borderId="15" xfId="1" applyNumberFormat="1" applyFont="1" applyFill="1" applyBorder="1" applyAlignment="1">
      <alignment horizontal="center" vertical="center"/>
    </xf>
    <xf numFmtId="0" fontId="0" fillId="0" borderId="0" xfId="0" applyFont="1" applyFill="1"/>
    <xf numFmtId="49" fontId="1" fillId="0" borderId="15" xfId="0" applyNumberFormat="1" applyFont="1" applyFill="1" applyBorder="1" applyAlignment="1">
      <alignment horizontal="center" vertical="center"/>
    </xf>
    <xf numFmtId="165" fontId="0" fillId="0" borderId="0" xfId="0" applyNumberFormat="1" applyFill="1" applyBorder="1"/>
    <xf numFmtId="0" fontId="8" fillId="0" borderId="0" xfId="0" applyFont="1" applyFill="1" applyBorder="1"/>
    <xf numFmtId="165" fontId="0" fillId="0" borderId="0" xfId="0" applyNumberFormat="1" applyFill="1"/>
    <xf numFmtId="0" fontId="20" fillId="0" borderId="0" xfId="0" applyFont="1" applyFill="1" applyBorder="1" applyAlignment="1">
      <alignment horizontal="right" vertical="center" wrapText="1"/>
    </xf>
    <xf numFmtId="4" fontId="0" fillId="0" borderId="0" xfId="0" applyNumberFormat="1" applyFill="1" applyBorder="1"/>
    <xf numFmtId="2" fontId="0" fillId="0" borderId="0" xfId="0" applyNumberFormat="1" applyFill="1" applyBorder="1"/>
    <xf numFmtId="49" fontId="1" fillId="0" borderId="15" xfId="1" applyNumberFormat="1" applyFont="1" applyFill="1" applyBorder="1" applyAlignment="1">
      <alignment horizontal="left" vertical="center"/>
    </xf>
    <xf numFmtId="165" fontId="2" fillId="0" borderId="2" xfId="0" applyNumberFormat="1" applyFont="1" applyFill="1" applyBorder="1" applyAlignment="1">
      <alignment horizontal="center"/>
    </xf>
    <xf numFmtId="0" fontId="0" fillId="0" borderId="0" xfId="0" applyFont="1"/>
    <xf numFmtId="0" fontId="0" fillId="0" borderId="0" xfId="0" applyFont="1" applyBorder="1"/>
    <xf numFmtId="0" fontId="0" fillId="5" borderId="0" xfId="0" applyFill="1" applyBorder="1"/>
    <xf numFmtId="0" fontId="8" fillId="5" borderId="0" xfId="0" applyFont="1" applyFill="1" applyBorder="1"/>
    <xf numFmtId="0" fontId="24" fillId="5" borderId="0" xfId="0" applyFont="1" applyFill="1" applyBorder="1" applyAlignment="1">
      <alignment horizontal="center" vertical="center"/>
    </xf>
    <xf numFmtId="49" fontId="10" fillId="0" borderId="2" xfId="0" applyNumberFormat="1" applyFont="1" applyBorder="1" applyAlignment="1">
      <alignment horizontal="left" vertical="center" wrapText="1"/>
    </xf>
    <xf numFmtId="0" fontId="0" fillId="0" borderId="0" xfId="0" applyFont="1" applyFill="1" applyBorder="1"/>
    <xf numFmtId="0" fontId="0" fillId="0" borderId="0" xfId="0" applyNumberFormat="1" applyFill="1"/>
    <xf numFmtId="0" fontId="1" fillId="0" borderId="0" xfId="0" applyNumberFormat="1" applyFont="1" applyFill="1" applyAlignment="1">
      <alignment horizontal="right"/>
    </xf>
    <xf numFmtId="0" fontId="1" fillId="0" borderId="0" xfId="0" applyNumberFormat="1" applyFont="1" applyFill="1" applyAlignment="1"/>
    <xf numFmtId="0" fontId="3" fillId="0" borderId="1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left" vertical="top"/>
    </xf>
    <xf numFmtId="0" fontId="2" fillId="0" borderId="2" xfId="0" applyNumberFormat="1" applyFont="1" applyFill="1" applyBorder="1" applyAlignment="1">
      <alignment horizontal="center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vertical="top" wrapText="1"/>
    </xf>
    <xf numFmtId="0" fontId="1" fillId="0" borderId="3" xfId="0" applyNumberFormat="1" applyFont="1" applyFill="1" applyBorder="1" applyAlignment="1">
      <alignment horizontal="left" vertical="top" wrapText="1"/>
    </xf>
    <xf numFmtId="0" fontId="1" fillId="0" borderId="3" xfId="0" applyNumberFormat="1" applyFont="1" applyFill="1" applyBorder="1" applyAlignment="1">
      <alignment horizontal="justify" vertical="top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vertical="top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vertical="top" wrapText="1"/>
    </xf>
    <xf numFmtId="0" fontId="2" fillId="0" borderId="10" xfId="0" applyNumberFormat="1" applyFont="1" applyFill="1" applyBorder="1" applyAlignment="1">
      <alignment vertical="center" wrapText="1"/>
    </xf>
    <xf numFmtId="0" fontId="2" fillId="0" borderId="3" xfId="0" applyNumberFormat="1" applyFont="1" applyFill="1" applyBorder="1" applyAlignment="1">
      <alignment horizontal="left" vertical="top" wrapText="1"/>
    </xf>
    <xf numFmtId="0" fontId="2" fillId="0" borderId="3" xfId="0" applyNumberFormat="1" applyFont="1" applyFill="1" applyBorder="1" applyAlignment="1">
      <alignment vertical="center" wrapText="1"/>
    </xf>
    <xf numFmtId="0" fontId="0" fillId="0" borderId="0" xfId="0" applyNumberFormat="1" applyFont="1" applyFill="1"/>
    <xf numFmtId="0" fontId="1" fillId="0" borderId="2" xfId="0" applyNumberFormat="1" applyFont="1" applyFill="1" applyBorder="1" applyAlignment="1">
      <alignment horizontal="left" vertical="top" wrapText="1"/>
    </xf>
    <xf numFmtId="0" fontId="22" fillId="0" borderId="0" xfId="0" applyNumberFormat="1" applyFont="1" applyFill="1"/>
    <xf numFmtId="0" fontId="1" fillId="0" borderId="12" xfId="0" applyNumberFormat="1" applyFont="1" applyFill="1" applyBorder="1" applyAlignment="1">
      <alignment horizontal="left" vertical="top" wrapText="1"/>
    </xf>
    <xf numFmtId="0" fontId="12" fillId="0" borderId="0" xfId="0" applyNumberFormat="1" applyFont="1" applyFill="1" applyAlignment="1">
      <alignment horizontal="left"/>
    </xf>
    <xf numFmtId="165" fontId="1" fillId="6" borderId="2" xfId="1" applyNumberFormat="1" applyFont="1" applyFill="1" applyBorder="1" applyAlignment="1">
      <alignment horizontal="center" vertical="center"/>
    </xf>
    <xf numFmtId="49" fontId="1" fillId="0" borderId="9" xfId="1" applyNumberFormat="1" applyFont="1" applyFill="1" applyBorder="1" applyAlignment="1">
      <alignment horizontal="center" vertical="center"/>
    </xf>
    <xf numFmtId="165" fontId="1" fillId="6" borderId="2" xfId="1" applyNumberFormat="1" applyFont="1" applyFill="1" applyBorder="1" applyAlignment="1">
      <alignment horizontal="center" vertical="center" wrapText="1"/>
    </xf>
    <xf numFmtId="165" fontId="1" fillId="6" borderId="8" xfId="1" applyNumberFormat="1" applyFont="1" applyFill="1" applyBorder="1" applyAlignment="1" applyProtection="1">
      <alignment horizontal="center" vertical="center" shrinkToFit="1"/>
      <protection locked="0"/>
    </xf>
    <xf numFmtId="165" fontId="1" fillId="6" borderId="2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/>
    </xf>
    <xf numFmtId="165" fontId="1" fillId="7" borderId="2" xfId="1" applyNumberFormat="1" applyFont="1" applyFill="1" applyBorder="1" applyAlignment="1">
      <alignment horizontal="center" vertical="center" wrapText="1"/>
    </xf>
    <xf numFmtId="165" fontId="1" fillId="8" borderId="2" xfId="1" applyNumberFormat="1" applyFont="1" applyFill="1" applyBorder="1" applyAlignment="1">
      <alignment horizontal="center" vertical="center"/>
    </xf>
    <xf numFmtId="0" fontId="1" fillId="7" borderId="2" xfId="1" applyFont="1" applyFill="1" applyBorder="1" applyAlignment="1">
      <alignment vertical="center" wrapText="1"/>
    </xf>
    <xf numFmtId="49" fontId="1" fillId="0" borderId="9" xfId="1" applyNumberFormat="1" applyFont="1" applyFill="1" applyBorder="1" applyAlignment="1">
      <alignment horizontal="left" vertical="center"/>
    </xf>
    <xf numFmtId="165" fontId="1" fillId="7" borderId="2" xfId="1" applyNumberFormat="1" applyFont="1" applyFill="1" applyBorder="1" applyAlignment="1">
      <alignment horizontal="center" vertical="center"/>
    </xf>
    <xf numFmtId="165" fontId="1" fillId="7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vertical="center"/>
    </xf>
    <xf numFmtId="49" fontId="25" fillId="0" borderId="0" xfId="1" applyNumberFormat="1" applyFont="1" applyFill="1" applyBorder="1" applyAlignment="1">
      <alignment horizontal="center" vertical="center"/>
    </xf>
    <xf numFmtId="49" fontId="25" fillId="0" borderId="15" xfId="1" applyNumberFormat="1" applyFont="1" applyFill="1" applyBorder="1" applyAlignment="1">
      <alignment horizontal="center" vertical="center"/>
    </xf>
    <xf numFmtId="0" fontId="26" fillId="9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7" fillId="0" borderId="0" xfId="0" applyFont="1" applyFill="1"/>
    <xf numFmtId="0" fontId="1" fillId="0" borderId="2" xfId="0" applyFont="1" applyFill="1" applyBorder="1" applyAlignment="1">
      <alignment horizontal="left" vertical="top" wrapText="1"/>
    </xf>
    <xf numFmtId="165" fontId="27" fillId="0" borderId="0" xfId="0" applyNumberFormat="1" applyFont="1" applyFill="1"/>
    <xf numFmtId="0" fontId="20" fillId="0" borderId="2" xfId="0" applyFont="1" applyFill="1" applyBorder="1" applyAlignment="1">
      <alignment horizontal="center" vertical="center" wrapText="1"/>
    </xf>
    <xf numFmtId="49" fontId="18" fillId="0" borderId="2" xfId="1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5" fillId="0" borderId="6" xfId="0" applyNumberFormat="1" applyFont="1" applyFill="1" applyBorder="1" applyAlignment="1">
      <alignment horizontal="center" vertical="center" wrapText="1"/>
    </xf>
    <xf numFmtId="0" fontId="5" fillId="0" borderId="7" xfId="0" applyNumberFormat="1" applyFont="1" applyFill="1" applyBorder="1" applyAlignment="1">
      <alignment horizontal="left" vertical="top" wrapText="1"/>
    </xf>
    <xf numFmtId="0" fontId="1" fillId="0" borderId="11" xfId="0" applyFont="1" applyFill="1" applyBorder="1" applyAlignment="1">
      <alignment vertical="center" wrapText="1"/>
    </xf>
    <xf numFmtId="165" fontId="1" fillId="0" borderId="15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vertical="top" wrapText="1"/>
    </xf>
    <xf numFmtId="0" fontId="31" fillId="0" borderId="0" xfId="0" applyFont="1"/>
    <xf numFmtId="0" fontId="12" fillId="0" borderId="0" xfId="0" applyNumberFormat="1" applyFont="1" applyFill="1" applyAlignment="1">
      <alignment horizontal="right"/>
    </xf>
    <xf numFmtId="49" fontId="2" fillId="0" borderId="2" xfId="1" applyNumberFormat="1" applyFont="1" applyFill="1" applyBorder="1" applyAlignment="1">
      <alignment horizontal="left" vertical="center" wrapText="1"/>
    </xf>
    <xf numFmtId="49" fontId="1" fillId="0" borderId="2" xfId="1" applyNumberFormat="1" applyFont="1" applyFill="1" applyBorder="1" applyAlignment="1">
      <alignment horizontal="left" vertical="top" wrapText="1"/>
    </xf>
    <xf numFmtId="0" fontId="8" fillId="0" borderId="0" xfId="1" applyNumberFormat="1" applyFill="1"/>
    <xf numFmtId="49" fontId="1" fillId="0" borderId="2" xfId="1" applyNumberFormat="1" applyFont="1" applyFill="1" applyBorder="1" applyAlignment="1">
      <alignment horizontal="left" vertical="center" wrapText="1"/>
    </xf>
    <xf numFmtId="0" fontId="31" fillId="0" borderId="0" xfId="0" applyNumberFormat="1" applyFont="1" applyFill="1"/>
    <xf numFmtId="165" fontId="31" fillId="0" borderId="0" xfId="0" applyNumberFormat="1" applyFont="1" applyFill="1"/>
    <xf numFmtId="0" fontId="32" fillId="0" borderId="0" xfId="0" applyNumberFormat="1" applyFont="1" applyFill="1"/>
    <xf numFmtId="0" fontId="2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right"/>
    </xf>
    <xf numFmtId="165" fontId="11" fillId="0" borderId="0" xfId="0" applyNumberFormat="1" applyFont="1" applyFill="1" applyBorder="1" applyAlignment="1">
      <alignment horizontal="center" vertical="center"/>
    </xf>
    <xf numFmtId="165" fontId="1" fillId="0" borderId="0" xfId="0" applyNumberFormat="1" applyFont="1" applyFill="1" applyBorder="1" applyAlignment="1">
      <alignment horizontal="center" vertical="center"/>
    </xf>
    <xf numFmtId="165" fontId="4" fillId="0" borderId="0" xfId="0" applyNumberFormat="1" applyFont="1" applyFill="1" applyBorder="1" applyAlignment="1">
      <alignment horizontal="center" vertical="center"/>
    </xf>
    <xf numFmtId="165" fontId="12" fillId="0" borderId="0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Alignment="1">
      <alignment vertical="center"/>
    </xf>
    <xf numFmtId="0" fontId="0" fillId="0" borderId="0" xfId="0"/>
    <xf numFmtId="0" fontId="0" fillId="0" borderId="0" xfId="0" applyFill="1"/>
    <xf numFmtId="2" fontId="0" fillId="0" borderId="0" xfId="0" applyNumberFormat="1" applyFill="1"/>
    <xf numFmtId="0" fontId="0" fillId="0" borderId="0" xfId="0" applyFont="1" applyFill="1"/>
    <xf numFmtId="0" fontId="31" fillId="0" borderId="0" xfId="0" applyFont="1" applyFill="1"/>
    <xf numFmtId="0" fontId="0" fillId="0" borderId="0" xfId="0" applyNumberFormat="1" applyFill="1" applyAlignment="1">
      <alignment horizontal="center" vertical="center"/>
    </xf>
    <xf numFmtId="4" fontId="12" fillId="2" borderId="0" xfId="1" applyNumberFormat="1" applyFont="1" applyFill="1" applyAlignment="1">
      <alignment horizontal="center"/>
    </xf>
    <xf numFmtId="165" fontId="10" fillId="0" borderId="2" xfId="1" applyNumberFormat="1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left" vertical="center" wrapText="1"/>
    </xf>
    <xf numFmtId="0" fontId="35" fillId="0" borderId="3" xfId="0" applyFont="1" applyFill="1" applyBorder="1" applyAlignment="1">
      <alignment horizontal="left" vertical="center" wrapText="1"/>
    </xf>
    <xf numFmtId="0" fontId="33" fillId="0" borderId="2" xfId="0" applyFont="1" applyFill="1" applyBorder="1" applyAlignment="1">
      <alignment horizontal="left" vertical="top" wrapText="1"/>
    </xf>
    <xf numFmtId="0" fontId="33" fillId="0" borderId="3" xfId="0" applyFont="1" applyFill="1" applyBorder="1" applyAlignment="1">
      <alignment horizontal="justify" vertical="center" wrapText="1"/>
    </xf>
    <xf numFmtId="0" fontId="2" fillId="0" borderId="2" xfId="1" applyFont="1" applyFill="1" applyBorder="1" applyAlignment="1">
      <alignment vertical="top" wrapText="1"/>
    </xf>
    <xf numFmtId="0" fontId="33" fillId="0" borderId="3" xfId="0" applyFont="1" applyFill="1" applyBorder="1" applyAlignment="1">
      <alignment vertical="center" wrapText="1"/>
    </xf>
    <xf numFmtId="0" fontId="2" fillId="0" borderId="11" xfId="0" applyFont="1" applyFill="1" applyBorder="1" applyAlignment="1">
      <alignment vertical="center" wrapText="1"/>
    </xf>
    <xf numFmtId="0" fontId="2" fillId="0" borderId="9" xfId="1" applyFont="1" applyFill="1" applyBorder="1" applyAlignment="1">
      <alignment vertical="center" wrapText="1"/>
    </xf>
    <xf numFmtId="0" fontId="2" fillId="0" borderId="13" xfId="1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left" vertical="top" wrapText="1"/>
    </xf>
    <xf numFmtId="0" fontId="2" fillId="0" borderId="13" xfId="1" applyFont="1" applyFill="1" applyBorder="1" applyAlignment="1">
      <alignment horizontal="left" vertical="center" wrapText="1"/>
    </xf>
    <xf numFmtId="49" fontId="2" fillId="0" borderId="2" xfId="1" applyNumberFormat="1" applyFont="1" applyFill="1" applyBorder="1" applyAlignment="1">
      <alignment horizontal="center" vertical="center" wrapText="1"/>
    </xf>
    <xf numFmtId="0" fontId="15" fillId="0" borderId="2" xfId="0" applyFont="1" applyFill="1" applyBorder="1"/>
    <xf numFmtId="0" fontId="10" fillId="0" borderId="3" xfId="0" applyFont="1" applyFill="1" applyBorder="1" applyAlignment="1">
      <alignment horizontal="left" vertical="center" wrapText="1"/>
    </xf>
    <xf numFmtId="2" fontId="0" fillId="0" borderId="0" xfId="0" applyNumberFormat="1"/>
    <xf numFmtId="0" fontId="1" fillId="0" borderId="8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left" vertical="center" wrapText="1"/>
    </xf>
    <xf numFmtId="166" fontId="10" fillId="0" borderId="2" xfId="0" applyNumberFormat="1" applyFont="1" applyFill="1" applyBorder="1" applyAlignment="1">
      <alignment vertical="center" wrapText="1"/>
    </xf>
    <xf numFmtId="4" fontId="0" fillId="0" borderId="0" xfId="0" applyNumberFormat="1" applyFill="1"/>
    <xf numFmtId="0" fontId="10" fillId="0" borderId="8" xfId="0" applyFont="1" applyFill="1" applyBorder="1" applyAlignment="1">
      <alignment vertical="center" wrapText="1"/>
    </xf>
    <xf numFmtId="4" fontId="0" fillId="0" borderId="0" xfId="0" applyNumberFormat="1"/>
    <xf numFmtId="4" fontId="15" fillId="0" borderId="2" xfId="0" applyNumberFormat="1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left" vertical="center" wrapText="1"/>
    </xf>
    <xf numFmtId="0" fontId="1" fillId="0" borderId="10" xfId="0" applyNumberFormat="1" applyFont="1" applyFill="1" applyBorder="1" applyAlignment="1">
      <alignment vertical="center" wrapText="1"/>
    </xf>
    <xf numFmtId="0" fontId="1" fillId="0" borderId="3" xfId="0" applyNumberFormat="1" applyFont="1" applyFill="1" applyBorder="1" applyAlignment="1">
      <alignment vertical="center" wrapText="1"/>
    </xf>
    <xf numFmtId="0" fontId="15" fillId="0" borderId="0" xfId="0" applyFont="1" applyFill="1" applyAlignment="1">
      <alignment horizontal="center" wrapText="1"/>
    </xf>
    <xf numFmtId="0" fontId="17" fillId="0" borderId="2" xfId="0" applyFont="1" applyFill="1" applyBorder="1"/>
    <xf numFmtId="0" fontId="2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33" fillId="0" borderId="3" xfId="0" applyFont="1" applyFill="1" applyBorder="1" applyAlignment="1">
      <alignment horizontal="left" vertical="center" wrapText="1"/>
    </xf>
    <xf numFmtId="0" fontId="35" fillId="0" borderId="0" xfId="0" applyFont="1" applyFill="1" applyAlignment="1">
      <alignment horizontal="left" vertical="center" wrapText="1"/>
    </xf>
    <xf numFmtId="0" fontId="2" fillId="0" borderId="0" xfId="3" applyFont="1" applyFill="1" applyAlignment="1">
      <alignment horizontal="left" vertical="center" wrapText="1"/>
    </xf>
    <xf numFmtId="0" fontId="1" fillId="0" borderId="2" xfId="3" applyFont="1" applyFill="1" applyBorder="1" applyAlignment="1">
      <alignment horizontal="left" vertical="center" wrapText="1"/>
    </xf>
    <xf numFmtId="0" fontId="2" fillId="0" borderId="2" xfId="3" applyFont="1" applyFill="1" applyBorder="1" applyAlignment="1">
      <alignment horizontal="left" vertical="center" wrapText="1"/>
    </xf>
    <xf numFmtId="0" fontId="1" fillId="0" borderId="0" xfId="3" applyFont="1" applyFill="1" applyAlignment="1">
      <alignment horizontal="left" vertical="center" wrapText="1"/>
    </xf>
    <xf numFmtId="0" fontId="34" fillId="0" borderId="3" xfId="0" applyFont="1" applyFill="1" applyBorder="1" applyAlignment="1">
      <alignment horizontal="right" wrapText="1"/>
    </xf>
    <xf numFmtId="0" fontId="2" fillId="0" borderId="0" xfId="1" applyFont="1" applyFill="1" applyAlignment="1">
      <alignment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vertical="center" wrapText="1"/>
    </xf>
    <xf numFmtId="49" fontId="10" fillId="0" borderId="2" xfId="0" applyNumberFormat="1" applyFont="1" applyFill="1" applyBorder="1" applyAlignment="1">
      <alignment horizontal="left" vertical="center" wrapText="1"/>
    </xf>
    <xf numFmtId="165" fontId="1" fillId="0" borderId="8" xfId="1" applyNumberFormat="1" applyFont="1" applyFill="1" applyBorder="1" applyAlignment="1" applyProtection="1">
      <alignment horizontal="center" vertical="center" shrinkToFit="1"/>
      <protection locked="0"/>
    </xf>
    <xf numFmtId="0" fontId="2" fillId="0" borderId="13" xfId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justify" vertical="center" wrapText="1"/>
    </xf>
    <xf numFmtId="0" fontId="0" fillId="7" borderId="0" xfId="0" applyFill="1"/>
    <xf numFmtId="2" fontId="0" fillId="0" borderId="0" xfId="0" applyNumberFormat="1" applyFill="1" applyAlignment="1">
      <alignment horizontal="center" vertical="center"/>
    </xf>
    <xf numFmtId="4" fontId="0" fillId="0" borderId="0" xfId="0" applyNumberFormat="1" applyFill="1" applyAlignment="1">
      <alignment horizontal="center" vertical="center"/>
    </xf>
    <xf numFmtId="0" fontId="2" fillId="0" borderId="8" xfId="0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 vertical="center" wrapText="1"/>
    </xf>
    <xf numFmtId="0" fontId="35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35" fillId="0" borderId="2" xfId="0" applyFont="1" applyBorder="1" applyAlignment="1">
      <alignment vertical="center"/>
    </xf>
    <xf numFmtId="0" fontId="35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vertical="center" wrapText="1"/>
    </xf>
    <xf numFmtId="0" fontId="35" fillId="0" borderId="2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center"/>
    </xf>
    <xf numFmtId="165" fontId="1" fillId="0" borderId="0" xfId="0" applyNumberFormat="1" applyFont="1" applyFill="1" applyAlignment="1">
      <alignment horizontal="right"/>
    </xf>
    <xf numFmtId="165" fontId="28" fillId="0" borderId="0" xfId="0" applyNumberFormat="1" applyFont="1" applyFill="1" applyAlignment="1">
      <alignment horizontal="center"/>
    </xf>
    <xf numFmtId="165" fontId="1" fillId="0" borderId="8" xfId="0" applyNumberFormat="1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vertical="center" wrapText="1"/>
    </xf>
    <xf numFmtId="49" fontId="1" fillId="7" borderId="2" xfId="1" applyNumberFormat="1" applyFont="1" applyFill="1" applyBorder="1" applyAlignment="1">
      <alignment horizontal="center" vertical="center"/>
    </xf>
    <xf numFmtId="0" fontId="1" fillId="7" borderId="8" xfId="0" applyNumberFormat="1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vertical="center" wrapText="1"/>
    </xf>
    <xf numFmtId="0" fontId="2" fillId="7" borderId="8" xfId="0" applyNumberFormat="1" applyFont="1" applyFill="1" applyBorder="1" applyAlignment="1">
      <alignment horizontal="center" vertical="center" wrapText="1"/>
    </xf>
    <xf numFmtId="0" fontId="35" fillId="7" borderId="3" xfId="0" applyFont="1" applyFill="1" applyBorder="1" applyAlignment="1">
      <alignment vertical="center" wrapText="1"/>
    </xf>
    <xf numFmtId="1" fontId="2" fillId="0" borderId="0" xfId="1" applyNumberFormat="1" applyFont="1" applyFill="1" applyBorder="1" applyAlignment="1">
      <alignment vertical="center" wrapText="1"/>
    </xf>
    <xf numFmtId="49" fontId="2" fillId="0" borderId="0" xfId="1" applyNumberFormat="1" applyFont="1" applyFill="1" applyBorder="1" applyAlignment="1">
      <alignment horizontal="center" vertical="center"/>
    </xf>
    <xf numFmtId="165" fontId="2" fillId="0" borderId="0" xfId="1" applyNumberFormat="1" applyFont="1" applyFill="1" applyBorder="1" applyAlignment="1">
      <alignment horizontal="center"/>
    </xf>
    <xf numFmtId="2" fontId="0" fillId="10" borderId="0" xfId="0" applyNumberFormat="1" applyFill="1"/>
    <xf numFmtId="0" fontId="1" fillId="7" borderId="2" xfId="0" applyFont="1" applyFill="1" applyBorder="1" applyAlignment="1">
      <alignment horizontal="left" vertical="center" wrapText="1"/>
    </xf>
    <xf numFmtId="4" fontId="29" fillId="0" borderId="2" xfId="0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wrapText="1"/>
    </xf>
    <xf numFmtId="0" fontId="1" fillId="0" borderId="12" xfId="0" applyNumberFormat="1" applyFont="1" applyFill="1" applyBorder="1" applyAlignment="1">
      <alignment horizontal="left" vertical="center" wrapText="1"/>
    </xf>
    <xf numFmtId="0" fontId="2" fillId="0" borderId="9" xfId="0" applyNumberFormat="1" applyFont="1" applyFill="1" applyBorder="1" applyAlignment="1">
      <alignment vertical="center" wrapText="1"/>
    </xf>
    <xf numFmtId="2" fontId="1" fillId="0" borderId="0" xfId="0" applyNumberFormat="1" applyFont="1" applyFill="1" applyBorder="1" applyAlignment="1">
      <alignment horizontal="center" vertical="center"/>
    </xf>
    <xf numFmtId="4" fontId="10" fillId="0" borderId="0" xfId="0" applyNumberFormat="1" applyFont="1" applyFill="1" applyAlignment="1">
      <alignment horizontal="center" vertical="center"/>
    </xf>
    <xf numFmtId="165" fontId="10" fillId="0" borderId="0" xfId="0" applyNumberFormat="1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165" fontId="35" fillId="0" borderId="0" xfId="0" applyNumberFormat="1" applyFont="1" applyFill="1" applyAlignment="1">
      <alignment horizontal="center" vertical="center"/>
    </xf>
    <xf numFmtId="2" fontId="10" fillId="0" borderId="0" xfId="0" applyNumberFormat="1" applyFont="1" applyFill="1" applyAlignment="1">
      <alignment horizontal="center" vertical="center"/>
    </xf>
    <xf numFmtId="2" fontId="35" fillId="0" borderId="0" xfId="0" applyNumberFormat="1" applyFont="1" applyFill="1" applyAlignment="1">
      <alignment horizontal="center" vertical="center"/>
    </xf>
    <xf numFmtId="2" fontId="34" fillId="0" borderId="0" xfId="0" applyNumberFormat="1" applyFont="1" applyFill="1" applyAlignment="1">
      <alignment horizontal="center" vertical="center"/>
    </xf>
    <xf numFmtId="2" fontId="1" fillId="0" borderId="0" xfId="1" applyNumberFormat="1" applyFont="1" applyFill="1" applyAlignment="1">
      <alignment horizontal="center" vertical="center"/>
    </xf>
    <xf numFmtId="0" fontId="1" fillId="0" borderId="11" xfId="1" applyFont="1" applyFill="1" applyBorder="1" applyAlignment="1">
      <alignment horizontal="left" vertical="center" wrapText="1"/>
    </xf>
    <xf numFmtId="0" fontId="2" fillId="0" borderId="11" xfId="1" applyFont="1" applyFill="1" applyBorder="1" applyAlignment="1">
      <alignment horizontal="left" vertical="center" wrapText="1"/>
    </xf>
    <xf numFmtId="0" fontId="33" fillId="0" borderId="2" xfId="0" applyFont="1" applyFill="1" applyBorder="1" applyAlignment="1">
      <alignment horizontal="left" vertical="center" wrapText="1"/>
    </xf>
    <xf numFmtId="166" fontId="10" fillId="0" borderId="3" xfId="0" applyNumberFormat="1" applyFont="1" applyFill="1" applyBorder="1" applyAlignment="1">
      <alignment vertical="center" wrapText="1"/>
    </xf>
    <xf numFmtId="0" fontId="2" fillId="0" borderId="12" xfId="0" applyNumberFormat="1" applyFont="1" applyFill="1" applyBorder="1" applyAlignment="1">
      <alignment horizontal="left" vertical="top" wrapText="1"/>
    </xf>
    <xf numFmtId="0" fontId="2" fillId="0" borderId="8" xfId="1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center" vertical="center"/>
    </xf>
    <xf numFmtId="165" fontId="2" fillId="0" borderId="8" xfId="0" applyNumberFormat="1" applyFont="1" applyFill="1" applyBorder="1" applyAlignment="1">
      <alignment horizontal="center" vertical="center" wrapText="1"/>
    </xf>
    <xf numFmtId="167" fontId="0" fillId="0" borderId="0" xfId="0" applyNumberFormat="1"/>
    <xf numFmtId="4" fontId="42" fillId="0" borderId="2" xfId="0" applyNumberFormat="1" applyFont="1" applyBorder="1" applyAlignment="1">
      <alignment horizontal="center" vertical="center"/>
    </xf>
    <xf numFmtId="4" fontId="43" fillId="10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2" fontId="1" fillId="0" borderId="0" xfId="0" applyNumberFormat="1" applyFont="1" applyFill="1" applyBorder="1" applyAlignment="1">
      <alignment horizontal="center" vertical="center" wrapText="1"/>
    </xf>
    <xf numFmtId="0" fontId="1" fillId="0" borderId="12" xfId="0" applyNumberFormat="1" applyFont="1" applyFill="1" applyBorder="1" applyAlignment="1">
      <alignment horizontal="right" vertical="top" wrapText="1"/>
    </xf>
    <xf numFmtId="0" fontId="44" fillId="12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right"/>
    </xf>
    <xf numFmtId="4" fontId="0" fillId="0" borderId="2" xfId="0" applyNumberFormat="1" applyFill="1" applyBorder="1" applyAlignment="1">
      <alignment horizontal="right"/>
    </xf>
    <xf numFmtId="0" fontId="0" fillId="0" borderId="3" xfId="0" applyFill="1" applyBorder="1" applyAlignment="1">
      <alignment horizontal="right"/>
    </xf>
    <xf numFmtId="4" fontId="0" fillId="0" borderId="3" xfId="0" applyNumberFormat="1" applyFill="1" applyBorder="1" applyAlignment="1">
      <alignment horizontal="right"/>
    </xf>
    <xf numFmtId="0" fontId="0" fillId="11" borderId="2" xfId="0" applyFill="1" applyBorder="1" applyAlignment="1">
      <alignment horizontal="center"/>
    </xf>
    <xf numFmtId="0" fontId="44" fillId="11" borderId="2" xfId="0" applyFont="1" applyFill="1" applyBorder="1" applyAlignment="1">
      <alignment horizontal="center" vertical="center" wrapText="1"/>
    </xf>
    <xf numFmtId="166" fontId="10" fillId="0" borderId="8" xfId="0" applyNumberFormat="1" applyFont="1" applyFill="1" applyBorder="1" applyAlignment="1">
      <alignment horizontal="left" vertical="center" wrapText="1"/>
    </xf>
    <xf numFmtId="166" fontId="1" fillId="0" borderId="2" xfId="0" applyNumberFormat="1" applyFont="1" applyFill="1" applyBorder="1" applyAlignment="1">
      <alignment vertical="center" wrapText="1"/>
    </xf>
    <xf numFmtId="0" fontId="35" fillId="0" borderId="16" xfId="0" applyFont="1" applyFill="1" applyBorder="1" applyAlignment="1">
      <alignment horizontal="left" vertical="center" wrapText="1"/>
    </xf>
    <xf numFmtId="0" fontId="2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165" fontId="26" fillId="0" borderId="0" xfId="0" applyNumberFormat="1" applyFont="1" applyFill="1" applyAlignment="1">
      <alignment horizontal="right"/>
    </xf>
    <xf numFmtId="4" fontId="26" fillId="0" borderId="0" xfId="0" applyNumberFormat="1" applyFont="1" applyFill="1"/>
    <xf numFmtId="0" fontId="26" fillId="0" borderId="0" xfId="0" applyNumberFormat="1" applyFont="1" applyFill="1"/>
    <xf numFmtId="165" fontId="26" fillId="0" borderId="0" xfId="0" applyNumberFormat="1" applyFont="1" applyFill="1"/>
    <xf numFmtId="0" fontId="26" fillId="0" borderId="0" xfId="0" applyFont="1"/>
    <xf numFmtId="4" fontId="26" fillId="0" borderId="0" xfId="0" applyNumberFormat="1" applyFont="1"/>
    <xf numFmtId="2" fontId="25" fillId="0" borderId="0" xfId="0" applyNumberFormat="1" applyFont="1" applyFill="1" applyAlignment="1">
      <alignment horizontal="center" vertical="center"/>
    </xf>
    <xf numFmtId="2" fontId="25" fillId="0" borderId="0" xfId="1" applyNumberFormat="1" applyFont="1" applyFill="1" applyAlignment="1">
      <alignment horizontal="center" vertical="center"/>
    </xf>
    <xf numFmtId="2" fontId="1" fillId="0" borderId="0" xfId="0" applyNumberFormat="1" applyFont="1" applyFill="1" applyAlignment="1">
      <alignment horizontal="center" vertical="center"/>
    </xf>
    <xf numFmtId="4" fontId="27" fillId="0" borderId="0" xfId="0" applyNumberFormat="1" applyFont="1"/>
    <xf numFmtId="2" fontId="45" fillId="0" borderId="0" xfId="0" applyNumberFormat="1" applyFont="1" applyFill="1" applyAlignment="1">
      <alignment horizontal="center" vertical="center"/>
    </xf>
    <xf numFmtId="4" fontId="46" fillId="0" borderId="0" xfId="0" applyNumberFormat="1" applyFont="1"/>
    <xf numFmtId="0" fontId="46" fillId="0" borderId="0" xfId="0" applyFont="1"/>
    <xf numFmtId="165" fontId="11" fillId="0" borderId="2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vertical="top" wrapText="1"/>
    </xf>
    <xf numFmtId="165" fontId="11" fillId="0" borderId="8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vertical="top" wrapText="1"/>
    </xf>
    <xf numFmtId="0" fontId="2" fillId="0" borderId="10" xfId="0" applyNumberFormat="1" applyFont="1" applyFill="1" applyBorder="1" applyAlignment="1">
      <alignment vertical="top" wrapText="1"/>
    </xf>
    <xf numFmtId="0" fontId="35" fillId="0" borderId="2" xfId="0" applyFont="1" applyBorder="1" applyAlignment="1">
      <alignment horizontal="left" wrapText="1"/>
    </xf>
    <xf numFmtId="0" fontId="0" fillId="0" borderId="2" xfId="0" applyFill="1" applyBorder="1"/>
    <xf numFmtId="4" fontId="0" fillId="11" borderId="2" xfId="0" applyNumberFormat="1" applyFill="1" applyBorder="1" applyAlignment="1">
      <alignment horizontal="center"/>
    </xf>
    <xf numFmtId="0" fontId="2" fillId="0" borderId="9" xfId="0" applyNumberFormat="1" applyFont="1" applyFill="1" applyBorder="1" applyAlignment="1">
      <alignment horizontal="center" vertical="center" wrapText="1"/>
    </xf>
    <xf numFmtId="165" fontId="12" fillId="0" borderId="2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wrapText="1"/>
    </xf>
    <xf numFmtId="0" fontId="2" fillId="0" borderId="3" xfId="0" applyFont="1" applyFill="1" applyBorder="1" applyAlignment="1">
      <alignment vertical="center" wrapText="1"/>
    </xf>
    <xf numFmtId="0" fontId="44" fillId="13" borderId="2" xfId="0" applyFont="1" applyFill="1" applyBorder="1" applyAlignment="1">
      <alignment horizontal="center" vertical="center" wrapText="1"/>
    </xf>
    <xf numFmtId="0" fontId="0" fillId="13" borderId="2" xfId="0" applyFill="1" applyBorder="1" applyAlignment="1">
      <alignment horizontal="center"/>
    </xf>
    <xf numFmtId="0" fontId="1" fillId="0" borderId="10" xfId="0" applyNumberFormat="1" applyFont="1" applyFill="1" applyBorder="1" applyAlignment="1">
      <alignment vertical="top" wrapText="1"/>
    </xf>
    <xf numFmtId="0" fontId="35" fillId="0" borderId="3" xfId="0" applyFont="1" applyFill="1" applyBorder="1" applyAlignment="1">
      <alignment vertical="center" wrapText="1"/>
    </xf>
    <xf numFmtId="0" fontId="10" fillId="0" borderId="3" xfId="0" applyFont="1" applyFill="1" applyBorder="1" applyAlignment="1">
      <alignment vertical="center" wrapText="1"/>
    </xf>
    <xf numFmtId="4" fontId="8" fillId="0" borderId="0" xfId="1" applyNumberFormat="1" applyFill="1"/>
    <xf numFmtId="0" fontId="44" fillId="10" borderId="2" xfId="0" applyFont="1" applyFill="1" applyBorder="1" applyAlignment="1">
      <alignment horizontal="center" vertical="center" wrapText="1"/>
    </xf>
    <xf numFmtId="0" fontId="0" fillId="10" borderId="2" xfId="0" applyFill="1" applyBorder="1" applyAlignment="1">
      <alignment horizontal="center"/>
    </xf>
    <xf numFmtId="0" fontId="2" fillId="0" borderId="0" xfId="0" applyFont="1" applyFill="1" applyAlignment="1">
      <alignment horizontal="center" vertical="center" wrapText="1"/>
    </xf>
    <xf numFmtId="0" fontId="16" fillId="0" borderId="8" xfId="0" applyFont="1" applyFill="1" applyBorder="1" applyAlignment="1">
      <alignment horizontal="left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0" fontId="1" fillId="0" borderId="8" xfId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5" fontId="1" fillId="0" borderId="0" xfId="0" applyNumberFormat="1" applyFont="1" applyFill="1" applyAlignment="1">
      <alignment horizontal="center"/>
    </xf>
    <xf numFmtId="165" fontId="12" fillId="0" borderId="2" xfId="1" applyNumberFormat="1" applyFont="1" applyFill="1" applyBorder="1" applyAlignment="1">
      <alignment horizontal="center" vertical="center"/>
    </xf>
    <xf numFmtId="165" fontId="12" fillId="0" borderId="8" xfId="0" applyNumberFormat="1" applyFont="1" applyFill="1" applyBorder="1" applyAlignment="1">
      <alignment horizontal="center" vertical="center"/>
    </xf>
    <xf numFmtId="165" fontId="12" fillId="0" borderId="8" xfId="0" applyNumberFormat="1" applyFont="1" applyFill="1" applyBorder="1" applyAlignment="1">
      <alignment horizontal="center" vertical="center" wrapText="1"/>
    </xf>
    <xf numFmtId="165" fontId="12" fillId="0" borderId="2" xfId="0" applyNumberFormat="1" applyFont="1" applyFill="1" applyBorder="1" applyAlignment="1">
      <alignment horizontal="center" vertical="center" wrapText="1"/>
    </xf>
    <xf numFmtId="165" fontId="30" fillId="0" borderId="2" xfId="0" applyNumberFormat="1" applyFont="1" applyFill="1" applyBorder="1" applyAlignment="1">
      <alignment horizontal="center" vertical="center" wrapText="1"/>
    </xf>
    <xf numFmtId="165" fontId="12" fillId="0" borderId="11" xfId="0" applyNumberFormat="1" applyFont="1" applyFill="1" applyBorder="1" applyAlignment="1">
      <alignment horizontal="center" vertical="center" wrapText="1"/>
    </xf>
    <xf numFmtId="165" fontId="12" fillId="0" borderId="11" xfId="0" applyNumberFormat="1" applyFont="1" applyFill="1" applyBorder="1" applyAlignment="1">
      <alignment horizontal="center" vertical="center"/>
    </xf>
    <xf numFmtId="165" fontId="11" fillId="0" borderId="2" xfId="0" applyNumberFormat="1" applyFont="1" applyFill="1" applyBorder="1" applyAlignment="1">
      <alignment horizontal="center" vertical="center" wrapText="1"/>
    </xf>
    <xf numFmtId="165" fontId="11" fillId="0" borderId="11" xfId="0" applyNumberFormat="1" applyFont="1" applyFill="1" applyBorder="1" applyAlignment="1">
      <alignment horizontal="center" vertical="center"/>
    </xf>
    <xf numFmtId="165" fontId="3" fillId="0" borderId="0" xfId="0" applyNumberFormat="1" applyFont="1" applyFill="1" applyBorder="1" applyAlignment="1">
      <alignment horizontal="center"/>
    </xf>
    <xf numFmtId="165" fontId="1" fillId="0" borderId="3" xfId="0" applyNumberFormat="1" applyFont="1" applyFill="1" applyBorder="1" applyAlignment="1">
      <alignment horizontal="center" vertical="center" wrapText="1"/>
    </xf>
    <xf numFmtId="165" fontId="37" fillId="0" borderId="2" xfId="0" applyNumberFormat="1" applyFont="1" applyFill="1" applyBorder="1" applyAlignment="1">
      <alignment horizontal="center" vertical="center" wrapText="1"/>
    </xf>
    <xf numFmtId="165" fontId="28" fillId="0" borderId="0" xfId="0" applyNumberFormat="1" applyFont="1" applyAlignment="1">
      <alignment horizontal="center"/>
    </xf>
    <xf numFmtId="165" fontId="1" fillId="3" borderId="8" xfId="0" applyNumberFormat="1" applyFont="1" applyFill="1" applyBorder="1" applyAlignment="1">
      <alignment horizontal="center" vertical="center" wrapText="1"/>
    </xf>
    <xf numFmtId="165" fontId="2" fillId="4" borderId="2" xfId="1" applyNumberFormat="1" applyFont="1" applyFill="1" applyBorder="1" applyAlignment="1">
      <alignment horizontal="center" vertical="center"/>
    </xf>
    <xf numFmtId="165" fontId="2" fillId="3" borderId="8" xfId="0" applyNumberFormat="1" applyFont="1" applyFill="1" applyBorder="1" applyAlignment="1">
      <alignment horizontal="center" vertical="center" wrapText="1"/>
    </xf>
    <xf numFmtId="165" fontId="1" fillId="4" borderId="2" xfId="1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 applyProtection="1">
      <alignment horizontal="center" vertical="center" shrinkToFit="1"/>
      <protection locked="0"/>
    </xf>
    <xf numFmtId="165" fontId="2" fillId="0" borderId="2" xfId="1" applyNumberFormat="1" applyFont="1" applyFill="1" applyBorder="1" applyAlignment="1" applyProtection="1">
      <alignment horizontal="center" vertical="center" shrinkToFit="1"/>
      <protection locked="0"/>
    </xf>
    <xf numFmtId="165" fontId="2" fillId="0" borderId="2" xfId="0" applyNumberFormat="1" applyFont="1" applyFill="1" applyBorder="1" applyAlignment="1" applyProtection="1">
      <alignment horizontal="center" vertical="center" shrinkToFit="1"/>
      <protection locked="0"/>
    </xf>
    <xf numFmtId="165" fontId="1" fillId="0" borderId="8" xfId="0" applyNumberFormat="1" applyFont="1" applyFill="1" applyBorder="1" applyAlignment="1" applyProtection="1">
      <alignment horizontal="center" vertical="center" shrinkToFit="1"/>
      <protection locked="0"/>
    </xf>
    <xf numFmtId="165" fontId="2" fillId="0" borderId="2" xfId="2" applyNumberFormat="1" applyFont="1" applyFill="1" applyBorder="1" applyAlignment="1">
      <alignment horizontal="center" vertical="center"/>
    </xf>
    <xf numFmtId="165" fontId="41" fillId="0" borderId="0" xfId="0" applyNumberFormat="1" applyFont="1" applyFill="1"/>
    <xf numFmtId="165" fontId="20" fillId="0" borderId="2" xfId="0" applyNumberFormat="1" applyFont="1" applyFill="1" applyBorder="1" applyAlignment="1">
      <alignment horizontal="center" vertical="center" wrapText="1"/>
    </xf>
    <xf numFmtId="165" fontId="25" fillId="0" borderId="2" xfId="1" applyNumberFormat="1" applyFont="1" applyFill="1" applyBorder="1" applyAlignment="1">
      <alignment horizontal="center" vertical="center" wrapText="1"/>
    </xf>
    <xf numFmtId="165" fontId="2" fillId="0" borderId="2" xfId="1" applyNumberFormat="1" applyFont="1" applyFill="1" applyBorder="1" applyAlignment="1">
      <alignment horizontal="center"/>
    </xf>
    <xf numFmtId="165" fontId="12" fillId="0" borderId="0" xfId="1" applyNumberFormat="1" applyFont="1" applyFill="1" applyAlignment="1">
      <alignment horizontal="center"/>
    </xf>
    <xf numFmtId="165" fontId="13" fillId="0" borderId="0" xfId="1" applyNumberFormat="1" applyFont="1" applyFill="1"/>
    <xf numFmtId="0" fontId="12" fillId="0" borderId="0" xfId="1" applyFont="1" applyFill="1" applyAlignment="1">
      <alignment horizontal="right"/>
    </xf>
    <xf numFmtId="0" fontId="7" fillId="0" borderId="0" xfId="1" applyFont="1" applyFill="1" applyAlignment="1">
      <alignment horizontal="right"/>
    </xf>
    <xf numFmtId="165" fontId="8" fillId="0" borderId="0" xfId="1" applyNumberFormat="1" applyFill="1" applyAlignment="1">
      <alignment horizontal="center"/>
    </xf>
    <xf numFmtId="165" fontId="7" fillId="0" borderId="0" xfId="1" applyNumberFormat="1" applyFont="1" applyFill="1" applyAlignment="1">
      <alignment horizontal="center"/>
    </xf>
    <xf numFmtId="165" fontId="10" fillId="0" borderId="2" xfId="0" applyNumberFormat="1" applyFont="1" applyFill="1" applyBorder="1" applyAlignment="1">
      <alignment horizontal="center" vertical="center"/>
    </xf>
    <xf numFmtId="165" fontId="28" fillId="0" borderId="2" xfId="0" applyNumberFormat="1" applyFont="1" applyFill="1" applyBorder="1" applyAlignment="1">
      <alignment horizontal="center" vertical="center" wrapText="1"/>
    </xf>
    <xf numFmtId="165" fontId="15" fillId="0" borderId="0" xfId="0" applyNumberFormat="1" applyFont="1" applyFill="1" applyAlignment="1">
      <alignment horizontal="center" wrapText="1"/>
    </xf>
    <xf numFmtId="165" fontId="16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wrapText="1"/>
    </xf>
    <xf numFmtId="0" fontId="1" fillId="7" borderId="2" xfId="1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2" fillId="7" borderId="2" xfId="1" applyFont="1" applyFill="1" applyBorder="1" applyAlignment="1">
      <alignment vertical="center" wrapText="1"/>
    </xf>
    <xf numFmtId="4" fontId="0" fillId="12" borderId="2" xfId="0" applyNumberFormat="1" applyFill="1" applyBorder="1" applyAlignment="1">
      <alignment horizontal="center"/>
    </xf>
    <xf numFmtId="165" fontId="15" fillId="0" borderId="2" xfId="0" applyNumberFormat="1" applyFont="1" applyFill="1" applyBorder="1" applyAlignment="1">
      <alignment horizontal="center" vertical="center" wrapText="1"/>
    </xf>
    <xf numFmtId="165" fontId="29" fillId="0" borderId="2" xfId="0" applyNumberFormat="1" applyFont="1" applyBorder="1" applyAlignment="1">
      <alignment horizontal="center" vertical="center"/>
    </xf>
    <xf numFmtId="165" fontId="29" fillId="0" borderId="2" xfId="0" applyNumberFormat="1" applyFont="1" applyFill="1" applyBorder="1" applyAlignment="1">
      <alignment horizontal="center" vertical="center"/>
    </xf>
    <xf numFmtId="165" fontId="15" fillId="0" borderId="2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44" fillId="13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4" fontId="0" fillId="13" borderId="2" xfId="0" applyNumberFormat="1" applyFill="1" applyBorder="1" applyAlignment="1">
      <alignment horizontal="center"/>
    </xf>
    <xf numFmtId="0" fontId="26" fillId="13" borderId="2" xfId="0" applyFont="1" applyFill="1" applyBorder="1" applyAlignment="1">
      <alignment horizontal="center"/>
    </xf>
    <xf numFmtId="49" fontId="0" fillId="0" borderId="0" xfId="0" applyNumberFormat="1" applyFill="1"/>
    <xf numFmtId="0" fontId="44" fillId="14" borderId="2" xfId="0" applyFont="1" applyFill="1" applyBorder="1" applyAlignment="1">
      <alignment horizontal="center" vertical="center" wrapText="1"/>
    </xf>
    <xf numFmtId="0" fontId="0" fillId="14" borderId="2" xfId="0" applyFill="1" applyBorder="1" applyAlignment="1">
      <alignment horizontal="center"/>
    </xf>
    <xf numFmtId="0" fontId="0" fillId="0" borderId="0" xfId="0" applyBorder="1" applyAlignment="1"/>
    <xf numFmtId="0" fontId="0" fillId="11" borderId="2" xfId="0" applyFill="1" applyBorder="1"/>
    <xf numFmtId="4" fontId="0" fillId="14" borderId="2" xfId="0" applyNumberFormat="1" applyFill="1" applyBorder="1" applyAlignment="1">
      <alignment horizontal="center"/>
    </xf>
    <xf numFmtId="0" fontId="0" fillId="14" borderId="2" xfId="0" applyFill="1" applyBorder="1"/>
    <xf numFmtId="49" fontId="0" fillId="0" borderId="2" xfId="0" applyNumberFormat="1" applyFill="1" applyBorder="1" applyAlignment="1">
      <alignment horizontal="center"/>
    </xf>
    <xf numFmtId="4" fontId="0" fillId="12" borderId="2" xfId="0" applyNumberFormat="1" applyFill="1" applyBorder="1"/>
    <xf numFmtId="0" fontId="25" fillId="0" borderId="3" xfId="0" applyNumberFormat="1" applyFont="1" applyFill="1" applyBorder="1" applyAlignment="1">
      <alignment horizontal="left" vertical="top" wrapText="1"/>
    </xf>
    <xf numFmtId="0" fontId="25" fillId="0" borderId="0" xfId="0" applyNumberFormat="1" applyFont="1" applyFill="1" applyAlignment="1">
      <alignment horizontal="left" vertical="top" wrapText="1"/>
    </xf>
    <xf numFmtId="0" fontId="25" fillId="0" borderId="2" xfId="0" applyNumberFormat="1" applyFont="1" applyFill="1" applyBorder="1" applyAlignment="1">
      <alignment horizontal="left" vertical="top" wrapText="1"/>
    </xf>
    <xf numFmtId="0" fontId="25" fillId="0" borderId="3" xfId="1" applyNumberFormat="1" applyFont="1" applyFill="1" applyBorder="1" applyAlignment="1">
      <alignment horizontal="left" vertical="top" wrapText="1"/>
    </xf>
    <xf numFmtId="0" fontId="25" fillId="0" borderId="2" xfId="1" applyNumberFormat="1" applyFont="1" applyFill="1" applyBorder="1" applyAlignment="1">
      <alignment horizontal="left" vertical="top" wrapText="1"/>
    </xf>
    <xf numFmtId="0" fontId="25" fillId="0" borderId="2" xfId="0" applyFont="1" applyFill="1" applyBorder="1" applyAlignment="1">
      <alignment vertical="center" wrapText="1"/>
    </xf>
    <xf numFmtId="0" fontId="25" fillId="0" borderId="12" xfId="0" applyNumberFormat="1" applyFont="1" applyFill="1" applyBorder="1" applyAlignment="1">
      <alignment horizontal="left" vertical="top" wrapText="1"/>
    </xf>
    <xf numFmtId="0" fontId="47" fillId="0" borderId="3" xfId="0" applyNumberFormat="1" applyFont="1" applyFill="1" applyBorder="1" applyAlignment="1">
      <alignment horizontal="left" vertical="top" wrapText="1"/>
    </xf>
    <xf numFmtId="0" fontId="25" fillId="0" borderId="2" xfId="0" applyFont="1" applyBorder="1" applyAlignment="1">
      <alignment horizontal="left" vertical="center" wrapText="1"/>
    </xf>
    <xf numFmtId="165" fontId="12" fillId="7" borderId="2" xfId="0" applyNumberFormat="1" applyFont="1" applyFill="1" applyBorder="1" applyAlignment="1">
      <alignment horizontal="center" vertical="center"/>
    </xf>
    <xf numFmtId="165" fontId="11" fillId="7" borderId="2" xfId="0" applyNumberFormat="1" applyFont="1" applyFill="1" applyBorder="1" applyAlignment="1">
      <alignment horizontal="center" vertical="center"/>
    </xf>
    <xf numFmtId="0" fontId="25" fillId="0" borderId="3" xfId="0" applyNumberFormat="1" applyFont="1" applyFill="1" applyBorder="1" applyAlignment="1">
      <alignment horizontal="justify" vertical="top" wrapText="1"/>
    </xf>
    <xf numFmtId="0" fontId="32" fillId="0" borderId="0" xfId="0" applyFont="1"/>
    <xf numFmtId="165" fontId="0" fillId="0" borderId="0" xfId="0" applyNumberForma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31" fillId="0" borderId="0" xfId="0" applyNumberFormat="1" applyFont="1" applyFill="1" applyAlignment="1">
      <alignment horizontal="center" vertical="center"/>
    </xf>
    <xf numFmtId="0" fontId="22" fillId="0" borderId="0" xfId="0" applyNumberFormat="1" applyFont="1" applyFill="1" applyAlignment="1">
      <alignment horizontal="center" vertical="center"/>
    </xf>
    <xf numFmtId="0" fontId="8" fillId="0" borderId="0" xfId="1" applyNumberFormat="1" applyFill="1" applyAlignment="1">
      <alignment horizontal="center" vertical="center"/>
    </xf>
    <xf numFmtId="0" fontId="1" fillId="0" borderId="0" xfId="0" applyNumberFormat="1" applyFont="1" applyFill="1" applyAlignment="1">
      <alignment horizontal="left" vertical="top" wrapText="1"/>
    </xf>
    <xf numFmtId="0" fontId="48" fillId="0" borderId="3" xfId="0" applyFont="1" applyFill="1" applyBorder="1" applyAlignment="1">
      <alignment horizontal="right" wrapText="1"/>
    </xf>
    <xf numFmtId="0" fontId="1" fillId="0" borderId="3" xfId="1" applyNumberFormat="1" applyFont="1" applyFill="1" applyBorder="1" applyAlignment="1">
      <alignment horizontal="left" vertical="top" wrapText="1"/>
    </xf>
    <xf numFmtId="0" fontId="1" fillId="0" borderId="2" xfId="1" applyNumberFormat="1" applyFont="1" applyFill="1" applyBorder="1" applyAlignment="1">
      <alignment horizontal="left" vertical="top" wrapText="1"/>
    </xf>
    <xf numFmtId="0" fontId="48" fillId="0" borderId="3" xfId="0" applyNumberFormat="1" applyFont="1" applyFill="1" applyBorder="1" applyAlignment="1">
      <alignment horizontal="left" vertical="top" wrapText="1"/>
    </xf>
    <xf numFmtId="0" fontId="0" fillId="0" borderId="13" xfId="0" applyFill="1" applyBorder="1"/>
    <xf numFmtId="0" fontId="2" fillId="0" borderId="11" xfId="0" applyNumberFormat="1" applyFont="1" applyFill="1" applyBorder="1" applyAlignment="1">
      <alignment horizontal="center" wrapText="1"/>
    </xf>
    <xf numFmtId="165" fontId="2" fillId="0" borderId="8" xfId="0" applyNumberFormat="1" applyFont="1" applyFill="1" applyBorder="1" applyAlignment="1">
      <alignment horizontal="center" vertical="center"/>
    </xf>
    <xf numFmtId="165" fontId="2" fillId="0" borderId="9" xfId="0" applyNumberFormat="1" applyFont="1" applyFill="1" applyBorder="1" applyAlignment="1">
      <alignment horizontal="center" vertical="center"/>
    </xf>
    <xf numFmtId="165" fontId="1" fillId="0" borderId="8" xfId="0" applyNumberFormat="1" applyFont="1" applyFill="1" applyBorder="1" applyAlignment="1">
      <alignment horizontal="center" vertical="center"/>
    </xf>
    <xf numFmtId="165" fontId="48" fillId="0" borderId="2" xfId="0" applyNumberFormat="1" applyFont="1" applyFill="1" applyBorder="1" applyAlignment="1">
      <alignment horizontal="center" vertical="center" wrapText="1"/>
    </xf>
    <xf numFmtId="165" fontId="1" fillId="0" borderId="11" xfId="0" applyNumberFormat="1" applyFont="1" applyFill="1" applyBorder="1" applyAlignment="1">
      <alignment horizontal="center" vertical="center" wrapText="1"/>
    </xf>
    <xf numFmtId="165" fontId="1" fillId="0" borderId="11" xfId="0" applyNumberFormat="1" applyFont="1" applyFill="1" applyBorder="1" applyAlignment="1">
      <alignment horizontal="center" vertical="center"/>
    </xf>
    <xf numFmtId="165" fontId="2" fillId="0" borderId="1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right"/>
    </xf>
    <xf numFmtId="0" fontId="1" fillId="0" borderId="3" xfId="0" applyFont="1" applyFill="1" applyBorder="1" applyAlignment="1">
      <alignment horizontal="left" vertical="center" wrapText="1"/>
    </xf>
    <xf numFmtId="0" fontId="0" fillId="0" borderId="0" xfId="0"/>
    <xf numFmtId="165" fontId="1" fillId="0" borderId="2" xfId="0" applyNumberFormat="1" applyFont="1" applyFill="1" applyBorder="1" applyAlignment="1">
      <alignment horizontal="center" vertical="center"/>
    </xf>
    <xf numFmtId="49" fontId="1" fillId="0" borderId="2" xfId="1" applyNumberFormat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vertical="center" wrapText="1"/>
    </xf>
    <xf numFmtId="0" fontId="8" fillId="0" borderId="0" xfId="1" applyNumberFormat="1" applyFill="1"/>
    <xf numFmtId="2" fontId="25" fillId="0" borderId="0" xfId="1" applyNumberFormat="1" applyFont="1" applyFill="1" applyAlignment="1">
      <alignment horizontal="center" vertical="center"/>
    </xf>
    <xf numFmtId="2" fontId="31" fillId="0" borderId="0" xfId="0" applyNumberFormat="1" applyFont="1" applyFill="1" applyAlignment="1">
      <alignment horizontal="center" vertical="center"/>
    </xf>
    <xf numFmtId="4" fontId="31" fillId="0" borderId="0" xfId="0" applyNumberFormat="1" applyFont="1" applyFill="1" applyAlignment="1">
      <alignment horizontal="center" vertical="center"/>
    </xf>
    <xf numFmtId="0" fontId="0" fillId="0" borderId="0" xfId="0" applyNumberFormat="1" applyFill="1" applyAlignment="1">
      <alignment horizontal="center"/>
    </xf>
    <xf numFmtId="165" fontId="0" fillId="0" borderId="0" xfId="0" applyNumberFormat="1" applyFill="1" applyAlignment="1"/>
    <xf numFmtId="4" fontId="0" fillId="0" borderId="17" xfId="0" applyNumberFormat="1" applyFill="1" applyBorder="1"/>
    <xf numFmtId="4" fontId="0" fillId="0" borderId="14" xfId="0" applyNumberFormat="1" applyFill="1" applyBorder="1"/>
    <xf numFmtId="165" fontId="10" fillId="0" borderId="2" xfId="1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49" fontId="0" fillId="0" borderId="0" xfId="0" applyNumberFormat="1" applyFill="1" applyBorder="1"/>
    <xf numFmtId="16" fontId="0" fillId="0" borderId="8" xfId="0" applyNumberFormat="1" applyFill="1" applyBorder="1"/>
    <xf numFmtId="16" fontId="0" fillId="0" borderId="11" xfId="0" applyNumberFormat="1" applyFill="1" applyBorder="1"/>
    <xf numFmtId="0" fontId="44" fillId="13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49" fontId="18" fillId="0" borderId="9" xfId="0" applyNumberFormat="1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top" wrapText="1"/>
    </xf>
    <xf numFmtId="0" fontId="0" fillId="0" borderId="1" xfId="0" applyFill="1" applyBorder="1"/>
    <xf numFmtId="0" fontId="0" fillId="0" borderId="14" xfId="0" applyFill="1" applyBorder="1"/>
    <xf numFmtId="16" fontId="0" fillId="0" borderId="12" xfId="0" applyNumberFormat="1" applyFill="1" applyBorder="1"/>
    <xf numFmtId="16" fontId="0" fillId="0" borderId="15" xfId="0" applyNumberFormat="1" applyFill="1" applyBorder="1"/>
    <xf numFmtId="0" fontId="0" fillId="0" borderId="0" xfId="0"/>
    <xf numFmtId="165" fontId="2" fillId="0" borderId="2" xfId="0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center" vertical="center"/>
    </xf>
    <xf numFmtId="165" fontId="2" fillId="0" borderId="2" xfId="1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vertical="center" wrapText="1"/>
    </xf>
    <xf numFmtId="49" fontId="2" fillId="0" borderId="2" xfId="1" applyNumberFormat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vertical="center" wrapText="1"/>
    </xf>
    <xf numFmtId="165" fontId="1" fillId="0" borderId="2" xfId="1" applyNumberFormat="1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 wrapText="1"/>
    </xf>
    <xf numFmtId="0" fontId="0" fillId="0" borderId="0" xfId="0" applyFill="1" applyBorder="1"/>
    <xf numFmtId="49" fontId="1" fillId="0" borderId="9" xfId="1" applyNumberFormat="1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left" vertical="center" wrapText="1"/>
    </xf>
    <xf numFmtId="49" fontId="2" fillId="0" borderId="2" xfId="1" applyNumberFormat="1" applyFont="1" applyFill="1" applyBorder="1" applyAlignment="1">
      <alignment horizontal="center" vertical="center" wrapText="1"/>
    </xf>
    <xf numFmtId="0" fontId="0" fillId="15" borderId="19" xfId="0" applyFill="1" applyBorder="1"/>
    <xf numFmtId="0" fontId="0" fillId="15" borderId="18" xfId="0" applyFill="1" applyBorder="1"/>
    <xf numFmtId="0" fontId="0" fillId="0" borderId="0" xfId="0" applyFill="1" applyBorder="1" applyAlignment="1">
      <alignment horizontal="center"/>
    </xf>
    <xf numFmtId="49" fontId="1" fillId="0" borderId="0" xfId="1" applyNumberFormat="1" applyFont="1" applyFill="1" applyBorder="1" applyAlignment="1">
      <alignment horizontal="left" vertical="center"/>
    </xf>
    <xf numFmtId="0" fontId="10" fillId="0" borderId="0" xfId="0" applyFont="1" applyFill="1" applyBorder="1"/>
    <xf numFmtId="0" fontId="0" fillId="15" borderId="0" xfId="0" applyFill="1"/>
    <xf numFmtId="168" fontId="0" fillId="12" borderId="2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49" fontId="1" fillId="0" borderId="11" xfId="1" applyNumberFormat="1" applyFont="1" applyFill="1" applyBorder="1" applyAlignment="1">
      <alignment horizontal="center" vertical="center"/>
    </xf>
    <xf numFmtId="16" fontId="0" fillId="0" borderId="16" xfId="0" applyNumberFormat="1" applyFill="1" applyBorder="1"/>
    <xf numFmtId="0" fontId="0" fillId="0" borderId="19" xfId="0" applyFill="1" applyBorder="1"/>
    <xf numFmtId="0" fontId="32" fillId="0" borderId="0" xfId="0" applyFont="1" applyFill="1" applyBorder="1"/>
    <xf numFmtId="49" fontId="1" fillId="0" borderId="8" xfId="1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8" fillId="0" borderId="0" xfId="1" applyNumberFormat="1" applyFont="1" applyFill="1"/>
    <xf numFmtId="0" fontId="8" fillId="0" borderId="0" xfId="1" applyNumberFormat="1" applyFont="1" applyFill="1" applyAlignment="1">
      <alignment horizontal="center" vertical="center"/>
    </xf>
    <xf numFmtId="49" fontId="1" fillId="2" borderId="8" xfId="0" applyNumberFormat="1" applyFont="1" applyFill="1" applyBorder="1" applyAlignment="1">
      <alignment horizontal="left" vertical="center"/>
    </xf>
    <xf numFmtId="49" fontId="1" fillId="2" borderId="11" xfId="0" applyNumberFormat="1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0" fillId="0" borderId="0" xfId="0" applyNumberFormat="1" applyFill="1" applyAlignment="1">
      <alignment horizontal="left" vertical="center"/>
    </xf>
    <xf numFmtId="14" fontId="0" fillId="0" borderId="0" xfId="0" applyNumberFormat="1" applyFill="1" applyBorder="1"/>
    <xf numFmtId="14" fontId="0" fillId="0" borderId="0" xfId="0" applyNumberFormat="1" applyFill="1"/>
    <xf numFmtId="14" fontId="1" fillId="0" borderId="9" xfId="1" applyNumberFormat="1" applyFont="1" applyFill="1" applyBorder="1" applyAlignment="1">
      <alignment horizontal="left" vertical="center"/>
    </xf>
    <xf numFmtId="14" fontId="0" fillId="0" borderId="0" xfId="0" applyNumberFormat="1" applyFont="1" applyFill="1" applyBorder="1"/>
    <xf numFmtId="14" fontId="1" fillId="0" borderId="15" xfId="1" applyNumberFormat="1" applyFont="1" applyFill="1" applyBorder="1" applyAlignment="1">
      <alignment horizontal="left" vertical="center"/>
    </xf>
    <xf numFmtId="14" fontId="0" fillId="0" borderId="18" xfId="0" applyNumberFormat="1" applyFill="1" applyBorder="1"/>
    <xf numFmtId="14" fontId="0" fillId="0" borderId="11" xfId="0" applyNumberFormat="1" applyFill="1" applyBorder="1"/>
    <xf numFmtId="14" fontId="0" fillId="0" borderId="1" xfId="0" applyNumberFormat="1" applyFill="1" applyBorder="1"/>
    <xf numFmtId="14" fontId="0" fillId="0" borderId="0" xfId="0" applyNumberFormat="1" applyFill="1" applyBorder="1" applyAlignment="1">
      <alignment horizontal="right"/>
    </xf>
    <xf numFmtId="14" fontId="1" fillId="0" borderId="9" xfId="1" applyNumberFormat="1" applyFont="1" applyFill="1" applyBorder="1" applyAlignment="1">
      <alignment horizontal="center" vertical="center"/>
    </xf>
    <xf numFmtId="14" fontId="0" fillId="0" borderId="2" xfId="0" applyNumberFormat="1" applyFill="1" applyBorder="1" applyAlignment="1">
      <alignment horizontal="right"/>
    </xf>
    <xf numFmtId="16" fontId="0" fillId="0" borderId="0" xfId="0" applyNumberFormat="1" applyFill="1"/>
    <xf numFmtId="14" fontId="10" fillId="0" borderId="0" xfId="0" applyNumberFormat="1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14" fontId="1" fillId="0" borderId="0" xfId="1" applyNumberFormat="1" applyFont="1" applyFill="1" applyBorder="1" applyAlignment="1">
      <alignment horizontal="center" vertical="center"/>
    </xf>
    <xf numFmtId="49" fontId="2" fillId="0" borderId="9" xfId="1" applyNumberFormat="1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165" fontId="1" fillId="0" borderId="0" xfId="0" applyNumberFormat="1" applyFont="1" applyFill="1" applyAlignment="1">
      <alignment horizontal="right"/>
    </xf>
    <xf numFmtId="0" fontId="1" fillId="0" borderId="8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0" fontId="15" fillId="0" borderId="0" xfId="0" applyFont="1" applyFill="1" applyAlignment="1">
      <alignment horizontal="center" vertical="center" wrapText="1"/>
    </xf>
    <xf numFmtId="0" fontId="49" fillId="13" borderId="2" xfId="0" applyFont="1" applyFill="1" applyBorder="1" applyAlignment="1">
      <alignment horizontal="center" vertical="center" wrapText="1"/>
    </xf>
    <xf numFmtId="4" fontId="26" fillId="12" borderId="2" xfId="0" applyNumberFormat="1" applyFont="1" applyFill="1" applyBorder="1" applyAlignment="1">
      <alignment horizontal="center"/>
    </xf>
    <xf numFmtId="49" fontId="26" fillId="0" borderId="2" xfId="0" applyNumberFormat="1" applyFont="1" applyFill="1" applyBorder="1" applyAlignment="1">
      <alignment horizontal="center"/>
    </xf>
    <xf numFmtId="165" fontId="1" fillId="0" borderId="0" xfId="0" applyNumberFormat="1" applyFont="1" applyFill="1" applyAlignment="1">
      <alignment horizontal="right"/>
    </xf>
    <xf numFmtId="0" fontId="1" fillId="0" borderId="8" xfId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wrapText="1"/>
    </xf>
    <xf numFmtId="2" fontId="0" fillId="0" borderId="0" xfId="0" applyNumberFormat="1" applyFill="1" applyBorder="1" applyAlignment="1">
      <alignment horizontal="left"/>
    </xf>
    <xf numFmtId="0" fontId="1" fillId="0" borderId="3" xfId="0" applyFont="1" applyFill="1" applyBorder="1" applyAlignment="1">
      <alignment vertical="center" wrapText="1"/>
    </xf>
    <xf numFmtId="49" fontId="1" fillId="2" borderId="0" xfId="0" applyNumberFormat="1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justify" vertical="top" wrapText="1"/>
    </xf>
    <xf numFmtId="0" fontId="0" fillId="0" borderId="0" xfId="0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28" fillId="0" borderId="0" xfId="0" applyFont="1"/>
    <xf numFmtId="0" fontId="10" fillId="0" borderId="0" xfId="0" applyFont="1"/>
    <xf numFmtId="0" fontId="28" fillId="0" borderId="2" xfId="0" applyFont="1" applyBorder="1" applyAlignment="1">
      <alignment horizontal="center" wrapText="1"/>
    </xf>
    <xf numFmtId="4" fontId="10" fillId="0" borderId="0" xfId="0" applyNumberFormat="1" applyFont="1" applyAlignment="1">
      <alignment wrapText="1"/>
    </xf>
    <xf numFmtId="4" fontId="28" fillId="0" borderId="0" xfId="0" applyNumberFormat="1" applyFont="1" applyAlignment="1">
      <alignment wrapText="1"/>
    </xf>
    <xf numFmtId="0" fontId="0" fillId="0" borderId="0" xfId="0"/>
    <xf numFmtId="0" fontId="0" fillId="0" borderId="0" xfId="0" applyFill="1"/>
    <xf numFmtId="0" fontId="35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49" fontId="1" fillId="0" borderId="2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0" fillId="0" borderId="0" xfId="0"/>
    <xf numFmtId="49" fontId="1" fillId="0" borderId="2" xfId="1" applyNumberFormat="1" applyFont="1" applyFill="1" applyBorder="1" applyAlignment="1">
      <alignment horizontal="center" vertical="center"/>
    </xf>
    <xf numFmtId="0" fontId="0" fillId="0" borderId="0" xfId="0" applyFill="1"/>
    <xf numFmtId="0" fontId="1" fillId="0" borderId="2" xfId="1" applyFont="1" applyFill="1" applyBorder="1" applyAlignment="1">
      <alignment vertical="center" wrapText="1"/>
    </xf>
    <xf numFmtId="49" fontId="1" fillId="0" borderId="2" xfId="1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16" xfId="0" applyNumberFormat="1" applyFont="1" applyFill="1" applyBorder="1" applyAlignment="1">
      <alignment vertical="top" wrapText="1"/>
    </xf>
    <xf numFmtId="0" fontId="1" fillId="0" borderId="2" xfId="0" applyNumberFormat="1" applyFont="1" applyFill="1" applyBorder="1" applyAlignment="1">
      <alignment wrapText="1"/>
    </xf>
    <xf numFmtId="0" fontId="10" fillId="0" borderId="2" xfId="0" applyFont="1" applyBorder="1" applyAlignment="1">
      <alignment horizontal="left"/>
    </xf>
    <xf numFmtId="0" fontId="10" fillId="0" borderId="11" xfId="0" applyFont="1" applyBorder="1" applyAlignment="1">
      <alignment horizontal="left" wrapText="1"/>
    </xf>
    <xf numFmtId="165" fontId="10" fillId="0" borderId="11" xfId="0" applyNumberFormat="1" applyFont="1" applyBorder="1" applyAlignment="1">
      <alignment horizontal="left" wrapText="1"/>
    </xf>
    <xf numFmtId="165" fontId="10" fillId="0" borderId="2" xfId="0" applyNumberFormat="1" applyFont="1" applyBorder="1" applyAlignment="1">
      <alignment horizontal="left" wrapText="1"/>
    </xf>
    <xf numFmtId="0" fontId="10" fillId="0" borderId="2" xfId="0" applyFont="1" applyBorder="1" applyAlignment="1">
      <alignment horizontal="left" wrapText="1"/>
    </xf>
    <xf numFmtId="0" fontId="10" fillId="16" borderId="2" xfId="0" applyFont="1" applyFill="1" applyBorder="1" applyAlignment="1">
      <alignment horizontal="left"/>
    </xf>
    <xf numFmtId="49" fontId="1" fillId="16" borderId="2" xfId="1" applyNumberFormat="1" applyFont="1" applyFill="1" applyBorder="1" applyAlignment="1">
      <alignment horizontal="left" vertical="center"/>
    </xf>
    <xf numFmtId="0" fontId="1" fillId="16" borderId="2" xfId="1" applyFont="1" applyFill="1" applyBorder="1" applyAlignment="1">
      <alignment horizontal="left" vertical="center" wrapText="1"/>
    </xf>
    <xf numFmtId="165" fontId="10" fillId="16" borderId="11" xfId="0" applyNumberFormat="1" applyFont="1" applyFill="1" applyBorder="1" applyAlignment="1">
      <alignment horizontal="left" wrapText="1"/>
    </xf>
    <xf numFmtId="165" fontId="10" fillId="16" borderId="2" xfId="0" applyNumberFormat="1" applyFont="1" applyFill="1" applyBorder="1" applyAlignment="1">
      <alignment horizontal="left" wrapText="1"/>
    </xf>
    <xf numFmtId="49" fontId="1" fillId="16" borderId="2" xfId="1" applyNumberFormat="1" applyFont="1" applyFill="1" applyBorder="1" applyAlignment="1">
      <alignment horizontal="left"/>
    </xf>
    <xf numFmtId="0" fontId="9" fillId="16" borderId="2" xfId="0" applyFont="1" applyFill="1" applyBorder="1" applyAlignment="1">
      <alignment horizontal="left" wrapText="1"/>
    </xf>
    <xf numFmtId="0" fontId="10" fillId="16" borderId="2" xfId="0" applyFont="1" applyFill="1" applyBorder="1" applyAlignment="1">
      <alignment horizontal="left" vertical="center" wrapText="1"/>
    </xf>
    <xf numFmtId="0" fontId="1" fillId="16" borderId="11" xfId="1" applyFont="1" applyFill="1" applyBorder="1" applyAlignment="1">
      <alignment horizontal="left" vertical="center" wrapText="1"/>
    </xf>
    <xf numFmtId="0" fontId="10" fillId="16" borderId="11" xfId="0" applyFont="1" applyFill="1" applyBorder="1" applyAlignment="1">
      <alignment horizontal="left" wrapText="1"/>
    </xf>
    <xf numFmtId="0" fontId="10" fillId="16" borderId="2" xfId="0" applyFont="1" applyFill="1" applyBorder="1" applyAlignment="1">
      <alignment horizontal="left" wrapText="1"/>
    </xf>
    <xf numFmtId="0" fontId="1" fillId="16" borderId="3" xfId="0" applyNumberFormat="1" applyFont="1" applyFill="1" applyBorder="1" applyAlignment="1">
      <alignment horizontal="left" vertical="top" wrapText="1"/>
    </xf>
    <xf numFmtId="0" fontId="1" fillId="16" borderId="2" xfId="0" applyFont="1" applyFill="1" applyBorder="1" applyAlignment="1">
      <alignment horizontal="left" vertical="center" wrapText="1"/>
    </xf>
    <xf numFmtId="49" fontId="1" fillId="16" borderId="2" xfId="0" applyNumberFormat="1" applyFont="1" applyFill="1" applyBorder="1" applyAlignment="1">
      <alignment horizontal="left"/>
    </xf>
    <xf numFmtId="49" fontId="1" fillId="16" borderId="2" xfId="0" applyNumberFormat="1" applyFont="1" applyFill="1" applyBorder="1" applyAlignment="1">
      <alignment horizontal="left" wrapText="1"/>
    </xf>
    <xf numFmtId="0" fontId="51" fillId="0" borderId="2" xfId="0" applyFont="1" applyBorder="1"/>
    <xf numFmtId="0" fontId="10" fillId="0" borderId="2" xfId="0" applyFont="1" applyBorder="1"/>
    <xf numFmtId="0" fontId="10" fillId="0" borderId="2" xfId="0" applyFont="1" applyBorder="1" applyAlignment="1">
      <alignment wrapText="1"/>
    </xf>
    <xf numFmtId="165" fontId="10" fillId="0" borderId="2" xfId="0" applyNumberFormat="1" applyFont="1" applyBorder="1" applyAlignment="1">
      <alignment wrapText="1"/>
    </xf>
    <xf numFmtId="165" fontId="10" fillId="7" borderId="2" xfId="0" applyNumberFormat="1" applyFont="1" applyFill="1" applyBorder="1" applyAlignment="1">
      <alignment horizontal="left" wrapText="1"/>
    </xf>
    <xf numFmtId="0" fontId="5" fillId="0" borderId="20" xfId="0" applyNumberFormat="1" applyFont="1" applyFill="1" applyBorder="1" applyAlignment="1">
      <alignment horizontal="center" vertical="center" wrapText="1"/>
    </xf>
    <xf numFmtId="0" fontId="52" fillId="0" borderId="0" xfId="0" applyFont="1"/>
    <xf numFmtId="0" fontId="1" fillId="0" borderId="13" xfId="0" applyNumberFormat="1" applyFont="1" applyFill="1" applyBorder="1" applyAlignment="1">
      <alignment vertical="top" wrapText="1"/>
    </xf>
    <xf numFmtId="0" fontId="2" fillId="0" borderId="3" xfId="0" applyNumberFormat="1" applyFont="1" applyFill="1" applyBorder="1" applyAlignment="1">
      <alignment vertical="top"/>
    </xf>
    <xf numFmtId="0" fontId="5" fillId="0" borderId="7" xfId="0" applyNumberFormat="1" applyFont="1" applyFill="1" applyBorder="1" applyAlignment="1">
      <alignment vertical="top" wrapText="1"/>
    </xf>
    <xf numFmtId="0" fontId="35" fillId="0" borderId="2" xfId="0" applyFont="1" applyFill="1" applyBorder="1" applyAlignment="1">
      <alignment vertical="center" wrapText="1"/>
    </xf>
    <xf numFmtId="0" fontId="35" fillId="0" borderId="0" xfId="0" applyFont="1" applyFill="1" applyAlignment="1">
      <alignment vertical="center" wrapText="1"/>
    </xf>
    <xf numFmtId="0" fontId="2" fillId="0" borderId="0" xfId="3" applyFont="1" applyFill="1" applyAlignment="1">
      <alignment vertical="center" wrapText="1"/>
    </xf>
    <xf numFmtId="0" fontId="1" fillId="0" borderId="2" xfId="3" applyFont="1" applyFill="1" applyBorder="1" applyAlignment="1">
      <alignment vertical="center" wrapText="1"/>
    </xf>
    <xf numFmtId="0" fontId="2" fillId="0" borderId="2" xfId="3" applyFont="1" applyFill="1" applyBorder="1" applyAlignment="1">
      <alignment vertical="center" wrapText="1"/>
    </xf>
    <xf numFmtId="0" fontId="1" fillId="0" borderId="0" xfId="3" applyFont="1" applyFill="1" applyAlignment="1">
      <alignment vertical="center" wrapText="1"/>
    </xf>
    <xf numFmtId="0" fontId="2" fillId="0" borderId="3" xfId="0" applyFont="1" applyFill="1" applyBorder="1" applyAlignment="1">
      <alignment vertical="top" wrapText="1"/>
    </xf>
    <xf numFmtId="0" fontId="1" fillId="0" borderId="3" xfId="0" applyFont="1" applyFill="1" applyBorder="1" applyAlignment="1">
      <alignment vertical="top" wrapText="1"/>
    </xf>
    <xf numFmtId="0" fontId="10" fillId="0" borderId="2" xfId="0" applyFont="1" applyFill="1" applyBorder="1" applyAlignment="1">
      <alignment wrapText="1"/>
    </xf>
    <xf numFmtId="0" fontId="1" fillId="0" borderId="0" xfId="0" applyNumberFormat="1" applyFont="1" applyFill="1" applyAlignment="1">
      <alignment vertical="top" wrapText="1"/>
    </xf>
    <xf numFmtId="0" fontId="34" fillId="0" borderId="3" xfId="0" applyFont="1" applyFill="1" applyBorder="1" applyAlignment="1">
      <alignment wrapText="1"/>
    </xf>
    <xf numFmtId="0" fontId="1" fillId="0" borderId="2" xfId="1" applyNumberFormat="1" applyFont="1" applyFill="1" applyBorder="1" applyAlignment="1">
      <alignment vertical="top" wrapText="1"/>
    </xf>
    <xf numFmtId="0" fontId="1" fillId="0" borderId="12" xfId="0" applyNumberFormat="1" applyFont="1" applyFill="1" applyBorder="1" applyAlignment="1">
      <alignment vertical="top" wrapText="1"/>
    </xf>
    <xf numFmtId="0" fontId="2" fillId="0" borderId="12" xfId="0" applyNumberFormat="1" applyFont="1" applyFill="1" applyBorder="1" applyAlignment="1">
      <alignment vertical="top" wrapText="1"/>
    </xf>
    <xf numFmtId="0" fontId="1" fillId="0" borderId="12" xfId="0" applyNumberFormat="1" applyFont="1" applyFill="1" applyBorder="1" applyAlignment="1">
      <alignment vertical="center" wrapText="1"/>
    </xf>
    <xf numFmtId="49" fontId="2" fillId="0" borderId="2" xfId="1" applyNumberFormat="1" applyFont="1" applyFill="1" applyBorder="1" applyAlignment="1">
      <alignment vertical="center" wrapText="1"/>
    </xf>
    <xf numFmtId="49" fontId="1" fillId="0" borderId="2" xfId="1" applyNumberFormat="1" applyFont="1" applyFill="1" applyBorder="1" applyAlignment="1">
      <alignment vertical="center" wrapText="1"/>
    </xf>
    <xf numFmtId="49" fontId="1" fillId="0" borderId="2" xfId="1" applyNumberFormat="1" applyFont="1" applyFill="1" applyBorder="1" applyAlignment="1">
      <alignment vertical="top" wrapText="1"/>
    </xf>
    <xf numFmtId="0" fontId="48" fillId="0" borderId="3" xfId="0" applyNumberFormat="1" applyFont="1" applyFill="1" applyBorder="1" applyAlignment="1">
      <alignment horizontal="right" vertical="top" wrapText="1"/>
    </xf>
    <xf numFmtId="0" fontId="9" fillId="0" borderId="0" xfId="0" applyFont="1" applyFill="1" applyAlignment="1">
      <alignment horizontal="left"/>
    </xf>
    <xf numFmtId="165" fontId="1" fillId="0" borderId="0" xfId="0" applyNumberFormat="1" applyFont="1" applyFill="1" applyAlignment="1">
      <alignment horizontal="right"/>
    </xf>
    <xf numFmtId="0" fontId="1" fillId="0" borderId="8" xfId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2" fillId="0" borderId="0" xfId="0" applyFont="1" applyFill="1" applyBorder="1" applyAlignment="1">
      <alignment horizontal="center" wrapText="1"/>
    </xf>
    <xf numFmtId="0" fontId="28" fillId="0" borderId="2" xfId="0" applyFont="1" applyBorder="1" applyAlignment="1">
      <alignment horizontal="center" wrapText="1"/>
    </xf>
    <xf numFmtId="165" fontId="28" fillId="0" borderId="2" xfId="0" applyNumberFormat="1" applyFont="1" applyBorder="1" applyAlignment="1">
      <alignment wrapText="1"/>
    </xf>
    <xf numFmtId="4" fontId="28" fillId="0" borderId="2" xfId="0" applyNumberFormat="1" applyFont="1" applyBorder="1" applyAlignment="1">
      <alignment wrapText="1"/>
    </xf>
    <xf numFmtId="0" fontId="28" fillId="0" borderId="8" xfId="0" applyFont="1" applyBorder="1" applyAlignment="1">
      <alignment wrapText="1"/>
    </xf>
    <xf numFmtId="4" fontId="28" fillId="0" borderId="8" xfId="0" applyNumberFormat="1" applyFont="1" applyBorder="1" applyAlignment="1">
      <alignment wrapText="1"/>
    </xf>
    <xf numFmtId="0" fontId="28" fillId="0" borderId="2" xfId="0" applyFont="1" applyBorder="1" applyAlignment="1">
      <alignment wrapText="1"/>
    </xf>
    <xf numFmtId="165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center" vertical="center" wrapText="1"/>
    </xf>
    <xf numFmtId="0" fontId="44" fillId="13" borderId="13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15" fillId="0" borderId="0" xfId="0" applyFont="1" applyFill="1" applyAlignment="1">
      <alignment horizontal="center" vertical="center" wrapText="1"/>
    </xf>
    <xf numFmtId="0" fontId="1" fillId="2" borderId="2" xfId="1" applyFont="1" applyFill="1" applyBorder="1" applyAlignment="1">
      <alignment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0" fontId="1" fillId="2" borderId="2" xfId="1" applyFont="1" applyFill="1" applyBorder="1" applyAlignment="1">
      <alignment horizontal="left" vertical="center" wrapText="1"/>
    </xf>
    <xf numFmtId="49" fontId="1" fillId="2" borderId="2" xfId="1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0" fillId="2" borderId="0" xfId="0" applyFill="1"/>
    <xf numFmtId="0" fontId="1" fillId="2" borderId="2" xfId="0" applyFont="1" applyFill="1" applyBorder="1" applyAlignment="1">
      <alignment horizontal="left" vertical="center" wrapText="1"/>
    </xf>
    <xf numFmtId="49" fontId="2" fillId="2" borderId="2" xfId="0" applyNumberFormat="1" applyFont="1" applyFill="1" applyBorder="1" applyAlignment="1">
      <alignment horizontal="center" vertical="center"/>
    </xf>
    <xf numFmtId="165" fontId="2" fillId="2" borderId="2" xfId="0" applyNumberFormat="1" applyFont="1" applyFill="1" applyBorder="1" applyAlignment="1">
      <alignment horizontal="center" vertical="center"/>
    </xf>
    <xf numFmtId="165" fontId="1" fillId="2" borderId="2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165" fontId="2" fillId="2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/>
    </xf>
    <xf numFmtId="0" fontId="2" fillId="2" borderId="2" xfId="1" applyFont="1" applyFill="1" applyBorder="1" applyAlignment="1">
      <alignment horizontal="left" vertical="center" wrapText="1"/>
    </xf>
    <xf numFmtId="49" fontId="2" fillId="2" borderId="2" xfId="1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1" fillId="2" borderId="2" xfId="0" applyFont="1" applyFill="1" applyBorder="1"/>
    <xf numFmtId="0" fontId="2" fillId="2" borderId="2" xfId="1" applyFont="1" applyFill="1" applyBorder="1" applyAlignment="1">
      <alignment vertical="center" wrapText="1"/>
    </xf>
    <xf numFmtId="49" fontId="1" fillId="2" borderId="2" xfId="0" applyNumberFormat="1" applyFont="1" applyFill="1" applyBorder="1" applyAlignment="1">
      <alignment horizontal="left" vertical="center" wrapText="1"/>
    </xf>
    <xf numFmtId="0" fontId="0" fillId="13" borderId="13" xfId="0" applyFill="1" applyBorder="1" applyAlignment="1">
      <alignment horizontal="center"/>
    </xf>
    <xf numFmtId="4" fontId="0" fillId="12" borderId="13" xfId="0" applyNumberFormat="1" applyFill="1" applyBorder="1" applyAlignment="1">
      <alignment horizontal="center"/>
    </xf>
    <xf numFmtId="49" fontId="0" fillId="0" borderId="13" xfId="0" applyNumberFormat="1" applyFill="1" applyBorder="1" applyAlignment="1">
      <alignment horizontal="center"/>
    </xf>
    <xf numFmtId="0" fontId="44" fillId="12" borderId="0" xfId="0" applyFont="1" applyFill="1" applyBorder="1" applyAlignment="1">
      <alignment horizontal="center" vertical="center" wrapText="1"/>
    </xf>
    <xf numFmtId="4" fontId="0" fillId="12" borderId="0" xfId="0" applyNumberFormat="1" applyFill="1" applyBorder="1" applyAlignment="1">
      <alignment horizontal="center"/>
    </xf>
    <xf numFmtId="168" fontId="0" fillId="12" borderId="0" xfId="0" applyNumberFormat="1" applyFill="1" applyBorder="1" applyAlignment="1">
      <alignment horizontal="center"/>
    </xf>
    <xf numFmtId="4" fontId="0" fillId="12" borderId="0" xfId="0" applyNumberFormat="1" applyFill="1" applyBorder="1"/>
    <xf numFmtId="49" fontId="0" fillId="0" borderId="0" xfId="0" applyNumberFormat="1" applyFill="1" applyBorder="1" applyAlignment="1">
      <alignment horizontal="center"/>
    </xf>
    <xf numFmtId="0" fontId="44" fillId="13" borderId="0" xfId="0" applyFont="1" applyFill="1" applyBorder="1" applyAlignment="1">
      <alignment horizontal="center" vertical="center" wrapText="1"/>
    </xf>
    <xf numFmtId="0" fontId="0" fillId="13" borderId="0" xfId="0" applyFill="1" applyBorder="1" applyAlignment="1">
      <alignment horizontal="center"/>
    </xf>
    <xf numFmtId="0" fontId="26" fillId="13" borderId="0" xfId="0" applyFont="1" applyFill="1" applyBorder="1" applyAlignment="1">
      <alignment horizontal="center"/>
    </xf>
    <xf numFmtId="4" fontId="0" fillId="13" borderId="0" xfId="0" applyNumberFormat="1" applyFill="1" applyBorder="1" applyAlignment="1">
      <alignment horizontal="center"/>
    </xf>
    <xf numFmtId="4" fontId="0" fillId="0" borderId="0" xfId="0" applyNumberFormat="1" applyFill="1" applyBorder="1" applyAlignment="1">
      <alignment horizontal="right"/>
    </xf>
    <xf numFmtId="0" fontId="33" fillId="0" borderId="21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17" borderId="23" xfId="0" applyFont="1" applyFill="1" applyBorder="1" applyAlignment="1">
      <alignment horizontal="center" vertical="center" wrapText="1"/>
    </xf>
    <xf numFmtId="0" fontId="9" fillId="17" borderId="24" xfId="0" applyFont="1" applyFill="1" applyBorder="1" applyAlignment="1">
      <alignment horizontal="center" vertical="center" wrapText="1"/>
    </xf>
    <xf numFmtId="0" fontId="53" fillId="17" borderId="23" xfId="0" applyFont="1" applyFill="1" applyBorder="1" applyAlignment="1">
      <alignment horizontal="center" vertical="center" wrapText="1"/>
    </xf>
    <xf numFmtId="0" fontId="53" fillId="17" borderId="24" xfId="0" applyFont="1" applyFill="1" applyBorder="1" applyAlignment="1">
      <alignment horizontal="center" vertical="center" wrapText="1"/>
    </xf>
    <xf numFmtId="165" fontId="1" fillId="0" borderId="0" xfId="0" applyNumberFormat="1" applyFont="1" applyFill="1" applyAlignment="1">
      <alignment horizontal="right"/>
    </xf>
    <xf numFmtId="0" fontId="1" fillId="0" borderId="8" xfId="1" applyFont="1" applyFill="1" applyBorder="1" applyAlignment="1">
      <alignment horizontal="center" vertical="center" wrapText="1"/>
    </xf>
    <xf numFmtId="0" fontId="2" fillId="0" borderId="8" xfId="0" applyNumberFormat="1" applyFont="1" applyFill="1" applyBorder="1" applyAlignment="1">
      <alignment horizontal="center" vertical="center" wrapText="1"/>
    </xf>
    <xf numFmtId="0" fontId="2" fillId="0" borderId="9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11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 applyAlignment="1">
      <alignment horizontal="center"/>
    </xf>
    <xf numFmtId="165" fontId="1" fillId="0" borderId="0" xfId="0" applyNumberFormat="1" applyFont="1" applyFill="1" applyAlignment="1"/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wrapText="1"/>
    </xf>
    <xf numFmtId="0" fontId="9" fillId="17" borderId="23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wrapText="1"/>
    </xf>
    <xf numFmtId="0" fontId="9" fillId="0" borderId="0" xfId="0" applyFont="1" applyFill="1" applyAlignment="1">
      <alignment vertical="center" wrapText="1"/>
    </xf>
    <xf numFmtId="165" fontId="1" fillId="18" borderId="2" xfId="1" applyNumberFormat="1" applyFont="1" applyFill="1" applyBorder="1" applyAlignment="1">
      <alignment horizontal="center" vertical="center"/>
    </xf>
    <xf numFmtId="165" fontId="1" fillId="18" borderId="2" xfId="1" applyNumberFormat="1" applyFont="1" applyFill="1" applyBorder="1" applyAlignment="1">
      <alignment horizontal="center" vertical="center" wrapText="1"/>
    </xf>
    <xf numFmtId="4" fontId="1" fillId="0" borderId="15" xfId="1" applyNumberFormat="1" applyFont="1" applyFill="1" applyBorder="1" applyAlignment="1">
      <alignment horizontal="left" vertical="center"/>
    </xf>
    <xf numFmtId="165" fontId="21" fillId="0" borderId="2" xfId="0" applyNumberFormat="1" applyFont="1" applyFill="1" applyBorder="1" applyAlignment="1">
      <alignment horizontal="center" vertical="center" wrapText="1"/>
    </xf>
    <xf numFmtId="165" fontId="1" fillId="0" borderId="0" xfId="1" applyNumberFormat="1" applyFont="1" applyFill="1" applyAlignment="1"/>
    <xf numFmtId="165" fontId="1" fillId="11" borderId="2" xfId="1" applyNumberFormat="1" applyFont="1" applyFill="1" applyBorder="1" applyAlignment="1">
      <alignment horizontal="center" vertical="center" wrapText="1"/>
    </xf>
    <xf numFmtId="165" fontId="1" fillId="11" borderId="2" xfId="1" applyNumberFormat="1" applyFont="1" applyFill="1" applyBorder="1" applyAlignment="1">
      <alignment horizontal="center" vertical="center"/>
    </xf>
    <xf numFmtId="165" fontId="1" fillId="0" borderId="0" xfId="0" applyNumberFormat="1" applyFont="1" applyFill="1" applyAlignment="1">
      <alignment horizontal="right"/>
    </xf>
    <xf numFmtId="0" fontId="1" fillId="0" borderId="8" xfId="1" applyFont="1" applyFill="1" applyBorder="1" applyAlignment="1">
      <alignment horizontal="center" vertical="center" wrapText="1"/>
    </xf>
    <xf numFmtId="0" fontId="1" fillId="0" borderId="9" xfId="1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/>
    </xf>
    <xf numFmtId="0" fontId="2" fillId="0" borderId="8" xfId="0" applyNumberFormat="1" applyFont="1" applyFill="1" applyBorder="1" applyAlignment="1">
      <alignment horizontal="center" vertical="center" wrapText="1"/>
    </xf>
    <xf numFmtId="0" fontId="2" fillId="0" borderId="9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11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 applyAlignment="1">
      <alignment horizontal="center"/>
    </xf>
    <xf numFmtId="0" fontId="26" fillId="0" borderId="0" xfId="0" applyFont="1" applyAlignment="1">
      <alignment horizontal="center"/>
    </xf>
    <xf numFmtId="0" fontId="1" fillId="0" borderId="11" xfId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Alignment="1">
      <alignment horizontal="center"/>
    </xf>
    <xf numFmtId="165" fontId="1" fillId="0" borderId="0" xfId="0" applyNumberFormat="1" applyFont="1" applyFill="1" applyAlignment="1"/>
    <xf numFmtId="0" fontId="2" fillId="0" borderId="0" xfId="0" applyFont="1" applyFill="1" applyAlignment="1">
      <alignment horizontal="center" vertical="center" wrapText="1"/>
    </xf>
    <xf numFmtId="0" fontId="44" fillId="13" borderId="3" xfId="0" applyFont="1" applyFill="1" applyBorder="1" applyAlignment="1">
      <alignment horizontal="center" vertical="center" wrapText="1"/>
    </xf>
    <xf numFmtId="0" fontId="44" fillId="13" borderId="10" xfId="0" applyFont="1" applyFill="1" applyBorder="1" applyAlignment="1">
      <alignment horizontal="center" vertical="center" wrapText="1"/>
    </xf>
    <xf numFmtId="0" fontId="44" fillId="13" borderId="13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0" xfId="0" applyFont="1" applyFill="1" applyBorder="1" applyAlignment="1">
      <alignment horizontal="center" wrapText="1"/>
    </xf>
    <xf numFmtId="0" fontId="8" fillId="0" borderId="0" xfId="0" applyFont="1" applyFill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44" fillId="13" borderId="0" xfId="0" applyFont="1" applyFill="1" applyBorder="1" applyAlignment="1">
      <alignment horizontal="center" vertical="center" wrapText="1"/>
    </xf>
    <xf numFmtId="165" fontId="1" fillId="0" borderId="0" xfId="1" applyNumberFormat="1" applyFont="1" applyFill="1" applyAlignment="1">
      <alignment horizontal="right"/>
    </xf>
    <xf numFmtId="0" fontId="15" fillId="0" borderId="0" xfId="0" applyFont="1" applyFill="1" applyAlignment="1">
      <alignment horizontal="center" vertical="center" wrapText="1"/>
    </xf>
    <xf numFmtId="165" fontId="1" fillId="0" borderId="0" xfId="1" applyNumberFormat="1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165" fontId="1" fillId="0" borderId="0" xfId="0" applyNumberFormat="1" applyFont="1" applyFill="1" applyAlignment="1">
      <alignment horizontal="left"/>
    </xf>
    <xf numFmtId="0" fontId="1" fillId="0" borderId="0" xfId="0" applyNumberFormat="1" applyFont="1" applyFill="1" applyAlignment="1">
      <alignment horizontal="left"/>
    </xf>
    <xf numFmtId="0" fontId="1" fillId="0" borderId="0" xfId="0" applyFont="1" applyFill="1" applyAlignment="1">
      <alignment horizontal="left"/>
    </xf>
    <xf numFmtId="0" fontId="15" fillId="0" borderId="0" xfId="0" applyFont="1" applyAlignment="1">
      <alignment horizontal="center"/>
    </xf>
    <xf numFmtId="0" fontId="9" fillId="17" borderId="25" xfId="0" applyFont="1" applyFill="1" applyBorder="1" applyAlignment="1">
      <alignment horizontal="center" vertical="center" wrapText="1"/>
    </xf>
    <xf numFmtId="0" fontId="9" fillId="17" borderId="23" xfId="0" applyFont="1" applyFill="1" applyBorder="1" applyAlignment="1">
      <alignment horizontal="center" vertical="center" wrapText="1"/>
    </xf>
    <xf numFmtId="0" fontId="28" fillId="0" borderId="2" xfId="0" applyFont="1" applyBorder="1" applyAlignment="1">
      <alignment horizontal="center"/>
    </xf>
    <xf numFmtId="0" fontId="28" fillId="0" borderId="3" xfId="0" applyFont="1" applyBorder="1" applyAlignment="1">
      <alignment horizontal="center" wrapText="1"/>
    </xf>
    <xf numFmtId="0" fontId="28" fillId="0" borderId="10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2" xfId="0" applyFont="1" applyBorder="1" applyAlignment="1">
      <alignment horizontal="center" wrapText="1"/>
    </xf>
  </cellXfs>
  <cellStyles count="6">
    <cellStyle name="Гиперссылка" xfId="3" builtinId="8"/>
    <cellStyle name="Обычный" xfId="0" builtinId="0"/>
    <cellStyle name="Обычный 2" xfId="1"/>
    <cellStyle name="Процентный 2" xfId="4"/>
    <cellStyle name="Финансовый" xfId="2" builtinId="3"/>
    <cellStyle name="Финансовый 2" xfId="5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-fino-lichman\&#1041;&#1102;&#1076;&#1078;&#1077;&#1090;%20&#1085;&#1072;%202021%20&#1075;&#1086;&#1076;\&#1041;&#1102;&#1076;&#1078;&#1077;&#1090;%202021&#1075;\&#1059;&#1090;&#1086;&#1095;&#1085;&#1077;&#1085;&#1080;&#1077;%20&#1073;&#1102;&#1076;&#1078;&#1077;&#1090;&#1072;\&#1059;&#1090;&#1086;&#1095;&#1085;&#1077;&#1085;&#1080;&#1077;%20&#1092;&#1077;&#1074;&#1088;&#1072;&#1083;&#1100;\&#1055;&#1088;&#1080;&#1083;&#1086;&#1078;&#1077;&#1085;&#1080;&#1103;%20&#1082;%20&#1088;&#1077;&#1096;&#1077;&#1085;&#1080;&#1102;%20%20&#1057;&#1055;&#1054;&#1043;&#1054;%20&#1085;&#1072;%202021-2023%20&#1075;&#1086;&#1076;%20(&#1091;&#1090;-&#1077;%20&#1092;&#1077;&#1074;&#1088;&#1072;&#1083;&#1100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1дох.21"/>
      <sheetName val="Пр.1.1. дох.22-23"/>
      <sheetName val="пр.3 Рд,пр 21"/>
      <sheetName val="пр.4.1. рдпр 22-23"/>
      <sheetName val="Пр.4 Рд,пр, ЦС,ВР 21"/>
      <sheetName val="пр.5.1.рдпрцс 22-23"/>
      <sheetName val="Пр.5 ведом.21"/>
      <sheetName val="Прил.№5 ведомств.старая"/>
      <sheetName val="пр.6.1.ведом.22-23"/>
      <sheetName val="пр.6 МП 21"/>
      <sheetName val="прил.№6 МП старая"/>
      <sheetName val="пр.7.1.МП 22-23"/>
      <sheetName val="пр.8 публ. 21"/>
      <sheetName val="пр.8.1.публ.22-23"/>
      <sheetName val="пр.7 ист-ки 21"/>
      <sheetName val="пр.8.1.ист-ки 22-23 "/>
    </sheetNames>
    <sheetDataSet>
      <sheetData sheetId="0">
        <row r="126">
          <cell r="C126">
            <v>2185</v>
          </cell>
        </row>
      </sheetData>
      <sheetData sheetId="1"/>
      <sheetData sheetId="2">
        <row r="18">
          <cell r="D18">
            <v>0</v>
          </cell>
        </row>
      </sheetData>
      <sheetData sheetId="3" refreshError="1"/>
      <sheetData sheetId="4"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69">
          <cell r="F269">
            <v>0</v>
          </cell>
        </row>
        <row r="270">
          <cell r="F270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90">
          <cell r="F290">
            <v>0</v>
          </cell>
        </row>
        <row r="291">
          <cell r="F291">
            <v>0</v>
          </cell>
        </row>
        <row r="292">
          <cell r="F292">
            <v>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0</v>
          </cell>
        </row>
        <row r="310">
          <cell r="F310">
            <v>0</v>
          </cell>
        </row>
        <row r="329">
          <cell r="F329">
            <v>0</v>
          </cell>
        </row>
        <row r="330">
          <cell r="F330">
            <v>0</v>
          </cell>
        </row>
        <row r="332">
          <cell r="F332">
            <v>0</v>
          </cell>
        </row>
        <row r="333">
          <cell r="F333">
            <v>0</v>
          </cell>
        </row>
        <row r="334">
          <cell r="F334">
            <v>0</v>
          </cell>
        </row>
        <row r="335">
          <cell r="F335">
            <v>0</v>
          </cell>
        </row>
        <row r="336">
          <cell r="F336">
            <v>0</v>
          </cell>
        </row>
        <row r="337">
          <cell r="F337">
            <v>0</v>
          </cell>
        </row>
        <row r="338">
          <cell r="F338">
            <v>0</v>
          </cell>
        </row>
        <row r="339">
          <cell r="F339">
            <v>0</v>
          </cell>
        </row>
        <row r="340">
          <cell r="F340">
            <v>0</v>
          </cell>
        </row>
        <row r="341">
          <cell r="F341">
            <v>0</v>
          </cell>
        </row>
        <row r="342">
          <cell r="F342">
            <v>0</v>
          </cell>
        </row>
        <row r="343">
          <cell r="F343">
            <v>0</v>
          </cell>
        </row>
        <row r="344">
          <cell r="F344">
            <v>0</v>
          </cell>
        </row>
        <row r="345">
          <cell r="F345">
            <v>0</v>
          </cell>
        </row>
        <row r="346">
          <cell r="F346">
            <v>0</v>
          </cell>
        </row>
        <row r="347">
          <cell r="F347">
            <v>0</v>
          </cell>
        </row>
        <row r="354">
          <cell r="F354">
            <v>0</v>
          </cell>
        </row>
        <row r="355">
          <cell r="F355">
            <v>0</v>
          </cell>
        </row>
        <row r="356">
          <cell r="F356">
            <v>0</v>
          </cell>
        </row>
        <row r="358">
          <cell r="F358">
            <v>0</v>
          </cell>
        </row>
        <row r="359">
          <cell r="F359">
            <v>0</v>
          </cell>
        </row>
        <row r="360">
          <cell r="F360">
            <v>0</v>
          </cell>
        </row>
        <row r="362">
          <cell r="F362">
            <v>0</v>
          </cell>
        </row>
        <row r="363">
          <cell r="F363">
            <v>0</v>
          </cell>
        </row>
        <row r="364">
          <cell r="F364">
            <v>0</v>
          </cell>
        </row>
        <row r="366">
          <cell r="F366">
            <v>0</v>
          </cell>
        </row>
        <row r="367">
          <cell r="F367">
            <v>0</v>
          </cell>
        </row>
        <row r="368">
          <cell r="F368">
            <v>0</v>
          </cell>
        </row>
        <row r="370">
          <cell r="F370">
            <v>0</v>
          </cell>
        </row>
        <row r="371">
          <cell r="F371">
            <v>0</v>
          </cell>
        </row>
        <row r="372">
          <cell r="F372">
            <v>0</v>
          </cell>
        </row>
        <row r="374">
          <cell r="F374">
            <v>0</v>
          </cell>
        </row>
        <row r="375">
          <cell r="F375">
            <v>0</v>
          </cell>
        </row>
        <row r="376">
          <cell r="F376">
            <v>0</v>
          </cell>
        </row>
        <row r="400">
          <cell r="F400">
            <v>0</v>
          </cell>
        </row>
        <row r="401">
          <cell r="F401">
            <v>0</v>
          </cell>
        </row>
        <row r="402">
          <cell r="F402">
            <v>0</v>
          </cell>
        </row>
        <row r="423">
          <cell r="F423">
            <v>0</v>
          </cell>
        </row>
        <row r="452">
          <cell r="F452">
            <v>0</v>
          </cell>
        </row>
        <row r="453">
          <cell r="F453">
            <v>0</v>
          </cell>
        </row>
        <row r="454">
          <cell r="F454">
            <v>0</v>
          </cell>
        </row>
        <row r="630">
          <cell r="F630">
            <v>0</v>
          </cell>
        </row>
        <row r="631">
          <cell r="F631">
            <v>0</v>
          </cell>
        </row>
        <row r="632">
          <cell r="F632">
            <v>0</v>
          </cell>
        </row>
        <row r="656">
          <cell r="F656">
            <v>0</v>
          </cell>
        </row>
        <row r="657">
          <cell r="F657">
            <v>0</v>
          </cell>
        </row>
        <row r="692">
          <cell r="F692">
            <v>0</v>
          </cell>
        </row>
        <row r="693">
          <cell r="F693">
            <v>0</v>
          </cell>
        </row>
        <row r="694">
          <cell r="F694">
            <v>0</v>
          </cell>
        </row>
        <row r="753">
          <cell r="F753">
            <v>983</v>
          </cell>
        </row>
        <row r="754">
          <cell r="F754">
            <v>983</v>
          </cell>
        </row>
        <row r="800">
          <cell r="F800">
            <v>0</v>
          </cell>
        </row>
        <row r="801">
          <cell r="F801">
            <v>0</v>
          </cell>
        </row>
        <row r="888">
          <cell r="F888">
            <v>0</v>
          </cell>
        </row>
        <row r="889">
          <cell r="F889">
            <v>0</v>
          </cell>
        </row>
        <row r="890">
          <cell r="F890">
            <v>0</v>
          </cell>
        </row>
        <row r="898">
          <cell r="F898">
            <v>0</v>
          </cell>
        </row>
        <row r="899">
          <cell r="F899">
            <v>0</v>
          </cell>
        </row>
        <row r="900">
          <cell r="F900">
            <v>0</v>
          </cell>
        </row>
      </sheetData>
      <sheetData sheetId="5"/>
      <sheetData sheetId="6">
        <row r="47">
          <cell r="G47">
            <v>40.5</v>
          </cell>
        </row>
        <row r="99">
          <cell r="G99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60">
          <cell r="G160">
            <v>0</v>
          </cell>
        </row>
        <row r="161">
          <cell r="G161">
            <v>0</v>
          </cell>
        </row>
        <row r="162">
          <cell r="G162">
            <v>0</v>
          </cell>
        </row>
        <row r="238">
          <cell r="G238">
            <v>0</v>
          </cell>
        </row>
        <row r="239">
          <cell r="G239">
            <v>0</v>
          </cell>
        </row>
        <row r="240">
          <cell r="G240">
            <v>0</v>
          </cell>
        </row>
        <row r="247">
          <cell r="G247">
            <v>0</v>
          </cell>
        </row>
        <row r="248">
          <cell r="G248">
            <v>0</v>
          </cell>
        </row>
        <row r="249">
          <cell r="G249">
            <v>0</v>
          </cell>
        </row>
        <row r="263">
          <cell r="G263">
            <v>0</v>
          </cell>
        </row>
        <row r="264">
          <cell r="G264">
            <v>0</v>
          </cell>
        </row>
        <row r="265">
          <cell r="G265">
            <v>0</v>
          </cell>
        </row>
        <row r="271">
          <cell r="G271">
            <v>0</v>
          </cell>
        </row>
        <row r="272">
          <cell r="G272">
            <v>0</v>
          </cell>
        </row>
        <row r="273">
          <cell r="G273">
            <v>0</v>
          </cell>
        </row>
        <row r="299">
          <cell r="G299">
            <v>0</v>
          </cell>
        </row>
        <row r="300">
          <cell r="G300">
            <v>0</v>
          </cell>
        </row>
        <row r="332">
          <cell r="G332">
            <v>0</v>
          </cell>
        </row>
        <row r="333">
          <cell r="G333">
            <v>0</v>
          </cell>
        </row>
        <row r="334">
          <cell r="G334">
            <v>0</v>
          </cell>
        </row>
        <row r="408">
          <cell r="G408">
            <v>0</v>
          </cell>
        </row>
        <row r="409">
          <cell r="G409">
            <v>0</v>
          </cell>
        </row>
        <row r="456">
          <cell r="G456">
            <v>420</v>
          </cell>
        </row>
        <row r="504">
          <cell r="G504">
            <v>0</v>
          </cell>
        </row>
        <row r="505">
          <cell r="G505">
            <v>0</v>
          </cell>
        </row>
        <row r="506">
          <cell r="G506">
            <v>0</v>
          </cell>
        </row>
        <row r="557">
          <cell r="G557">
            <v>0</v>
          </cell>
        </row>
        <row r="558">
          <cell r="G558">
            <v>0</v>
          </cell>
        </row>
        <row r="559">
          <cell r="G559">
            <v>0</v>
          </cell>
        </row>
        <row r="560">
          <cell r="G560">
            <v>0</v>
          </cell>
        </row>
        <row r="561">
          <cell r="G561">
            <v>0</v>
          </cell>
        </row>
        <row r="562">
          <cell r="G562">
            <v>0</v>
          </cell>
        </row>
        <row r="567">
          <cell r="G567">
            <v>0</v>
          </cell>
        </row>
        <row r="568">
          <cell r="G568">
            <v>0</v>
          </cell>
        </row>
        <row r="569">
          <cell r="G569">
            <v>0</v>
          </cell>
        </row>
        <row r="623">
          <cell r="G623">
            <v>0</v>
          </cell>
        </row>
        <row r="624">
          <cell r="G624">
            <v>0</v>
          </cell>
        </row>
        <row r="625">
          <cell r="G625">
            <v>0</v>
          </cell>
        </row>
        <row r="626">
          <cell r="G626">
            <v>0</v>
          </cell>
        </row>
        <row r="627">
          <cell r="G627">
            <v>0</v>
          </cell>
        </row>
        <row r="628">
          <cell r="G628">
            <v>0</v>
          </cell>
        </row>
        <row r="629">
          <cell r="G629">
            <v>0</v>
          </cell>
        </row>
        <row r="630">
          <cell r="G630">
            <v>0</v>
          </cell>
        </row>
        <row r="631">
          <cell r="G631">
            <v>0</v>
          </cell>
        </row>
        <row r="636">
          <cell r="G636">
            <v>0</v>
          </cell>
        </row>
        <row r="637">
          <cell r="G637">
            <v>0</v>
          </cell>
        </row>
        <row r="638">
          <cell r="G638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84">
          <cell r="G784">
            <v>769.23</v>
          </cell>
        </row>
        <row r="859">
          <cell r="G859">
            <v>0</v>
          </cell>
        </row>
        <row r="860">
          <cell r="G860">
            <v>0</v>
          </cell>
        </row>
        <row r="865">
          <cell r="G865">
            <v>0</v>
          </cell>
        </row>
        <row r="866">
          <cell r="G866">
            <v>0</v>
          </cell>
        </row>
        <row r="867">
          <cell r="G867">
            <v>0</v>
          </cell>
        </row>
        <row r="868">
          <cell r="G868">
            <v>0</v>
          </cell>
        </row>
        <row r="883">
          <cell r="G883">
            <v>0</v>
          </cell>
        </row>
        <row r="888">
          <cell r="G888">
            <v>0</v>
          </cell>
        </row>
        <row r="889">
          <cell r="G889">
            <v>0</v>
          </cell>
        </row>
        <row r="891">
          <cell r="G891">
            <v>0</v>
          </cell>
        </row>
        <row r="892">
          <cell r="G892">
            <v>0</v>
          </cell>
        </row>
        <row r="893">
          <cell r="G893">
            <v>0</v>
          </cell>
        </row>
        <row r="894">
          <cell r="G894">
            <v>0</v>
          </cell>
        </row>
        <row r="895">
          <cell r="G895">
            <v>0</v>
          </cell>
        </row>
        <row r="896">
          <cell r="G896">
            <v>0</v>
          </cell>
        </row>
        <row r="897">
          <cell r="G897">
            <v>0</v>
          </cell>
        </row>
        <row r="898">
          <cell r="G898">
            <v>0</v>
          </cell>
        </row>
        <row r="899">
          <cell r="G899">
            <v>0</v>
          </cell>
        </row>
        <row r="900">
          <cell r="G900">
            <v>0</v>
          </cell>
        </row>
        <row r="901">
          <cell r="G901">
            <v>0</v>
          </cell>
        </row>
        <row r="902">
          <cell r="G902">
            <v>0</v>
          </cell>
        </row>
        <row r="903">
          <cell r="G903">
            <v>0</v>
          </cell>
        </row>
        <row r="904">
          <cell r="G904">
            <v>0</v>
          </cell>
        </row>
        <row r="905">
          <cell r="G905">
            <v>0</v>
          </cell>
        </row>
        <row r="906">
          <cell r="G906">
            <v>0</v>
          </cell>
        </row>
        <row r="913">
          <cell r="G913">
            <v>0</v>
          </cell>
        </row>
        <row r="914">
          <cell r="G914">
            <v>0</v>
          </cell>
        </row>
        <row r="915">
          <cell r="G915">
            <v>0</v>
          </cell>
        </row>
        <row r="917">
          <cell r="G917">
            <v>0</v>
          </cell>
        </row>
        <row r="918">
          <cell r="G918">
            <v>0</v>
          </cell>
        </row>
        <row r="919">
          <cell r="G919">
            <v>0</v>
          </cell>
        </row>
        <row r="921">
          <cell r="G921">
            <v>0</v>
          </cell>
        </row>
        <row r="922">
          <cell r="G922">
            <v>0</v>
          </cell>
        </row>
        <row r="923">
          <cell r="G923">
            <v>0</v>
          </cell>
        </row>
        <row r="925">
          <cell r="G925">
            <v>0</v>
          </cell>
        </row>
        <row r="926">
          <cell r="G926">
            <v>0</v>
          </cell>
        </row>
        <row r="927">
          <cell r="G927">
            <v>0</v>
          </cell>
        </row>
        <row r="929">
          <cell r="G929">
            <v>0</v>
          </cell>
        </row>
        <row r="930">
          <cell r="G930">
            <v>0</v>
          </cell>
        </row>
        <row r="931">
          <cell r="G931">
            <v>0</v>
          </cell>
        </row>
        <row r="933">
          <cell r="G933">
            <v>0</v>
          </cell>
        </row>
        <row r="934">
          <cell r="G934">
            <v>0</v>
          </cell>
        </row>
        <row r="935">
          <cell r="G935">
            <v>0</v>
          </cell>
        </row>
        <row r="959">
          <cell r="G959">
            <v>0</v>
          </cell>
        </row>
        <row r="960">
          <cell r="G960">
            <v>0</v>
          </cell>
        </row>
        <row r="961">
          <cell r="G961">
            <v>0</v>
          </cell>
        </row>
        <row r="973">
          <cell r="G973">
            <v>0</v>
          </cell>
        </row>
        <row r="974">
          <cell r="G974">
            <v>0</v>
          </cell>
        </row>
        <row r="980">
          <cell r="G980">
            <v>0</v>
          </cell>
        </row>
        <row r="981">
          <cell r="G981">
            <v>0</v>
          </cell>
        </row>
        <row r="982">
          <cell r="G982">
            <v>0</v>
          </cell>
        </row>
        <row r="1011">
          <cell r="G1011">
            <v>0</v>
          </cell>
        </row>
        <row r="1012">
          <cell r="G1012">
            <v>0</v>
          </cell>
        </row>
        <row r="1013">
          <cell r="G1013">
            <v>0</v>
          </cell>
        </row>
        <row r="1051">
          <cell r="G1051">
            <v>0</v>
          </cell>
        </row>
        <row r="1052">
          <cell r="G1052">
            <v>0</v>
          </cell>
        </row>
        <row r="1053">
          <cell r="G1053">
            <v>0</v>
          </cell>
        </row>
      </sheetData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consultantplus://offline/ref=90DD075742B43C415054D7C57EEE35341F87E5BC1D9D1BDE3A747C0D881C15D50B24F795703CF7A64B588B73F9A8AC3C8A6AC02CDB9A5E68c4m2F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consultantplus://offline/ref=90DD075742B43C415054D7C57EEE35341F87E5BC1D9D1BDE3A747C0D881C15D50B24F795703DF2AD4E588B73F9A8AC3C8A6AC02CDB9A5E68c4m2F" TargetMode="External"/><Relationship Id="rId1" Type="http://schemas.openxmlformats.org/officeDocument/2006/relationships/hyperlink" Target="consultantplus://offline/ref=90DD075742B43C415054D7C57EEE35341F87E5BC1D9D1BDE3A747C0D881C15D50B24F795703DF0A84C588B73F9A8AC3C8A6AC02CDB9A5E68c4m2F" TargetMode="External"/><Relationship Id="rId6" Type="http://schemas.openxmlformats.org/officeDocument/2006/relationships/hyperlink" Target="consultantplus://offline/ref=90DD075742B43C415054D7C57EEE35341F87E5BC1D9D1BDE3A747C0D881C15D50B24F795703DF2AD4E588B73F9A8AC3C8A6AC02CDB9A5E68c4m2F" TargetMode="External"/><Relationship Id="rId5" Type="http://schemas.openxmlformats.org/officeDocument/2006/relationships/hyperlink" Target="consultantplus://offline/ref=90DD075742B43C415054D7C57EEE35341F87E5BC1D9D1BDE3A747C0D881C15D50B24F795703DF0A84C588B73F9A8AC3C8A6AC02CDB9A5E68c4m2F" TargetMode="External"/><Relationship Id="rId4" Type="http://schemas.openxmlformats.org/officeDocument/2006/relationships/hyperlink" Target="consultantplus://offline/ref=90DD075742B43C415054D7C57EEE35341F87E5BC1D9D1BDE3A747C0D881C15D50B24F795703CF7A64B588B73F9A8AC3C8A6AC02CDB9A5E68c4m2F" TargetMode="External"/><Relationship Id="rId9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consultantplus://offline/ref=90DD075742B43C415054D7C57EEE35341F87E5BC1D9D1BDE3A747C0D881C15D50B24F795703CF7A64B588B73F9A8AC3C8A6AC02CDB9A5E68c4m2F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consultantplus://offline/ref=90DD075742B43C415054D7C57EEE35341F87E5BC1D9D1BDE3A747C0D881C15D50B24F795703DF2AD4E588B73F9A8AC3C8A6AC02CDB9A5E68c4m2F" TargetMode="External"/><Relationship Id="rId1" Type="http://schemas.openxmlformats.org/officeDocument/2006/relationships/hyperlink" Target="consultantplus://offline/ref=90DD075742B43C415054D7C57EEE35341F87E5BC1D9D1BDE3A747C0D881C15D50B24F795703DF0A84C588B73F9A8AC3C8A6AC02CDB9A5E68c4m2F" TargetMode="External"/><Relationship Id="rId6" Type="http://schemas.openxmlformats.org/officeDocument/2006/relationships/hyperlink" Target="consultantplus://offline/ref=90DD075742B43C415054D7C57EEE35341F87E5BC1D9D1BDE3A747C0D881C15D50B24F795703DF2AD4E588B73F9A8AC3C8A6AC02CDB9A5E68c4m2F" TargetMode="External"/><Relationship Id="rId5" Type="http://schemas.openxmlformats.org/officeDocument/2006/relationships/hyperlink" Target="consultantplus://offline/ref=90DD075742B43C415054D7C57EEE35341F87E5BC1D9D1BDE3A747C0D881C15D50B24F795703DF0A84C588B73F9A8AC3C8A6AC02CDB9A5E68c4m2F" TargetMode="External"/><Relationship Id="rId4" Type="http://schemas.openxmlformats.org/officeDocument/2006/relationships/hyperlink" Target="consultantplus://offline/ref=90DD075742B43C415054D7C57EEE35341F87E5BC1D9D1BDE3A747C0D881C15D50B24F795703CF7A64B588B73F9A8AC3C8A6AC02CDB9A5E68c4m2F" TargetMode="External"/><Relationship Id="rId9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consultantplus://offline/ref=90DD075742B43C415054D7C57EEE35341F87E5BC1D9D1BDE3A747C0D881C15D50B24F795703CF7A64B588B73F9A8AC3C8A6AC02CDB9A5E68c4m2F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consultantplus://offline/ref=90DD075742B43C415054D7C57EEE35341F87E5BC1D9D1BDE3A747C0D881C15D50B24F795703DF2AD4E588B73F9A8AC3C8A6AC02CDB9A5E68c4m2F" TargetMode="External"/><Relationship Id="rId1" Type="http://schemas.openxmlformats.org/officeDocument/2006/relationships/hyperlink" Target="consultantplus://offline/ref=90DD075742B43C415054D7C57EEE35341F87E5BC1D9D1BDE3A747C0D881C15D50B24F795703DF0A84C588B73F9A8AC3C8A6AC02CDB9A5E68c4m2F" TargetMode="External"/><Relationship Id="rId6" Type="http://schemas.openxmlformats.org/officeDocument/2006/relationships/hyperlink" Target="consultantplus://offline/ref=90DD075742B43C415054D7C57EEE35341F87E5BC1D9D1BDE3A747C0D881C15D50B24F795703DF2AD4E588B73F9A8AC3C8A6AC02CDB9A5E68c4m2F" TargetMode="External"/><Relationship Id="rId5" Type="http://schemas.openxmlformats.org/officeDocument/2006/relationships/hyperlink" Target="consultantplus://offline/ref=90DD075742B43C415054D7C57EEE35341F87E5BC1D9D1BDE3A747C0D881C15D50B24F795703DF0A84C588B73F9A8AC3C8A6AC02CDB9A5E68c4m2F" TargetMode="External"/><Relationship Id="rId4" Type="http://schemas.openxmlformats.org/officeDocument/2006/relationships/hyperlink" Target="consultantplus://offline/ref=90DD075742B43C415054D7C57EEE35341F87E5BC1D9D1BDE3A747C0D881C15D50B24F795703CF7A64B588B73F9A8AC3C8A6AC02CDB9A5E68c4m2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99"/>
  <sheetViews>
    <sheetView view="pageBreakPreview" zoomScaleNormal="90" zoomScaleSheetLayoutView="100" workbookViewId="0">
      <selection activeCell="L6" sqref="L6"/>
    </sheetView>
  </sheetViews>
  <sheetFormatPr defaultColWidth="9.140625" defaultRowHeight="15" x14ac:dyDescent="0.25"/>
  <cols>
    <col min="1" max="1" width="25.140625" style="128" customWidth="1"/>
    <col min="2" max="2" width="79.140625" style="128" customWidth="1"/>
    <col min="3" max="3" width="16.28515625" style="175" customWidth="1"/>
    <col min="4" max="4" width="18.85546875" style="128" hidden="1" customWidth="1"/>
    <col min="5" max="5" width="12.5703125" style="128" hidden="1" customWidth="1"/>
    <col min="6" max="6" width="11.85546875" style="128" hidden="1" customWidth="1"/>
    <col min="7" max="7" width="12.5703125" style="128" hidden="1" customWidth="1"/>
    <col min="8" max="8" width="11.85546875" style="128" hidden="1" customWidth="1"/>
    <col min="9" max="9" width="15" style="128" hidden="1" customWidth="1"/>
    <col min="10" max="10" width="15.85546875" style="208" customWidth="1"/>
    <col min="11" max="11" width="9.7109375" style="128" bestFit="1" customWidth="1"/>
    <col min="12" max="12" width="17" style="128" customWidth="1"/>
    <col min="13" max="16384" width="9.140625" style="128"/>
  </cols>
  <sheetData>
    <row r="1" spans="1:12" ht="15" customHeight="1" x14ac:dyDescent="0.25">
      <c r="B1" s="714" t="s">
        <v>1540</v>
      </c>
      <c r="C1" s="714"/>
    </row>
    <row r="2" spans="1:12" ht="15" customHeight="1" x14ac:dyDescent="0.25">
      <c r="B2" s="714" t="s">
        <v>0</v>
      </c>
      <c r="C2" s="714"/>
    </row>
    <row r="3" spans="1:12" ht="15.75" x14ac:dyDescent="0.25">
      <c r="B3" s="714" t="s">
        <v>1722</v>
      </c>
      <c r="C3" s="714"/>
    </row>
    <row r="4" spans="1:12" ht="15.75" x14ac:dyDescent="0.25">
      <c r="A4" s="717" t="s">
        <v>1508</v>
      </c>
      <c r="B4" s="717"/>
      <c r="C4" s="717"/>
    </row>
    <row r="5" spans="1:12" ht="15.75" x14ac:dyDescent="0.25">
      <c r="A5" s="717" t="s">
        <v>1723</v>
      </c>
      <c r="B5" s="717"/>
      <c r="C5" s="717"/>
    </row>
    <row r="6" spans="1:12" ht="15.75" x14ac:dyDescent="0.25">
      <c r="A6" s="131"/>
      <c r="B6" s="131"/>
      <c r="C6" s="698" t="s">
        <v>698</v>
      </c>
    </row>
    <row r="7" spans="1:12" ht="31.5" x14ac:dyDescent="0.25">
      <c r="A7" s="132" t="s">
        <v>2</v>
      </c>
      <c r="B7" s="133" t="s">
        <v>3</v>
      </c>
      <c r="C7" s="10" t="s">
        <v>1027</v>
      </c>
      <c r="D7" s="330" t="s">
        <v>1436</v>
      </c>
      <c r="E7" s="330" t="s">
        <v>1436</v>
      </c>
    </row>
    <row r="8" spans="1:12" ht="15.75" x14ac:dyDescent="0.25">
      <c r="A8" s="134" t="s">
        <v>5</v>
      </c>
      <c r="B8" s="135" t="s">
        <v>6</v>
      </c>
      <c r="C8" s="488">
        <f>C9+C16+C21+C31+C39+C42+C48+C55+C58+C63</f>
        <v>323744.37</v>
      </c>
      <c r="E8" s="333">
        <f>SUM(E16:E50)</f>
        <v>2639.4300000000012</v>
      </c>
      <c r="G8" s="115"/>
      <c r="H8" s="115"/>
      <c r="J8" s="441"/>
    </row>
    <row r="9" spans="1:12" ht="15.75" x14ac:dyDescent="0.25">
      <c r="A9" s="136" t="s">
        <v>7</v>
      </c>
      <c r="B9" s="135" t="s">
        <v>8</v>
      </c>
      <c r="C9" s="488">
        <f>C10</f>
        <v>255478.8</v>
      </c>
      <c r="D9" s="115"/>
      <c r="F9" s="115"/>
      <c r="G9" s="115"/>
      <c r="H9" s="115"/>
      <c r="I9" s="115"/>
      <c r="J9" s="441"/>
    </row>
    <row r="10" spans="1:12" ht="15.75" x14ac:dyDescent="0.25">
      <c r="A10" s="137" t="s">
        <v>9</v>
      </c>
      <c r="B10" s="138" t="s">
        <v>10</v>
      </c>
      <c r="C10" s="488">
        <f>SUM(C11:C15)</f>
        <v>255478.8</v>
      </c>
      <c r="D10" s="115"/>
      <c r="F10" s="115"/>
      <c r="G10" s="115"/>
      <c r="H10" s="115"/>
      <c r="I10" s="115"/>
      <c r="J10" s="441"/>
    </row>
    <row r="11" spans="1:12" ht="63" x14ac:dyDescent="0.25">
      <c r="A11" s="201" t="s">
        <v>11</v>
      </c>
      <c r="B11" s="139" t="s">
        <v>12</v>
      </c>
      <c r="C11" s="489">
        <v>246084</v>
      </c>
      <c r="D11" s="208"/>
      <c r="J11" s="525"/>
      <c r="K11" s="202"/>
      <c r="L11" s="202"/>
    </row>
    <row r="12" spans="1:12" ht="94.5" x14ac:dyDescent="0.25">
      <c r="A12" s="201" t="s">
        <v>13</v>
      </c>
      <c r="B12" s="140" t="s">
        <v>14</v>
      </c>
      <c r="C12" s="489">
        <v>55</v>
      </c>
    </row>
    <row r="13" spans="1:12" ht="36.75" customHeight="1" x14ac:dyDescent="0.25">
      <c r="A13" s="201" t="s">
        <v>15</v>
      </c>
      <c r="B13" s="140" t="s">
        <v>16</v>
      </c>
      <c r="C13" s="489">
        <v>939</v>
      </c>
      <c r="J13" s="525"/>
    </row>
    <row r="14" spans="1:12" ht="78.75" x14ac:dyDescent="0.25">
      <c r="A14" s="201" t="s">
        <v>17</v>
      </c>
      <c r="B14" s="140" t="s">
        <v>18</v>
      </c>
      <c r="C14" s="489">
        <v>802</v>
      </c>
    </row>
    <row r="15" spans="1:12" ht="78.75" x14ac:dyDescent="0.25">
      <c r="A15" s="559" t="s">
        <v>1726</v>
      </c>
      <c r="B15" s="560" t="s">
        <v>1800</v>
      </c>
      <c r="C15" s="489">
        <v>7598.8</v>
      </c>
    </row>
    <row r="16" spans="1:12" ht="31.5" x14ac:dyDescent="0.25">
      <c r="A16" s="141" t="s">
        <v>19</v>
      </c>
      <c r="B16" s="142" t="s">
        <v>20</v>
      </c>
      <c r="C16" s="488">
        <f>C17</f>
        <v>3071.5699999999997</v>
      </c>
      <c r="D16" s="331">
        <v>2319</v>
      </c>
      <c r="E16" s="331">
        <f>D16-C16</f>
        <v>-752.56999999999971</v>
      </c>
    </row>
    <row r="17" spans="1:6" ht="31.5" x14ac:dyDescent="0.25">
      <c r="A17" s="180" t="s">
        <v>21</v>
      </c>
      <c r="B17" s="181" t="s">
        <v>22</v>
      </c>
      <c r="C17" s="488">
        <f>SUM(C18:C20)</f>
        <v>3071.5699999999997</v>
      </c>
    </row>
    <row r="18" spans="1:6" ht="100.5" customHeight="1" x14ac:dyDescent="0.25">
      <c r="A18" s="143" t="s">
        <v>1537</v>
      </c>
      <c r="B18" s="140" t="s">
        <v>1592</v>
      </c>
      <c r="C18" s="489">
        <f>1388.75-74.75</f>
        <v>1314</v>
      </c>
    </row>
    <row r="19" spans="1:6" ht="117" customHeight="1" x14ac:dyDescent="0.25">
      <c r="A19" s="696" t="s">
        <v>1538</v>
      </c>
      <c r="B19" s="140" t="s">
        <v>1593</v>
      </c>
      <c r="C19" s="489">
        <f>7.69-0.69</f>
        <v>7</v>
      </c>
    </row>
    <row r="20" spans="1:6" ht="98.45" customHeight="1" x14ac:dyDescent="0.25">
      <c r="A20" s="696" t="s">
        <v>1539</v>
      </c>
      <c r="B20" s="140" t="s">
        <v>1594</v>
      </c>
      <c r="C20" s="489">
        <f>1849.27-98.7</f>
        <v>1750.57</v>
      </c>
    </row>
    <row r="21" spans="1:6" ht="18.75" x14ac:dyDescent="0.25">
      <c r="A21" s="137" t="s">
        <v>23</v>
      </c>
      <c r="B21" s="138" t="s">
        <v>24</v>
      </c>
      <c r="C21" s="488">
        <f>SUM(C22+C27+C29)</f>
        <v>14241</v>
      </c>
      <c r="F21" s="197"/>
    </row>
    <row r="22" spans="1:6" ht="31.5" x14ac:dyDescent="0.25">
      <c r="A22" s="134" t="s">
        <v>25</v>
      </c>
      <c r="B22" s="138" t="s">
        <v>26</v>
      </c>
      <c r="C22" s="488">
        <f>C23+C25</f>
        <v>11435</v>
      </c>
      <c r="D22" s="331">
        <v>13524.7</v>
      </c>
      <c r="E22" s="331">
        <f>D22-C22</f>
        <v>2089.7000000000007</v>
      </c>
    </row>
    <row r="23" spans="1:6" ht="31.5" x14ac:dyDescent="0.25">
      <c r="A23" s="134" t="s">
        <v>1115</v>
      </c>
      <c r="B23" s="571" t="s">
        <v>28</v>
      </c>
      <c r="C23" s="488">
        <f>C24</f>
        <v>11040</v>
      </c>
    </row>
    <row r="24" spans="1:6" ht="31.5" x14ac:dyDescent="0.25">
      <c r="A24" s="132" t="s">
        <v>27</v>
      </c>
      <c r="B24" s="98" t="s">
        <v>28</v>
      </c>
      <c r="C24" s="489">
        <v>11040</v>
      </c>
    </row>
    <row r="25" spans="1:6" ht="36.75" customHeight="1" x14ac:dyDescent="0.25">
      <c r="A25" s="134" t="s">
        <v>1114</v>
      </c>
      <c r="B25" s="244" t="s">
        <v>1113</v>
      </c>
      <c r="C25" s="488">
        <f>C26</f>
        <v>395</v>
      </c>
    </row>
    <row r="26" spans="1:6" ht="50.25" customHeight="1" x14ac:dyDescent="0.25">
      <c r="A26" s="132" t="s">
        <v>29</v>
      </c>
      <c r="B26" s="144" t="s">
        <v>30</v>
      </c>
      <c r="C26" s="489">
        <v>395</v>
      </c>
    </row>
    <row r="27" spans="1:6" ht="15.75" hidden="1" x14ac:dyDescent="0.25">
      <c r="A27" s="134" t="s">
        <v>31</v>
      </c>
      <c r="B27" s="147" t="s">
        <v>32</v>
      </c>
      <c r="C27" s="488">
        <f>SUM(C28:C28)</f>
        <v>0</v>
      </c>
    </row>
    <row r="28" spans="1:6" ht="15.75" hidden="1" x14ac:dyDescent="0.25">
      <c r="A28" s="201" t="s">
        <v>33</v>
      </c>
      <c r="B28" s="139" t="s">
        <v>32</v>
      </c>
      <c r="C28" s="489"/>
    </row>
    <row r="29" spans="1:6" ht="31.5" x14ac:dyDescent="0.25">
      <c r="A29" s="134" t="s">
        <v>1125</v>
      </c>
      <c r="B29" s="145" t="s">
        <v>1116</v>
      </c>
      <c r="C29" s="488">
        <f>C30</f>
        <v>2806</v>
      </c>
    </row>
    <row r="30" spans="1:6" ht="31.5" x14ac:dyDescent="0.25">
      <c r="A30" s="132" t="s">
        <v>34</v>
      </c>
      <c r="B30" s="236" t="s">
        <v>35</v>
      </c>
      <c r="C30" s="489">
        <v>2806</v>
      </c>
    </row>
    <row r="31" spans="1:6" ht="15.75" x14ac:dyDescent="0.25">
      <c r="A31" s="137" t="s">
        <v>36</v>
      </c>
      <c r="B31" s="138" t="s">
        <v>37</v>
      </c>
      <c r="C31" s="488">
        <f>C32+C34</f>
        <v>1748</v>
      </c>
    </row>
    <row r="32" spans="1:6" ht="15.75" x14ac:dyDescent="0.25">
      <c r="A32" s="137" t="s">
        <v>38</v>
      </c>
      <c r="B32" s="138" t="s">
        <v>39</v>
      </c>
      <c r="C32" s="488">
        <f>C33</f>
        <v>1121</v>
      </c>
    </row>
    <row r="33" spans="1:6" ht="31.7" customHeight="1" x14ac:dyDescent="0.25">
      <c r="A33" s="201" t="s">
        <v>40</v>
      </c>
      <c r="B33" s="144" t="s">
        <v>41</v>
      </c>
      <c r="C33" s="489">
        <v>1121</v>
      </c>
    </row>
    <row r="34" spans="1:6" ht="15.75" x14ac:dyDescent="0.25">
      <c r="A34" s="137" t="s">
        <v>42</v>
      </c>
      <c r="B34" s="138" t="s">
        <v>43</v>
      </c>
      <c r="C34" s="488">
        <f>C35+C37</f>
        <v>627</v>
      </c>
      <c r="D34" s="128">
        <v>678</v>
      </c>
      <c r="E34" s="230">
        <f>D34-C34</f>
        <v>51</v>
      </c>
    </row>
    <row r="35" spans="1:6" ht="15.75" x14ac:dyDescent="0.25">
      <c r="A35" s="137" t="s">
        <v>1127</v>
      </c>
      <c r="B35" s="138" t="s">
        <v>1126</v>
      </c>
      <c r="C35" s="488">
        <f>C36</f>
        <v>504</v>
      </c>
    </row>
    <row r="36" spans="1:6" ht="31.5" x14ac:dyDescent="0.25">
      <c r="A36" s="201" t="s">
        <v>44</v>
      </c>
      <c r="B36" s="144" t="s">
        <v>45</v>
      </c>
      <c r="C36" s="489">
        <v>504</v>
      </c>
    </row>
    <row r="37" spans="1:6" ht="15.75" x14ac:dyDescent="0.25">
      <c r="A37" s="137" t="s">
        <v>1129</v>
      </c>
      <c r="B37" s="138" t="s">
        <v>1128</v>
      </c>
      <c r="C37" s="488">
        <f>C38</f>
        <v>123</v>
      </c>
    </row>
    <row r="38" spans="1:6" ht="31.5" x14ac:dyDescent="0.25">
      <c r="A38" s="201" t="s">
        <v>46</v>
      </c>
      <c r="B38" s="144" t="s">
        <v>47</v>
      </c>
      <c r="C38" s="489">
        <v>123</v>
      </c>
    </row>
    <row r="39" spans="1:6" ht="15.75" x14ac:dyDescent="0.25">
      <c r="A39" s="137" t="s">
        <v>48</v>
      </c>
      <c r="B39" s="138" t="s">
        <v>49</v>
      </c>
      <c r="C39" s="488">
        <f>C40</f>
        <v>1283</v>
      </c>
    </row>
    <row r="40" spans="1:6" ht="31.5" x14ac:dyDescent="0.25">
      <c r="A40" s="137" t="s">
        <v>50</v>
      </c>
      <c r="B40" s="138" t="s">
        <v>51</v>
      </c>
      <c r="C40" s="488">
        <f>C41</f>
        <v>1283</v>
      </c>
    </row>
    <row r="41" spans="1:6" ht="47.25" x14ac:dyDescent="0.25">
      <c r="A41" s="201" t="s">
        <v>52</v>
      </c>
      <c r="B41" s="139" t="s">
        <v>53</v>
      </c>
      <c r="C41" s="489">
        <v>1283</v>
      </c>
    </row>
    <row r="42" spans="1:6" ht="31.5" x14ac:dyDescent="0.25">
      <c r="A42" s="137" t="s">
        <v>54</v>
      </c>
      <c r="B42" s="146" t="s">
        <v>55</v>
      </c>
      <c r="C42" s="488">
        <f>C43</f>
        <v>44000</v>
      </c>
      <c r="D42" s="115">
        <f>C42+C48+C55+C58+C63</f>
        <v>47922</v>
      </c>
      <c r="F42" s="115"/>
    </row>
    <row r="43" spans="1:6" ht="78.75" x14ac:dyDescent="0.25">
      <c r="A43" s="137" t="s">
        <v>56</v>
      </c>
      <c r="B43" s="146" t="s">
        <v>57</v>
      </c>
      <c r="C43" s="488">
        <f>C44+C46</f>
        <v>44000</v>
      </c>
      <c r="D43" s="332">
        <v>45000</v>
      </c>
      <c r="E43" s="331">
        <f>D43-C43</f>
        <v>1000</v>
      </c>
    </row>
    <row r="44" spans="1:6" ht="63" x14ac:dyDescent="0.25">
      <c r="A44" s="137" t="s">
        <v>58</v>
      </c>
      <c r="B44" s="138" t="s">
        <v>59</v>
      </c>
      <c r="C44" s="488">
        <f>C45</f>
        <v>40000</v>
      </c>
    </row>
    <row r="45" spans="1:6" ht="63" x14ac:dyDescent="0.25">
      <c r="A45" s="201" t="s">
        <v>60</v>
      </c>
      <c r="B45" s="144" t="s">
        <v>61</v>
      </c>
      <c r="C45" s="489">
        <v>40000</v>
      </c>
      <c r="D45" s="230"/>
    </row>
    <row r="46" spans="1:6" ht="36.75" customHeight="1" x14ac:dyDescent="0.25">
      <c r="A46" s="137" t="s">
        <v>62</v>
      </c>
      <c r="B46" s="138" t="s">
        <v>63</v>
      </c>
      <c r="C46" s="488">
        <f>C47</f>
        <v>4000</v>
      </c>
      <c r="D46" s="230"/>
    </row>
    <row r="47" spans="1:6" ht="31.5" x14ac:dyDescent="0.25">
      <c r="A47" s="201" t="s">
        <v>64</v>
      </c>
      <c r="B47" s="144" t="s">
        <v>65</v>
      </c>
      <c r="C47" s="489">
        <v>4000</v>
      </c>
    </row>
    <row r="48" spans="1:6" ht="15.75" x14ac:dyDescent="0.25">
      <c r="A48" s="137" t="s">
        <v>66</v>
      </c>
      <c r="B48" s="146" t="s">
        <v>67</v>
      </c>
      <c r="C48" s="488">
        <f>SUM(C49)</f>
        <v>2836.1</v>
      </c>
      <c r="D48" s="332">
        <v>3087.4</v>
      </c>
      <c r="E48" s="331">
        <f>D48-C48</f>
        <v>251.30000000000018</v>
      </c>
    </row>
    <row r="49" spans="1:4" ht="15.75" x14ac:dyDescent="0.25">
      <c r="A49" s="137" t="s">
        <v>68</v>
      </c>
      <c r="B49" s="146" t="s">
        <v>69</v>
      </c>
      <c r="C49" s="488">
        <f>C50+C51+C52</f>
        <v>2836.1</v>
      </c>
    </row>
    <row r="50" spans="1:4" ht="31.5" x14ac:dyDescent="0.25">
      <c r="A50" s="137" t="s">
        <v>70</v>
      </c>
      <c r="B50" s="146" t="s">
        <v>71</v>
      </c>
      <c r="C50" s="489">
        <v>49.1</v>
      </c>
      <c r="D50" s="199"/>
    </row>
    <row r="51" spans="1:4" ht="16.5" x14ac:dyDescent="0.25">
      <c r="A51" s="137" t="s">
        <v>72</v>
      </c>
      <c r="B51" s="146" t="s">
        <v>73</v>
      </c>
      <c r="C51" s="489">
        <v>166</v>
      </c>
      <c r="D51" s="199"/>
    </row>
    <row r="52" spans="1:4" ht="23.25" customHeight="1" x14ac:dyDescent="0.25">
      <c r="A52" s="137" t="s">
        <v>1435</v>
      </c>
      <c r="B52" s="235" t="s">
        <v>1117</v>
      </c>
      <c r="C52" s="488">
        <f>C53+C54</f>
        <v>2621</v>
      </c>
      <c r="D52" s="199"/>
    </row>
    <row r="53" spans="1:4" ht="18.75" x14ac:dyDescent="0.25">
      <c r="A53" s="201" t="s">
        <v>795</v>
      </c>
      <c r="B53" s="139" t="s">
        <v>796</v>
      </c>
      <c r="C53" s="489">
        <v>2370.8000000000002</v>
      </c>
      <c r="D53" s="200"/>
    </row>
    <row r="54" spans="1:4" ht="16.5" x14ac:dyDescent="0.25">
      <c r="A54" s="201" t="s">
        <v>797</v>
      </c>
      <c r="B54" s="139" t="s">
        <v>798</v>
      </c>
      <c r="C54" s="489">
        <v>250.2</v>
      </c>
      <c r="D54" s="199"/>
    </row>
    <row r="55" spans="1:4" ht="31.5" x14ac:dyDescent="0.25">
      <c r="A55" s="137" t="s">
        <v>74</v>
      </c>
      <c r="B55" s="146" t="s">
        <v>75</v>
      </c>
      <c r="C55" s="488">
        <f>C57</f>
        <v>833.9</v>
      </c>
      <c r="D55" s="199"/>
    </row>
    <row r="56" spans="1:4" ht="15.75" x14ac:dyDescent="0.25">
      <c r="A56" s="137" t="s">
        <v>76</v>
      </c>
      <c r="B56" s="146" t="s">
        <v>77</v>
      </c>
      <c r="C56" s="488">
        <f>C57</f>
        <v>833.9</v>
      </c>
    </row>
    <row r="57" spans="1:4" ht="31.5" x14ac:dyDescent="0.25">
      <c r="A57" s="201" t="s">
        <v>78</v>
      </c>
      <c r="B57" s="139" t="s">
        <v>79</v>
      </c>
      <c r="C57" s="489">
        <v>833.9</v>
      </c>
      <c r="D57" s="202"/>
    </row>
    <row r="58" spans="1:4" ht="31.5" x14ac:dyDescent="0.25">
      <c r="A58" s="137" t="s">
        <v>80</v>
      </c>
      <c r="B58" s="146" t="s">
        <v>81</v>
      </c>
      <c r="C58" s="488">
        <f>SUM(C59+C61)</f>
        <v>236</v>
      </c>
    </row>
    <row r="59" spans="1:4" ht="78.75" x14ac:dyDescent="0.25">
      <c r="A59" s="137" t="s">
        <v>82</v>
      </c>
      <c r="B59" s="146" t="s">
        <v>83</v>
      </c>
      <c r="C59" s="488">
        <f>C60</f>
        <v>235</v>
      </c>
    </row>
    <row r="60" spans="1:4" ht="78.75" x14ac:dyDescent="0.25">
      <c r="A60" s="201" t="s">
        <v>84</v>
      </c>
      <c r="B60" s="139" t="s">
        <v>699</v>
      </c>
      <c r="C60" s="489">
        <v>235</v>
      </c>
    </row>
    <row r="61" spans="1:4" ht="31.5" x14ac:dyDescent="0.25">
      <c r="A61" s="137" t="s">
        <v>85</v>
      </c>
      <c r="B61" s="146" t="s">
        <v>86</v>
      </c>
      <c r="C61" s="488">
        <f>SUM(C62)</f>
        <v>1</v>
      </c>
    </row>
    <row r="62" spans="1:4" ht="47.25" x14ac:dyDescent="0.25">
      <c r="A62" s="201" t="s">
        <v>87</v>
      </c>
      <c r="B62" s="139" t="s">
        <v>88</v>
      </c>
      <c r="C62" s="489">
        <v>1</v>
      </c>
    </row>
    <row r="63" spans="1:4" ht="15.75" x14ac:dyDescent="0.25">
      <c r="A63" s="137" t="s">
        <v>89</v>
      </c>
      <c r="B63" s="146" t="s">
        <v>90</v>
      </c>
      <c r="C63" s="488">
        <f>C64</f>
        <v>16</v>
      </c>
    </row>
    <row r="64" spans="1:4" ht="31.5" x14ac:dyDescent="0.25">
      <c r="A64" s="137" t="s">
        <v>1096</v>
      </c>
      <c r="B64" s="146" t="s">
        <v>91</v>
      </c>
      <c r="C64" s="488">
        <f>C65+C67+C69+C71</f>
        <v>16</v>
      </c>
    </row>
    <row r="65" spans="1:10" ht="47.25" x14ac:dyDescent="0.25">
      <c r="A65" s="137" t="s">
        <v>1110</v>
      </c>
      <c r="B65" s="245" t="s">
        <v>1109</v>
      </c>
      <c r="C65" s="488">
        <f>C66</f>
        <v>10</v>
      </c>
    </row>
    <row r="66" spans="1:10" ht="63" x14ac:dyDescent="0.25">
      <c r="A66" s="201" t="s">
        <v>1098</v>
      </c>
      <c r="B66" s="246" t="s">
        <v>1104</v>
      </c>
      <c r="C66" s="489">
        <v>10</v>
      </c>
    </row>
    <row r="67" spans="1:10" ht="60.4" customHeight="1" x14ac:dyDescent="0.25">
      <c r="A67" s="137" t="s">
        <v>1112</v>
      </c>
      <c r="B67" s="245" t="s">
        <v>1111</v>
      </c>
      <c r="C67" s="488">
        <f>C68</f>
        <v>2.5</v>
      </c>
    </row>
    <row r="68" spans="1:10" ht="90.75" customHeight="1" x14ac:dyDescent="0.25">
      <c r="A68" s="201" t="s">
        <v>1097</v>
      </c>
      <c r="B68" s="246" t="s">
        <v>1105</v>
      </c>
      <c r="C68" s="489">
        <v>2.5</v>
      </c>
    </row>
    <row r="69" spans="1:10" s="191" customFormat="1" ht="51.75" customHeight="1" x14ac:dyDescent="0.25">
      <c r="A69" s="137" t="s">
        <v>1801</v>
      </c>
      <c r="B69" s="247" t="s">
        <v>1803</v>
      </c>
      <c r="C69" s="488">
        <f>C70</f>
        <v>0.5</v>
      </c>
      <c r="J69" s="443"/>
    </row>
    <row r="70" spans="1:10" ht="71.25" customHeight="1" x14ac:dyDescent="0.25">
      <c r="A70" s="201" t="s">
        <v>1802</v>
      </c>
      <c r="B70" s="246" t="s">
        <v>1804</v>
      </c>
      <c r="C70" s="489">
        <v>0.5</v>
      </c>
    </row>
    <row r="71" spans="1:10" ht="63" x14ac:dyDescent="0.25">
      <c r="A71" s="137" t="s">
        <v>1108</v>
      </c>
      <c r="B71" s="247" t="s">
        <v>1107</v>
      </c>
      <c r="C71" s="488">
        <f>C72</f>
        <v>3</v>
      </c>
    </row>
    <row r="72" spans="1:10" ht="78.75" x14ac:dyDescent="0.25">
      <c r="A72" s="201" t="s">
        <v>1101</v>
      </c>
      <c r="B72" s="248" t="s">
        <v>1106</v>
      </c>
      <c r="C72" s="489">
        <v>3</v>
      </c>
    </row>
    <row r="73" spans="1:10" ht="15.75" hidden="1" x14ac:dyDescent="0.25">
      <c r="A73" s="3" t="s">
        <v>1099</v>
      </c>
      <c r="B73" s="179" t="s">
        <v>767</v>
      </c>
      <c r="C73" s="488">
        <f>C74</f>
        <v>0</v>
      </c>
    </row>
    <row r="74" spans="1:10" ht="15.75" hidden="1" x14ac:dyDescent="0.25">
      <c r="A74" s="3" t="s">
        <v>1100</v>
      </c>
      <c r="B74" s="179" t="s">
        <v>768</v>
      </c>
      <c r="C74" s="488">
        <f>SUM(C75)</f>
        <v>0</v>
      </c>
    </row>
    <row r="75" spans="1:10" ht="15.75" hidden="1" x14ac:dyDescent="0.25">
      <c r="A75" s="2" t="s">
        <v>769</v>
      </c>
      <c r="B75" s="178" t="s">
        <v>770</v>
      </c>
      <c r="C75" s="489">
        <v>0</v>
      </c>
    </row>
    <row r="76" spans="1:10" ht="15.75" x14ac:dyDescent="0.25">
      <c r="A76" s="137" t="s">
        <v>92</v>
      </c>
      <c r="B76" s="138" t="s">
        <v>93</v>
      </c>
      <c r="C76" s="488">
        <f>C77+C183</f>
        <v>478808.80000000005</v>
      </c>
      <c r="D76" s="295">
        <f>C76-C78</f>
        <v>274315.80000000005</v>
      </c>
      <c r="E76" s="115"/>
      <c r="F76" s="115">
        <v>443864.2</v>
      </c>
      <c r="H76" s="193"/>
      <c r="J76" s="441"/>
    </row>
    <row r="77" spans="1:10" ht="31.5" x14ac:dyDescent="0.25">
      <c r="A77" s="137" t="s">
        <v>94</v>
      </c>
      <c r="B77" s="138" t="s">
        <v>95</v>
      </c>
      <c r="C77" s="488">
        <f>C78+C83+C141+C170</f>
        <v>478808.80000000005</v>
      </c>
      <c r="D77" s="296"/>
      <c r="H77" s="193"/>
      <c r="I77" s="115"/>
    </row>
    <row r="78" spans="1:10" ht="15.75" x14ac:dyDescent="0.25">
      <c r="A78" s="137" t="s">
        <v>814</v>
      </c>
      <c r="B78" s="147" t="s">
        <v>96</v>
      </c>
      <c r="C78" s="488">
        <f>C79+C81</f>
        <v>204493</v>
      </c>
      <c r="D78" s="297"/>
    </row>
    <row r="79" spans="1:10" ht="15.75" x14ac:dyDescent="0.25">
      <c r="A79" s="137" t="s">
        <v>1131</v>
      </c>
      <c r="B79" s="147" t="s">
        <v>1130</v>
      </c>
      <c r="C79" s="488">
        <f>C80</f>
        <v>193111</v>
      </c>
      <c r="D79" s="297"/>
    </row>
    <row r="80" spans="1:10" ht="31.5" x14ac:dyDescent="0.25">
      <c r="A80" s="201" t="s">
        <v>813</v>
      </c>
      <c r="B80" s="144" t="s">
        <v>1140</v>
      </c>
      <c r="C80" s="489">
        <v>193111</v>
      </c>
      <c r="D80" s="297"/>
      <c r="F80" s="115"/>
    </row>
    <row r="81" spans="1:10" ht="31.5" x14ac:dyDescent="0.25">
      <c r="A81" s="134" t="s">
        <v>1451</v>
      </c>
      <c r="B81" s="138" t="s">
        <v>1452</v>
      </c>
      <c r="C81" s="488">
        <f>C82</f>
        <v>11382</v>
      </c>
      <c r="D81" s="296"/>
    </row>
    <row r="82" spans="1:10" ht="31.5" x14ac:dyDescent="0.25">
      <c r="A82" s="132" t="s">
        <v>1453</v>
      </c>
      <c r="B82" s="144" t="s">
        <v>1454</v>
      </c>
      <c r="C82" s="489">
        <v>11382</v>
      </c>
      <c r="D82" s="296"/>
    </row>
    <row r="83" spans="1:10" ht="34.5" customHeight="1" x14ac:dyDescent="0.25">
      <c r="A83" s="137" t="s">
        <v>812</v>
      </c>
      <c r="B83" s="138" t="s">
        <v>97</v>
      </c>
      <c r="C83" s="488">
        <f>C98+C106+C111+C102+C90+C94+C104+C96+C108+C84+C86+C88+C92+C100</f>
        <v>40350.800000000003</v>
      </c>
      <c r="D83" s="298">
        <f>C90+C94+C96+C98+C102+C104+C106+C110+C108+C86+C84</f>
        <v>38390.1</v>
      </c>
      <c r="E83" s="115"/>
      <c r="F83" s="115"/>
      <c r="G83" s="115"/>
      <c r="I83" s="115"/>
    </row>
    <row r="84" spans="1:10" ht="54" hidden="1" customHeight="1" x14ac:dyDescent="0.25">
      <c r="A84" s="693" t="s">
        <v>1455</v>
      </c>
      <c r="B84" s="344" t="s">
        <v>1456</v>
      </c>
      <c r="C84" s="453">
        <f>C85</f>
        <v>0</v>
      </c>
      <c r="D84" s="298"/>
      <c r="E84" s="115"/>
      <c r="F84" s="115"/>
      <c r="G84" s="115"/>
      <c r="I84" s="115"/>
      <c r="J84" s="441"/>
    </row>
    <row r="85" spans="1:10" ht="54" hidden="1" customHeight="1" x14ac:dyDescent="0.25">
      <c r="A85" s="201" t="s">
        <v>1457</v>
      </c>
      <c r="B85" s="346" t="s">
        <v>1458</v>
      </c>
      <c r="C85" s="489"/>
      <c r="D85" s="298">
        <f>'Пр.4 ведом.22'!G870-63</f>
        <v>-63</v>
      </c>
      <c r="E85" s="115"/>
      <c r="F85" s="115"/>
      <c r="G85" s="115"/>
      <c r="I85" s="115"/>
    </row>
    <row r="86" spans="1:10" ht="54" hidden="1" customHeight="1" x14ac:dyDescent="0.25">
      <c r="A86" s="137" t="s">
        <v>1460</v>
      </c>
      <c r="B86" s="347" t="s">
        <v>1459</v>
      </c>
      <c r="C86" s="488">
        <f>C87</f>
        <v>0</v>
      </c>
      <c r="D86" s="298"/>
      <c r="E86" s="115"/>
      <c r="F86" s="115"/>
      <c r="G86" s="115"/>
      <c r="I86" s="115"/>
    </row>
    <row r="87" spans="1:10" ht="54" hidden="1" customHeight="1" x14ac:dyDescent="0.25">
      <c r="A87" s="201" t="s">
        <v>1461</v>
      </c>
      <c r="B87" s="357" t="s">
        <v>1462</v>
      </c>
      <c r="C87" s="489"/>
      <c r="D87" s="298">
        <f>'Пр.4 ведом.22'!G730-258.45</f>
        <v>-258.45</v>
      </c>
      <c r="E87" s="115"/>
      <c r="F87" s="115"/>
      <c r="G87" s="115"/>
      <c r="I87" s="115"/>
    </row>
    <row r="88" spans="1:10" ht="45.75" customHeight="1" x14ac:dyDescent="0.25">
      <c r="A88" s="137" t="s">
        <v>1466</v>
      </c>
      <c r="B88" s="184" t="s">
        <v>1797</v>
      </c>
      <c r="C88" s="488">
        <f>C89</f>
        <v>1677.8</v>
      </c>
      <c r="D88" s="298"/>
      <c r="E88" s="115"/>
      <c r="F88" s="115"/>
      <c r="G88" s="115"/>
      <c r="I88" s="115"/>
    </row>
    <row r="89" spans="1:10" ht="45.75" customHeight="1" x14ac:dyDescent="0.25">
      <c r="A89" s="201" t="s">
        <v>1728</v>
      </c>
      <c r="B89" s="346" t="s">
        <v>1727</v>
      </c>
      <c r="C89" s="489">
        <v>1677.8</v>
      </c>
      <c r="D89" s="298"/>
      <c r="E89" s="115"/>
      <c r="F89" s="115"/>
      <c r="G89" s="115"/>
      <c r="I89" s="115"/>
    </row>
    <row r="90" spans="1:10" ht="49.7" hidden="1" customHeight="1" x14ac:dyDescent="0.25">
      <c r="A90" s="694" t="s">
        <v>1155</v>
      </c>
      <c r="B90" s="244" t="s">
        <v>1157</v>
      </c>
      <c r="C90" s="454">
        <f>C91</f>
        <v>0</v>
      </c>
      <c r="D90" s="299"/>
      <c r="E90" s="115"/>
      <c r="F90" s="115"/>
      <c r="G90" s="115"/>
      <c r="H90" s="193"/>
      <c r="I90" s="115"/>
    </row>
    <row r="91" spans="1:10" ht="65.25" hidden="1" customHeight="1" x14ac:dyDescent="0.25">
      <c r="A91" s="201" t="s">
        <v>1154</v>
      </c>
      <c r="B91" s="98" t="s">
        <v>1643</v>
      </c>
      <c r="C91" s="489"/>
      <c r="D91" s="299">
        <f>'Пр.4 ведом.22'!G723-150.8</f>
        <v>-150.80000000000001</v>
      </c>
      <c r="E91" s="115"/>
      <c r="F91" s="115"/>
      <c r="G91" s="115"/>
      <c r="H91" s="193"/>
      <c r="I91" s="115"/>
    </row>
    <row r="92" spans="1:10" ht="65.25" customHeight="1" x14ac:dyDescent="0.25">
      <c r="A92" s="137" t="s">
        <v>1789</v>
      </c>
      <c r="B92" s="571" t="s">
        <v>1790</v>
      </c>
      <c r="C92" s="488">
        <f>C93</f>
        <v>99</v>
      </c>
      <c r="D92" s="299"/>
      <c r="E92" s="115"/>
      <c r="F92" s="115"/>
      <c r="G92" s="115"/>
      <c r="H92" s="193"/>
      <c r="I92" s="115"/>
    </row>
    <row r="93" spans="1:10" ht="65.25" customHeight="1" x14ac:dyDescent="0.25">
      <c r="A93" s="703" t="s">
        <v>1788</v>
      </c>
      <c r="B93" s="98" t="s">
        <v>1749</v>
      </c>
      <c r="C93" s="489">
        <v>99</v>
      </c>
      <c r="D93" s="299"/>
      <c r="E93" s="115"/>
      <c r="F93" s="115"/>
      <c r="G93" s="115"/>
      <c r="H93" s="193"/>
      <c r="I93" s="115"/>
    </row>
    <row r="94" spans="1:10" ht="47.25" hidden="1" customHeight="1" x14ac:dyDescent="0.25">
      <c r="A94" s="137" t="s">
        <v>1158</v>
      </c>
      <c r="B94" s="571" t="s">
        <v>1161</v>
      </c>
      <c r="C94" s="488">
        <f>C95</f>
        <v>0</v>
      </c>
      <c r="D94" s="299"/>
      <c r="E94" s="115"/>
      <c r="F94" s="115"/>
      <c r="G94" s="115"/>
      <c r="H94" s="193"/>
      <c r="I94" s="115"/>
    </row>
    <row r="95" spans="1:10" ht="54.75" hidden="1" customHeight="1" x14ac:dyDescent="0.25">
      <c r="A95" s="201" t="s">
        <v>1159</v>
      </c>
      <c r="B95" s="98" t="s">
        <v>1160</v>
      </c>
      <c r="C95" s="489">
        <v>0</v>
      </c>
      <c r="D95" s="299"/>
      <c r="E95" s="115"/>
      <c r="F95" s="115"/>
      <c r="G95" s="115"/>
      <c r="H95" s="193"/>
      <c r="I95" s="115"/>
    </row>
    <row r="96" spans="1:10" ht="26.45" hidden="1" customHeight="1" x14ac:dyDescent="0.25">
      <c r="A96" s="693"/>
      <c r="B96" s="358" t="s">
        <v>1284</v>
      </c>
      <c r="C96" s="488">
        <f>C97</f>
        <v>0</v>
      </c>
      <c r="D96" s="299"/>
      <c r="E96" s="115"/>
      <c r="F96" s="115"/>
      <c r="G96" s="115"/>
      <c r="H96" s="193"/>
      <c r="I96" s="115"/>
    </row>
    <row r="97" spans="1:10" ht="23.25" hidden="1" customHeight="1" x14ac:dyDescent="0.25">
      <c r="A97" s="696"/>
      <c r="B97" s="359"/>
      <c r="C97" s="489"/>
      <c r="D97" s="299" t="e">
        <f>'Пр.4 ведом.22'!#REF!-1936.29</f>
        <v>#REF!</v>
      </c>
      <c r="E97" s="115"/>
      <c r="F97" s="115"/>
      <c r="G97" s="115"/>
      <c r="H97" s="193"/>
      <c r="I97" s="115"/>
    </row>
    <row r="98" spans="1:10" ht="51.75" customHeight="1" x14ac:dyDescent="0.25">
      <c r="A98" s="693" t="s">
        <v>1441</v>
      </c>
      <c r="B98" s="138" t="s">
        <v>1442</v>
      </c>
      <c r="C98" s="488">
        <f>C99</f>
        <v>5193.7</v>
      </c>
      <c r="D98" s="299"/>
      <c r="G98" s="148"/>
    </row>
    <row r="99" spans="1:10" ht="51.75" customHeight="1" x14ac:dyDescent="0.25">
      <c r="A99" s="696" t="s">
        <v>1443</v>
      </c>
      <c r="B99" s="144" t="s">
        <v>1422</v>
      </c>
      <c r="C99" s="489">
        <v>5193.7</v>
      </c>
      <c r="D99" s="299"/>
      <c r="G99" s="148"/>
    </row>
    <row r="100" spans="1:10" ht="35.25" customHeight="1" x14ac:dyDescent="0.25">
      <c r="A100" s="693" t="s">
        <v>1791</v>
      </c>
      <c r="B100" s="582" t="s">
        <v>1792</v>
      </c>
      <c r="C100" s="488">
        <f>C101</f>
        <v>183.9</v>
      </c>
      <c r="D100" s="299"/>
      <c r="G100" s="148"/>
    </row>
    <row r="101" spans="1:10" ht="34.5" customHeight="1" x14ac:dyDescent="0.25">
      <c r="A101" s="704" t="s">
        <v>1758</v>
      </c>
      <c r="B101" s="583" t="s">
        <v>794</v>
      </c>
      <c r="C101" s="489">
        <v>183.9</v>
      </c>
      <c r="D101" s="299"/>
      <c r="G101" s="148"/>
      <c r="J101" s="525"/>
    </row>
    <row r="102" spans="1:10" s="148" customFormat="1" ht="33" customHeight="1" x14ac:dyDescent="0.25">
      <c r="A102" s="693" t="s">
        <v>1793</v>
      </c>
      <c r="B102" s="138" t="s">
        <v>1794</v>
      </c>
      <c r="C102" s="488">
        <f>C103</f>
        <v>10094.700000000001</v>
      </c>
      <c r="D102" s="299"/>
      <c r="E102" s="148" t="s">
        <v>1416</v>
      </c>
      <c r="J102" s="442"/>
    </row>
    <row r="103" spans="1:10" s="148" customFormat="1" ht="29.25" customHeight="1" x14ac:dyDescent="0.25">
      <c r="A103" s="696" t="s">
        <v>1795</v>
      </c>
      <c r="B103" s="461" t="s">
        <v>1755</v>
      </c>
      <c r="C103" s="489">
        <v>10094.700000000001</v>
      </c>
      <c r="D103" s="338">
        <f>'Пр.4 ведом.22'!G568-92.26</f>
        <v>-92.26</v>
      </c>
      <c r="E103" s="314">
        <f>83.03+839.57</f>
        <v>922.6</v>
      </c>
      <c r="J103" s="442"/>
    </row>
    <row r="104" spans="1:10" s="148" customFormat="1" ht="24.75" customHeight="1" x14ac:dyDescent="0.25">
      <c r="A104" s="270" t="s">
        <v>1151</v>
      </c>
      <c r="B104" s="271" t="s">
        <v>1152</v>
      </c>
      <c r="C104" s="488">
        <f>C105</f>
        <v>168.60000000000002</v>
      </c>
      <c r="D104" s="299"/>
      <c r="J104" s="442"/>
    </row>
    <row r="105" spans="1:10" s="148" customFormat="1" ht="21.75" customHeight="1" x14ac:dyDescent="0.25">
      <c r="A105" s="272" t="s">
        <v>1149</v>
      </c>
      <c r="B105" s="273" t="s">
        <v>1150</v>
      </c>
      <c r="C105" s="489">
        <f>112.4+56.2</f>
        <v>168.60000000000002</v>
      </c>
      <c r="D105" s="299">
        <f>'Пр.4 ведом.22'!G421</f>
        <v>123.7</v>
      </c>
      <c r="E105" s="148">
        <v>2202.4</v>
      </c>
      <c r="F105" s="148" t="s">
        <v>1416</v>
      </c>
      <c r="J105" s="442"/>
    </row>
    <row r="106" spans="1:10" ht="31.5" hidden="1" x14ac:dyDescent="0.25">
      <c r="A106" s="693" t="s">
        <v>1120</v>
      </c>
      <c r="B106" s="138" t="s">
        <v>1121</v>
      </c>
      <c r="C106" s="488">
        <f>SUM(C107)</f>
        <v>0</v>
      </c>
      <c r="D106" s="299"/>
      <c r="G106" s="148"/>
    </row>
    <row r="107" spans="1:10" s="148" customFormat="1" ht="35.450000000000003" hidden="1" customHeight="1" x14ac:dyDescent="0.25">
      <c r="A107" s="696" t="s">
        <v>811</v>
      </c>
      <c r="B107" s="237" t="s">
        <v>1644</v>
      </c>
      <c r="C107" s="489"/>
      <c r="D107" s="299">
        <f>'Пр.4 ведом.22'!G1094-500-874</f>
        <v>-874</v>
      </c>
      <c r="E107" s="148">
        <v>3026.4</v>
      </c>
      <c r="F107" s="148" t="s">
        <v>1416</v>
      </c>
      <c r="J107" s="442"/>
    </row>
    <row r="108" spans="1:10" s="191" customFormat="1" ht="32.25" hidden="1" customHeight="1" x14ac:dyDescent="0.25">
      <c r="A108" s="693" t="s">
        <v>1439</v>
      </c>
      <c r="B108" s="147" t="s">
        <v>1438</v>
      </c>
      <c r="C108" s="488">
        <f>C109</f>
        <v>0</v>
      </c>
      <c r="D108" s="300"/>
      <c r="J108" s="443"/>
    </row>
    <row r="109" spans="1:10" s="148" customFormat="1" ht="32.25" hidden="1" customHeight="1" x14ac:dyDescent="0.25">
      <c r="A109" s="696" t="s">
        <v>1440</v>
      </c>
      <c r="B109" s="237" t="s">
        <v>1437</v>
      </c>
      <c r="C109" s="489"/>
      <c r="D109" s="338">
        <f>'Пр.4 ведом.22'!G1047</f>
        <v>0</v>
      </c>
      <c r="J109" s="442"/>
    </row>
    <row r="110" spans="1:10" s="191" customFormat="1" ht="15.75" x14ac:dyDescent="0.25">
      <c r="A110" s="693" t="s">
        <v>1123</v>
      </c>
      <c r="B110" s="138" t="s">
        <v>1122</v>
      </c>
      <c r="C110" s="120">
        <f>C111</f>
        <v>22933.1</v>
      </c>
      <c r="D110" s="300"/>
      <c r="G110" s="193"/>
      <c r="H110" s="192">
        <f>C112+C113+C114+C115+C116+C119+C120+C122+C123+C124+C126</f>
        <v>7325.2</v>
      </c>
      <c r="I110" s="192"/>
      <c r="J110" s="443"/>
    </row>
    <row r="111" spans="1:10" s="191" customFormat="1" ht="15.75" x14ac:dyDescent="0.25">
      <c r="A111" s="201" t="s">
        <v>810</v>
      </c>
      <c r="B111" s="144" t="s">
        <v>98</v>
      </c>
      <c r="C111" s="27">
        <f>SUM(C112:C140)</f>
        <v>22933.1</v>
      </c>
      <c r="D111" s="300"/>
      <c r="G111" s="193"/>
      <c r="I111" s="192"/>
      <c r="J111" s="443"/>
    </row>
    <row r="112" spans="1:10" ht="78.75" hidden="1" x14ac:dyDescent="0.25">
      <c r="A112" s="721"/>
      <c r="B112" s="139" t="s">
        <v>1549</v>
      </c>
      <c r="C112" s="489"/>
      <c r="D112" s="338" t="e">
        <f>'Пр.4 ведом.22'!#REF!</f>
        <v>#REF!</v>
      </c>
    </row>
    <row r="113" spans="1:12" ht="115.5" customHeight="1" x14ac:dyDescent="0.25">
      <c r="A113" s="722"/>
      <c r="B113" s="149" t="s">
        <v>1752</v>
      </c>
      <c r="C113" s="455">
        <v>652</v>
      </c>
      <c r="D113" s="338">
        <f>'Пр.4 ведом.22'!G631</f>
        <v>679.9</v>
      </c>
    </row>
    <row r="114" spans="1:12" ht="134.44999999999999" hidden="1" customHeight="1" x14ac:dyDescent="0.25">
      <c r="A114" s="722"/>
      <c r="B114" s="29" t="s">
        <v>1688</v>
      </c>
      <c r="C114" s="455"/>
      <c r="D114" s="299" t="e">
        <f>'Пр.4 ведом.22'!#REF!</f>
        <v>#REF!</v>
      </c>
    </row>
    <row r="115" spans="1:12" ht="81.75" customHeight="1" x14ac:dyDescent="0.25">
      <c r="A115" s="722"/>
      <c r="B115" s="446" t="s">
        <v>1736</v>
      </c>
      <c r="C115" s="276">
        <v>4113.8999999999996</v>
      </c>
      <c r="D115" s="336" t="e">
        <f>'Пр.4 ведом.22'!#REF!</f>
        <v>#REF!</v>
      </c>
      <c r="I115" s="115"/>
      <c r="J115" s="525"/>
    </row>
    <row r="116" spans="1:12" ht="63" hidden="1" customHeight="1" x14ac:dyDescent="0.25">
      <c r="A116" s="722"/>
      <c r="B116" s="149" t="s">
        <v>1420</v>
      </c>
      <c r="C116" s="10"/>
      <c r="D116" s="299" t="e">
        <f>SUM(D117:D118)</f>
        <v>#REF!</v>
      </c>
      <c r="G116" s="150"/>
    </row>
    <row r="117" spans="1:12" s="150" customFormat="1" ht="94.7" hidden="1" customHeight="1" x14ac:dyDescent="0.25">
      <c r="A117" s="722"/>
      <c r="B117" s="447" t="s">
        <v>1421</v>
      </c>
      <c r="C117" s="456"/>
      <c r="D117" s="301"/>
      <c r="J117" s="444"/>
      <c r="L117" s="128"/>
    </row>
    <row r="118" spans="1:12" s="150" customFormat="1" ht="127.5" hidden="1" customHeight="1" x14ac:dyDescent="0.25">
      <c r="A118" s="722"/>
      <c r="B118" s="139" t="s">
        <v>1548</v>
      </c>
      <c r="C118" s="489"/>
      <c r="D118" s="338" t="e">
        <f>'Пр.4 ведом.22'!#REF!</f>
        <v>#REF!</v>
      </c>
      <c r="J118" s="444"/>
      <c r="L118" s="128"/>
    </row>
    <row r="119" spans="1:12" ht="31.5" x14ac:dyDescent="0.25">
      <c r="A119" s="722"/>
      <c r="B119" s="139" t="s">
        <v>1737</v>
      </c>
      <c r="C119" s="489">
        <v>2304.3000000000002</v>
      </c>
      <c r="D119" s="336" t="e">
        <f>'Пр.4 ведом.22'!#REF!</f>
        <v>#REF!</v>
      </c>
    </row>
    <row r="120" spans="1:12" ht="78.75" x14ac:dyDescent="0.25">
      <c r="A120" s="722"/>
      <c r="B120" s="139" t="s">
        <v>1759</v>
      </c>
      <c r="C120" s="489">
        <v>255</v>
      </c>
      <c r="D120" s="338" t="e">
        <f>'Пр.4 ведом.22'!#REF!</f>
        <v>#REF!</v>
      </c>
    </row>
    <row r="121" spans="1:12" ht="63" hidden="1" x14ac:dyDescent="0.25">
      <c r="A121" s="722"/>
      <c r="B121" s="46" t="s">
        <v>1550</v>
      </c>
      <c r="C121" s="489"/>
      <c r="D121" s="338" t="e">
        <f>'Пр.4 ведом.22'!#REF!</f>
        <v>#REF!</v>
      </c>
    </row>
    <row r="122" spans="1:12" ht="82.5" hidden="1" customHeight="1" x14ac:dyDescent="0.25">
      <c r="A122" s="722"/>
      <c r="B122" s="139" t="s">
        <v>1551</v>
      </c>
      <c r="C122" s="489"/>
      <c r="D122" s="338" t="e">
        <f>'Пр.4 ведом.22'!#REF!</f>
        <v>#REF!</v>
      </c>
    </row>
    <row r="123" spans="1:12" ht="47.25" hidden="1" customHeight="1" x14ac:dyDescent="0.25">
      <c r="A123" s="722"/>
      <c r="B123" s="29" t="s">
        <v>1423</v>
      </c>
      <c r="C123" s="10"/>
      <c r="D123" s="299" t="e">
        <f>'Пр.4 ведом.22'!#REF!</f>
        <v>#REF!</v>
      </c>
    </row>
    <row r="124" spans="1:12" s="189" customFormat="1" ht="149.25" hidden="1" customHeight="1" x14ac:dyDescent="0.2">
      <c r="A124" s="722"/>
      <c r="B124" s="448" t="s">
        <v>1552</v>
      </c>
      <c r="C124" s="27"/>
      <c r="D124" s="302" t="e">
        <f>'Пр.4 ведом.22'!#REF!</f>
        <v>#REF!</v>
      </c>
      <c r="J124" s="445"/>
    </row>
    <row r="125" spans="1:12" s="189" customFormat="1" ht="84.2" hidden="1" customHeight="1" x14ac:dyDescent="0.2">
      <c r="A125" s="722"/>
      <c r="B125" s="449" t="s">
        <v>1553</v>
      </c>
      <c r="C125" s="27"/>
      <c r="D125" s="302" t="e">
        <f>'Пр.4 ведом.22'!#REF!</f>
        <v>#REF!</v>
      </c>
      <c r="J125" s="445"/>
    </row>
    <row r="126" spans="1:12" s="189" customFormat="1" ht="118.5" hidden="1" customHeight="1" x14ac:dyDescent="0.2">
      <c r="A126" s="722"/>
      <c r="B126" s="46" t="s">
        <v>1699</v>
      </c>
      <c r="C126" s="27"/>
      <c r="D126" s="337"/>
      <c r="J126" s="445"/>
    </row>
    <row r="127" spans="1:12" s="189" customFormat="1" ht="141" hidden="1" customHeight="1" x14ac:dyDescent="0.2">
      <c r="A127" s="722"/>
      <c r="B127" s="45" t="s">
        <v>1614</v>
      </c>
      <c r="C127" s="27"/>
      <c r="D127" s="337"/>
      <c r="J127" s="445"/>
    </row>
    <row r="128" spans="1:12" s="466" customFormat="1" ht="110.25" x14ac:dyDescent="0.2">
      <c r="A128" s="722"/>
      <c r="B128" s="461" t="s">
        <v>1765</v>
      </c>
      <c r="C128" s="27">
        <v>6871.5</v>
      </c>
      <c r="D128" s="467"/>
      <c r="J128" s="445"/>
    </row>
    <row r="129" spans="1:10" s="466" customFormat="1" ht="41.25" customHeight="1" x14ac:dyDescent="0.2">
      <c r="A129" s="722"/>
      <c r="B129" s="461" t="s">
        <v>1738</v>
      </c>
      <c r="C129" s="27">
        <v>400</v>
      </c>
      <c r="D129" s="467"/>
      <c r="J129" s="445"/>
    </row>
    <row r="130" spans="1:10" s="466" customFormat="1" ht="41.25" customHeight="1" x14ac:dyDescent="0.2">
      <c r="A130" s="722"/>
      <c r="B130" s="461" t="s">
        <v>1796</v>
      </c>
      <c r="C130" s="27">
        <v>3515.6</v>
      </c>
      <c r="D130" s="467"/>
      <c r="J130" s="445"/>
    </row>
    <row r="131" spans="1:10" s="466" customFormat="1" ht="41.25" customHeight="1" x14ac:dyDescent="0.2">
      <c r="A131" s="722"/>
      <c r="B131" s="461" t="s">
        <v>1640</v>
      </c>
      <c r="C131" s="27">
        <v>200</v>
      </c>
      <c r="D131" s="467"/>
      <c r="J131" s="445"/>
    </row>
    <row r="132" spans="1:10" s="466" customFormat="1" ht="49.9" customHeight="1" x14ac:dyDescent="0.2">
      <c r="A132" s="722"/>
      <c r="B132" s="461" t="s">
        <v>1745</v>
      </c>
      <c r="C132" s="27">
        <v>247.3</v>
      </c>
      <c r="D132" s="467"/>
      <c r="J132" s="445"/>
    </row>
    <row r="133" spans="1:10" s="466" customFormat="1" ht="41.25" hidden="1" customHeight="1" x14ac:dyDescent="0.2">
      <c r="A133" s="722"/>
      <c r="B133" s="461" t="s">
        <v>1642</v>
      </c>
      <c r="C133" s="27"/>
      <c r="D133" s="467"/>
      <c r="J133" s="445"/>
    </row>
    <row r="134" spans="1:10" s="466" customFormat="1" ht="41.25" hidden="1" customHeight="1" x14ac:dyDescent="0.2">
      <c r="A134" s="722"/>
      <c r="B134" s="461" t="s">
        <v>1641</v>
      </c>
      <c r="C134" s="27"/>
      <c r="D134" s="467"/>
      <c r="J134" s="445"/>
    </row>
    <row r="135" spans="1:10" s="466" customFormat="1" ht="41.25" hidden="1" customHeight="1" x14ac:dyDescent="0.2">
      <c r="A135" s="722"/>
      <c r="B135" s="461" t="s">
        <v>1655</v>
      </c>
      <c r="C135" s="27"/>
      <c r="D135" s="467"/>
      <c r="J135" s="445"/>
    </row>
    <row r="136" spans="1:10" s="519" customFormat="1" ht="77.45" customHeight="1" x14ac:dyDescent="0.2">
      <c r="A136" s="722"/>
      <c r="B136" s="461" t="s">
        <v>1748</v>
      </c>
      <c r="C136" s="27">
        <v>200</v>
      </c>
      <c r="D136" s="467"/>
      <c r="J136" s="520"/>
    </row>
    <row r="137" spans="1:10" s="519" customFormat="1" ht="45.75" hidden="1" customHeight="1" x14ac:dyDescent="0.2">
      <c r="A137" s="722"/>
      <c r="B137" s="461" t="s">
        <v>1673</v>
      </c>
      <c r="C137" s="27"/>
      <c r="D137" s="467"/>
      <c r="J137" s="520"/>
    </row>
    <row r="138" spans="1:10" s="519" customFormat="1" ht="34.5" customHeight="1" x14ac:dyDescent="0.2">
      <c r="A138" s="722"/>
      <c r="B138" s="461" t="s">
        <v>1679</v>
      </c>
      <c r="C138" s="27">
        <v>4173.5</v>
      </c>
      <c r="D138" s="467"/>
      <c r="J138" s="520"/>
    </row>
    <row r="139" spans="1:10" s="519" customFormat="1" ht="85.5" hidden="1" customHeight="1" x14ac:dyDescent="0.2">
      <c r="A139" s="723"/>
      <c r="B139" s="461" t="s">
        <v>1685</v>
      </c>
      <c r="C139" s="27"/>
      <c r="D139" s="467"/>
      <c r="J139" s="520"/>
    </row>
    <row r="140" spans="1:10" s="519" customFormat="1" ht="15.75" hidden="1" x14ac:dyDescent="0.2">
      <c r="A140" s="697"/>
      <c r="B140" s="461"/>
      <c r="C140" s="27"/>
      <c r="D140" s="467"/>
      <c r="J140" s="520"/>
    </row>
    <row r="141" spans="1:10" ht="15.75" x14ac:dyDescent="0.25">
      <c r="A141" s="137" t="s">
        <v>809</v>
      </c>
      <c r="B141" s="146" t="s">
        <v>100</v>
      </c>
      <c r="C141" s="488">
        <f>C168+C142+C164+C166</f>
        <v>226543.6</v>
      </c>
      <c r="D141" s="299"/>
      <c r="F141" s="115"/>
      <c r="H141" s="128">
        <v>242488.3</v>
      </c>
      <c r="I141" s="115">
        <f>H141-C141</f>
        <v>15944.699999999983</v>
      </c>
    </row>
    <row r="142" spans="1:10" ht="31.5" x14ac:dyDescent="0.25">
      <c r="A142" s="137" t="s">
        <v>808</v>
      </c>
      <c r="B142" s="146" t="s">
        <v>101</v>
      </c>
      <c r="C142" s="488">
        <f>C143</f>
        <v>225872.6</v>
      </c>
      <c r="D142" s="299"/>
    </row>
    <row r="143" spans="1:10" ht="31.5" x14ac:dyDescent="0.25">
      <c r="A143" s="201" t="s">
        <v>807</v>
      </c>
      <c r="B143" s="139" t="s">
        <v>102</v>
      </c>
      <c r="C143" s="489">
        <f>SUM(C145+C146+C147+C148+C149+C150+C151+C154+C155+C156+C157+C159+C158+C160+C144)</f>
        <v>225872.6</v>
      </c>
      <c r="D143" s="299"/>
    </row>
    <row r="144" spans="1:10" ht="47.25" x14ac:dyDescent="0.25">
      <c r="A144" s="721"/>
      <c r="B144" s="149" t="s">
        <v>1712</v>
      </c>
      <c r="C144" s="489">
        <v>204232.9</v>
      </c>
      <c r="D144" s="299"/>
    </row>
    <row r="145" spans="1:11" ht="97.5" hidden="1" customHeight="1" x14ac:dyDescent="0.25">
      <c r="A145" s="722"/>
      <c r="B145" s="446" t="s">
        <v>1764</v>
      </c>
      <c r="C145" s="10"/>
      <c r="D145" s="338"/>
    </row>
    <row r="146" spans="1:11" ht="81" hidden="1" customHeight="1" x14ac:dyDescent="0.25">
      <c r="A146" s="722"/>
      <c r="B146" s="139" t="s">
        <v>1557</v>
      </c>
      <c r="C146" s="10"/>
      <c r="D146" s="338"/>
    </row>
    <row r="147" spans="1:11" ht="99" hidden="1" customHeight="1" x14ac:dyDescent="0.25">
      <c r="A147" s="722"/>
      <c r="B147" s="139" t="s">
        <v>1554</v>
      </c>
      <c r="C147" s="10"/>
      <c r="D147" s="338"/>
      <c r="E147" s="230"/>
    </row>
    <row r="148" spans="1:11" ht="97.5" hidden="1" customHeight="1" x14ac:dyDescent="0.25">
      <c r="A148" s="722"/>
      <c r="B148" s="139" t="s">
        <v>1555</v>
      </c>
      <c r="C148" s="10"/>
      <c r="D148" s="338"/>
      <c r="E148" s="230"/>
    </row>
    <row r="149" spans="1:11" ht="97.5" hidden="1" customHeight="1" x14ac:dyDescent="0.25">
      <c r="A149" s="722"/>
      <c r="B149" s="139" t="s">
        <v>1556</v>
      </c>
      <c r="C149" s="10"/>
      <c r="D149" s="338"/>
      <c r="E149" s="230"/>
    </row>
    <row r="150" spans="1:11" ht="135.75" customHeight="1" x14ac:dyDescent="0.25">
      <c r="A150" s="722"/>
      <c r="B150" s="139" t="s">
        <v>1696</v>
      </c>
      <c r="C150" s="10">
        <v>315.8</v>
      </c>
      <c r="D150" s="338">
        <f>'Пр.4 ведом.22'!G209</f>
        <v>315.8</v>
      </c>
      <c r="E150" s="230">
        <f>C150-D150</f>
        <v>0</v>
      </c>
    </row>
    <row r="151" spans="1:11" ht="51" customHeight="1" x14ac:dyDescent="0.25">
      <c r="A151" s="722"/>
      <c r="B151" s="139" t="s">
        <v>1780</v>
      </c>
      <c r="C151" s="10">
        <f>SUM(C152:C153)</f>
        <v>3551.5</v>
      </c>
      <c r="D151" s="336">
        <f>'Пр.4 ведом.22'!G235</f>
        <v>3551.5</v>
      </c>
    </row>
    <row r="152" spans="1:11" ht="78.75" x14ac:dyDescent="0.25">
      <c r="A152" s="722"/>
      <c r="B152" s="450" t="s">
        <v>1566</v>
      </c>
      <c r="C152" s="456">
        <v>3156.9</v>
      </c>
      <c r="D152" s="299"/>
    </row>
    <row r="153" spans="1:11" ht="126" x14ac:dyDescent="0.25">
      <c r="A153" s="722"/>
      <c r="B153" s="450" t="s">
        <v>1567</v>
      </c>
      <c r="C153" s="456">
        <v>394.6</v>
      </c>
      <c r="D153" s="299"/>
    </row>
    <row r="154" spans="1:11" ht="129.75" customHeight="1" x14ac:dyDescent="0.25">
      <c r="A154" s="722"/>
      <c r="B154" s="139" t="s">
        <v>1763</v>
      </c>
      <c r="C154" s="10">
        <v>384.5</v>
      </c>
      <c r="D154" s="338">
        <f>'Пр.4 ведом.22'!G396</f>
        <v>384.5</v>
      </c>
    </row>
    <row r="155" spans="1:11" ht="96.75" customHeight="1" x14ac:dyDescent="0.25">
      <c r="A155" s="722"/>
      <c r="B155" s="139" t="s">
        <v>1762</v>
      </c>
      <c r="C155" s="10">
        <v>909.3</v>
      </c>
      <c r="D155" s="338">
        <f>'Пр.4 ведом.22'!G669</f>
        <v>909.3</v>
      </c>
    </row>
    <row r="156" spans="1:11" ht="47.25" x14ac:dyDescent="0.25">
      <c r="A156" s="722"/>
      <c r="B156" s="139" t="s">
        <v>1697</v>
      </c>
      <c r="C156" s="10">
        <v>1420.8</v>
      </c>
      <c r="D156" s="338">
        <f>'Пр.4 ведом.22'!G75</f>
        <v>1420.8</v>
      </c>
      <c r="E156" s="230">
        <f>C156-D156</f>
        <v>0</v>
      </c>
      <c r="J156" s="470"/>
      <c r="K156" s="471"/>
    </row>
    <row r="157" spans="1:11" ht="149.25" customHeight="1" x14ac:dyDescent="0.25">
      <c r="A157" s="722"/>
      <c r="B157" s="29" t="s">
        <v>1760</v>
      </c>
      <c r="C157" s="10">
        <v>16.600000000000001</v>
      </c>
      <c r="D157" s="294">
        <f>'Пр.4 ведом.22'!G549</f>
        <v>16.600000000000001</v>
      </c>
      <c r="E157" s="200"/>
      <c r="F157" s="200"/>
      <c r="G157" s="200"/>
      <c r="H157" s="200"/>
      <c r="I157" s="200"/>
    </row>
    <row r="158" spans="1:11" ht="144" hidden="1" customHeight="1" x14ac:dyDescent="0.25">
      <c r="A158" s="722"/>
      <c r="B158" s="46" t="s">
        <v>1761</v>
      </c>
      <c r="C158" s="10">
        <f>1975.4-1975.4</f>
        <v>0</v>
      </c>
      <c r="D158" s="316">
        <f>'Пр.4 ведом.22'!G579</f>
        <v>0</v>
      </c>
      <c r="E158" s="200"/>
      <c r="F158" s="200"/>
      <c r="G158" s="200"/>
      <c r="H158" s="200"/>
      <c r="I158" s="200"/>
    </row>
    <row r="159" spans="1:11" ht="47.25" x14ac:dyDescent="0.25">
      <c r="A159" s="722"/>
      <c r="B159" s="139" t="s">
        <v>1444</v>
      </c>
      <c r="C159" s="10">
        <v>2145.8000000000002</v>
      </c>
      <c r="D159" s="294">
        <f>'Пр.4 ведом.22'!G1081</f>
        <v>2145.8000000000002</v>
      </c>
      <c r="E159" s="200"/>
      <c r="F159" s="200"/>
      <c r="G159" s="200"/>
      <c r="H159" s="200"/>
      <c r="I159" s="200"/>
    </row>
    <row r="160" spans="1:11" ht="63" x14ac:dyDescent="0.25">
      <c r="A160" s="722"/>
      <c r="B160" s="151" t="s">
        <v>1698</v>
      </c>
      <c r="C160" s="457">
        <f>SUM(C161:C163)</f>
        <v>12895.4</v>
      </c>
      <c r="D160" s="294"/>
      <c r="E160" s="200"/>
      <c r="F160" s="200"/>
      <c r="G160" s="200"/>
      <c r="H160" s="200"/>
      <c r="I160" s="200"/>
    </row>
    <row r="161" spans="1:9" ht="47.25" customHeight="1" x14ac:dyDescent="0.25">
      <c r="A161" s="722"/>
      <c r="B161" s="317" t="s">
        <v>1445</v>
      </c>
      <c r="C161" s="458">
        <v>9911</v>
      </c>
      <c r="D161" s="294">
        <f>'Пр.4 ведом.22'!G327+'Пр.4 ведом.22'!G603+'Пр.4 ведом.22'!G668+'Пр.4 ведом.22'!G757</f>
        <v>9911</v>
      </c>
      <c r="E161" s="200">
        <f>C161-D161</f>
        <v>0</v>
      </c>
      <c r="F161" s="200"/>
      <c r="G161" s="200"/>
      <c r="H161" s="200"/>
      <c r="I161" s="200"/>
    </row>
    <row r="162" spans="1:9" ht="54" customHeight="1" x14ac:dyDescent="0.25">
      <c r="A162" s="722"/>
      <c r="B162" s="317" t="s">
        <v>1446</v>
      </c>
      <c r="C162" s="458">
        <v>2100.5</v>
      </c>
      <c r="D162" s="294">
        <f>'Пр.4 ведом.22'!G393</f>
        <v>2100.5</v>
      </c>
      <c r="E162" s="200"/>
      <c r="F162" s="200"/>
      <c r="G162" s="200"/>
      <c r="H162" s="200"/>
      <c r="I162" s="200"/>
    </row>
    <row r="163" spans="1:9" ht="52.5" customHeight="1" x14ac:dyDescent="0.25">
      <c r="A163" s="723"/>
      <c r="B163" s="317" t="s">
        <v>1447</v>
      </c>
      <c r="C163" s="458">
        <v>883.9</v>
      </c>
      <c r="D163" s="294">
        <f>'Пр.4 ведом.22'!G858</f>
        <v>883.9</v>
      </c>
      <c r="E163" s="200"/>
      <c r="F163" s="200"/>
      <c r="G163" s="200"/>
      <c r="H163" s="200"/>
      <c r="I163" s="200"/>
    </row>
    <row r="164" spans="1:9" ht="55.15" hidden="1" customHeight="1" x14ac:dyDescent="0.25">
      <c r="A164" s="137" t="s">
        <v>1163</v>
      </c>
      <c r="B164" s="58" t="s">
        <v>1165</v>
      </c>
      <c r="C164" s="59">
        <f>C165</f>
        <v>0</v>
      </c>
      <c r="D164" s="294">
        <f>'Пр.4 ведом.22'!G67</f>
        <v>0</v>
      </c>
      <c r="E164" s="200"/>
      <c r="F164" s="200"/>
      <c r="G164" s="200"/>
      <c r="H164" s="200"/>
      <c r="I164" s="200"/>
    </row>
    <row r="165" spans="1:9" ht="54" hidden="1" customHeight="1" x14ac:dyDescent="0.25">
      <c r="A165" s="201" t="s">
        <v>1164</v>
      </c>
      <c r="B165" s="45" t="s">
        <v>1165</v>
      </c>
      <c r="C165" s="10">
        <v>0</v>
      </c>
      <c r="D165" s="294">
        <f>'Пр.4 ведом.22'!G69</f>
        <v>0</v>
      </c>
      <c r="E165" s="200"/>
      <c r="F165" s="200"/>
      <c r="G165" s="200"/>
      <c r="H165" s="200"/>
      <c r="I165" s="200"/>
    </row>
    <row r="166" spans="1:9" ht="31.5" hidden="1" x14ac:dyDescent="0.25">
      <c r="A166" s="137" t="s">
        <v>1473</v>
      </c>
      <c r="B166" s="58" t="s">
        <v>1474</v>
      </c>
      <c r="C166" s="59">
        <f>C167</f>
        <v>0</v>
      </c>
      <c r="D166" s="294"/>
      <c r="E166" s="200"/>
      <c r="F166" s="200"/>
      <c r="G166" s="200"/>
      <c r="H166" s="200"/>
      <c r="I166" s="200"/>
    </row>
    <row r="167" spans="1:9" ht="31.5" hidden="1" x14ac:dyDescent="0.25">
      <c r="A167" s="201" t="s">
        <v>1475</v>
      </c>
      <c r="B167" s="45" t="s">
        <v>1476</v>
      </c>
      <c r="C167" s="10"/>
      <c r="D167" s="294" t="e">
        <f>'Пр.4 ведом.22'!#REF!</f>
        <v>#REF!</v>
      </c>
      <c r="E167" s="200"/>
      <c r="F167" s="200"/>
      <c r="G167" s="200"/>
      <c r="H167" s="200"/>
      <c r="I167" s="200"/>
    </row>
    <row r="168" spans="1:9" ht="31.5" x14ac:dyDescent="0.25">
      <c r="A168" s="137" t="s">
        <v>806</v>
      </c>
      <c r="B168" s="146" t="s">
        <v>103</v>
      </c>
      <c r="C168" s="488">
        <f t="shared" ref="C168" si="0">C169</f>
        <v>671</v>
      </c>
      <c r="D168" s="299"/>
    </row>
    <row r="169" spans="1:9" ht="31.5" x14ac:dyDescent="0.25">
      <c r="A169" s="201" t="s">
        <v>805</v>
      </c>
      <c r="B169" s="139" t="s">
        <v>104</v>
      </c>
      <c r="C169" s="488">
        <v>671</v>
      </c>
      <c r="D169" s="340">
        <f>'Пр.4 ведом.22'!G70</f>
        <v>671</v>
      </c>
    </row>
    <row r="170" spans="1:9" ht="15.75" x14ac:dyDescent="0.25">
      <c r="A170" s="137" t="s">
        <v>804</v>
      </c>
      <c r="B170" s="146" t="s">
        <v>105</v>
      </c>
      <c r="C170" s="488">
        <f>C176+C173+C171</f>
        <v>7421.4</v>
      </c>
      <c r="D170" s="299"/>
    </row>
    <row r="171" spans="1:9" ht="52.5" hidden="1" customHeight="1" x14ac:dyDescent="0.25">
      <c r="A171" s="137" t="s">
        <v>1627</v>
      </c>
      <c r="B171" s="482" t="s">
        <v>1628</v>
      </c>
      <c r="C171" s="488">
        <f>C172</f>
        <v>0</v>
      </c>
      <c r="D171" s="299"/>
    </row>
    <row r="172" spans="1:9" ht="51.75" hidden="1" customHeight="1" x14ac:dyDescent="0.25">
      <c r="A172" s="201" t="s">
        <v>1629</v>
      </c>
      <c r="B172" s="149" t="s">
        <v>1630</v>
      </c>
      <c r="C172" s="489"/>
      <c r="D172" s="299"/>
    </row>
    <row r="173" spans="1:9" ht="48.2" customHeight="1" x14ac:dyDescent="0.25">
      <c r="A173" s="293" t="s">
        <v>1388</v>
      </c>
      <c r="B173" s="307" t="s">
        <v>1386</v>
      </c>
      <c r="C173" s="488">
        <f>C174</f>
        <v>7421.4</v>
      </c>
      <c r="D173" s="299"/>
    </row>
    <row r="174" spans="1:9" ht="46.9" customHeight="1" x14ac:dyDescent="0.25">
      <c r="A174" s="264" t="s">
        <v>1645</v>
      </c>
      <c r="B174" s="151" t="s">
        <v>1387</v>
      </c>
      <c r="C174" s="489">
        <v>7421.4</v>
      </c>
      <c r="D174" s="336">
        <f>'Пр.4 ведом.22'!G665</f>
        <v>7421.4</v>
      </c>
    </row>
    <row r="175" spans="1:9" ht="46.9" hidden="1" customHeight="1" x14ac:dyDescent="0.25">
      <c r="A175" s="264"/>
      <c r="B175" s="151"/>
      <c r="C175" s="489"/>
      <c r="D175" s="336"/>
    </row>
    <row r="176" spans="1:9" ht="15.75" hidden="1" x14ac:dyDescent="0.25">
      <c r="A176" s="137" t="s">
        <v>803</v>
      </c>
      <c r="B176" s="146" t="s">
        <v>106</v>
      </c>
      <c r="C176" s="488">
        <f>C177</f>
        <v>0</v>
      </c>
      <c r="D176" s="205"/>
    </row>
    <row r="177" spans="1:10" ht="31.5" hidden="1" x14ac:dyDescent="0.25">
      <c r="A177" s="201" t="s">
        <v>815</v>
      </c>
      <c r="B177" s="139" t="s">
        <v>1124</v>
      </c>
      <c r="C177" s="458">
        <f>SUM(C178:C180)</f>
        <v>0</v>
      </c>
      <c r="D177" s="205"/>
    </row>
    <row r="178" spans="1:10" ht="15.75" hidden="1" x14ac:dyDescent="0.25">
      <c r="A178" s="718"/>
      <c r="B178" s="151"/>
      <c r="C178" s="458"/>
      <c r="D178" s="258">
        <f>'Пр.4 ведом.22'!G327+'Пр.4 ведом.22'!G603+'Пр.4 ведом.22'!G668+'Пр.4 ведом.22'!G757</f>
        <v>9911</v>
      </c>
      <c r="E178" s="259">
        <f>C178-D178</f>
        <v>-9911</v>
      </c>
    </row>
    <row r="179" spans="1:10" ht="112.7" hidden="1" customHeight="1" x14ac:dyDescent="0.25">
      <c r="A179" s="719"/>
      <c r="B179" s="151"/>
      <c r="C179" s="458"/>
      <c r="D179" s="258" t="e">
        <f>'Пр.4 ведом.22'!#REF!+'Пр.4 ведом.22'!G393</f>
        <v>#REF!</v>
      </c>
      <c r="E179" s="259" t="e">
        <f t="shared" ref="E179:E180" si="1">C179-D179</f>
        <v>#REF!</v>
      </c>
    </row>
    <row r="180" spans="1:10" ht="15.75" hidden="1" x14ac:dyDescent="0.25">
      <c r="A180" s="720"/>
      <c r="B180" s="151"/>
      <c r="C180" s="458"/>
      <c r="D180" s="258">
        <f>'Пр.4 ведом.22'!G858</f>
        <v>883.9</v>
      </c>
      <c r="E180" s="259">
        <f t="shared" si="1"/>
        <v>-883.9</v>
      </c>
    </row>
    <row r="181" spans="1:10" ht="15.75" hidden="1" x14ac:dyDescent="0.25">
      <c r="A181" s="695"/>
      <c r="B181" s="151"/>
      <c r="C181" s="458"/>
      <c r="D181" s="258"/>
      <c r="E181" s="259"/>
    </row>
    <row r="182" spans="1:10" ht="15.75" hidden="1" x14ac:dyDescent="0.25">
      <c r="A182" s="695"/>
      <c r="B182" s="151"/>
      <c r="C182" s="458"/>
      <c r="D182" s="258"/>
      <c r="E182" s="259"/>
    </row>
    <row r="183" spans="1:10" ht="31.5" hidden="1" x14ac:dyDescent="0.25">
      <c r="A183" s="452" t="s">
        <v>1610</v>
      </c>
      <c r="B183" s="307" t="s">
        <v>1616</v>
      </c>
      <c r="C183" s="459">
        <f>C184</f>
        <v>0</v>
      </c>
      <c r="D183" s="258"/>
      <c r="E183" s="259"/>
    </row>
    <row r="184" spans="1:10" s="191" customFormat="1" ht="31.5" hidden="1" x14ac:dyDescent="0.25">
      <c r="A184" s="695" t="s">
        <v>1615</v>
      </c>
      <c r="B184" s="307" t="s">
        <v>1617</v>
      </c>
      <c r="C184" s="459">
        <f>C185</f>
        <v>0</v>
      </c>
      <c r="D184" s="468"/>
      <c r="E184" s="469"/>
      <c r="J184" s="443"/>
    </row>
    <row r="185" spans="1:10" ht="36" hidden="1" customHeight="1" x14ac:dyDescent="0.25">
      <c r="A185" s="697" t="s">
        <v>1608</v>
      </c>
      <c r="B185" s="151" t="s">
        <v>1609</v>
      </c>
      <c r="C185" s="458"/>
      <c r="D185" s="258"/>
      <c r="E185" s="259"/>
      <c r="J185" s="525"/>
    </row>
    <row r="186" spans="1:10" ht="15.75" hidden="1" x14ac:dyDescent="0.25">
      <c r="A186" s="695"/>
      <c r="B186" s="151"/>
      <c r="C186" s="458"/>
      <c r="D186" s="258"/>
      <c r="E186" s="259"/>
    </row>
    <row r="187" spans="1:10" ht="15.75" hidden="1" x14ac:dyDescent="0.25">
      <c r="A187" s="695"/>
      <c r="B187" s="151"/>
      <c r="C187" s="458"/>
      <c r="D187" s="258"/>
      <c r="E187" s="259"/>
    </row>
    <row r="188" spans="1:10" ht="15.75" hidden="1" x14ac:dyDescent="0.25">
      <c r="A188" s="695"/>
      <c r="B188" s="151"/>
      <c r="C188" s="458"/>
      <c r="D188" s="258"/>
      <c r="E188" s="259"/>
    </row>
    <row r="189" spans="1:10" ht="15.75" hidden="1" x14ac:dyDescent="0.25">
      <c r="A189" s="695"/>
      <c r="B189" s="151"/>
      <c r="C189" s="458"/>
      <c r="D189" s="258"/>
      <c r="E189" s="259"/>
    </row>
    <row r="190" spans="1:10" ht="15.75" hidden="1" x14ac:dyDescent="0.25">
      <c r="A190" s="695"/>
      <c r="B190" s="151"/>
      <c r="C190" s="458"/>
      <c r="D190" s="258"/>
      <c r="E190" s="259"/>
    </row>
    <row r="191" spans="1:10" ht="15.75" hidden="1" x14ac:dyDescent="0.25">
      <c r="A191" s="491" t="s">
        <v>783</v>
      </c>
      <c r="B191" s="187" t="s">
        <v>784</v>
      </c>
      <c r="C191" s="459">
        <f>SUM(C192)</f>
        <v>0</v>
      </c>
    </row>
    <row r="192" spans="1:10" ht="15.75" hidden="1" x14ac:dyDescent="0.25">
      <c r="A192" s="491" t="s">
        <v>785</v>
      </c>
      <c r="B192" s="187" t="s">
        <v>786</v>
      </c>
      <c r="C192" s="459">
        <f>SUM(C193)</f>
        <v>0</v>
      </c>
    </row>
    <row r="193" spans="1:12" ht="15.75" hidden="1" x14ac:dyDescent="0.25">
      <c r="A193" s="715" t="s">
        <v>834</v>
      </c>
      <c r="B193" s="190" t="s">
        <v>786</v>
      </c>
      <c r="C193" s="459">
        <f>SUM(C195:C196)</f>
        <v>0</v>
      </c>
    </row>
    <row r="194" spans="1:12" ht="15.75" hidden="1" x14ac:dyDescent="0.25">
      <c r="A194" s="716"/>
      <c r="B194" s="190" t="s">
        <v>99</v>
      </c>
      <c r="C194" s="459"/>
    </row>
    <row r="195" spans="1:12" ht="22.7" hidden="1" customHeight="1" x14ac:dyDescent="0.25">
      <c r="A195" s="716"/>
      <c r="B195" s="188"/>
      <c r="C195" s="458">
        <v>0</v>
      </c>
    </row>
    <row r="196" spans="1:12" ht="15.75" hidden="1" x14ac:dyDescent="0.25">
      <c r="A196" s="716"/>
      <c r="B196" s="188"/>
      <c r="C196" s="458">
        <v>0</v>
      </c>
    </row>
    <row r="197" spans="1:12" ht="15.75" x14ac:dyDescent="0.25">
      <c r="A197" s="201"/>
      <c r="B197" s="184" t="s">
        <v>107</v>
      </c>
      <c r="C197" s="488">
        <f>SUM(C8+C76)</f>
        <v>802553.17</v>
      </c>
      <c r="D197" s="148"/>
      <c r="G197" s="193"/>
      <c r="H197" s="115"/>
      <c r="L197" s="115"/>
    </row>
    <row r="198" spans="1:12" x14ac:dyDescent="0.25">
      <c r="C198" s="175">
        <f>C8+C80+C82</f>
        <v>528237.37</v>
      </c>
    </row>
    <row r="199" spans="1:12" ht="21.2" customHeight="1" x14ac:dyDescent="0.25">
      <c r="C199" s="175">
        <f>C76-C80-C82</f>
        <v>274315.80000000005</v>
      </c>
      <c r="I199" s="230"/>
    </row>
  </sheetData>
  <mergeCells count="9">
    <mergeCell ref="B1:C1"/>
    <mergeCell ref="B2:C2"/>
    <mergeCell ref="B3:C3"/>
    <mergeCell ref="A193:A196"/>
    <mergeCell ref="A4:C4"/>
    <mergeCell ref="A5:C5"/>
    <mergeCell ref="A178:A180"/>
    <mergeCell ref="A112:A139"/>
    <mergeCell ref="A144:A163"/>
  </mergeCells>
  <hyperlinks>
    <hyperlink ref="B66" r:id="rId1" display="consultantplus://offline/ref=90DD075742B43C415054D7C57EEE35341F87E5BC1D9D1BDE3A747C0D881C15D50B24F795703DF0A84C588B73F9A8AC3C8A6AC02CDB9A5E68c4m2F"/>
    <hyperlink ref="B68" r:id="rId2" display="consultantplus://offline/ref=90DD075742B43C415054D7C57EEE35341F87E5BC1D9D1BDE3A747C0D881C15D50B24F795703DF2AD4E588B73F9A8AC3C8A6AC02CDB9A5E68c4m2F"/>
    <hyperlink ref="B72" r:id="rId3" display="consultantplus://offline/ref=90DD075742B43C415054D7C57EEE35341F87E5BC1D9D1BDE3A747C0D881C15D50B24F795703CF7A64B588B73F9A8AC3C8A6AC02CDB9A5E68c4m2F"/>
    <hyperlink ref="B71" r:id="rId4" display="consultantplus://offline/ref=90DD075742B43C415054D7C57EEE35341F87E5BC1D9D1BDE3A747C0D881C15D50B24F795703CF7A64B588B73F9A8AC3C8A6AC02CDB9A5E68c4m2F"/>
    <hyperlink ref="B65" r:id="rId5" display="consultantplus://offline/ref=90DD075742B43C415054D7C57EEE35341F87E5BC1D9D1BDE3A747C0D881C15D50B24F795703DF0A84C588B73F9A8AC3C8A6AC02CDB9A5E68c4m2F"/>
    <hyperlink ref="B67" r:id="rId6" display="consultantplus://offline/ref=90DD075742B43C415054D7C57EEE35341F87E5BC1D9D1BDE3A747C0D881C15D50B24F795703DF2AD4E588B73F9A8AC3C8A6AC02CDB9A5E68c4m2F"/>
  </hyperlinks>
  <pageMargins left="0.23622047244094491" right="3.937007874015748E-2" top="0.55118110236220474" bottom="0.55118110236220474" header="0.31496062992125984" footer="0.31496062992125984"/>
  <pageSetup paperSize="9" scale="74" fitToHeight="6" orientation="portrait" r:id="rId7"/>
  <ignoredErrors>
    <ignoredError sqref="C43" formula="1"/>
  </ignoredErrors>
  <legacyDrawing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2"/>
  <sheetViews>
    <sheetView view="pageBreakPreview" topLeftCell="A964" zoomScaleNormal="100" zoomScaleSheetLayoutView="100" workbookViewId="0">
      <selection activeCell="C103" sqref="C103:D103"/>
    </sheetView>
  </sheetViews>
  <sheetFormatPr defaultColWidth="9.140625" defaultRowHeight="15" x14ac:dyDescent="0.25"/>
  <cols>
    <col min="1" max="1" width="48.28515625" style="487" customWidth="1"/>
    <col min="2" max="2" width="4.5703125" style="487" customWidth="1"/>
    <col min="3" max="3" width="4.140625" style="487" customWidth="1"/>
    <col min="4" max="4" width="15.140625" style="487" customWidth="1"/>
    <col min="5" max="5" width="5.7109375" style="487" customWidth="1"/>
    <col min="6" max="6" width="13.7109375" style="22" customWidth="1"/>
    <col min="7" max="7" width="14.7109375" style="22" customWidth="1"/>
    <col min="8" max="8" width="13.5703125" style="487" hidden="1" customWidth="1"/>
    <col min="9" max="9" width="13.85546875" style="487" hidden="1" customWidth="1"/>
    <col min="10" max="10" width="11.85546875" style="487" hidden="1" customWidth="1"/>
    <col min="11" max="16384" width="9.140625" style="487"/>
  </cols>
  <sheetData>
    <row r="1" spans="1:10" ht="15.75" x14ac:dyDescent="0.25">
      <c r="A1" s="56"/>
      <c r="B1" s="56"/>
      <c r="C1" s="56"/>
      <c r="D1" s="204"/>
      <c r="E1" s="204"/>
      <c r="F1" s="724" t="s">
        <v>1516</v>
      </c>
      <c r="G1" s="724"/>
    </row>
    <row r="2" spans="1:10" ht="15.75" x14ac:dyDescent="0.25">
      <c r="A2" s="56"/>
      <c r="B2" s="56"/>
      <c r="C2" s="56"/>
      <c r="D2" s="204"/>
      <c r="E2" s="204"/>
      <c r="F2" s="724" t="s">
        <v>1514</v>
      </c>
      <c r="G2" s="724"/>
    </row>
    <row r="3" spans="1:10" ht="18.75" x14ac:dyDescent="0.3">
      <c r="A3" s="56"/>
      <c r="B3" s="56"/>
      <c r="C3" s="56"/>
      <c r="D3" s="204"/>
      <c r="E3" s="186"/>
      <c r="F3" s="724" t="s">
        <v>1513</v>
      </c>
      <c r="G3" s="724"/>
    </row>
    <row r="4" spans="1:10" x14ac:dyDescent="0.25">
      <c r="A4" s="56"/>
      <c r="B4" s="56"/>
      <c r="C4" s="56"/>
      <c r="D4" s="56"/>
      <c r="E4" s="56"/>
      <c r="F4" s="115"/>
      <c r="G4" s="115"/>
    </row>
    <row r="5" spans="1:10" ht="74.25" customHeight="1" x14ac:dyDescent="0.25">
      <c r="A5" s="731" t="s">
        <v>1306</v>
      </c>
      <c r="B5" s="731"/>
      <c r="C5" s="731"/>
      <c r="D5" s="731"/>
      <c r="E5" s="731"/>
      <c r="F5" s="731"/>
      <c r="G5" s="731"/>
    </row>
    <row r="6" spans="1:10" x14ac:dyDescent="0.25">
      <c r="A6" s="56"/>
      <c r="B6" s="56"/>
      <c r="C6" s="56"/>
      <c r="D6" s="56"/>
      <c r="E6" s="56"/>
      <c r="F6" s="115"/>
      <c r="G6" s="275" t="s">
        <v>1</v>
      </c>
    </row>
    <row r="7" spans="1:10" ht="35.450000000000003" customHeight="1" x14ac:dyDescent="0.25">
      <c r="A7" s="226" t="s">
        <v>592</v>
      </c>
      <c r="B7" s="227" t="s">
        <v>112</v>
      </c>
      <c r="C7" s="227" t="s">
        <v>113</v>
      </c>
      <c r="D7" s="227" t="s">
        <v>114</v>
      </c>
      <c r="E7" s="227" t="s">
        <v>115</v>
      </c>
      <c r="F7" s="276" t="s">
        <v>1082</v>
      </c>
      <c r="G7" s="276" t="s">
        <v>1307</v>
      </c>
      <c r="H7" s="232">
        <f>F13+F18+F32+F37+F42+F48+F57+F60+F64+F67+F72+F77+F82+F109+F114+F118+F125+F131+F139+F142+F150+F160+F165+F227+F234+F237+F241+F246+F266+F286+F318+F323+F326+F332+F337+F342+F396+F446+F453+F458+F461+F465+F470+F717+F722+F727+F731+F738+F798+F803+F808+F815+F833+F875+F882+F926+F929+F934+F941</f>
        <v>247959.91000000003</v>
      </c>
      <c r="I7" s="232">
        <f>G13+G18+G32+G37+G42+G48+G57+G60+G64+G67+G72+G77+G82+G109+G114+G118+G125+G131+G139+G142+G150+G160+G165+G227+G234+G237+G241+G246+G266+G286+G318+G323+G326+G332+G337+G342+G396+G446+G453+G458+G461+G465+G470+G717+G722+G727+G731+G738+G798+G803+G808+G815+G833+G875+G882+G926+G929+G934+G941</f>
        <v>242586.16999999998</v>
      </c>
    </row>
    <row r="8" spans="1:10" ht="16.350000000000001" customHeight="1" x14ac:dyDescent="0.25">
      <c r="A8" s="309" t="s">
        <v>1412</v>
      </c>
      <c r="B8" s="310"/>
      <c r="C8" s="310"/>
      <c r="D8" s="310"/>
      <c r="E8" s="310"/>
      <c r="F8" s="311">
        <f>'пр.4.1. рдпр 22-23 (2)'!D10</f>
        <v>13679.906000000001</v>
      </c>
      <c r="G8" s="311">
        <f>'пр.4.1. рдпр 22-23 (2)'!E10</f>
        <v>25451.88</v>
      </c>
      <c r="H8" s="232"/>
      <c r="I8" s="232"/>
    </row>
    <row r="9" spans="1:10" ht="15.75" x14ac:dyDescent="0.25">
      <c r="A9" s="500" t="s">
        <v>117</v>
      </c>
      <c r="B9" s="7" t="s">
        <v>118</v>
      </c>
      <c r="C9" s="7"/>
      <c r="D9" s="7"/>
      <c r="E9" s="7"/>
      <c r="F9" s="488">
        <f>F10+F29+F45+F106+F136+F128</f>
        <v>136787.41</v>
      </c>
      <c r="G9" s="488">
        <f>G10+G29+G45+G106+G136+G128</f>
        <v>123941.72</v>
      </c>
      <c r="H9" s="225"/>
      <c r="I9" s="225"/>
      <c r="J9" s="225"/>
    </row>
    <row r="10" spans="1:10" ht="47.25" x14ac:dyDescent="0.25">
      <c r="A10" s="500" t="s">
        <v>575</v>
      </c>
      <c r="B10" s="7" t="s">
        <v>118</v>
      </c>
      <c r="C10" s="7" t="s">
        <v>213</v>
      </c>
      <c r="D10" s="7"/>
      <c r="E10" s="7"/>
      <c r="F10" s="488">
        <f>F11+F21</f>
        <v>4867.3999999999996</v>
      </c>
      <c r="G10" s="488">
        <f>G11+G21</f>
        <v>4867.3999999999996</v>
      </c>
      <c r="H10" s="225"/>
      <c r="I10" s="225"/>
    </row>
    <row r="11" spans="1:10" ht="31.5" x14ac:dyDescent="0.25">
      <c r="A11" s="494" t="s">
        <v>917</v>
      </c>
      <c r="B11" s="7" t="s">
        <v>118</v>
      </c>
      <c r="C11" s="7" t="s">
        <v>213</v>
      </c>
      <c r="D11" s="7" t="s">
        <v>858</v>
      </c>
      <c r="E11" s="7"/>
      <c r="F11" s="488">
        <f t="shared" ref="F11:G11" si="0">F12</f>
        <v>4826.8999999999996</v>
      </c>
      <c r="G11" s="488">
        <f t="shared" si="0"/>
        <v>4826.8999999999996</v>
      </c>
    </row>
    <row r="12" spans="1:10" ht="15.75" x14ac:dyDescent="0.25">
      <c r="A12" s="494" t="s">
        <v>918</v>
      </c>
      <c r="B12" s="7" t="s">
        <v>118</v>
      </c>
      <c r="C12" s="7" t="s">
        <v>213</v>
      </c>
      <c r="D12" s="7" t="s">
        <v>859</v>
      </c>
      <c r="E12" s="7"/>
      <c r="F12" s="488">
        <f>F13+F18</f>
        <v>4826.8999999999996</v>
      </c>
      <c r="G12" s="488">
        <f>G13+G18</f>
        <v>4826.8999999999996</v>
      </c>
    </row>
    <row r="13" spans="1:10" ht="47.25" x14ac:dyDescent="0.25">
      <c r="A13" s="29" t="s">
        <v>576</v>
      </c>
      <c r="B13" s="499" t="s">
        <v>118</v>
      </c>
      <c r="C13" s="499" t="s">
        <v>213</v>
      </c>
      <c r="D13" s="499" t="s">
        <v>1330</v>
      </c>
      <c r="E13" s="499"/>
      <c r="F13" s="489">
        <f>F14+F16</f>
        <v>4826.8999999999996</v>
      </c>
      <c r="G13" s="489">
        <f>G14+G16</f>
        <v>4826.8999999999996</v>
      </c>
      <c r="H13" s="232">
        <f>F13+F18+F48+F57+F60+F118+F125+F446+F453+F717+F798+F803+F926+F929+F722</f>
        <v>104071.91</v>
      </c>
      <c r="I13" s="232">
        <f>G13+G18+G48+G57+G60+G118+G125+G446+G453+G717+G798+G803+G926+G929+G722</f>
        <v>91098.720000000016</v>
      </c>
    </row>
    <row r="14" spans="1:10" ht="94.5" x14ac:dyDescent="0.25">
      <c r="A14" s="29" t="s">
        <v>127</v>
      </c>
      <c r="B14" s="499" t="s">
        <v>118</v>
      </c>
      <c r="C14" s="499" t="s">
        <v>213</v>
      </c>
      <c r="D14" s="499" t="s">
        <v>1330</v>
      </c>
      <c r="E14" s="499" t="s">
        <v>128</v>
      </c>
      <c r="F14" s="489">
        <f>F15</f>
        <v>4736.8999999999996</v>
      </c>
      <c r="G14" s="489">
        <f>G15</f>
        <v>4736.8999999999996</v>
      </c>
    </row>
    <row r="15" spans="1:10" ht="31.5" x14ac:dyDescent="0.25">
      <c r="A15" s="29" t="s">
        <v>129</v>
      </c>
      <c r="B15" s="499" t="s">
        <v>118</v>
      </c>
      <c r="C15" s="499" t="s">
        <v>213</v>
      </c>
      <c r="D15" s="499" t="s">
        <v>1330</v>
      </c>
      <c r="E15" s="499" t="s">
        <v>130</v>
      </c>
      <c r="F15" s="489">
        <f>'пр.6.1.ведом.22-23 (2)'!G38</f>
        <v>4736.8999999999996</v>
      </c>
      <c r="G15" s="489">
        <f>'пр.6.1.ведом.22-23 (2)'!H38</f>
        <v>4736.8999999999996</v>
      </c>
    </row>
    <row r="16" spans="1:10" ht="31.5" x14ac:dyDescent="0.25">
      <c r="A16" s="29" t="s">
        <v>131</v>
      </c>
      <c r="B16" s="499" t="s">
        <v>118</v>
      </c>
      <c r="C16" s="499" t="s">
        <v>213</v>
      </c>
      <c r="D16" s="499" t="s">
        <v>1330</v>
      </c>
      <c r="E16" s="499" t="s">
        <v>132</v>
      </c>
      <c r="F16" s="489">
        <f>F17</f>
        <v>90</v>
      </c>
      <c r="G16" s="489">
        <f>G17</f>
        <v>90</v>
      </c>
    </row>
    <row r="17" spans="1:9" ht="47.25" x14ac:dyDescent="0.25">
      <c r="A17" s="29" t="s">
        <v>133</v>
      </c>
      <c r="B17" s="499" t="s">
        <v>118</v>
      </c>
      <c r="C17" s="499" t="s">
        <v>213</v>
      </c>
      <c r="D17" s="499" t="s">
        <v>1330</v>
      </c>
      <c r="E17" s="499" t="s">
        <v>134</v>
      </c>
      <c r="F17" s="489">
        <f>'пр.6.1.ведом.22-23 (2)'!G40</f>
        <v>90</v>
      </c>
      <c r="G17" s="489">
        <f>'пр.6.1.ведом.22-23 (2)'!H40</f>
        <v>90</v>
      </c>
    </row>
    <row r="18" spans="1:9" ht="47.25" hidden="1" x14ac:dyDescent="0.25">
      <c r="A18" s="496" t="s">
        <v>839</v>
      </c>
      <c r="B18" s="499" t="s">
        <v>118</v>
      </c>
      <c r="C18" s="499" t="s">
        <v>213</v>
      </c>
      <c r="D18" s="499" t="s">
        <v>862</v>
      </c>
      <c r="E18" s="499"/>
      <c r="F18" s="489">
        <f>F19</f>
        <v>0</v>
      </c>
      <c r="G18" s="489">
        <f t="shared" ref="G18:G44" si="1">F18</f>
        <v>0</v>
      </c>
    </row>
    <row r="19" spans="1:9" ht="94.5" hidden="1" x14ac:dyDescent="0.25">
      <c r="A19" s="496" t="s">
        <v>127</v>
      </c>
      <c r="B19" s="499" t="s">
        <v>118</v>
      </c>
      <c r="C19" s="499" t="s">
        <v>213</v>
      </c>
      <c r="D19" s="499" t="s">
        <v>862</v>
      </c>
      <c r="E19" s="499" t="s">
        <v>128</v>
      </c>
      <c r="F19" s="489">
        <f>F20</f>
        <v>0</v>
      </c>
      <c r="G19" s="489">
        <f>G20</f>
        <v>0</v>
      </c>
    </row>
    <row r="20" spans="1:9" ht="31.5" hidden="1" x14ac:dyDescent="0.25">
      <c r="A20" s="496" t="s">
        <v>129</v>
      </c>
      <c r="B20" s="499" t="s">
        <v>118</v>
      </c>
      <c r="C20" s="499" t="s">
        <v>213</v>
      </c>
      <c r="D20" s="499" t="s">
        <v>862</v>
      </c>
      <c r="E20" s="499" t="s">
        <v>130</v>
      </c>
      <c r="F20" s="489">
        <f>'пр.6.1.ведом.22-23 (2)'!G43</f>
        <v>0</v>
      </c>
      <c r="G20" s="489">
        <f>'пр.6.1.ведом.22-23 (2)'!H43</f>
        <v>0</v>
      </c>
    </row>
    <row r="21" spans="1:9" ht="47.25" x14ac:dyDescent="0.25">
      <c r="A21" s="494" t="s">
        <v>1338</v>
      </c>
      <c r="B21" s="495" t="s">
        <v>118</v>
      </c>
      <c r="C21" s="7" t="s">
        <v>213</v>
      </c>
      <c r="D21" s="495" t="s">
        <v>162</v>
      </c>
      <c r="E21" s="7"/>
      <c r="F21" s="387">
        <f>F22</f>
        <v>40.5</v>
      </c>
      <c r="G21" s="387">
        <f>G22</f>
        <v>40.5</v>
      </c>
    </row>
    <row r="22" spans="1:9" ht="78.75" x14ac:dyDescent="0.25">
      <c r="A22" s="220" t="s">
        <v>843</v>
      </c>
      <c r="B22" s="495" t="s">
        <v>118</v>
      </c>
      <c r="C22" s="7" t="s">
        <v>213</v>
      </c>
      <c r="D22" s="7" t="s">
        <v>850</v>
      </c>
      <c r="E22" s="7"/>
      <c r="F22" s="387">
        <f>F23+F26</f>
        <v>40.5</v>
      </c>
      <c r="G22" s="387">
        <f>G23+G26</f>
        <v>40.5</v>
      </c>
    </row>
    <row r="23" spans="1:9" ht="63" x14ac:dyDescent="0.25">
      <c r="A23" s="31" t="s">
        <v>695</v>
      </c>
      <c r="B23" s="492" t="s">
        <v>118</v>
      </c>
      <c r="C23" s="492" t="s">
        <v>213</v>
      </c>
      <c r="D23" s="499" t="s">
        <v>993</v>
      </c>
      <c r="E23" s="492"/>
      <c r="F23" s="489">
        <f>F24</f>
        <v>40.5</v>
      </c>
      <c r="G23" s="489">
        <f>G24</f>
        <v>40.5</v>
      </c>
    </row>
    <row r="24" spans="1:9" ht="31.5" x14ac:dyDescent="0.25">
      <c r="A24" s="496" t="s">
        <v>131</v>
      </c>
      <c r="B24" s="492" t="s">
        <v>118</v>
      </c>
      <c r="C24" s="492" t="s">
        <v>213</v>
      </c>
      <c r="D24" s="499" t="s">
        <v>993</v>
      </c>
      <c r="E24" s="492" t="s">
        <v>132</v>
      </c>
      <c r="F24" s="489">
        <f>F25</f>
        <v>40.5</v>
      </c>
      <c r="G24" s="489">
        <f>G25</f>
        <v>40.5</v>
      </c>
    </row>
    <row r="25" spans="1:9" ht="47.25" x14ac:dyDescent="0.25">
      <c r="A25" s="496" t="s">
        <v>133</v>
      </c>
      <c r="B25" s="492" t="s">
        <v>118</v>
      </c>
      <c r="C25" s="492" t="s">
        <v>213</v>
      </c>
      <c r="D25" s="499" t="s">
        <v>696</v>
      </c>
      <c r="E25" s="492" t="s">
        <v>134</v>
      </c>
      <c r="F25" s="489">
        <f>'пр.6.1.ведом.22-23 (2)'!G48</f>
        <v>40.5</v>
      </c>
      <c r="G25" s="489">
        <f>'пр.6.1.ведом.22-23 (2)'!H48</f>
        <v>40.5</v>
      </c>
    </row>
    <row r="26" spans="1:9" ht="63" hidden="1" x14ac:dyDescent="0.25">
      <c r="A26" s="31" t="s">
        <v>695</v>
      </c>
      <c r="B26" s="492" t="s">
        <v>118</v>
      </c>
      <c r="C26" s="492" t="s">
        <v>213</v>
      </c>
      <c r="D26" s="492" t="s">
        <v>992</v>
      </c>
      <c r="E26" s="492"/>
      <c r="F26" s="489">
        <f>F27</f>
        <v>0</v>
      </c>
      <c r="G26" s="489">
        <f>G27</f>
        <v>0</v>
      </c>
    </row>
    <row r="27" spans="1:9" ht="31.5" hidden="1" x14ac:dyDescent="0.25">
      <c r="A27" s="496" t="s">
        <v>131</v>
      </c>
      <c r="B27" s="492" t="s">
        <v>118</v>
      </c>
      <c r="C27" s="492" t="s">
        <v>213</v>
      </c>
      <c r="D27" s="492" t="s">
        <v>992</v>
      </c>
      <c r="E27" s="492" t="s">
        <v>132</v>
      </c>
      <c r="F27" s="489">
        <f>F28</f>
        <v>0</v>
      </c>
      <c r="G27" s="489">
        <f>G28</f>
        <v>0</v>
      </c>
    </row>
    <row r="28" spans="1:9" ht="47.25" hidden="1" x14ac:dyDescent="0.25">
      <c r="A28" s="496" t="s">
        <v>133</v>
      </c>
      <c r="B28" s="492" t="s">
        <v>118</v>
      </c>
      <c r="C28" s="492" t="s">
        <v>213</v>
      </c>
      <c r="D28" s="492" t="s">
        <v>992</v>
      </c>
      <c r="E28" s="492" t="s">
        <v>134</v>
      </c>
      <c r="F28" s="489">
        <f>'пр.6.1.ведом.22-23 (2)'!G51</f>
        <v>0</v>
      </c>
      <c r="G28" s="489">
        <f>'пр.6.1.ведом.22-23 (2)'!H51</f>
        <v>0</v>
      </c>
    </row>
    <row r="29" spans="1:9" ht="78.75" x14ac:dyDescent="0.25">
      <c r="A29" s="500" t="s">
        <v>578</v>
      </c>
      <c r="B29" s="7" t="s">
        <v>118</v>
      </c>
      <c r="C29" s="7" t="s">
        <v>215</v>
      </c>
      <c r="D29" s="7"/>
      <c r="E29" s="7"/>
      <c r="F29" s="488">
        <f t="shared" ref="F29:G30" si="2">F30</f>
        <v>5488</v>
      </c>
      <c r="G29" s="488">
        <f t="shared" si="2"/>
        <v>5488</v>
      </c>
    </row>
    <row r="30" spans="1:9" ht="31.5" x14ac:dyDescent="0.25">
      <c r="A30" s="494" t="s">
        <v>917</v>
      </c>
      <c r="B30" s="7" t="s">
        <v>118</v>
      </c>
      <c r="C30" s="7" t="s">
        <v>215</v>
      </c>
      <c r="D30" s="7" t="s">
        <v>858</v>
      </c>
      <c r="E30" s="7"/>
      <c r="F30" s="488">
        <f t="shared" si="2"/>
        <v>5488</v>
      </c>
      <c r="G30" s="488">
        <f t="shared" si="2"/>
        <v>5488</v>
      </c>
    </row>
    <row r="31" spans="1:9" ht="31.5" x14ac:dyDescent="0.25">
      <c r="A31" s="494" t="s">
        <v>986</v>
      </c>
      <c r="B31" s="7" t="s">
        <v>118</v>
      </c>
      <c r="C31" s="7" t="s">
        <v>215</v>
      </c>
      <c r="D31" s="7" t="s">
        <v>987</v>
      </c>
      <c r="E31" s="7"/>
      <c r="F31" s="488">
        <f>F37+F42+F32</f>
        <v>5488</v>
      </c>
      <c r="G31" s="488">
        <f>G37+G42+G32</f>
        <v>5488</v>
      </c>
    </row>
    <row r="32" spans="1:9" ht="47.25" x14ac:dyDescent="0.25">
      <c r="A32" s="291" t="s">
        <v>1363</v>
      </c>
      <c r="B32" s="492" t="s">
        <v>118</v>
      </c>
      <c r="C32" s="492" t="s">
        <v>215</v>
      </c>
      <c r="D32" s="492" t="s">
        <v>1401</v>
      </c>
      <c r="E32" s="495"/>
      <c r="F32" s="489">
        <f>F33+F35</f>
        <v>4247.6000000000004</v>
      </c>
      <c r="G32" s="489">
        <f>G33+G35</f>
        <v>4247.6000000000004</v>
      </c>
      <c r="H32" s="232">
        <f>F32+F37+F109+F114</f>
        <v>7286.5</v>
      </c>
      <c r="I32" s="232">
        <f>G32+G37+G109+G114</f>
        <v>7286.5</v>
      </c>
    </row>
    <row r="33" spans="1:9" ht="94.5" x14ac:dyDescent="0.25">
      <c r="A33" s="496" t="s">
        <v>127</v>
      </c>
      <c r="B33" s="492" t="s">
        <v>118</v>
      </c>
      <c r="C33" s="492" t="s">
        <v>215</v>
      </c>
      <c r="D33" s="492" t="s">
        <v>1401</v>
      </c>
      <c r="E33" s="492" t="s">
        <v>128</v>
      </c>
      <c r="F33" s="489">
        <f>F34</f>
        <v>4154.6000000000004</v>
      </c>
      <c r="G33" s="489">
        <f>G34</f>
        <v>4154.6000000000004</v>
      </c>
    </row>
    <row r="34" spans="1:9" ht="31.5" x14ac:dyDescent="0.25">
      <c r="A34" s="496" t="s">
        <v>129</v>
      </c>
      <c r="B34" s="492" t="s">
        <v>118</v>
      </c>
      <c r="C34" s="492" t="s">
        <v>215</v>
      </c>
      <c r="D34" s="492" t="s">
        <v>1401</v>
      </c>
      <c r="E34" s="492" t="s">
        <v>130</v>
      </c>
      <c r="F34" s="489">
        <f>'пр.6.1.ведом.22-23 (2)'!G1072</f>
        <v>4154.6000000000004</v>
      </c>
      <c r="G34" s="489">
        <f>'пр.6.1.ведом.22-23 (2)'!H1072</f>
        <v>4154.6000000000004</v>
      </c>
    </row>
    <row r="35" spans="1:9" ht="47.25" x14ac:dyDescent="0.25">
      <c r="A35" s="496" t="s">
        <v>198</v>
      </c>
      <c r="B35" s="492" t="s">
        <v>118</v>
      </c>
      <c r="C35" s="492" t="s">
        <v>215</v>
      </c>
      <c r="D35" s="492" t="s">
        <v>1401</v>
      </c>
      <c r="E35" s="492" t="s">
        <v>132</v>
      </c>
      <c r="F35" s="489">
        <f>F36</f>
        <v>93</v>
      </c>
      <c r="G35" s="489">
        <f>G36</f>
        <v>93</v>
      </c>
    </row>
    <row r="36" spans="1:9" ht="47.25" x14ac:dyDescent="0.25">
      <c r="A36" s="496" t="s">
        <v>133</v>
      </c>
      <c r="B36" s="492" t="s">
        <v>118</v>
      </c>
      <c r="C36" s="492" t="s">
        <v>215</v>
      </c>
      <c r="D36" s="492" t="s">
        <v>1401</v>
      </c>
      <c r="E36" s="492" t="s">
        <v>134</v>
      </c>
      <c r="F36" s="489">
        <f>'пр.6.1.ведом.22-23 (2)'!G1074</f>
        <v>93</v>
      </c>
      <c r="G36" s="489">
        <f>'пр.6.1.ведом.22-23 (2)'!H1074</f>
        <v>93</v>
      </c>
    </row>
    <row r="37" spans="1:9" ht="31.5" x14ac:dyDescent="0.25">
      <c r="A37" s="496" t="s">
        <v>990</v>
      </c>
      <c r="B37" s="499" t="s">
        <v>118</v>
      </c>
      <c r="C37" s="499" t="s">
        <v>215</v>
      </c>
      <c r="D37" s="499" t="s">
        <v>991</v>
      </c>
      <c r="E37" s="499"/>
      <c r="F37" s="489">
        <f>F38+F40</f>
        <v>1240.4000000000001</v>
      </c>
      <c r="G37" s="489">
        <f>G38+G40</f>
        <v>1240.4000000000001</v>
      </c>
    </row>
    <row r="38" spans="1:9" ht="94.5" x14ac:dyDescent="0.25">
      <c r="A38" s="29" t="s">
        <v>127</v>
      </c>
      <c r="B38" s="499" t="s">
        <v>118</v>
      </c>
      <c r="C38" s="499" t="s">
        <v>215</v>
      </c>
      <c r="D38" s="499" t="s">
        <v>991</v>
      </c>
      <c r="E38" s="499" t="s">
        <v>128</v>
      </c>
      <c r="F38" s="489">
        <f>F39</f>
        <v>1240.4000000000001</v>
      </c>
      <c r="G38" s="489">
        <f>G39</f>
        <v>1240.4000000000001</v>
      </c>
    </row>
    <row r="39" spans="1:9" ht="35.450000000000003" customHeight="1" x14ac:dyDescent="0.25">
      <c r="A39" s="29" t="s">
        <v>129</v>
      </c>
      <c r="B39" s="499" t="s">
        <v>118</v>
      </c>
      <c r="C39" s="499" t="s">
        <v>215</v>
      </c>
      <c r="D39" s="499" t="s">
        <v>991</v>
      </c>
      <c r="E39" s="499" t="s">
        <v>130</v>
      </c>
      <c r="F39" s="489">
        <f>'пр.6.1.ведом.22-23 (2)'!G1077</f>
        <v>1240.4000000000001</v>
      </c>
      <c r="G39" s="489">
        <f>'пр.6.1.ведом.22-23 (2)'!H1077</f>
        <v>1240.4000000000001</v>
      </c>
    </row>
    <row r="40" spans="1:9" ht="31.5" hidden="1" x14ac:dyDescent="0.25">
      <c r="A40" s="29" t="s">
        <v>131</v>
      </c>
      <c r="B40" s="499" t="s">
        <v>118</v>
      </c>
      <c r="C40" s="499" t="s">
        <v>215</v>
      </c>
      <c r="D40" s="499" t="s">
        <v>991</v>
      </c>
      <c r="E40" s="499" t="s">
        <v>132</v>
      </c>
      <c r="F40" s="489">
        <f>F41</f>
        <v>0</v>
      </c>
      <c r="G40" s="489">
        <f>G41</f>
        <v>0</v>
      </c>
    </row>
    <row r="41" spans="1:9" ht="47.25" hidden="1" x14ac:dyDescent="0.25">
      <c r="A41" s="29" t="s">
        <v>133</v>
      </c>
      <c r="B41" s="499" t="s">
        <v>118</v>
      </c>
      <c r="C41" s="499" t="s">
        <v>215</v>
      </c>
      <c r="D41" s="499" t="s">
        <v>991</v>
      </c>
      <c r="E41" s="499" t="s">
        <v>134</v>
      </c>
      <c r="F41" s="489">
        <f>'пр.6.1.ведом.22-23 (2)'!G1079</f>
        <v>0</v>
      </c>
      <c r="G41" s="489">
        <f>'пр.6.1.ведом.22-23 (2)'!H1079</f>
        <v>0</v>
      </c>
    </row>
    <row r="42" spans="1:9" ht="47.25" hidden="1" x14ac:dyDescent="0.25">
      <c r="A42" s="496" t="s">
        <v>839</v>
      </c>
      <c r="B42" s="499" t="s">
        <v>118</v>
      </c>
      <c r="C42" s="499" t="s">
        <v>215</v>
      </c>
      <c r="D42" s="499" t="s">
        <v>989</v>
      </c>
      <c r="E42" s="499"/>
      <c r="F42" s="489">
        <f>'[1]Пр.4 Рд,пр, ЦС,ВР 21'!F38</f>
        <v>0</v>
      </c>
      <c r="G42" s="489">
        <f t="shared" si="1"/>
        <v>0</v>
      </c>
    </row>
    <row r="43" spans="1:9" ht="94.5" hidden="1" x14ac:dyDescent="0.25">
      <c r="A43" s="496" t="s">
        <v>127</v>
      </c>
      <c r="B43" s="499" t="s">
        <v>118</v>
      </c>
      <c r="C43" s="499" t="s">
        <v>215</v>
      </c>
      <c r="D43" s="499" t="s">
        <v>989</v>
      </c>
      <c r="E43" s="499" t="s">
        <v>128</v>
      </c>
      <c r="F43" s="489">
        <f>'[1]Пр.4 Рд,пр, ЦС,ВР 21'!F39</f>
        <v>0</v>
      </c>
      <c r="G43" s="489">
        <f t="shared" si="1"/>
        <v>0</v>
      </c>
    </row>
    <row r="44" spans="1:9" ht="39.75" hidden="1" customHeight="1" x14ac:dyDescent="0.25">
      <c r="A44" s="496" t="s">
        <v>129</v>
      </c>
      <c r="B44" s="499" t="s">
        <v>118</v>
      </c>
      <c r="C44" s="499" t="s">
        <v>215</v>
      </c>
      <c r="D44" s="499" t="s">
        <v>989</v>
      </c>
      <c r="E44" s="499" t="s">
        <v>130</v>
      </c>
      <c r="F44" s="489">
        <f>'[1]Пр.4 Рд,пр, ЦС,ВР 21'!F40</f>
        <v>0</v>
      </c>
      <c r="G44" s="489">
        <f t="shared" si="1"/>
        <v>0</v>
      </c>
    </row>
    <row r="45" spans="1:9" ht="78.75" x14ac:dyDescent="0.25">
      <c r="A45" s="500" t="s">
        <v>149</v>
      </c>
      <c r="B45" s="7" t="s">
        <v>118</v>
      </c>
      <c r="C45" s="7" t="s">
        <v>150</v>
      </c>
      <c r="D45" s="7"/>
      <c r="E45" s="7"/>
      <c r="F45" s="488">
        <f>F46+F85</f>
        <v>56977.11</v>
      </c>
      <c r="G45" s="488">
        <f>G46+G85</f>
        <v>43788.420000000006</v>
      </c>
      <c r="H45" s="232">
        <f>'пр.6.1.ведом.22-23 (2)'!H490+'пр.6.1.ведом.22-23 (2)'!H52</f>
        <v>43788.42</v>
      </c>
      <c r="I45" s="232">
        <f>H46-F45</f>
        <v>5218.0900000000038</v>
      </c>
    </row>
    <row r="46" spans="1:9" ht="31.5" x14ac:dyDescent="0.25">
      <c r="A46" s="494" t="s">
        <v>917</v>
      </c>
      <c r="B46" s="7" t="s">
        <v>118</v>
      </c>
      <c r="C46" s="7" t="s">
        <v>150</v>
      </c>
      <c r="D46" s="7" t="s">
        <v>858</v>
      </c>
      <c r="E46" s="7"/>
      <c r="F46" s="488">
        <f>F47+F63</f>
        <v>56293.61</v>
      </c>
      <c r="G46" s="488">
        <f>G47+G63</f>
        <v>43104.920000000006</v>
      </c>
      <c r="H46" s="487">
        <f>50028.3+12166.9</f>
        <v>62195.200000000004</v>
      </c>
    </row>
    <row r="47" spans="1:9" ht="15.75" x14ac:dyDescent="0.25">
      <c r="A47" s="494" t="s">
        <v>918</v>
      </c>
      <c r="B47" s="7" t="s">
        <v>118</v>
      </c>
      <c r="C47" s="7" t="s">
        <v>150</v>
      </c>
      <c r="D47" s="7" t="s">
        <v>859</v>
      </c>
      <c r="E47" s="7"/>
      <c r="F47" s="488">
        <f>F48+F57+F60</f>
        <v>52962.71</v>
      </c>
      <c r="G47" s="488">
        <f>G48+G57+G60</f>
        <v>39989.520000000004</v>
      </c>
    </row>
    <row r="48" spans="1:9" ht="31.5" x14ac:dyDescent="0.25">
      <c r="A48" s="29" t="s">
        <v>897</v>
      </c>
      <c r="B48" s="499" t="s">
        <v>118</v>
      </c>
      <c r="C48" s="499" t="s">
        <v>150</v>
      </c>
      <c r="D48" s="499" t="s">
        <v>860</v>
      </c>
      <c r="E48" s="499"/>
      <c r="F48" s="489">
        <f>F49+F51+F53+F55</f>
        <v>48838.31</v>
      </c>
      <c r="G48" s="489">
        <f>G49+G51+G53+G55</f>
        <v>35865.120000000003</v>
      </c>
      <c r="H48" s="232">
        <f>'пр.6.1.ведом.22-23 (2)'!G55+'пр.6.1.ведом.22-23 (2)'!G493</f>
        <v>48838.31</v>
      </c>
    </row>
    <row r="49" spans="1:9" ht="94.5" x14ac:dyDescent="0.25">
      <c r="A49" s="29" t="s">
        <v>127</v>
      </c>
      <c r="B49" s="499" t="s">
        <v>118</v>
      </c>
      <c r="C49" s="499" t="s">
        <v>150</v>
      </c>
      <c r="D49" s="499" t="s">
        <v>860</v>
      </c>
      <c r="E49" s="499" t="s">
        <v>128</v>
      </c>
      <c r="F49" s="489">
        <f>F50</f>
        <v>42632.909999999996</v>
      </c>
      <c r="G49" s="489">
        <f>G50</f>
        <v>29659.72</v>
      </c>
    </row>
    <row r="50" spans="1:9" ht="40.700000000000003" customHeight="1" x14ac:dyDescent="0.25">
      <c r="A50" s="29" t="s">
        <v>129</v>
      </c>
      <c r="B50" s="499" t="s">
        <v>118</v>
      </c>
      <c r="C50" s="499" t="s">
        <v>150</v>
      </c>
      <c r="D50" s="499" t="s">
        <v>860</v>
      </c>
      <c r="E50" s="499" t="s">
        <v>130</v>
      </c>
      <c r="F50" s="489">
        <f>'пр.6.1.ведом.22-23 (2)'!G495+'пр.6.1.ведом.22-23 (2)'!G57</f>
        <v>42632.909999999996</v>
      </c>
      <c r="G50" s="489">
        <f>'пр.6.1.ведом.22-23 (2)'!H495+'пр.6.1.ведом.22-23 (2)'!H57</f>
        <v>29659.72</v>
      </c>
    </row>
    <row r="51" spans="1:9" ht="31.5" x14ac:dyDescent="0.25">
      <c r="A51" s="29" t="s">
        <v>131</v>
      </c>
      <c r="B51" s="499" t="s">
        <v>118</v>
      </c>
      <c r="C51" s="499" t="s">
        <v>150</v>
      </c>
      <c r="D51" s="499" t="s">
        <v>860</v>
      </c>
      <c r="E51" s="499" t="s">
        <v>132</v>
      </c>
      <c r="F51" s="489">
        <f>F52</f>
        <v>5999.4</v>
      </c>
      <c r="G51" s="489">
        <f>G52</f>
        <v>5999.4</v>
      </c>
    </row>
    <row r="52" spans="1:9" ht="47.25" x14ac:dyDescent="0.25">
      <c r="A52" s="29" t="s">
        <v>133</v>
      </c>
      <c r="B52" s="499" t="s">
        <v>118</v>
      </c>
      <c r="C52" s="499" t="s">
        <v>150</v>
      </c>
      <c r="D52" s="499" t="s">
        <v>860</v>
      </c>
      <c r="E52" s="499" t="s">
        <v>134</v>
      </c>
      <c r="F52" s="489">
        <f>'пр.6.1.ведом.22-23 (2)'!G59+'пр.6.1.ведом.22-23 (2)'!G497</f>
        <v>5999.4</v>
      </c>
      <c r="G52" s="489">
        <f>'пр.6.1.ведом.22-23 (2)'!H59+'пр.6.1.ведом.22-23 (2)'!H497</f>
        <v>5999.4</v>
      </c>
    </row>
    <row r="53" spans="1:9" ht="31.5" hidden="1" x14ac:dyDescent="0.25">
      <c r="A53" s="496" t="s">
        <v>248</v>
      </c>
      <c r="B53" s="499" t="s">
        <v>118</v>
      </c>
      <c r="C53" s="499" t="s">
        <v>150</v>
      </c>
      <c r="D53" s="499" t="s">
        <v>860</v>
      </c>
      <c r="E53" s="499" t="s">
        <v>249</v>
      </c>
      <c r="F53" s="489">
        <f>F54</f>
        <v>0</v>
      </c>
      <c r="G53" s="489">
        <f>G54</f>
        <v>0</v>
      </c>
    </row>
    <row r="54" spans="1:9" ht="31.5" hidden="1" x14ac:dyDescent="0.25">
      <c r="A54" s="496" t="s">
        <v>250</v>
      </c>
      <c r="B54" s="499" t="s">
        <v>118</v>
      </c>
      <c r="C54" s="499" t="s">
        <v>150</v>
      </c>
      <c r="D54" s="499" t="s">
        <v>860</v>
      </c>
      <c r="E54" s="499" t="s">
        <v>251</v>
      </c>
      <c r="F54" s="489">
        <f>'пр.6.1.ведом.22-23 (2)'!G61</f>
        <v>0</v>
      </c>
      <c r="G54" s="489">
        <f>'пр.6.1.ведом.22-23 (2)'!H61</f>
        <v>0</v>
      </c>
    </row>
    <row r="55" spans="1:9" ht="15.75" x14ac:dyDescent="0.25">
      <c r="A55" s="29" t="s">
        <v>135</v>
      </c>
      <c r="B55" s="499" t="s">
        <v>118</v>
      </c>
      <c r="C55" s="499" t="s">
        <v>150</v>
      </c>
      <c r="D55" s="499" t="s">
        <v>860</v>
      </c>
      <c r="E55" s="499" t="s">
        <v>145</v>
      </c>
      <c r="F55" s="489">
        <f>F56</f>
        <v>206</v>
      </c>
      <c r="G55" s="489">
        <f>G56</f>
        <v>206</v>
      </c>
    </row>
    <row r="56" spans="1:9" ht="19.5" customHeight="1" x14ac:dyDescent="0.25">
      <c r="A56" s="29" t="s">
        <v>568</v>
      </c>
      <c r="B56" s="499" t="s">
        <v>118</v>
      </c>
      <c r="C56" s="499" t="s">
        <v>150</v>
      </c>
      <c r="D56" s="499" t="s">
        <v>860</v>
      </c>
      <c r="E56" s="499" t="s">
        <v>138</v>
      </c>
      <c r="F56" s="489">
        <f>'пр.6.1.ведом.22-23 (2)'!G63+'пр.6.1.ведом.22-23 (2)'!G499</f>
        <v>206</v>
      </c>
      <c r="G56" s="489">
        <f>'пр.6.1.ведом.22-23 (2)'!H63+'пр.6.1.ведом.22-23 (2)'!H499</f>
        <v>206</v>
      </c>
    </row>
    <row r="57" spans="1:9" ht="31.5" x14ac:dyDescent="0.25">
      <c r="A57" s="496" t="s">
        <v>153</v>
      </c>
      <c r="B57" s="492" t="s">
        <v>118</v>
      </c>
      <c r="C57" s="492" t="s">
        <v>150</v>
      </c>
      <c r="D57" s="499" t="s">
        <v>861</v>
      </c>
      <c r="E57" s="492"/>
      <c r="F57" s="489">
        <f>F58</f>
        <v>2071.4</v>
      </c>
      <c r="G57" s="489">
        <f>G58</f>
        <v>2071.4</v>
      </c>
    </row>
    <row r="58" spans="1:9" ht="94.5" x14ac:dyDescent="0.25">
      <c r="A58" s="496" t="s">
        <v>127</v>
      </c>
      <c r="B58" s="492" t="s">
        <v>118</v>
      </c>
      <c r="C58" s="492" t="s">
        <v>150</v>
      </c>
      <c r="D58" s="499" t="s">
        <v>861</v>
      </c>
      <c r="E58" s="492" t="s">
        <v>128</v>
      </c>
      <c r="F58" s="489">
        <f>F59</f>
        <v>2071.4</v>
      </c>
      <c r="G58" s="489">
        <f>G59</f>
        <v>2071.4</v>
      </c>
    </row>
    <row r="59" spans="1:9" ht="33.75" customHeight="1" x14ac:dyDescent="0.25">
      <c r="A59" s="496" t="s">
        <v>129</v>
      </c>
      <c r="B59" s="492" t="s">
        <v>118</v>
      </c>
      <c r="C59" s="492" t="s">
        <v>150</v>
      </c>
      <c r="D59" s="499" t="s">
        <v>861</v>
      </c>
      <c r="E59" s="492" t="s">
        <v>130</v>
      </c>
      <c r="F59" s="489">
        <f>'пр.6.1.ведом.22-23 (2)'!G66</f>
        <v>2071.4</v>
      </c>
      <c r="G59" s="489">
        <f>'пр.6.1.ведом.22-23 (2)'!H66</f>
        <v>2071.4</v>
      </c>
    </row>
    <row r="60" spans="1:9" ht="47.25" x14ac:dyDescent="0.25">
      <c r="A60" s="496" t="s">
        <v>839</v>
      </c>
      <c r="B60" s="499" t="s">
        <v>118</v>
      </c>
      <c r="C60" s="492" t="s">
        <v>150</v>
      </c>
      <c r="D60" s="499" t="s">
        <v>862</v>
      </c>
      <c r="E60" s="499"/>
      <c r="F60" s="489">
        <f>F61</f>
        <v>2053</v>
      </c>
      <c r="G60" s="489">
        <f>G61</f>
        <v>2053</v>
      </c>
    </row>
    <row r="61" spans="1:9" ht="94.5" x14ac:dyDescent="0.25">
      <c r="A61" s="496" t="s">
        <v>127</v>
      </c>
      <c r="B61" s="499" t="s">
        <v>118</v>
      </c>
      <c r="C61" s="492" t="s">
        <v>150</v>
      </c>
      <c r="D61" s="499" t="s">
        <v>862</v>
      </c>
      <c r="E61" s="499" t="s">
        <v>128</v>
      </c>
      <c r="F61" s="489">
        <f>F62</f>
        <v>2053</v>
      </c>
      <c r="G61" s="489">
        <f>G62</f>
        <v>2053</v>
      </c>
    </row>
    <row r="62" spans="1:9" ht="31.7" customHeight="1" x14ac:dyDescent="0.25">
      <c r="A62" s="496" t="s">
        <v>129</v>
      </c>
      <c r="B62" s="499" t="s">
        <v>118</v>
      </c>
      <c r="C62" s="492" t="s">
        <v>150</v>
      </c>
      <c r="D62" s="499" t="s">
        <v>862</v>
      </c>
      <c r="E62" s="499" t="s">
        <v>130</v>
      </c>
      <c r="F62" s="489">
        <f>'пр.6.1.ведом.22-23 (2)'!G69+'пр.6.1.ведом.22-23 (2)'!G502</f>
        <v>2053</v>
      </c>
      <c r="G62" s="489">
        <f>'пр.6.1.ведом.22-23 (2)'!H69+'пр.6.1.ведом.22-23 (2)'!H502</f>
        <v>2053</v>
      </c>
      <c r="H62" s="232">
        <f>'пр.6.1.ведом.22-23 (2)'!G500+'пр.6.1.ведом.22-23 (2)'!G67</f>
        <v>2053</v>
      </c>
    </row>
    <row r="63" spans="1:9" ht="47.25" x14ac:dyDescent="0.25">
      <c r="A63" s="494" t="s">
        <v>885</v>
      </c>
      <c r="B63" s="7" t="s">
        <v>118</v>
      </c>
      <c r="C63" s="495" t="s">
        <v>150</v>
      </c>
      <c r="D63" s="7" t="s">
        <v>863</v>
      </c>
      <c r="E63" s="7"/>
      <c r="F63" s="488">
        <f>F64+F67+F72+F77+F82</f>
        <v>3330.9</v>
      </c>
      <c r="G63" s="488">
        <f>G64+G67+G72+G77+G82</f>
        <v>3115.4</v>
      </c>
    </row>
    <row r="64" spans="1:9" ht="47.25" hidden="1" x14ac:dyDescent="0.25">
      <c r="A64" s="496" t="s">
        <v>187</v>
      </c>
      <c r="B64" s="499" t="s">
        <v>118</v>
      </c>
      <c r="C64" s="492" t="s">
        <v>150</v>
      </c>
      <c r="D64" s="499" t="s">
        <v>1072</v>
      </c>
      <c r="E64" s="7"/>
      <c r="F64" s="489">
        <f>F65</f>
        <v>0</v>
      </c>
      <c r="G64" s="489">
        <f>G65</f>
        <v>0</v>
      </c>
      <c r="H64" s="232">
        <f>F64+F67+F72+F77+F82+F286+F342+F875</f>
        <v>7245.5</v>
      </c>
      <c r="I64" s="232">
        <f>G64+G67+G72+G77+G82+G286+G342+G875</f>
        <v>6996.6</v>
      </c>
    </row>
    <row r="65" spans="1:7" ht="31.5" hidden="1" x14ac:dyDescent="0.25">
      <c r="A65" s="496" t="s">
        <v>131</v>
      </c>
      <c r="B65" s="499" t="s">
        <v>118</v>
      </c>
      <c r="C65" s="492" t="s">
        <v>150</v>
      </c>
      <c r="D65" s="499" t="s">
        <v>1072</v>
      </c>
      <c r="E65" s="499" t="s">
        <v>132</v>
      </c>
      <c r="F65" s="489">
        <f>F66</f>
        <v>0</v>
      </c>
      <c r="G65" s="489">
        <f>G66</f>
        <v>0</v>
      </c>
    </row>
    <row r="66" spans="1:7" ht="47.25" hidden="1" x14ac:dyDescent="0.25">
      <c r="A66" s="496" t="s">
        <v>133</v>
      </c>
      <c r="B66" s="499" t="s">
        <v>118</v>
      </c>
      <c r="C66" s="492" t="s">
        <v>150</v>
      </c>
      <c r="D66" s="499" t="s">
        <v>1072</v>
      </c>
      <c r="E66" s="499" t="s">
        <v>134</v>
      </c>
      <c r="F66" s="489">
        <f>'пр.6.1.ведом.22-23 (2)'!G73</f>
        <v>0</v>
      </c>
      <c r="G66" s="489">
        <f>'пр.6.1.ведом.22-23 (2)'!H73</f>
        <v>0</v>
      </c>
    </row>
    <row r="67" spans="1:7" ht="47.25" x14ac:dyDescent="0.25">
      <c r="A67" s="45" t="s">
        <v>189</v>
      </c>
      <c r="B67" s="499" t="s">
        <v>118</v>
      </c>
      <c r="C67" s="492" t="s">
        <v>150</v>
      </c>
      <c r="D67" s="499" t="s">
        <v>920</v>
      </c>
      <c r="E67" s="499"/>
      <c r="F67" s="489">
        <f>F68+F70</f>
        <v>563.20000000000005</v>
      </c>
      <c r="G67" s="489">
        <f>G68+G70</f>
        <v>347.7</v>
      </c>
    </row>
    <row r="68" spans="1:7" ht="94.5" x14ac:dyDescent="0.25">
      <c r="A68" s="29" t="s">
        <v>127</v>
      </c>
      <c r="B68" s="499" t="s">
        <v>118</v>
      </c>
      <c r="C68" s="492" t="s">
        <v>150</v>
      </c>
      <c r="D68" s="499" t="s">
        <v>920</v>
      </c>
      <c r="E68" s="499" t="s">
        <v>128</v>
      </c>
      <c r="F68" s="489">
        <f>F69</f>
        <v>563.20000000000005</v>
      </c>
      <c r="G68" s="489">
        <f>G69</f>
        <v>347.7</v>
      </c>
    </row>
    <row r="69" spans="1:7" ht="31.5" x14ac:dyDescent="0.25">
      <c r="A69" s="29" t="s">
        <v>129</v>
      </c>
      <c r="B69" s="499" t="s">
        <v>118</v>
      </c>
      <c r="C69" s="492" t="s">
        <v>150</v>
      </c>
      <c r="D69" s="499" t="s">
        <v>920</v>
      </c>
      <c r="E69" s="499" t="s">
        <v>130</v>
      </c>
      <c r="F69" s="489">
        <f>'пр.6.1.ведом.22-23 (2)'!G76</f>
        <v>563.20000000000005</v>
      </c>
      <c r="G69" s="489">
        <f>'пр.6.1.ведом.22-23 (2)'!H76</f>
        <v>347.7</v>
      </c>
    </row>
    <row r="70" spans="1:7" ht="31.5" hidden="1" x14ac:dyDescent="0.25">
      <c r="A70" s="496" t="s">
        <v>131</v>
      </c>
      <c r="B70" s="499" t="s">
        <v>118</v>
      </c>
      <c r="C70" s="492" t="s">
        <v>150</v>
      </c>
      <c r="D70" s="499" t="s">
        <v>920</v>
      </c>
      <c r="E70" s="499" t="s">
        <v>132</v>
      </c>
      <c r="F70" s="489">
        <f>F71</f>
        <v>0</v>
      </c>
      <c r="G70" s="489">
        <f>G71</f>
        <v>0</v>
      </c>
    </row>
    <row r="71" spans="1:7" ht="47.25" hidden="1" x14ac:dyDescent="0.25">
      <c r="A71" s="496" t="s">
        <v>133</v>
      </c>
      <c r="B71" s="499" t="s">
        <v>118</v>
      </c>
      <c r="C71" s="492" t="s">
        <v>150</v>
      </c>
      <c r="D71" s="499" t="s">
        <v>920</v>
      </c>
      <c r="E71" s="499" t="s">
        <v>134</v>
      </c>
      <c r="F71" s="489">
        <f>'пр.6.1.ведом.22-23 (2)'!G78</f>
        <v>0</v>
      </c>
      <c r="G71" s="489">
        <f>'пр.6.1.ведом.22-23 (2)'!H78</f>
        <v>0</v>
      </c>
    </row>
    <row r="72" spans="1:7" ht="63" x14ac:dyDescent="0.25">
      <c r="A72" s="31" t="s">
        <v>194</v>
      </c>
      <c r="B72" s="499" t="s">
        <v>118</v>
      </c>
      <c r="C72" s="492" t="s">
        <v>150</v>
      </c>
      <c r="D72" s="499" t="s">
        <v>1028</v>
      </c>
      <c r="E72" s="499"/>
      <c r="F72" s="489">
        <f>F73+F75</f>
        <v>1411.1</v>
      </c>
      <c r="G72" s="489">
        <f>G73+G75</f>
        <v>1411.1</v>
      </c>
    </row>
    <row r="73" spans="1:7" ht="94.5" x14ac:dyDescent="0.25">
      <c r="A73" s="29" t="s">
        <v>127</v>
      </c>
      <c r="B73" s="499" t="s">
        <v>118</v>
      </c>
      <c r="C73" s="492" t="s">
        <v>150</v>
      </c>
      <c r="D73" s="499" t="s">
        <v>1028</v>
      </c>
      <c r="E73" s="499" t="s">
        <v>128</v>
      </c>
      <c r="F73" s="489">
        <f>F74</f>
        <v>1372.1</v>
      </c>
      <c r="G73" s="489">
        <f>G74</f>
        <v>1372.1</v>
      </c>
    </row>
    <row r="74" spans="1:7" ht="33" customHeight="1" x14ac:dyDescent="0.25">
      <c r="A74" s="29" t="s">
        <v>129</v>
      </c>
      <c r="B74" s="499" t="s">
        <v>118</v>
      </c>
      <c r="C74" s="492" t="s">
        <v>150</v>
      </c>
      <c r="D74" s="499" t="s">
        <v>1028</v>
      </c>
      <c r="E74" s="499" t="s">
        <v>130</v>
      </c>
      <c r="F74" s="489">
        <f>'пр.6.1.ведом.22-23 (2)'!G81</f>
        <v>1372.1</v>
      </c>
      <c r="G74" s="489">
        <f>'пр.6.1.ведом.22-23 (2)'!H81</f>
        <v>1372.1</v>
      </c>
    </row>
    <row r="75" spans="1:7" ht="31.5" x14ac:dyDescent="0.25">
      <c r="A75" s="496" t="s">
        <v>131</v>
      </c>
      <c r="B75" s="499" t="s">
        <v>118</v>
      </c>
      <c r="C75" s="492" t="s">
        <v>150</v>
      </c>
      <c r="D75" s="499" t="s">
        <v>1028</v>
      </c>
      <c r="E75" s="499" t="s">
        <v>132</v>
      </c>
      <c r="F75" s="489">
        <f>F76</f>
        <v>39</v>
      </c>
      <c r="G75" s="489">
        <f>G76</f>
        <v>39</v>
      </c>
    </row>
    <row r="76" spans="1:7" ht="47.25" x14ac:dyDescent="0.25">
      <c r="A76" s="496" t="s">
        <v>133</v>
      </c>
      <c r="B76" s="499" t="s">
        <v>118</v>
      </c>
      <c r="C76" s="492" t="s">
        <v>150</v>
      </c>
      <c r="D76" s="499" t="s">
        <v>1028</v>
      </c>
      <c r="E76" s="499" t="s">
        <v>134</v>
      </c>
      <c r="F76" s="489">
        <f>'пр.6.1.ведом.22-23 (2)'!G83</f>
        <v>39</v>
      </c>
      <c r="G76" s="489">
        <f>'пр.6.1.ведом.22-23 (2)'!H83</f>
        <v>39</v>
      </c>
    </row>
    <row r="77" spans="1:7" ht="47.25" x14ac:dyDescent="0.25">
      <c r="A77" s="45" t="s">
        <v>196</v>
      </c>
      <c r="B77" s="499" t="s">
        <v>118</v>
      </c>
      <c r="C77" s="492" t="s">
        <v>150</v>
      </c>
      <c r="D77" s="499" t="s">
        <v>921</v>
      </c>
      <c r="E77" s="499"/>
      <c r="F77" s="489">
        <f>F78+F80</f>
        <v>1334.3</v>
      </c>
      <c r="G77" s="489">
        <f>G78+G80</f>
        <v>1334.3</v>
      </c>
    </row>
    <row r="78" spans="1:7" ht="94.5" x14ac:dyDescent="0.25">
      <c r="A78" s="29" t="s">
        <v>127</v>
      </c>
      <c r="B78" s="499" t="s">
        <v>118</v>
      </c>
      <c r="C78" s="492" t="s">
        <v>150</v>
      </c>
      <c r="D78" s="499" t="s">
        <v>921</v>
      </c>
      <c r="E78" s="499" t="s">
        <v>128</v>
      </c>
      <c r="F78" s="489">
        <f>F79</f>
        <v>1300.3</v>
      </c>
      <c r="G78" s="489">
        <f>G79</f>
        <v>1300.3</v>
      </c>
    </row>
    <row r="79" spans="1:7" ht="33.75" customHeight="1" x14ac:dyDescent="0.25">
      <c r="A79" s="29" t="s">
        <v>129</v>
      </c>
      <c r="B79" s="499" t="s">
        <v>118</v>
      </c>
      <c r="C79" s="492" t="s">
        <v>150</v>
      </c>
      <c r="D79" s="499" t="s">
        <v>921</v>
      </c>
      <c r="E79" s="499" t="s">
        <v>130</v>
      </c>
      <c r="F79" s="489">
        <f>'пр.6.1.ведом.22-23 (2)'!G86</f>
        <v>1300.3</v>
      </c>
      <c r="G79" s="489">
        <f>'пр.6.1.ведом.22-23 (2)'!H86</f>
        <v>1300.3</v>
      </c>
    </row>
    <row r="80" spans="1:7" ht="31.5" x14ac:dyDescent="0.25">
      <c r="A80" s="29" t="s">
        <v>131</v>
      </c>
      <c r="B80" s="499" t="s">
        <v>118</v>
      </c>
      <c r="C80" s="492" t="s">
        <v>150</v>
      </c>
      <c r="D80" s="499" t="s">
        <v>921</v>
      </c>
      <c r="E80" s="499" t="s">
        <v>132</v>
      </c>
      <c r="F80" s="489">
        <f>F81</f>
        <v>34</v>
      </c>
      <c r="G80" s="489">
        <f>G81</f>
        <v>34</v>
      </c>
    </row>
    <row r="81" spans="1:7" ht="47.25" x14ac:dyDescent="0.25">
      <c r="A81" s="29" t="s">
        <v>133</v>
      </c>
      <c r="B81" s="499" t="s">
        <v>118</v>
      </c>
      <c r="C81" s="492" t="s">
        <v>150</v>
      </c>
      <c r="D81" s="499" t="s">
        <v>921</v>
      </c>
      <c r="E81" s="499" t="s">
        <v>134</v>
      </c>
      <c r="F81" s="489">
        <f>'пр.6.1.ведом.22-23 (2)'!G88</f>
        <v>34</v>
      </c>
      <c r="G81" s="489">
        <f>'пр.6.1.ведом.22-23 (2)'!H88</f>
        <v>34</v>
      </c>
    </row>
    <row r="82" spans="1:7" ht="94.5" x14ac:dyDescent="0.25">
      <c r="A82" s="31" t="s">
        <v>1169</v>
      </c>
      <c r="B82" s="492" t="s">
        <v>118</v>
      </c>
      <c r="C82" s="492" t="s">
        <v>150</v>
      </c>
      <c r="D82" s="492" t="s">
        <v>1168</v>
      </c>
      <c r="E82" s="492"/>
      <c r="F82" s="497">
        <f>F83</f>
        <v>22.3</v>
      </c>
      <c r="G82" s="497">
        <f>G83</f>
        <v>22.3</v>
      </c>
    </row>
    <row r="83" spans="1:7" ht="94.5" x14ac:dyDescent="0.25">
      <c r="A83" s="496" t="s">
        <v>127</v>
      </c>
      <c r="B83" s="492" t="s">
        <v>118</v>
      </c>
      <c r="C83" s="492" t="s">
        <v>150</v>
      </c>
      <c r="D83" s="492" t="s">
        <v>1168</v>
      </c>
      <c r="E83" s="492" t="s">
        <v>128</v>
      </c>
      <c r="F83" s="497">
        <f>F84</f>
        <v>22.3</v>
      </c>
      <c r="G83" s="497">
        <f>G84</f>
        <v>22.3</v>
      </c>
    </row>
    <row r="84" spans="1:7" ht="38.25" customHeight="1" x14ac:dyDescent="0.25">
      <c r="A84" s="496" t="s">
        <v>129</v>
      </c>
      <c r="B84" s="492" t="s">
        <v>118</v>
      </c>
      <c r="C84" s="492" t="s">
        <v>150</v>
      </c>
      <c r="D84" s="492" t="s">
        <v>1168</v>
      </c>
      <c r="E84" s="492" t="s">
        <v>130</v>
      </c>
      <c r="F84" s="497">
        <f>'пр.6.1.ведом.22-23 (2)'!G506</f>
        <v>22.3</v>
      </c>
      <c r="G84" s="489">
        <f>'пр.6.1.ведом.22-23 (2)'!H506</f>
        <v>22.3</v>
      </c>
    </row>
    <row r="85" spans="1:7" ht="47.25" x14ac:dyDescent="0.25">
      <c r="A85" s="494" t="s">
        <v>1364</v>
      </c>
      <c r="B85" s="495" t="s">
        <v>118</v>
      </c>
      <c r="C85" s="495" t="s">
        <v>150</v>
      </c>
      <c r="D85" s="495" t="s">
        <v>162</v>
      </c>
      <c r="E85" s="495"/>
      <c r="F85" s="488">
        <f>F86+F90+F102</f>
        <v>683.5</v>
      </c>
      <c r="G85" s="488">
        <f>G86+G90+G102</f>
        <v>683.5</v>
      </c>
    </row>
    <row r="86" spans="1:7" ht="78.75" x14ac:dyDescent="0.25">
      <c r="A86" s="305" t="s">
        <v>1339</v>
      </c>
      <c r="B86" s="495" t="s">
        <v>118</v>
      </c>
      <c r="C86" s="495" t="s">
        <v>150</v>
      </c>
      <c r="D86" s="7" t="s">
        <v>849</v>
      </c>
      <c r="E86" s="495"/>
      <c r="F86" s="488">
        <f t="shared" ref="F86:G88" si="3">F87</f>
        <v>606</v>
      </c>
      <c r="G86" s="488">
        <f t="shared" si="3"/>
        <v>606</v>
      </c>
    </row>
    <row r="87" spans="1:7" ht="63" x14ac:dyDescent="0.25">
      <c r="A87" s="29" t="s">
        <v>1308</v>
      </c>
      <c r="B87" s="492" t="s">
        <v>118</v>
      </c>
      <c r="C87" s="492" t="s">
        <v>150</v>
      </c>
      <c r="D87" s="499" t="s">
        <v>841</v>
      </c>
      <c r="E87" s="492"/>
      <c r="F87" s="489">
        <f t="shared" si="3"/>
        <v>606</v>
      </c>
      <c r="G87" s="489">
        <f t="shared" si="3"/>
        <v>606</v>
      </c>
    </row>
    <row r="88" spans="1:7" ht="31.5" x14ac:dyDescent="0.25">
      <c r="A88" s="496" t="s">
        <v>131</v>
      </c>
      <c r="B88" s="492" t="s">
        <v>118</v>
      </c>
      <c r="C88" s="492" t="s">
        <v>150</v>
      </c>
      <c r="D88" s="499" t="s">
        <v>841</v>
      </c>
      <c r="E88" s="492" t="s">
        <v>132</v>
      </c>
      <c r="F88" s="489">
        <f t="shared" si="3"/>
        <v>606</v>
      </c>
      <c r="G88" s="489">
        <f t="shared" si="3"/>
        <v>606</v>
      </c>
    </row>
    <row r="89" spans="1:7" ht="47.25" x14ac:dyDescent="0.25">
      <c r="A89" s="496" t="s">
        <v>133</v>
      </c>
      <c r="B89" s="492" t="s">
        <v>118</v>
      </c>
      <c r="C89" s="492" t="s">
        <v>150</v>
      </c>
      <c r="D89" s="499" t="s">
        <v>841</v>
      </c>
      <c r="E89" s="492" t="s">
        <v>134</v>
      </c>
      <c r="F89" s="489">
        <f>'пр.6.1.ведом.22-23 (2)'!G93</f>
        <v>606</v>
      </c>
      <c r="G89" s="489">
        <f>'пр.6.1.ведом.22-23 (2)'!H93</f>
        <v>606</v>
      </c>
    </row>
    <row r="90" spans="1:7" ht="78.75" x14ac:dyDescent="0.25">
      <c r="A90" s="220" t="s">
        <v>843</v>
      </c>
      <c r="B90" s="495" t="s">
        <v>118</v>
      </c>
      <c r="C90" s="495" t="s">
        <v>150</v>
      </c>
      <c r="D90" s="7" t="s">
        <v>850</v>
      </c>
      <c r="E90" s="495"/>
      <c r="F90" s="488">
        <f>F91+F96+F99</f>
        <v>77</v>
      </c>
      <c r="G90" s="488">
        <f>G91+G96+G99</f>
        <v>77</v>
      </c>
    </row>
    <row r="91" spans="1:7" ht="63" x14ac:dyDescent="0.25">
      <c r="A91" s="174" t="s">
        <v>165</v>
      </c>
      <c r="B91" s="492" t="s">
        <v>118</v>
      </c>
      <c r="C91" s="492" t="s">
        <v>150</v>
      </c>
      <c r="D91" s="499" t="s">
        <v>842</v>
      </c>
      <c r="E91" s="492"/>
      <c r="F91" s="489">
        <f>F92+F94</f>
        <v>77</v>
      </c>
      <c r="G91" s="489">
        <f>G92+G94</f>
        <v>77</v>
      </c>
    </row>
    <row r="92" spans="1:7" ht="94.5" x14ac:dyDescent="0.25">
      <c r="A92" s="496" t="s">
        <v>127</v>
      </c>
      <c r="B92" s="492" t="s">
        <v>118</v>
      </c>
      <c r="C92" s="492" t="s">
        <v>150</v>
      </c>
      <c r="D92" s="499" t="s">
        <v>842</v>
      </c>
      <c r="E92" s="492" t="s">
        <v>128</v>
      </c>
      <c r="F92" s="489">
        <f>F93</f>
        <v>37</v>
      </c>
      <c r="G92" s="489">
        <f>G93</f>
        <v>37</v>
      </c>
    </row>
    <row r="93" spans="1:7" ht="31.5" x14ac:dyDescent="0.25">
      <c r="A93" s="496" t="s">
        <v>129</v>
      </c>
      <c r="B93" s="492" t="s">
        <v>118</v>
      </c>
      <c r="C93" s="492" t="s">
        <v>150</v>
      </c>
      <c r="D93" s="499" t="s">
        <v>842</v>
      </c>
      <c r="E93" s="492" t="s">
        <v>130</v>
      </c>
      <c r="F93" s="489">
        <f>'пр.6.1.ведом.22-23 (2)'!G97</f>
        <v>37</v>
      </c>
      <c r="G93" s="489">
        <f>'пр.6.1.ведом.22-23 (2)'!H97</f>
        <v>37</v>
      </c>
    </row>
    <row r="94" spans="1:7" ht="31.5" x14ac:dyDescent="0.25">
      <c r="A94" s="496" t="s">
        <v>131</v>
      </c>
      <c r="B94" s="492" t="s">
        <v>118</v>
      </c>
      <c r="C94" s="492" t="s">
        <v>150</v>
      </c>
      <c r="D94" s="499" t="s">
        <v>842</v>
      </c>
      <c r="E94" s="492" t="s">
        <v>132</v>
      </c>
      <c r="F94" s="489">
        <f>F95</f>
        <v>40</v>
      </c>
      <c r="G94" s="489">
        <f>G95</f>
        <v>40</v>
      </c>
    </row>
    <row r="95" spans="1:7" ht="47.25" x14ac:dyDescent="0.25">
      <c r="A95" s="496" t="s">
        <v>133</v>
      </c>
      <c r="B95" s="492" t="s">
        <v>118</v>
      </c>
      <c r="C95" s="492" t="s">
        <v>150</v>
      </c>
      <c r="D95" s="499" t="s">
        <v>842</v>
      </c>
      <c r="E95" s="492" t="s">
        <v>134</v>
      </c>
      <c r="F95" s="489">
        <f>'пр.6.1.ведом.22-23 (2)'!G99</f>
        <v>40</v>
      </c>
      <c r="G95" s="489">
        <f>'пр.6.1.ведом.22-23 (2)'!H99</f>
        <v>40</v>
      </c>
    </row>
    <row r="96" spans="1:7" ht="47.25" hidden="1" x14ac:dyDescent="0.25">
      <c r="A96" s="31" t="s">
        <v>1094</v>
      </c>
      <c r="B96" s="492" t="s">
        <v>118</v>
      </c>
      <c r="C96" s="492" t="s">
        <v>150</v>
      </c>
      <c r="D96" s="499" t="s">
        <v>993</v>
      </c>
      <c r="E96" s="492"/>
      <c r="F96" s="497">
        <f>F97</f>
        <v>0</v>
      </c>
      <c r="G96" s="497">
        <f>G97</f>
        <v>0</v>
      </c>
    </row>
    <row r="97" spans="1:8" ht="31.5" hidden="1" x14ac:dyDescent="0.25">
      <c r="A97" s="496" t="s">
        <v>131</v>
      </c>
      <c r="B97" s="492" t="s">
        <v>118</v>
      </c>
      <c r="C97" s="492" t="s">
        <v>150</v>
      </c>
      <c r="D97" s="499" t="s">
        <v>993</v>
      </c>
      <c r="E97" s="492" t="s">
        <v>132</v>
      </c>
      <c r="F97" s="497">
        <f>F98</f>
        <v>0</v>
      </c>
      <c r="G97" s="497">
        <f>G98</f>
        <v>0</v>
      </c>
    </row>
    <row r="98" spans="1:8" ht="47.25" hidden="1" x14ac:dyDescent="0.25">
      <c r="A98" s="496" t="s">
        <v>133</v>
      </c>
      <c r="B98" s="492" t="s">
        <v>118</v>
      </c>
      <c r="C98" s="492" t="s">
        <v>150</v>
      </c>
      <c r="D98" s="499" t="s">
        <v>696</v>
      </c>
      <c r="E98" s="492" t="s">
        <v>134</v>
      </c>
      <c r="F98" s="497">
        <f>'пр.6.1.ведом.22-23 (2)'!G102</f>
        <v>0</v>
      </c>
      <c r="G98" s="497">
        <f>'пр.6.1.ведом.22-23 (2)'!H102</f>
        <v>0</v>
      </c>
    </row>
    <row r="99" spans="1:8" ht="63" hidden="1" x14ac:dyDescent="0.25">
      <c r="A99" s="31" t="s">
        <v>695</v>
      </c>
      <c r="B99" s="492" t="s">
        <v>118</v>
      </c>
      <c r="C99" s="492" t="s">
        <v>150</v>
      </c>
      <c r="D99" s="492" t="s">
        <v>992</v>
      </c>
      <c r="E99" s="492"/>
      <c r="F99" s="497">
        <f>F100</f>
        <v>0</v>
      </c>
      <c r="G99" s="497">
        <f>G100</f>
        <v>0</v>
      </c>
    </row>
    <row r="100" spans="1:8" ht="31.5" hidden="1" x14ac:dyDescent="0.25">
      <c r="A100" s="496" t="s">
        <v>131</v>
      </c>
      <c r="B100" s="492" t="s">
        <v>118</v>
      </c>
      <c r="C100" s="492" t="s">
        <v>150</v>
      </c>
      <c r="D100" s="492" t="s">
        <v>992</v>
      </c>
      <c r="E100" s="492" t="s">
        <v>132</v>
      </c>
      <c r="F100" s="497">
        <f>F101</f>
        <v>0</v>
      </c>
      <c r="G100" s="497">
        <f>G101</f>
        <v>0</v>
      </c>
    </row>
    <row r="101" spans="1:8" ht="47.25" hidden="1" x14ac:dyDescent="0.25">
      <c r="A101" s="496" t="s">
        <v>133</v>
      </c>
      <c r="B101" s="492" t="s">
        <v>118</v>
      </c>
      <c r="C101" s="492" t="s">
        <v>150</v>
      </c>
      <c r="D101" s="492" t="s">
        <v>992</v>
      </c>
      <c r="E101" s="492" t="s">
        <v>134</v>
      </c>
      <c r="F101" s="497">
        <f>'пр.6.1.ведом.22-23 (2)'!G105</f>
        <v>0</v>
      </c>
      <c r="G101" s="497">
        <f>'пр.6.1.ведом.22-23 (2)'!H105</f>
        <v>0</v>
      </c>
    </row>
    <row r="102" spans="1:8" ht="62.45" customHeight="1" x14ac:dyDescent="0.25">
      <c r="A102" s="221" t="s">
        <v>1003</v>
      </c>
      <c r="B102" s="495" t="s">
        <v>118</v>
      </c>
      <c r="C102" s="495" t="s">
        <v>150</v>
      </c>
      <c r="D102" s="7" t="s">
        <v>851</v>
      </c>
      <c r="E102" s="495"/>
      <c r="F102" s="488">
        <f t="shared" ref="F102:G104" si="4">F103</f>
        <v>0.5</v>
      </c>
      <c r="G102" s="488">
        <f t="shared" si="4"/>
        <v>0.5</v>
      </c>
    </row>
    <row r="103" spans="1:8" ht="47.25" x14ac:dyDescent="0.25">
      <c r="A103" s="33" t="s">
        <v>191</v>
      </c>
      <c r="B103" s="492" t="s">
        <v>118</v>
      </c>
      <c r="C103" s="492" t="s">
        <v>150</v>
      </c>
      <c r="D103" s="499" t="s">
        <v>844</v>
      </c>
      <c r="E103" s="492"/>
      <c r="F103" s="489">
        <f t="shared" si="4"/>
        <v>0.5</v>
      </c>
      <c r="G103" s="489">
        <f t="shared" si="4"/>
        <v>0.5</v>
      </c>
    </row>
    <row r="104" spans="1:8" ht="31.5" x14ac:dyDescent="0.25">
      <c r="A104" s="496" t="s">
        <v>131</v>
      </c>
      <c r="B104" s="492" t="s">
        <v>118</v>
      </c>
      <c r="C104" s="492" t="s">
        <v>150</v>
      </c>
      <c r="D104" s="499" t="s">
        <v>844</v>
      </c>
      <c r="E104" s="492" t="s">
        <v>132</v>
      </c>
      <c r="F104" s="489">
        <f t="shared" si="4"/>
        <v>0.5</v>
      </c>
      <c r="G104" s="489">
        <f t="shared" si="4"/>
        <v>0.5</v>
      </c>
    </row>
    <row r="105" spans="1:8" ht="47.25" x14ac:dyDescent="0.25">
      <c r="A105" s="496" t="s">
        <v>133</v>
      </c>
      <c r="B105" s="492" t="s">
        <v>118</v>
      </c>
      <c r="C105" s="492" t="s">
        <v>150</v>
      </c>
      <c r="D105" s="499" t="s">
        <v>844</v>
      </c>
      <c r="E105" s="492" t="s">
        <v>134</v>
      </c>
      <c r="F105" s="489">
        <f>'пр.6.1.ведом.22-23 (2)'!G109</f>
        <v>0.5</v>
      </c>
      <c r="G105" s="489">
        <f>'пр.6.1.ведом.22-23 (2)'!H109</f>
        <v>0.5</v>
      </c>
    </row>
    <row r="106" spans="1:8" ht="63" x14ac:dyDescent="0.25">
      <c r="A106" s="500" t="s">
        <v>119</v>
      </c>
      <c r="B106" s="7" t="s">
        <v>118</v>
      </c>
      <c r="C106" s="7" t="s">
        <v>120</v>
      </c>
      <c r="D106" s="7"/>
      <c r="E106" s="7"/>
      <c r="F106" s="488">
        <f t="shared" ref="F106:G106" si="5">F107</f>
        <v>16636.7</v>
      </c>
      <c r="G106" s="488">
        <f t="shared" si="5"/>
        <v>16636.7</v>
      </c>
      <c r="H106" s="232">
        <f>'пр.6.1.ведом.22-23 (2)'!H113+'пр.6.1.ведом.22-23 (2)'!H12+'пр.6.1.ведом.22-23 (2)'!H1083</f>
        <v>16636.7</v>
      </c>
    </row>
    <row r="107" spans="1:8" ht="31.5" x14ac:dyDescent="0.25">
      <c r="A107" s="494" t="s">
        <v>917</v>
      </c>
      <c r="B107" s="7" t="s">
        <v>118</v>
      </c>
      <c r="C107" s="7" t="s">
        <v>120</v>
      </c>
      <c r="D107" s="7" t="s">
        <v>858</v>
      </c>
      <c r="E107" s="7"/>
      <c r="F107" s="488">
        <f>F117+F108</f>
        <v>16636.7</v>
      </c>
      <c r="G107" s="488">
        <f>G117+G108</f>
        <v>16636.7</v>
      </c>
    </row>
    <row r="108" spans="1:8" ht="31.5" x14ac:dyDescent="0.25">
      <c r="A108" s="494" t="s">
        <v>986</v>
      </c>
      <c r="B108" s="7" t="s">
        <v>118</v>
      </c>
      <c r="C108" s="7" t="s">
        <v>120</v>
      </c>
      <c r="D108" s="7" t="s">
        <v>987</v>
      </c>
      <c r="E108" s="7"/>
      <c r="F108" s="488">
        <f>F109+F114</f>
        <v>1798.5</v>
      </c>
      <c r="G108" s="488">
        <f>G109+G114</f>
        <v>1798.5</v>
      </c>
    </row>
    <row r="109" spans="1:8" ht="31.5" x14ac:dyDescent="0.25">
      <c r="A109" s="496" t="s">
        <v>897</v>
      </c>
      <c r="B109" s="492" t="s">
        <v>118</v>
      </c>
      <c r="C109" s="492" t="s">
        <v>120</v>
      </c>
      <c r="D109" s="492" t="s">
        <v>991</v>
      </c>
      <c r="E109" s="492"/>
      <c r="F109" s="489">
        <f>F110+F112</f>
        <v>1752.5</v>
      </c>
      <c r="G109" s="489">
        <f>G110+G112</f>
        <v>1752.5</v>
      </c>
    </row>
    <row r="110" spans="1:8" ht="94.5" x14ac:dyDescent="0.25">
      <c r="A110" s="496" t="s">
        <v>127</v>
      </c>
      <c r="B110" s="492" t="s">
        <v>118</v>
      </c>
      <c r="C110" s="492" t="s">
        <v>120</v>
      </c>
      <c r="D110" s="492" t="s">
        <v>991</v>
      </c>
      <c r="E110" s="492" t="s">
        <v>128</v>
      </c>
      <c r="F110" s="489">
        <f>F111</f>
        <v>1734.5</v>
      </c>
      <c r="G110" s="489">
        <f>G111</f>
        <v>1734.5</v>
      </c>
    </row>
    <row r="111" spans="1:8" ht="31.5" x14ac:dyDescent="0.25">
      <c r="A111" s="496" t="s">
        <v>129</v>
      </c>
      <c r="B111" s="492" t="s">
        <v>118</v>
      </c>
      <c r="C111" s="492" t="s">
        <v>120</v>
      </c>
      <c r="D111" s="492" t="s">
        <v>991</v>
      </c>
      <c r="E111" s="492" t="s">
        <v>130</v>
      </c>
      <c r="F111" s="489">
        <f>'пр.6.1.ведом.22-23 (2)'!G1088</f>
        <v>1734.5</v>
      </c>
      <c r="G111" s="489">
        <f>'пр.6.1.ведом.22-23 (2)'!H1088</f>
        <v>1734.5</v>
      </c>
    </row>
    <row r="112" spans="1:8" ht="47.25" x14ac:dyDescent="0.25">
      <c r="A112" s="496" t="s">
        <v>198</v>
      </c>
      <c r="B112" s="492" t="s">
        <v>118</v>
      </c>
      <c r="C112" s="492" t="s">
        <v>120</v>
      </c>
      <c r="D112" s="492" t="s">
        <v>991</v>
      </c>
      <c r="E112" s="492" t="s">
        <v>132</v>
      </c>
      <c r="F112" s="489">
        <f>F113</f>
        <v>18</v>
      </c>
      <c r="G112" s="489">
        <f>G113</f>
        <v>18</v>
      </c>
    </row>
    <row r="113" spans="1:7" ht="47.25" x14ac:dyDescent="0.25">
      <c r="A113" s="496" t="s">
        <v>133</v>
      </c>
      <c r="B113" s="492" t="s">
        <v>118</v>
      </c>
      <c r="C113" s="492" t="s">
        <v>120</v>
      </c>
      <c r="D113" s="492" t="s">
        <v>991</v>
      </c>
      <c r="E113" s="492" t="s">
        <v>134</v>
      </c>
      <c r="F113" s="489">
        <f>'пр.6.1.ведом.22-23 (2)'!G1090</f>
        <v>18</v>
      </c>
      <c r="G113" s="489">
        <f>'пр.6.1.ведом.22-23 (2)'!H1090</f>
        <v>18</v>
      </c>
    </row>
    <row r="114" spans="1:7" ht="47.25" x14ac:dyDescent="0.25">
      <c r="A114" s="496" t="s">
        <v>839</v>
      </c>
      <c r="B114" s="492" t="s">
        <v>118</v>
      </c>
      <c r="C114" s="492" t="s">
        <v>120</v>
      </c>
      <c r="D114" s="492" t="s">
        <v>989</v>
      </c>
      <c r="E114" s="492"/>
      <c r="F114" s="489">
        <f>F115</f>
        <v>46</v>
      </c>
      <c r="G114" s="489">
        <f>G115</f>
        <v>46</v>
      </c>
    </row>
    <row r="115" spans="1:7" ht="94.5" x14ac:dyDescent="0.25">
      <c r="A115" s="496" t="s">
        <v>127</v>
      </c>
      <c r="B115" s="492" t="s">
        <v>118</v>
      </c>
      <c r="C115" s="492" t="s">
        <v>120</v>
      </c>
      <c r="D115" s="492" t="s">
        <v>989</v>
      </c>
      <c r="E115" s="492" t="s">
        <v>128</v>
      </c>
      <c r="F115" s="489">
        <f>F116</f>
        <v>46</v>
      </c>
      <c r="G115" s="489">
        <f>G116</f>
        <v>46</v>
      </c>
    </row>
    <row r="116" spans="1:7" ht="31.5" x14ac:dyDescent="0.25">
      <c r="A116" s="496" t="s">
        <v>129</v>
      </c>
      <c r="B116" s="492" t="s">
        <v>118</v>
      </c>
      <c r="C116" s="492" t="s">
        <v>120</v>
      </c>
      <c r="D116" s="492" t="s">
        <v>989</v>
      </c>
      <c r="E116" s="492" t="s">
        <v>130</v>
      </c>
      <c r="F116" s="489">
        <f>'пр.6.1.ведом.22-23 (2)'!G1093</f>
        <v>46</v>
      </c>
      <c r="G116" s="489">
        <f>'пр.6.1.ведом.22-23 (2)'!H1093</f>
        <v>46</v>
      </c>
    </row>
    <row r="117" spans="1:7" ht="15.75" x14ac:dyDescent="0.25">
      <c r="A117" s="494" t="s">
        <v>918</v>
      </c>
      <c r="B117" s="7" t="s">
        <v>118</v>
      </c>
      <c r="C117" s="7" t="s">
        <v>120</v>
      </c>
      <c r="D117" s="7" t="s">
        <v>859</v>
      </c>
      <c r="E117" s="7"/>
      <c r="F117" s="488">
        <f>F118+F125</f>
        <v>14838.2</v>
      </c>
      <c r="G117" s="488">
        <f>G118+G125</f>
        <v>14838.2</v>
      </c>
    </row>
    <row r="118" spans="1:7" ht="31.5" x14ac:dyDescent="0.25">
      <c r="A118" s="29" t="s">
        <v>897</v>
      </c>
      <c r="B118" s="499" t="s">
        <v>118</v>
      </c>
      <c r="C118" s="499" t="s">
        <v>120</v>
      </c>
      <c r="D118" s="499" t="s">
        <v>860</v>
      </c>
      <c r="E118" s="499"/>
      <c r="F118" s="489">
        <f>F119+F121+F123</f>
        <v>14372.2</v>
      </c>
      <c r="G118" s="489">
        <f>G119+G121+G123</f>
        <v>14372.2</v>
      </c>
    </row>
    <row r="119" spans="1:7" ht="94.5" x14ac:dyDescent="0.25">
      <c r="A119" s="29" t="s">
        <v>127</v>
      </c>
      <c r="B119" s="499" t="s">
        <v>118</v>
      </c>
      <c r="C119" s="499" t="s">
        <v>120</v>
      </c>
      <c r="D119" s="499" t="s">
        <v>860</v>
      </c>
      <c r="E119" s="499" t="s">
        <v>128</v>
      </c>
      <c r="F119" s="489">
        <f>F120</f>
        <v>13367.2</v>
      </c>
      <c r="G119" s="489">
        <f>G120</f>
        <v>13367.2</v>
      </c>
    </row>
    <row r="120" spans="1:7" ht="31.5" x14ac:dyDescent="0.25">
      <c r="A120" s="29" t="s">
        <v>129</v>
      </c>
      <c r="B120" s="499" t="s">
        <v>118</v>
      </c>
      <c r="C120" s="499" t="s">
        <v>120</v>
      </c>
      <c r="D120" s="499" t="s">
        <v>860</v>
      </c>
      <c r="E120" s="499" t="s">
        <v>130</v>
      </c>
      <c r="F120" s="489">
        <f>'пр.6.1.ведом.22-23 (2)'!G118+'пр.6.1.ведом.22-23 (2)'!G17</f>
        <v>13367.2</v>
      </c>
      <c r="G120" s="489">
        <f>'пр.6.1.ведом.22-23 (2)'!H118+'пр.6.1.ведом.22-23 (2)'!H17</f>
        <v>13367.2</v>
      </c>
    </row>
    <row r="121" spans="1:7" ht="31.5" x14ac:dyDescent="0.25">
      <c r="A121" s="29" t="s">
        <v>131</v>
      </c>
      <c r="B121" s="499" t="s">
        <v>118</v>
      </c>
      <c r="C121" s="499" t="s">
        <v>120</v>
      </c>
      <c r="D121" s="499" t="s">
        <v>860</v>
      </c>
      <c r="E121" s="499" t="s">
        <v>132</v>
      </c>
      <c r="F121" s="489">
        <f>F122</f>
        <v>977</v>
      </c>
      <c r="G121" s="489">
        <f>G122</f>
        <v>977</v>
      </c>
    </row>
    <row r="122" spans="1:7" ht="47.25" x14ac:dyDescent="0.25">
      <c r="A122" s="29" t="s">
        <v>133</v>
      </c>
      <c r="B122" s="499" t="s">
        <v>118</v>
      </c>
      <c r="C122" s="499" t="s">
        <v>120</v>
      </c>
      <c r="D122" s="499" t="s">
        <v>860</v>
      </c>
      <c r="E122" s="499" t="s">
        <v>134</v>
      </c>
      <c r="F122" s="489">
        <f>'пр.6.1.ведом.22-23 (2)'!G19</f>
        <v>977</v>
      </c>
      <c r="G122" s="489">
        <f>'пр.6.1.ведом.22-23 (2)'!H19</f>
        <v>977</v>
      </c>
    </row>
    <row r="123" spans="1:7" ht="15.75" x14ac:dyDescent="0.25">
      <c r="A123" s="29" t="s">
        <v>135</v>
      </c>
      <c r="B123" s="499" t="s">
        <v>118</v>
      </c>
      <c r="C123" s="499" t="s">
        <v>120</v>
      </c>
      <c r="D123" s="499" t="s">
        <v>860</v>
      </c>
      <c r="E123" s="499" t="s">
        <v>145</v>
      </c>
      <c r="F123" s="489">
        <f>F124</f>
        <v>28</v>
      </c>
      <c r="G123" s="489">
        <f>G124</f>
        <v>28</v>
      </c>
    </row>
    <row r="124" spans="1:7" ht="15.75" x14ac:dyDescent="0.25">
      <c r="A124" s="29" t="s">
        <v>568</v>
      </c>
      <c r="B124" s="499" t="s">
        <v>118</v>
      </c>
      <c r="C124" s="499" t="s">
        <v>120</v>
      </c>
      <c r="D124" s="499" t="s">
        <v>860</v>
      </c>
      <c r="E124" s="499" t="s">
        <v>138</v>
      </c>
      <c r="F124" s="489">
        <f>'пр.6.1.ведом.22-23 (2)'!G21</f>
        <v>28</v>
      </c>
      <c r="G124" s="489">
        <f>'пр.6.1.ведом.22-23 (2)'!H21</f>
        <v>28</v>
      </c>
    </row>
    <row r="125" spans="1:7" ht="47.25" x14ac:dyDescent="0.25">
      <c r="A125" s="496" t="s">
        <v>839</v>
      </c>
      <c r="B125" s="492" t="s">
        <v>118</v>
      </c>
      <c r="C125" s="492" t="s">
        <v>120</v>
      </c>
      <c r="D125" s="492" t="s">
        <v>862</v>
      </c>
      <c r="E125" s="492"/>
      <c r="F125" s="489">
        <f>F126</f>
        <v>466</v>
      </c>
      <c r="G125" s="489">
        <f>G126</f>
        <v>466</v>
      </c>
    </row>
    <row r="126" spans="1:7" ht="94.5" x14ac:dyDescent="0.25">
      <c r="A126" s="496" t="s">
        <v>127</v>
      </c>
      <c r="B126" s="492" t="s">
        <v>118</v>
      </c>
      <c r="C126" s="492" t="s">
        <v>120</v>
      </c>
      <c r="D126" s="492" t="s">
        <v>862</v>
      </c>
      <c r="E126" s="492" t="s">
        <v>128</v>
      </c>
      <c r="F126" s="489">
        <f>F127</f>
        <v>466</v>
      </c>
      <c r="G126" s="489">
        <f>G127</f>
        <v>466</v>
      </c>
    </row>
    <row r="127" spans="1:7" ht="31.5" x14ac:dyDescent="0.25">
      <c r="A127" s="496" t="s">
        <v>129</v>
      </c>
      <c r="B127" s="492" t="s">
        <v>118</v>
      </c>
      <c r="C127" s="492" t="s">
        <v>120</v>
      </c>
      <c r="D127" s="492" t="s">
        <v>862</v>
      </c>
      <c r="E127" s="492" t="s">
        <v>130</v>
      </c>
      <c r="F127" s="489">
        <f>'пр.6.1.ведом.22-23 (2)'!G24+'пр.6.1.ведом.22-23 (2)'!G121</f>
        <v>466</v>
      </c>
      <c r="G127" s="489">
        <f>'пр.6.1.ведом.22-23 (2)'!H24+'пр.6.1.ведом.22-23 (2)'!H121</f>
        <v>466</v>
      </c>
    </row>
    <row r="128" spans="1:7" ht="15.75" hidden="1" customHeight="1" x14ac:dyDescent="0.25">
      <c r="A128" s="494" t="s">
        <v>1147</v>
      </c>
      <c r="B128" s="495" t="s">
        <v>118</v>
      </c>
      <c r="C128" s="495" t="s">
        <v>264</v>
      </c>
      <c r="D128" s="495"/>
      <c r="E128" s="492"/>
      <c r="F128" s="493">
        <f t="shared" ref="F128:G130" si="6">F129</f>
        <v>0</v>
      </c>
      <c r="G128" s="493">
        <f t="shared" si="6"/>
        <v>0</v>
      </c>
    </row>
    <row r="129" spans="1:8" ht="15.75" hidden="1" customHeight="1" x14ac:dyDescent="0.25">
      <c r="A129" s="494" t="s">
        <v>141</v>
      </c>
      <c r="B129" s="495" t="s">
        <v>118</v>
      </c>
      <c r="C129" s="495" t="s">
        <v>264</v>
      </c>
      <c r="D129" s="495" t="s">
        <v>866</v>
      </c>
      <c r="E129" s="492"/>
      <c r="F129" s="493">
        <f t="shared" si="6"/>
        <v>0</v>
      </c>
      <c r="G129" s="493">
        <f t="shared" si="6"/>
        <v>0</v>
      </c>
    </row>
    <row r="130" spans="1:8" ht="31.7" hidden="1" customHeight="1" x14ac:dyDescent="0.25">
      <c r="A130" s="494" t="s">
        <v>870</v>
      </c>
      <c r="B130" s="495" t="s">
        <v>118</v>
      </c>
      <c r="C130" s="495" t="s">
        <v>264</v>
      </c>
      <c r="D130" s="495" t="s">
        <v>865</v>
      </c>
      <c r="E130" s="492"/>
      <c r="F130" s="493">
        <f t="shared" si="6"/>
        <v>0</v>
      </c>
      <c r="G130" s="493">
        <f t="shared" si="6"/>
        <v>0</v>
      </c>
    </row>
    <row r="131" spans="1:8" ht="31.7" hidden="1" customHeight="1" x14ac:dyDescent="0.25">
      <c r="A131" s="45" t="s">
        <v>199</v>
      </c>
      <c r="B131" s="492" t="s">
        <v>118</v>
      </c>
      <c r="C131" s="492" t="s">
        <v>264</v>
      </c>
      <c r="D131" s="492" t="s">
        <v>1146</v>
      </c>
      <c r="E131" s="492"/>
      <c r="F131" s="497">
        <f>F132+F134</f>
        <v>0</v>
      </c>
      <c r="G131" s="497">
        <f>G132+G134</f>
        <v>0</v>
      </c>
    </row>
    <row r="132" spans="1:8" ht="94.7" hidden="1" customHeight="1" x14ac:dyDescent="0.25">
      <c r="A132" s="496" t="s">
        <v>127</v>
      </c>
      <c r="B132" s="492" t="s">
        <v>118</v>
      </c>
      <c r="C132" s="492" t="s">
        <v>264</v>
      </c>
      <c r="D132" s="492" t="s">
        <v>1146</v>
      </c>
      <c r="E132" s="492" t="s">
        <v>128</v>
      </c>
      <c r="F132" s="497">
        <f>F133</f>
        <v>0</v>
      </c>
      <c r="G132" s="497">
        <f>G133</f>
        <v>0</v>
      </c>
    </row>
    <row r="133" spans="1:8" ht="47.25" hidden="1" customHeight="1" x14ac:dyDescent="0.25">
      <c r="A133" s="496" t="s">
        <v>129</v>
      </c>
      <c r="B133" s="492" t="s">
        <v>118</v>
      </c>
      <c r="C133" s="492" t="s">
        <v>264</v>
      </c>
      <c r="D133" s="492" t="s">
        <v>1146</v>
      </c>
      <c r="E133" s="492" t="s">
        <v>130</v>
      </c>
      <c r="F133" s="497">
        <f>'пр.6.1.ведом.22-23 (2)'!G127</f>
        <v>0</v>
      </c>
      <c r="G133" s="497">
        <f>'пр.6.1.ведом.22-23 (2)'!H127</f>
        <v>0</v>
      </c>
    </row>
    <row r="134" spans="1:8" ht="47.25" hidden="1" customHeight="1" x14ac:dyDescent="0.25">
      <c r="A134" s="496" t="s">
        <v>198</v>
      </c>
      <c r="B134" s="492" t="s">
        <v>118</v>
      </c>
      <c r="C134" s="492" t="s">
        <v>264</v>
      </c>
      <c r="D134" s="492" t="s">
        <v>1146</v>
      </c>
      <c r="E134" s="492" t="s">
        <v>132</v>
      </c>
      <c r="F134" s="497">
        <f>F135</f>
        <v>0</v>
      </c>
      <c r="G134" s="497">
        <f>G135</f>
        <v>0</v>
      </c>
    </row>
    <row r="135" spans="1:8" ht="47.25" hidden="1" customHeight="1" x14ac:dyDescent="0.25">
      <c r="A135" s="496" t="s">
        <v>133</v>
      </c>
      <c r="B135" s="492" t="s">
        <v>118</v>
      </c>
      <c r="C135" s="492" t="s">
        <v>264</v>
      </c>
      <c r="D135" s="492" t="s">
        <v>1146</v>
      </c>
      <c r="E135" s="492" t="s">
        <v>134</v>
      </c>
      <c r="F135" s="497">
        <f>'пр.6.1.ведом.22-23 (2)'!G129</f>
        <v>0</v>
      </c>
      <c r="G135" s="497">
        <f>'пр.6.1.ведом.22-23 (2)'!H129</f>
        <v>0</v>
      </c>
    </row>
    <row r="136" spans="1:8" ht="15.75" x14ac:dyDescent="0.25">
      <c r="A136" s="500" t="s">
        <v>139</v>
      </c>
      <c r="B136" s="7" t="s">
        <v>118</v>
      </c>
      <c r="C136" s="7" t="s">
        <v>140</v>
      </c>
      <c r="D136" s="7"/>
      <c r="E136" s="7"/>
      <c r="F136" s="488">
        <f>F137+F168+F182+F199+F208+F213+F218+F177</f>
        <v>52818.200000000004</v>
      </c>
      <c r="G136" s="488">
        <f>G137+G168+G182+G199+G208+G213+G218+G177</f>
        <v>53161.200000000004</v>
      </c>
    </row>
    <row r="137" spans="1:8" ht="15.75" x14ac:dyDescent="0.25">
      <c r="A137" s="494" t="s">
        <v>141</v>
      </c>
      <c r="B137" s="495" t="s">
        <v>118</v>
      </c>
      <c r="C137" s="495" t="s">
        <v>140</v>
      </c>
      <c r="D137" s="495" t="s">
        <v>866</v>
      </c>
      <c r="E137" s="495"/>
      <c r="F137" s="488">
        <f>F138+F149+F159</f>
        <v>52313.200000000004</v>
      </c>
      <c r="G137" s="488">
        <f>G138+G149+G159</f>
        <v>52313.200000000004</v>
      </c>
    </row>
    <row r="138" spans="1:8" ht="15.75" x14ac:dyDescent="0.25">
      <c r="A138" s="494" t="s">
        <v>954</v>
      </c>
      <c r="B138" s="495" t="s">
        <v>118</v>
      </c>
      <c r="C138" s="495" t="s">
        <v>140</v>
      </c>
      <c r="D138" s="495" t="s">
        <v>953</v>
      </c>
      <c r="E138" s="495"/>
      <c r="F138" s="388">
        <f>F142+F139</f>
        <v>41282.100000000006</v>
      </c>
      <c r="G138" s="388">
        <f>G142+G139</f>
        <v>41282.100000000006</v>
      </c>
    </row>
    <row r="139" spans="1:8" ht="47.25" x14ac:dyDescent="0.25">
      <c r="A139" s="496" t="s">
        <v>839</v>
      </c>
      <c r="B139" s="492" t="s">
        <v>118</v>
      </c>
      <c r="C139" s="492" t="s">
        <v>140</v>
      </c>
      <c r="D139" s="492" t="s">
        <v>956</v>
      </c>
      <c r="E139" s="492"/>
      <c r="F139" s="489">
        <f>F140</f>
        <v>1072</v>
      </c>
      <c r="G139" s="489">
        <f>G140</f>
        <v>1072</v>
      </c>
      <c r="H139" s="232">
        <f>F139+F142</f>
        <v>41282.100000000006</v>
      </c>
    </row>
    <row r="140" spans="1:8" ht="94.5" x14ac:dyDescent="0.25">
      <c r="A140" s="496" t="s">
        <v>127</v>
      </c>
      <c r="B140" s="492" t="s">
        <v>118</v>
      </c>
      <c r="C140" s="492" t="s">
        <v>140</v>
      </c>
      <c r="D140" s="492" t="s">
        <v>956</v>
      </c>
      <c r="E140" s="492" t="s">
        <v>128</v>
      </c>
      <c r="F140" s="489">
        <f>F141</f>
        <v>1072</v>
      </c>
      <c r="G140" s="489">
        <f>G141</f>
        <v>1072</v>
      </c>
    </row>
    <row r="141" spans="1:8" ht="31.5" x14ac:dyDescent="0.25">
      <c r="A141" s="496" t="s">
        <v>129</v>
      </c>
      <c r="B141" s="492" t="s">
        <v>118</v>
      </c>
      <c r="C141" s="492" t="s">
        <v>140</v>
      </c>
      <c r="D141" s="492" t="s">
        <v>956</v>
      </c>
      <c r="E141" s="492" t="s">
        <v>209</v>
      </c>
      <c r="F141" s="489">
        <f>'пр.6.1.ведом.22-23 (2)'!G838</f>
        <v>1072</v>
      </c>
      <c r="G141" s="489">
        <f>'пр.6.1.ведом.22-23 (2)'!H838</f>
        <v>1072</v>
      </c>
    </row>
    <row r="142" spans="1:8" ht="31.5" x14ac:dyDescent="0.25">
      <c r="A142" s="496" t="s">
        <v>801</v>
      </c>
      <c r="B142" s="492" t="s">
        <v>118</v>
      </c>
      <c r="C142" s="492" t="s">
        <v>140</v>
      </c>
      <c r="D142" s="492" t="s">
        <v>955</v>
      </c>
      <c r="E142" s="492"/>
      <c r="F142" s="489">
        <f>F143+F145+F147</f>
        <v>40210.100000000006</v>
      </c>
      <c r="G142" s="489">
        <f>G143+G145+G147</f>
        <v>40210.100000000006</v>
      </c>
    </row>
    <row r="143" spans="1:8" ht="94.5" x14ac:dyDescent="0.25">
      <c r="A143" s="496" t="s">
        <v>127</v>
      </c>
      <c r="B143" s="492" t="s">
        <v>118</v>
      </c>
      <c r="C143" s="492" t="s">
        <v>140</v>
      </c>
      <c r="D143" s="492" t="s">
        <v>955</v>
      </c>
      <c r="E143" s="492" t="s">
        <v>128</v>
      </c>
      <c r="F143" s="489">
        <f>F144</f>
        <v>32825.800000000003</v>
      </c>
      <c r="G143" s="489">
        <f>G144</f>
        <v>32825.800000000003</v>
      </c>
    </row>
    <row r="144" spans="1:8" ht="31.5" x14ac:dyDescent="0.25">
      <c r="A144" s="46" t="s">
        <v>342</v>
      </c>
      <c r="B144" s="492" t="s">
        <v>118</v>
      </c>
      <c r="C144" s="492" t="s">
        <v>140</v>
      </c>
      <c r="D144" s="492" t="s">
        <v>955</v>
      </c>
      <c r="E144" s="492" t="s">
        <v>209</v>
      </c>
      <c r="F144" s="489">
        <f>'пр.6.1.ведом.22-23 (2)'!G841</f>
        <v>32825.800000000003</v>
      </c>
      <c r="G144" s="489">
        <f>'пр.6.1.ведом.22-23 (2)'!H841</f>
        <v>32825.800000000003</v>
      </c>
    </row>
    <row r="145" spans="1:8" ht="31.5" x14ac:dyDescent="0.25">
      <c r="A145" s="496" t="s">
        <v>131</v>
      </c>
      <c r="B145" s="492" t="s">
        <v>118</v>
      </c>
      <c r="C145" s="492" t="s">
        <v>140</v>
      </c>
      <c r="D145" s="492" t="s">
        <v>955</v>
      </c>
      <c r="E145" s="492" t="s">
        <v>132</v>
      </c>
      <c r="F145" s="489">
        <f>F146</f>
        <v>6963.3</v>
      </c>
      <c r="G145" s="489">
        <f>G146</f>
        <v>6963.3</v>
      </c>
    </row>
    <row r="146" spans="1:8" ht="47.25" x14ac:dyDescent="0.25">
      <c r="A146" s="496" t="s">
        <v>133</v>
      </c>
      <c r="B146" s="492" t="s">
        <v>118</v>
      </c>
      <c r="C146" s="492" t="s">
        <v>140</v>
      </c>
      <c r="D146" s="492" t="s">
        <v>955</v>
      </c>
      <c r="E146" s="492" t="s">
        <v>134</v>
      </c>
      <c r="F146" s="489">
        <f>'пр.6.1.ведом.22-23 (2)'!G843</f>
        <v>6963.3</v>
      </c>
      <c r="G146" s="489">
        <f>'пр.6.1.ведом.22-23 (2)'!H843</f>
        <v>6963.3</v>
      </c>
    </row>
    <row r="147" spans="1:8" ht="15.75" x14ac:dyDescent="0.25">
      <c r="A147" s="496" t="s">
        <v>135</v>
      </c>
      <c r="B147" s="492" t="s">
        <v>118</v>
      </c>
      <c r="C147" s="492" t="s">
        <v>140</v>
      </c>
      <c r="D147" s="492" t="s">
        <v>955</v>
      </c>
      <c r="E147" s="492" t="s">
        <v>145</v>
      </c>
      <c r="F147" s="489">
        <f>F148</f>
        <v>421</v>
      </c>
      <c r="G147" s="489">
        <f>G148</f>
        <v>421</v>
      </c>
    </row>
    <row r="148" spans="1:8" ht="15.75" x14ac:dyDescent="0.25">
      <c r="A148" s="496" t="s">
        <v>704</v>
      </c>
      <c r="B148" s="492" t="s">
        <v>118</v>
      </c>
      <c r="C148" s="492" t="s">
        <v>140</v>
      </c>
      <c r="D148" s="492" t="s">
        <v>955</v>
      </c>
      <c r="E148" s="492" t="s">
        <v>138</v>
      </c>
      <c r="F148" s="489">
        <f>'пр.6.1.ведом.22-23 (2)'!G845</f>
        <v>421</v>
      </c>
      <c r="G148" s="489">
        <f>'пр.6.1.ведом.22-23 (2)'!H845</f>
        <v>421</v>
      </c>
    </row>
    <row r="149" spans="1:8" ht="31.5" x14ac:dyDescent="0.25">
      <c r="A149" s="494" t="s">
        <v>870</v>
      </c>
      <c r="B149" s="495" t="s">
        <v>118</v>
      </c>
      <c r="C149" s="495" t="s">
        <v>140</v>
      </c>
      <c r="D149" s="495" t="s">
        <v>865</v>
      </c>
      <c r="E149" s="495"/>
      <c r="F149" s="488">
        <f>F150+F156</f>
        <v>5202.1000000000004</v>
      </c>
      <c r="G149" s="488">
        <f>G150+G156</f>
        <v>5202.1000000000004</v>
      </c>
    </row>
    <row r="150" spans="1:8" ht="47.25" x14ac:dyDescent="0.25">
      <c r="A150" s="496" t="s">
        <v>388</v>
      </c>
      <c r="B150" s="492" t="s">
        <v>118</v>
      </c>
      <c r="C150" s="492" t="s">
        <v>140</v>
      </c>
      <c r="D150" s="492" t="s">
        <v>1011</v>
      </c>
      <c r="E150" s="492"/>
      <c r="F150" s="489">
        <f>F151</f>
        <v>5202.1000000000004</v>
      </c>
      <c r="G150" s="489">
        <f>G151</f>
        <v>5202.1000000000004</v>
      </c>
    </row>
    <row r="151" spans="1:8" ht="31.5" x14ac:dyDescent="0.25">
      <c r="A151" s="496" t="s">
        <v>131</v>
      </c>
      <c r="B151" s="492" t="s">
        <v>118</v>
      </c>
      <c r="C151" s="492" t="s">
        <v>140</v>
      </c>
      <c r="D151" s="492" t="s">
        <v>1011</v>
      </c>
      <c r="E151" s="492" t="s">
        <v>132</v>
      </c>
      <c r="F151" s="489">
        <f>F152</f>
        <v>5202.1000000000004</v>
      </c>
      <c r="G151" s="489">
        <f>G152</f>
        <v>5202.1000000000004</v>
      </c>
    </row>
    <row r="152" spans="1:8" ht="47.25" x14ac:dyDescent="0.25">
      <c r="A152" s="496" t="s">
        <v>133</v>
      </c>
      <c r="B152" s="492" t="s">
        <v>118</v>
      </c>
      <c r="C152" s="492" t="s">
        <v>140</v>
      </c>
      <c r="D152" s="492" t="s">
        <v>1011</v>
      </c>
      <c r="E152" s="492" t="s">
        <v>134</v>
      </c>
      <c r="F152" s="489">
        <f>'пр.6.1.ведом.22-23 (2)'!G512</f>
        <v>5202.1000000000004</v>
      </c>
      <c r="G152" s="489">
        <f>'пр.6.1.ведом.22-23 (2)'!H512</f>
        <v>5202.1000000000004</v>
      </c>
    </row>
    <row r="153" spans="1:8" ht="47.25" hidden="1" x14ac:dyDescent="0.25">
      <c r="A153" s="496" t="s">
        <v>931</v>
      </c>
      <c r="B153" s="492" t="s">
        <v>118</v>
      </c>
      <c r="C153" s="492" t="s">
        <v>140</v>
      </c>
      <c r="D153" s="492" t="s">
        <v>1012</v>
      </c>
      <c r="E153" s="492"/>
      <c r="F153" s="489">
        <f>'[1]Пр.4 Рд,пр, ЦС,ВР 21'!F155</f>
        <v>0</v>
      </c>
      <c r="G153" s="489">
        <f t="shared" ref="G153:G202" si="7">F153</f>
        <v>0</v>
      </c>
    </row>
    <row r="154" spans="1:8" ht="31.5" hidden="1" x14ac:dyDescent="0.25">
      <c r="A154" s="496" t="s">
        <v>131</v>
      </c>
      <c r="B154" s="492" t="s">
        <v>118</v>
      </c>
      <c r="C154" s="492" t="s">
        <v>140</v>
      </c>
      <c r="D154" s="492" t="s">
        <v>1012</v>
      </c>
      <c r="E154" s="492" t="s">
        <v>132</v>
      </c>
      <c r="F154" s="489">
        <f>'[1]Пр.4 Рд,пр, ЦС,ВР 21'!F156</f>
        <v>0</v>
      </c>
      <c r="G154" s="489">
        <f t="shared" si="7"/>
        <v>0</v>
      </c>
    </row>
    <row r="155" spans="1:8" ht="47.25" hidden="1" x14ac:dyDescent="0.25">
      <c r="A155" s="496" t="s">
        <v>133</v>
      </c>
      <c r="B155" s="492" t="s">
        <v>118</v>
      </c>
      <c r="C155" s="492" t="s">
        <v>140</v>
      </c>
      <c r="D155" s="492" t="s">
        <v>1012</v>
      </c>
      <c r="E155" s="492" t="s">
        <v>134</v>
      </c>
      <c r="F155" s="489">
        <f>'[1]Пр.4 Рд,пр, ЦС,ВР 21'!F157</f>
        <v>0</v>
      </c>
      <c r="G155" s="489">
        <f t="shared" si="7"/>
        <v>0</v>
      </c>
    </row>
    <row r="156" spans="1:8" ht="15.75" hidden="1" x14ac:dyDescent="0.25">
      <c r="A156" s="496" t="s">
        <v>1137</v>
      </c>
      <c r="B156" s="492" t="s">
        <v>118</v>
      </c>
      <c r="C156" s="492" t="s">
        <v>140</v>
      </c>
      <c r="D156" s="492" t="s">
        <v>1138</v>
      </c>
      <c r="E156" s="492"/>
      <c r="F156" s="497">
        <f>F157</f>
        <v>0</v>
      </c>
      <c r="G156" s="497">
        <f>G157</f>
        <v>0</v>
      </c>
    </row>
    <row r="157" spans="1:8" ht="15.75" hidden="1" x14ac:dyDescent="0.25">
      <c r="A157" s="496" t="s">
        <v>135</v>
      </c>
      <c r="B157" s="492" t="s">
        <v>118</v>
      </c>
      <c r="C157" s="492" t="s">
        <v>140</v>
      </c>
      <c r="D157" s="492" t="s">
        <v>1138</v>
      </c>
      <c r="E157" s="492" t="s">
        <v>145</v>
      </c>
      <c r="F157" s="497">
        <f>F158</f>
        <v>0</v>
      </c>
      <c r="G157" s="497">
        <f>G158</f>
        <v>0</v>
      </c>
    </row>
    <row r="158" spans="1:8" ht="15.75" hidden="1" x14ac:dyDescent="0.25">
      <c r="A158" s="496" t="s">
        <v>1137</v>
      </c>
      <c r="B158" s="492" t="s">
        <v>118</v>
      </c>
      <c r="C158" s="492" t="s">
        <v>140</v>
      </c>
      <c r="D158" s="492" t="s">
        <v>1138</v>
      </c>
      <c r="E158" s="492" t="s">
        <v>1139</v>
      </c>
      <c r="F158" s="497">
        <f>'пр.6.1.ведом.22-23 (2)'!G30</f>
        <v>0</v>
      </c>
      <c r="G158" s="497">
        <f>'пр.6.1.ведом.22-23 (2)'!H30</f>
        <v>0</v>
      </c>
    </row>
    <row r="159" spans="1:8" ht="31.5" x14ac:dyDescent="0.25">
      <c r="A159" s="494" t="s">
        <v>922</v>
      </c>
      <c r="B159" s="495" t="s">
        <v>118</v>
      </c>
      <c r="C159" s="495" t="s">
        <v>140</v>
      </c>
      <c r="D159" s="495" t="s">
        <v>867</v>
      </c>
      <c r="E159" s="495"/>
      <c r="F159" s="488">
        <f>F160+F165</f>
        <v>5829</v>
      </c>
      <c r="G159" s="488">
        <f>G160+G165</f>
        <v>5829</v>
      </c>
    </row>
    <row r="160" spans="1:8" ht="31.5" x14ac:dyDescent="0.25">
      <c r="A160" s="496" t="s">
        <v>928</v>
      </c>
      <c r="B160" s="492" t="s">
        <v>118</v>
      </c>
      <c r="C160" s="492" t="s">
        <v>140</v>
      </c>
      <c r="D160" s="492" t="s">
        <v>868</v>
      </c>
      <c r="E160" s="492"/>
      <c r="F160" s="489">
        <f>F161+F163</f>
        <v>5701</v>
      </c>
      <c r="G160" s="489">
        <f>G161+G163</f>
        <v>5701</v>
      </c>
      <c r="H160" s="232">
        <f>F160+F165</f>
        <v>5829</v>
      </c>
    </row>
    <row r="161" spans="1:7" ht="94.5" x14ac:dyDescent="0.25">
      <c r="A161" s="496" t="s">
        <v>127</v>
      </c>
      <c r="B161" s="492" t="s">
        <v>118</v>
      </c>
      <c r="C161" s="492" t="s">
        <v>140</v>
      </c>
      <c r="D161" s="492" t="s">
        <v>868</v>
      </c>
      <c r="E161" s="492" t="s">
        <v>128</v>
      </c>
      <c r="F161" s="489">
        <f>F162</f>
        <v>4501</v>
      </c>
      <c r="G161" s="489">
        <f>G162</f>
        <v>4501</v>
      </c>
    </row>
    <row r="162" spans="1:7" ht="31.5" x14ac:dyDescent="0.25">
      <c r="A162" s="496" t="s">
        <v>208</v>
      </c>
      <c r="B162" s="492" t="s">
        <v>118</v>
      </c>
      <c r="C162" s="492" t="s">
        <v>140</v>
      </c>
      <c r="D162" s="492" t="s">
        <v>868</v>
      </c>
      <c r="E162" s="492" t="s">
        <v>209</v>
      </c>
      <c r="F162" s="489">
        <f>'пр.6.1.ведом.22-23 (2)'!G135</f>
        <v>4501</v>
      </c>
      <c r="G162" s="489">
        <f>'пр.6.1.ведом.22-23 (2)'!H135</f>
        <v>4501</v>
      </c>
    </row>
    <row r="163" spans="1:7" ht="47.25" x14ac:dyDescent="0.25">
      <c r="A163" s="496" t="s">
        <v>198</v>
      </c>
      <c r="B163" s="492" t="s">
        <v>118</v>
      </c>
      <c r="C163" s="492" t="s">
        <v>140</v>
      </c>
      <c r="D163" s="492" t="s">
        <v>868</v>
      </c>
      <c r="E163" s="492" t="s">
        <v>132</v>
      </c>
      <c r="F163" s="489">
        <f>F164</f>
        <v>1200</v>
      </c>
      <c r="G163" s="489">
        <f>G164</f>
        <v>1200</v>
      </c>
    </row>
    <row r="164" spans="1:7" ht="47.25" x14ac:dyDescent="0.25">
      <c r="A164" s="496" t="s">
        <v>133</v>
      </c>
      <c r="B164" s="492" t="s">
        <v>118</v>
      </c>
      <c r="C164" s="492" t="s">
        <v>140</v>
      </c>
      <c r="D164" s="492" t="s">
        <v>868</v>
      </c>
      <c r="E164" s="492" t="s">
        <v>134</v>
      </c>
      <c r="F164" s="489">
        <f>'пр.6.1.ведом.22-23 (2)'!G137</f>
        <v>1200</v>
      </c>
      <c r="G164" s="489">
        <f>'пр.6.1.ведом.22-23 (2)'!H137</f>
        <v>1200</v>
      </c>
    </row>
    <row r="165" spans="1:7" ht="47.25" x14ac:dyDescent="0.25">
      <c r="A165" s="496" t="s">
        <v>839</v>
      </c>
      <c r="B165" s="492" t="s">
        <v>118</v>
      </c>
      <c r="C165" s="492" t="s">
        <v>140</v>
      </c>
      <c r="D165" s="492" t="s">
        <v>869</v>
      </c>
      <c r="E165" s="492"/>
      <c r="F165" s="489">
        <f>F166</f>
        <v>128</v>
      </c>
      <c r="G165" s="489">
        <f>G166</f>
        <v>128</v>
      </c>
    </row>
    <row r="166" spans="1:7" ht="94.5" x14ac:dyDescent="0.25">
      <c r="A166" s="496" t="s">
        <v>127</v>
      </c>
      <c r="B166" s="492" t="s">
        <v>118</v>
      </c>
      <c r="C166" s="492" t="s">
        <v>140</v>
      </c>
      <c r="D166" s="492" t="s">
        <v>869</v>
      </c>
      <c r="E166" s="492" t="s">
        <v>128</v>
      </c>
      <c r="F166" s="489">
        <f>F167</f>
        <v>128</v>
      </c>
      <c r="G166" s="489">
        <f>G167</f>
        <v>128</v>
      </c>
    </row>
    <row r="167" spans="1:7" ht="31.5" x14ac:dyDescent="0.25">
      <c r="A167" s="496" t="s">
        <v>208</v>
      </c>
      <c r="B167" s="492" t="s">
        <v>118</v>
      </c>
      <c r="C167" s="492" t="s">
        <v>140</v>
      </c>
      <c r="D167" s="492" t="s">
        <v>869</v>
      </c>
      <c r="E167" s="492" t="s">
        <v>209</v>
      </c>
      <c r="F167" s="489">
        <f>'пр.6.1.ведом.22-23 (2)'!G140</f>
        <v>128</v>
      </c>
      <c r="G167" s="489">
        <f>'пр.6.1.ведом.22-23 (2)'!H140</f>
        <v>128</v>
      </c>
    </row>
    <row r="168" spans="1:7" ht="47.25" x14ac:dyDescent="0.25">
      <c r="A168" s="494" t="s">
        <v>1372</v>
      </c>
      <c r="B168" s="7" t="s">
        <v>118</v>
      </c>
      <c r="C168" s="7" t="s">
        <v>140</v>
      </c>
      <c r="D168" s="7" t="s">
        <v>344</v>
      </c>
      <c r="E168" s="7"/>
      <c r="F168" s="488">
        <f t="shared" ref="F168:G172" si="8">F169</f>
        <v>200</v>
      </c>
      <c r="G168" s="488">
        <f t="shared" si="8"/>
        <v>500</v>
      </c>
    </row>
    <row r="169" spans="1:7" ht="94.5" x14ac:dyDescent="0.25">
      <c r="A169" s="500" t="s">
        <v>1379</v>
      </c>
      <c r="B169" s="7" t="s">
        <v>118</v>
      </c>
      <c r="C169" s="7" t="s">
        <v>140</v>
      </c>
      <c r="D169" s="7" t="s">
        <v>359</v>
      </c>
      <c r="E169" s="7"/>
      <c r="F169" s="488">
        <f t="shared" si="8"/>
        <v>200</v>
      </c>
      <c r="G169" s="488">
        <f t="shared" si="8"/>
        <v>500</v>
      </c>
    </row>
    <row r="170" spans="1:7" ht="63" x14ac:dyDescent="0.25">
      <c r="A170" s="250" t="s">
        <v>1044</v>
      </c>
      <c r="B170" s="7" t="s">
        <v>118</v>
      </c>
      <c r="C170" s="7" t="s">
        <v>140</v>
      </c>
      <c r="D170" s="7" t="s">
        <v>909</v>
      </c>
      <c r="E170" s="7"/>
      <c r="F170" s="488">
        <f t="shared" si="8"/>
        <v>200</v>
      </c>
      <c r="G170" s="488">
        <f t="shared" si="8"/>
        <v>500</v>
      </c>
    </row>
    <row r="171" spans="1:7" ht="31.5" x14ac:dyDescent="0.25">
      <c r="A171" s="98" t="s">
        <v>1095</v>
      </c>
      <c r="B171" s="499" t="s">
        <v>118</v>
      </c>
      <c r="C171" s="499" t="s">
        <v>140</v>
      </c>
      <c r="D171" s="499" t="s">
        <v>1198</v>
      </c>
      <c r="E171" s="499"/>
      <c r="F171" s="489">
        <f t="shared" si="8"/>
        <v>200</v>
      </c>
      <c r="G171" s="489">
        <f t="shared" si="8"/>
        <v>500</v>
      </c>
    </row>
    <row r="172" spans="1:7" ht="31.5" x14ac:dyDescent="0.25">
      <c r="A172" s="29" t="s">
        <v>131</v>
      </c>
      <c r="B172" s="499" t="s">
        <v>118</v>
      </c>
      <c r="C172" s="499" t="s">
        <v>140</v>
      </c>
      <c r="D172" s="499" t="s">
        <v>1198</v>
      </c>
      <c r="E172" s="499" t="s">
        <v>132</v>
      </c>
      <c r="F172" s="489">
        <f t="shared" si="8"/>
        <v>200</v>
      </c>
      <c r="G172" s="489">
        <f t="shared" si="8"/>
        <v>500</v>
      </c>
    </row>
    <row r="173" spans="1:7" ht="47.25" x14ac:dyDescent="0.25">
      <c r="A173" s="29" t="s">
        <v>133</v>
      </c>
      <c r="B173" s="499" t="s">
        <v>118</v>
      </c>
      <c r="C173" s="499" t="s">
        <v>140</v>
      </c>
      <c r="D173" s="499" t="s">
        <v>1198</v>
      </c>
      <c r="E173" s="499" t="s">
        <v>134</v>
      </c>
      <c r="F173" s="489">
        <f>'пр.6.1.ведом.22-23 (2)'!G250</f>
        <v>200</v>
      </c>
      <c r="G173" s="489">
        <f>'пр.6.1.ведом.22-23 (2)'!H250</f>
        <v>500</v>
      </c>
    </row>
    <row r="174" spans="1:7" ht="47.25" hidden="1" x14ac:dyDescent="0.25">
      <c r="A174" s="35" t="s">
        <v>886</v>
      </c>
      <c r="B174" s="492" t="s">
        <v>118</v>
      </c>
      <c r="C174" s="492" t="s">
        <v>140</v>
      </c>
      <c r="D174" s="492" t="s">
        <v>1297</v>
      </c>
      <c r="E174" s="495"/>
      <c r="F174" s="489" t="e">
        <f>'[1]Пр.4 Рд,пр, ЦС,ВР 21'!#REF!</f>
        <v>#REF!</v>
      </c>
      <c r="G174" s="489" t="e">
        <f t="shared" si="7"/>
        <v>#REF!</v>
      </c>
    </row>
    <row r="175" spans="1:7" ht="31.5" hidden="1" x14ac:dyDescent="0.25">
      <c r="A175" s="496" t="s">
        <v>131</v>
      </c>
      <c r="B175" s="492" t="s">
        <v>118</v>
      </c>
      <c r="C175" s="492" t="s">
        <v>140</v>
      </c>
      <c r="D175" s="492" t="s">
        <v>1297</v>
      </c>
      <c r="E175" s="492" t="s">
        <v>132</v>
      </c>
      <c r="F175" s="489" t="e">
        <f>'[1]Пр.4 Рд,пр, ЦС,ВР 21'!#REF!</f>
        <v>#REF!</v>
      </c>
      <c r="G175" s="489" t="e">
        <f t="shared" si="7"/>
        <v>#REF!</v>
      </c>
    </row>
    <row r="176" spans="1:7" ht="47.25" hidden="1" x14ac:dyDescent="0.25">
      <c r="A176" s="496" t="s">
        <v>133</v>
      </c>
      <c r="B176" s="492" t="s">
        <v>118</v>
      </c>
      <c r="C176" s="492" t="s">
        <v>140</v>
      </c>
      <c r="D176" s="492" t="s">
        <v>1297</v>
      </c>
      <c r="E176" s="492" t="s">
        <v>134</v>
      </c>
      <c r="F176" s="489" t="e">
        <f>'[1]Пр.4 Рд,пр, ЦС,ВР 21'!#REF!</f>
        <v>#REF!</v>
      </c>
      <c r="G176" s="489" t="e">
        <f t="shared" si="7"/>
        <v>#REF!</v>
      </c>
    </row>
    <row r="177" spans="1:7" ht="63" x14ac:dyDescent="0.25">
      <c r="A177" s="34" t="s">
        <v>1220</v>
      </c>
      <c r="B177" s="495" t="s">
        <v>118</v>
      </c>
      <c r="C177" s="495" t="s">
        <v>140</v>
      </c>
      <c r="D177" s="495" t="s">
        <v>324</v>
      </c>
      <c r="E177" s="495"/>
      <c r="F177" s="493">
        <f>F179</f>
        <v>12</v>
      </c>
      <c r="G177" s="493">
        <f>G179</f>
        <v>40</v>
      </c>
    </row>
    <row r="178" spans="1:7" ht="63" x14ac:dyDescent="0.25">
      <c r="A178" s="34" t="s">
        <v>1025</v>
      </c>
      <c r="B178" s="495" t="s">
        <v>118</v>
      </c>
      <c r="C178" s="495" t="s">
        <v>140</v>
      </c>
      <c r="D178" s="495" t="s">
        <v>934</v>
      </c>
      <c r="E178" s="495"/>
      <c r="F178" s="493">
        <f>F181</f>
        <v>12</v>
      </c>
      <c r="G178" s="493">
        <f>G181</f>
        <v>40</v>
      </c>
    </row>
    <row r="179" spans="1:7" ht="47.25" x14ac:dyDescent="0.25">
      <c r="A179" s="31" t="s">
        <v>1080</v>
      </c>
      <c r="B179" s="492" t="s">
        <v>118</v>
      </c>
      <c r="C179" s="492" t="s">
        <v>140</v>
      </c>
      <c r="D179" s="492" t="s">
        <v>1026</v>
      </c>
      <c r="E179" s="492"/>
      <c r="F179" s="497">
        <f>F180</f>
        <v>12</v>
      </c>
      <c r="G179" s="497">
        <f>G180</f>
        <v>40</v>
      </c>
    </row>
    <row r="180" spans="1:7" ht="31.5" x14ac:dyDescent="0.25">
      <c r="A180" s="496" t="s">
        <v>131</v>
      </c>
      <c r="B180" s="492" t="s">
        <v>118</v>
      </c>
      <c r="C180" s="492" t="s">
        <v>140</v>
      </c>
      <c r="D180" s="492" t="s">
        <v>1026</v>
      </c>
      <c r="E180" s="492" t="s">
        <v>132</v>
      </c>
      <c r="F180" s="497">
        <f>F181</f>
        <v>12</v>
      </c>
      <c r="G180" s="497">
        <f>G181</f>
        <v>40</v>
      </c>
    </row>
    <row r="181" spans="1:7" ht="47.25" x14ac:dyDescent="0.25">
      <c r="A181" s="496" t="s">
        <v>133</v>
      </c>
      <c r="B181" s="492" t="s">
        <v>118</v>
      </c>
      <c r="C181" s="492" t="s">
        <v>140</v>
      </c>
      <c r="D181" s="492" t="s">
        <v>1026</v>
      </c>
      <c r="E181" s="492" t="s">
        <v>134</v>
      </c>
      <c r="F181" s="497">
        <f>'пр.6.1.ведом.22-23 (2)'!G145</f>
        <v>12</v>
      </c>
      <c r="G181" s="497">
        <f>'пр.6.1.ведом.22-23 (2)'!H145</f>
        <v>40</v>
      </c>
    </row>
    <row r="182" spans="1:7" ht="47.25" x14ac:dyDescent="0.25">
      <c r="A182" s="494" t="s">
        <v>1355</v>
      </c>
      <c r="B182" s="495" t="s">
        <v>118</v>
      </c>
      <c r="C182" s="495" t="s">
        <v>140</v>
      </c>
      <c r="D182" s="495" t="s">
        <v>335</v>
      </c>
      <c r="E182" s="495"/>
      <c r="F182" s="59">
        <f>F183</f>
        <v>120</v>
      </c>
      <c r="G182" s="59">
        <f>G183</f>
        <v>120</v>
      </c>
    </row>
    <row r="183" spans="1:7" ht="45" customHeight="1" x14ac:dyDescent="0.25">
      <c r="A183" s="494" t="s">
        <v>1049</v>
      </c>
      <c r="B183" s="495" t="s">
        <v>118</v>
      </c>
      <c r="C183" s="495" t="s">
        <v>140</v>
      </c>
      <c r="D183" s="495" t="s">
        <v>1050</v>
      </c>
      <c r="E183" s="495"/>
      <c r="F183" s="59">
        <f>F184+F187+F190+F193+F196</f>
        <v>120</v>
      </c>
      <c r="G183" s="59">
        <f>G184+G187+G190+G193+G196</f>
        <v>120</v>
      </c>
    </row>
    <row r="184" spans="1:7" ht="31.5" x14ac:dyDescent="0.25">
      <c r="A184" s="97" t="s">
        <v>336</v>
      </c>
      <c r="B184" s="492" t="s">
        <v>118</v>
      </c>
      <c r="C184" s="492" t="s">
        <v>140</v>
      </c>
      <c r="D184" s="492" t="s">
        <v>1051</v>
      </c>
      <c r="E184" s="492"/>
      <c r="F184" s="489">
        <f>F185</f>
        <v>100</v>
      </c>
      <c r="G184" s="489">
        <f>G185</f>
        <v>100</v>
      </c>
    </row>
    <row r="185" spans="1:7" ht="31.5" x14ac:dyDescent="0.25">
      <c r="A185" s="496" t="s">
        <v>131</v>
      </c>
      <c r="B185" s="492" t="s">
        <v>118</v>
      </c>
      <c r="C185" s="492" t="s">
        <v>140</v>
      </c>
      <c r="D185" s="492" t="s">
        <v>1051</v>
      </c>
      <c r="E185" s="492" t="s">
        <v>132</v>
      </c>
      <c r="F185" s="489">
        <f>F186</f>
        <v>100</v>
      </c>
      <c r="G185" s="489">
        <f>G186</f>
        <v>100</v>
      </c>
    </row>
    <row r="186" spans="1:7" ht="47.25" x14ac:dyDescent="0.25">
      <c r="A186" s="496" t="s">
        <v>133</v>
      </c>
      <c r="B186" s="492" t="s">
        <v>118</v>
      </c>
      <c r="C186" s="492" t="s">
        <v>140</v>
      </c>
      <c r="D186" s="492" t="s">
        <v>1051</v>
      </c>
      <c r="E186" s="492" t="s">
        <v>134</v>
      </c>
      <c r="F186" s="489">
        <f>'пр.6.1.ведом.22-23 (2)'!G763+'пр.6.1.ведом.22-23 (2)'!G544+'пр.6.1.ведом.22-23 (2)'!G255</f>
        <v>100</v>
      </c>
      <c r="G186" s="489">
        <f>'пр.6.1.ведом.22-23 (2)'!H763+'пр.6.1.ведом.22-23 (2)'!H544+'пр.6.1.ведом.22-23 (2)'!H255</f>
        <v>100</v>
      </c>
    </row>
    <row r="187" spans="1:7" ht="31.5" x14ac:dyDescent="0.25">
      <c r="A187" s="496" t="s">
        <v>338</v>
      </c>
      <c r="B187" s="492" t="s">
        <v>118</v>
      </c>
      <c r="C187" s="492" t="s">
        <v>140</v>
      </c>
      <c r="D187" s="492" t="s">
        <v>1052</v>
      </c>
      <c r="E187" s="492"/>
      <c r="F187" s="489">
        <f>F188</f>
        <v>20</v>
      </c>
      <c r="G187" s="489">
        <f>G188</f>
        <v>20</v>
      </c>
    </row>
    <row r="188" spans="1:7" ht="31.5" x14ac:dyDescent="0.25">
      <c r="A188" s="496" t="s">
        <v>131</v>
      </c>
      <c r="B188" s="492" t="s">
        <v>118</v>
      </c>
      <c r="C188" s="492" t="s">
        <v>140</v>
      </c>
      <c r="D188" s="492" t="s">
        <v>1052</v>
      </c>
      <c r="E188" s="492" t="s">
        <v>132</v>
      </c>
      <c r="F188" s="489">
        <f>F189</f>
        <v>20</v>
      </c>
      <c r="G188" s="489">
        <f>G189</f>
        <v>20</v>
      </c>
    </row>
    <row r="189" spans="1:7" ht="47.25" x14ac:dyDescent="0.25">
      <c r="A189" s="496" t="s">
        <v>133</v>
      </c>
      <c r="B189" s="492" t="s">
        <v>118</v>
      </c>
      <c r="C189" s="492" t="s">
        <v>140</v>
      </c>
      <c r="D189" s="492" t="s">
        <v>1052</v>
      </c>
      <c r="E189" s="492" t="s">
        <v>134</v>
      </c>
      <c r="F189" s="489">
        <f>'пр.6.1.ведом.22-23 (2)'!G264</f>
        <v>20</v>
      </c>
      <c r="G189" s="489">
        <f>'пр.6.1.ведом.22-23 (2)'!H264</f>
        <v>20</v>
      </c>
    </row>
    <row r="190" spans="1:7" ht="63" hidden="1" x14ac:dyDescent="0.25">
      <c r="A190" s="31" t="s">
        <v>771</v>
      </c>
      <c r="B190" s="492" t="s">
        <v>118</v>
      </c>
      <c r="C190" s="492" t="s">
        <v>140</v>
      </c>
      <c r="D190" s="492" t="s">
        <v>1053</v>
      </c>
      <c r="E190" s="492"/>
      <c r="F190" s="489">
        <f>F191</f>
        <v>0</v>
      </c>
      <c r="G190" s="489">
        <f>G191</f>
        <v>0</v>
      </c>
    </row>
    <row r="191" spans="1:7" ht="31.5" hidden="1" x14ac:dyDescent="0.25">
      <c r="A191" s="496" t="s">
        <v>131</v>
      </c>
      <c r="B191" s="492" t="s">
        <v>118</v>
      </c>
      <c r="C191" s="492" t="s">
        <v>140</v>
      </c>
      <c r="D191" s="492" t="s">
        <v>1053</v>
      </c>
      <c r="E191" s="492" t="s">
        <v>132</v>
      </c>
      <c r="F191" s="489">
        <f>F192</f>
        <v>0</v>
      </c>
      <c r="G191" s="489">
        <f>G192</f>
        <v>0</v>
      </c>
    </row>
    <row r="192" spans="1:7" ht="47.25" hidden="1" x14ac:dyDescent="0.25">
      <c r="A192" s="496" t="s">
        <v>133</v>
      </c>
      <c r="B192" s="492" t="s">
        <v>118</v>
      </c>
      <c r="C192" s="492" t="s">
        <v>140</v>
      </c>
      <c r="D192" s="492" t="s">
        <v>1053</v>
      </c>
      <c r="E192" s="492" t="s">
        <v>134</v>
      </c>
      <c r="F192" s="489">
        <f>'пр.6.1.ведом.22-23 (2)'!G258</f>
        <v>0</v>
      </c>
      <c r="G192" s="489">
        <f>'пр.6.1.ведом.22-23 (2)'!H258</f>
        <v>0</v>
      </c>
    </row>
    <row r="193" spans="1:7" ht="31.5" hidden="1" x14ac:dyDescent="0.25">
      <c r="A193" s="496" t="s">
        <v>994</v>
      </c>
      <c r="B193" s="492" t="s">
        <v>118</v>
      </c>
      <c r="C193" s="492" t="s">
        <v>140</v>
      </c>
      <c r="D193" s="492" t="s">
        <v>1054</v>
      </c>
      <c r="E193" s="492"/>
      <c r="F193" s="489">
        <f>F194</f>
        <v>0</v>
      </c>
      <c r="G193" s="489">
        <f>G194</f>
        <v>0</v>
      </c>
    </row>
    <row r="194" spans="1:7" ht="31.5" hidden="1" x14ac:dyDescent="0.25">
      <c r="A194" s="496" t="s">
        <v>131</v>
      </c>
      <c r="B194" s="492" t="s">
        <v>118</v>
      </c>
      <c r="C194" s="492" t="s">
        <v>140</v>
      </c>
      <c r="D194" s="492" t="s">
        <v>1054</v>
      </c>
      <c r="E194" s="492" t="s">
        <v>132</v>
      </c>
      <c r="F194" s="489">
        <f>F195</f>
        <v>0</v>
      </c>
      <c r="G194" s="489">
        <f>G195</f>
        <v>0</v>
      </c>
    </row>
    <row r="195" spans="1:7" ht="47.25" hidden="1" x14ac:dyDescent="0.25">
      <c r="A195" s="496" t="s">
        <v>133</v>
      </c>
      <c r="B195" s="492" t="s">
        <v>118</v>
      </c>
      <c r="C195" s="492" t="s">
        <v>140</v>
      </c>
      <c r="D195" s="492" t="s">
        <v>1054</v>
      </c>
      <c r="E195" s="492" t="s">
        <v>134</v>
      </c>
      <c r="F195" s="489">
        <f>'пр.6.1.ведом.22-23 (2)'!G261</f>
        <v>0</v>
      </c>
      <c r="G195" s="489">
        <f>'пр.6.1.ведом.22-23 (2)'!H261</f>
        <v>0</v>
      </c>
    </row>
    <row r="196" spans="1:7" ht="31.5" hidden="1" x14ac:dyDescent="0.25">
      <c r="A196" s="31" t="s">
        <v>772</v>
      </c>
      <c r="B196" s="492" t="s">
        <v>118</v>
      </c>
      <c r="C196" s="492" t="s">
        <v>140</v>
      </c>
      <c r="D196" s="492" t="s">
        <v>1055</v>
      </c>
      <c r="E196" s="492"/>
      <c r="F196" s="489">
        <f>F197</f>
        <v>0</v>
      </c>
      <c r="G196" s="489">
        <f>G197</f>
        <v>0</v>
      </c>
    </row>
    <row r="197" spans="1:7" ht="31.5" hidden="1" x14ac:dyDescent="0.25">
      <c r="A197" s="496" t="s">
        <v>131</v>
      </c>
      <c r="B197" s="492" t="s">
        <v>118</v>
      </c>
      <c r="C197" s="492" t="s">
        <v>140</v>
      </c>
      <c r="D197" s="492" t="s">
        <v>1055</v>
      </c>
      <c r="E197" s="492" t="s">
        <v>132</v>
      </c>
      <c r="F197" s="489">
        <f>F198</f>
        <v>0</v>
      </c>
      <c r="G197" s="489">
        <f>G198</f>
        <v>0</v>
      </c>
    </row>
    <row r="198" spans="1:7" ht="47.25" hidden="1" x14ac:dyDescent="0.25">
      <c r="A198" s="496" t="s">
        <v>133</v>
      </c>
      <c r="B198" s="492" t="s">
        <v>118</v>
      </c>
      <c r="C198" s="492" t="s">
        <v>140</v>
      </c>
      <c r="D198" s="492" t="s">
        <v>1055</v>
      </c>
      <c r="E198" s="492" t="s">
        <v>134</v>
      </c>
      <c r="F198" s="489">
        <f>'пр.6.1.ведом.22-23 (2)'!G267</f>
        <v>0</v>
      </c>
      <c r="G198" s="489">
        <f>'пр.6.1.ведом.22-23 (2)'!H267</f>
        <v>0</v>
      </c>
    </row>
    <row r="199" spans="1:7" ht="57.2" customHeight="1" x14ac:dyDescent="0.25">
      <c r="A199" s="500" t="s">
        <v>1352</v>
      </c>
      <c r="B199" s="8" t="s">
        <v>118</v>
      </c>
      <c r="C199" s="8" t="s">
        <v>140</v>
      </c>
      <c r="D199" s="495" t="s">
        <v>705</v>
      </c>
      <c r="E199" s="504"/>
      <c r="F199" s="59">
        <f>F200+F204</f>
        <v>48</v>
      </c>
      <c r="G199" s="59">
        <f>G200+G204</f>
        <v>48</v>
      </c>
    </row>
    <row r="200" spans="1:7" ht="47.25" x14ac:dyDescent="0.25">
      <c r="A200" s="211" t="s">
        <v>846</v>
      </c>
      <c r="B200" s="495" t="s">
        <v>118</v>
      </c>
      <c r="C200" s="495" t="s">
        <v>140</v>
      </c>
      <c r="D200" s="495" t="s">
        <v>852</v>
      </c>
      <c r="E200" s="495"/>
      <c r="F200" s="59">
        <f>F201</f>
        <v>33</v>
      </c>
      <c r="G200" s="59">
        <f>G201</f>
        <v>33</v>
      </c>
    </row>
    <row r="201" spans="1:7" ht="47.25" x14ac:dyDescent="0.25">
      <c r="A201" s="98" t="s">
        <v>776</v>
      </c>
      <c r="B201" s="492" t="s">
        <v>118</v>
      </c>
      <c r="C201" s="492" t="s">
        <v>140</v>
      </c>
      <c r="D201" s="492" t="s">
        <v>847</v>
      </c>
      <c r="E201" s="492"/>
      <c r="F201" s="489">
        <f>F202</f>
        <v>33</v>
      </c>
      <c r="G201" s="489">
        <f>G202</f>
        <v>33</v>
      </c>
    </row>
    <row r="202" spans="1:7" ht="36.75" customHeight="1" x14ac:dyDescent="0.25">
      <c r="A202" s="496" t="s">
        <v>131</v>
      </c>
      <c r="B202" s="492" t="s">
        <v>118</v>
      </c>
      <c r="C202" s="492" t="s">
        <v>140</v>
      </c>
      <c r="D202" s="492" t="s">
        <v>847</v>
      </c>
      <c r="E202" s="492" t="s">
        <v>132</v>
      </c>
      <c r="F202" s="489">
        <f>F203</f>
        <v>33</v>
      </c>
      <c r="G202" s="489">
        <f t="shared" si="7"/>
        <v>33</v>
      </c>
    </row>
    <row r="203" spans="1:7" ht="47.25" x14ac:dyDescent="0.25">
      <c r="A203" s="496" t="s">
        <v>133</v>
      </c>
      <c r="B203" s="492" t="s">
        <v>118</v>
      </c>
      <c r="C203" s="492" t="s">
        <v>140</v>
      </c>
      <c r="D203" s="492" t="s">
        <v>847</v>
      </c>
      <c r="E203" s="492" t="s">
        <v>134</v>
      </c>
      <c r="F203" s="489">
        <f>'пр.6.1.ведом.22-23 (2)'!G150+'пр.6.1.ведом.22-23 (2)'!G272</f>
        <v>33</v>
      </c>
      <c r="G203" s="489">
        <f>'пр.6.1.ведом.22-23 (2)'!H150+'пр.6.1.ведом.22-23 (2)'!H272</f>
        <v>33</v>
      </c>
    </row>
    <row r="204" spans="1:7" ht="47.25" x14ac:dyDescent="0.25">
      <c r="A204" s="503" t="s">
        <v>1023</v>
      </c>
      <c r="B204" s="495" t="s">
        <v>118</v>
      </c>
      <c r="C204" s="495" t="s">
        <v>140</v>
      </c>
      <c r="D204" s="495" t="s">
        <v>853</v>
      </c>
      <c r="E204" s="504"/>
      <c r="F204" s="59">
        <f t="shared" ref="F204:G206" si="9">F205</f>
        <v>15</v>
      </c>
      <c r="G204" s="59">
        <f t="shared" si="9"/>
        <v>15</v>
      </c>
    </row>
    <row r="205" spans="1:7" ht="31.5" x14ac:dyDescent="0.25">
      <c r="A205" s="98" t="s">
        <v>777</v>
      </c>
      <c r="B205" s="492" t="s">
        <v>118</v>
      </c>
      <c r="C205" s="492" t="s">
        <v>140</v>
      </c>
      <c r="D205" s="492" t="s">
        <v>848</v>
      </c>
      <c r="E205" s="498"/>
      <c r="F205" s="489">
        <f t="shared" si="9"/>
        <v>15</v>
      </c>
      <c r="G205" s="489">
        <f t="shared" si="9"/>
        <v>15</v>
      </c>
    </row>
    <row r="206" spans="1:7" ht="31.5" x14ac:dyDescent="0.25">
      <c r="A206" s="496" t="s">
        <v>131</v>
      </c>
      <c r="B206" s="492" t="s">
        <v>118</v>
      </c>
      <c r="C206" s="492" t="s">
        <v>140</v>
      </c>
      <c r="D206" s="492" t="s">
        <v>848</v>
      </c>
      <c r="E206" s="498" t="s">
        <v>132</v>
      </c>
      <c r="F206" s="489">
        <f t="shared" si="9"/>
        <v>15</v>
      </c>
      <c r="G206" s="489">
        <f t="shared" si="9"/>
        <v>15</v>
      </c>
    </row>
    <row r="207" spans="1:7" ht="47.25" x14ac:dyDescent="0.25">
      <c r="A207" s="496" t="s">
        <v>133</v>
      </c>
      <c r="B207" s="492" t="s">
        <v>118</v>
      </c>
      <c r="C207" s="492" t="s">
        <v>140</v>
      </c>
      <c r="D207" s="492" t="s">
        <v>848</v>
      </c>
      <c r="E207" s="498" t="s">
        <v>134</v>
      </c>
      <c r="F207" s="489">
        <f>'пр.6.1.ведом.22-23 (2)'!G154</f>
        <v>15</v>
      </c>
      <c r="G207" s="489">
        <f>'пр.6.1.ведом.22-23 (2)'!H154</f>
        <v>15</v>
      </c>
    </row>
    <row r="208" spans="1:7" ht="63" hidden="1" x14ac:dyDescent="0.25">
      <c r="A208" s="217" t="s">
        <v>1380</v>
      </c>
      <c r="B208" s="495" t="s">
        <v>118</v>
      </c>
      <c r="C208" s="495" t="s">
        <v>140</v>
      </c>
      <c r="D208" s="495" t="s">
        <v>782</v>
      </c>
      <c r="E208" s="504"/>
      <c r="F208" s="59">
        <f>F210</f>
        <v>0</v>
      </c>
      <c r="G208" s="59">
        <f>G210</f>
        <v>0</v>
      </c>
    </row>
    <row r="209" spans="1:7" ht="31.5" hidden="1" x14ac:dyDescent="0.25">
      <c r="A209" s="494" t="s">
        <v>930</v>
      </c>
      <c r="B209" s="495" t="s">
        <v>118</v>
      </c>
      <c r="C209" s="495" t="s">
        <v>140</v>
      </c>
      <c r="D209" s="495" t="s">
        <v>1020</v>
      </c>
      <c r="E209" s="504"/>
      <c r="F209" s="59">
        <f t="shared" ref="F209:G211" si="10">F210</f>
        <v>0</v>
      </c>
      <c r="G209" s="59">
        <f t="shared" si="10"/>
        <v>0</v>
      </c>
    </row>
    <row r="210" spans="1:7" ht="31.5" hidden="1" x14ac:dyDescent="0.25">
      <c r="A210" s="182" t="s">
        <v>790</v>
      </c>
      <c r="B210" s="492" t="s">
        <v>118</v>
      </c>
      <c r="C210" s="492" t="s">
        <v>140</v>
      </c>
      <c r="D210" s="492" t="s">
        <v>1021</v>
      </c>
      <c r="E210" s="498"/>
      <c r="F210" s="489">
        <f t="shared" si="10"/>
        <v>0</v>
      </c>
      <c r="G210" s="489">
        <f t="shared" si="10"/>
        <v>0</v>
      </c>
    </row>
    <row r="211" spans="1:7" ht="31.5" hidden="1" x14ac:dyDescent="0.25">
      <c r="A211" s="182" t="s">
        <v>131</v>
      </c>
      <c r="B211" s="492" t="s">
        <v>118</v>
      </c>
      <c r="C211" s="492" t="s">
        <v>140</v>
      </c>
      <c r="D211" s="492" t="s">
        <v>1021</v>
      </c>
      <c r="E211" s="498" t="s">
        <v>132</v>
      </c>
      <c r="F211" s="489">
        <f t="shared" si="10"/>
        <v>0</v>
      </c>
      <c r="G211" s="489">
        <f t="shared" si="10"/>
        <v>0</v>
      </c>
    </row>
    <row r="212" spans="1:7" ht="47.25" hidden="1" x14ac:dyDescent="0.25">
      <c r="A212" s="182" t="s">
        <v>133</v>
      </c>
      <c r="B212" s="492" t="s">
        <v>118</v>
      </c>
      <c r="C212" s="492" t="s">
        <v>140</v>
      </c>
      <c r="D212" s="492" t="s">
        <v>1021</v>
      </c>
      <c r="E212" s="498" t="s">
        <v>134</v>
      </c>
      <c r="F212" s="489">
        <f>'пр.6.1.ведом.22-23 (2)'!G520</f>
        <v>0</v>
      </c>
      <c r="G212" s="489">
        <f>'пр.6.1.ведом.22-23 (2)'!H520</f>
        <v>0</v>
      </c>
    </row>
    <row r="213" spans="1:7" ht="78.75" x14ac:dyDescent="0.25">
      <c r="A213" s="500" t="s">
        <v>1342</v>
      </c>
      <c r="B213" s="8" t="s">
        <v>118</v>
      </c>
      <c r="C213" s="8" t="s">
        <v>140</v>
      </c>
      <c r="D213" s="546" t="s">
        <v>817</v>
      </c>
      <c r="E213" s="8"/>
      <c r="F213" s="59">
        <f t="shared" ref="F213:F216" si="11">F214</f>
        <v>45</v>
      </c>
      <c r="G213" s="59">
        <f>G214</f>
        <v>50</v>
      </c>
    </row>
    <row r="214" spans="1:7" ht="47.25" x14ac:dyDescent="0.25">
      <c r="A214" s="213" t="s">
        <v>854</v>
      </c>
      <c r="B214" s="8" t="s">
        <v>118</v>
      </c>
      <c r="C214" s="8" t="s">
        <v>140</v>
      </c>
      <c r="D214" s="194" t="s">
        <v>1075</v>
      </c>
      <c r="E214" s="8"/>
      <c r="F214" s="59">
        <f t="shared" si="11"/>
        <v>45</v>
      </c>
      <c r="G214" s="59">
        <f>G215</f>
        <v>50</v>
      </c>
    </row>
    <row r="215" spans="1:7" ht="31.5" x14ac:dyDescent="0.25">
      <c r="A215" s="97" t="s">
        <v>171</v>
      </c>
      <c r="B215" s="9" t="s">
        <v>118</v>
      </c>
      <c r="C215" s="9" t="s">
        <v>140</v>
      </c>
      <c r="D215" s="5" t="s">
        <v>855</v>
      </c>
      <c r="E215" s="9"/>
      <c r="F215" s="489">
        <f t="shared" si="11"/>
        <v>45</v>
      </c>
      <c r="G215" s="489">
        <f>G216</f>
        <v>50</v>
      </c>
    </row>
    <row r="216" spans="1:7" ht="31.5" x14ac:dyDescent="0.25">
      <c r="A216" s="496" t="s">
        <v>131</v>
      </c>
      <c r="B216" s="9" t="s">
        <v>118</v>
      </c>
      <c r="C216" s="9" t="s">
        <v>140</v>
      </c>
      <c r="D216" s="5" t="s">
        <v>855</v>
      </c>
      <c r="E216" s="9" t="s">
        <v>132</v>
      </c>
      <c r="F216" s="489">
        <f t="shared" si="11"/>
        <v>45</v>
      </c>
      <c r="G216" s="489">
        <f>G217</f>
        <v>50</v>
      </c>
    </row>
    <row r="217" spans="1:7" ht="47.25" x14ac:dyDescent="0.25">
      <c r="A217" s="496" t="s">
        <v>133</v>
      </c>
      <c r="B217" s="9" t="s">
        <v>118</v>
      </c>
      <c r="C217" s="9" t="s">
        <v>140</v>
      </c>
      <c r="D217" s="5" t="s">
        <v>855</v>
      </c>
      <c r="E217" s="9" t="s">
        <v>134</v>
      </c>
      <c r="F217" s="489">
        <f>'пр.6.1.ведом.22-23 (2)'!G159</f>
        <v>45</v>
      </c>
      <c r="G217" s="489">
        <f>'пр.6.1.ведом.22-23 (2)'!H159</f>
        <v>50</v>
      </c>
    </row>
    <row r="218" spans="1:7" ht="62.45" customHeight="1" x14ac:dyDescent="0.25">
      <c r="A218" s="500" t="s">
        <v>1343</v>
      </c>
      <c r="B218" s="8" t="s">
        <v>118</v>
      </c>
      <c r="C218" s="8" t="s">
        <v>140</v>
      </c>
      <c r="D218" s="194" t="s">
        <v>818</v>
      </c>
      <c r="E218" s="8"/>
      <c r="F218" s="488">
        <f>F219</f>
        <v>80</v>
      </c>
      <c r="G218" s="488">
        <f>G219</f>
        <v>90</v>
      </c>
    </row>
    <row r="219" spans="1:7" ht="31.5" x14ac:dyDescent="0.25">
      <c r="A219" s="58" t="s">
        <v>856</v>
      </c>
      <c r="B219" s="8" t="s">
        <v>118</v>
      </c>
      <c r="C219" s="8" t="s">
        <v>140</v>
      </c>
      <c r="D219" s="194" t="s">
        <v>864</v>
      </c>
      <c r="E219" s="8"/>
      <c r="F219" s="488">
        <f t="shared" ref="F219:G219" si="12">F220</f>
        <v>80</v>
      </c>
      <c r="G219" s="488">
        <f t="shared" si="12"/>
        <v>90</v>
      </c>
    </row>
    <row r="220" spans="1:7" ht="31.5" x14ac:dyDescent="0.25">
      <c r="A220" s="45" t="s">
        <v>822</v>
      </c>
      <c r="B220" s="9" t="s">
        <v>118</v>
      </c>
      <c r="C220" s="9" t="s">
        <v>140</v>
      </c>
      <c r="D220" s="5" t="s">
        <v>857</v>
      </c>
      <c r="E220" s="9"/>
      <c r="F220" s="489">
        <f>F221</f>
        <v>80</v>
      </c>
      <c r="G220" s="489">
        <f>G221</f>
        <v>90</v>
      </c>
    </row>
    <row r="221" spans="1:7" ht="31.5" x14ac:dyDescent="0.25">
      <c r="A221" s="496" t="s">
        <v>131</v>
      </c>
      <c r="B221" s="9" t="s">
        <v>118</v>
      </c>
      <c r="C221" s="9" t="s">
        <v>140</v>
      </c>
      <c r="D221" s="5" t="s">
        <v>857</v>
      </c>
      <c r="E221" s="9" t="s">
        <v>132</v>
      </c>
      <c r="F221" s="489">
        <f>F222</f>
        <v>80</v>
      </c>
      <c r="G221" s="489">
        <f>G222</f>
        <v>90</v>
      </c>
    </row>
    <row r="222" spans="1:7" ht="47.25" x14ac:dyDescent="0.25">
      <c r="A222" s="496" t="s">
        <v>133</v>
      </c>
      <c r="B222" s="9" t="s">
        <v>118</v>
      </c>
      <c r="C222" s="9" t="s">
        <v>140</v>
      </c>
      <c r="D222" s="5" t="s">
        <v>857</v>
      </c>
      <c r="E222" s="9" t="s">
        <v>134</v>
      </c>
      <c r="F222" s="489">
        <f>'пр.6.1.ведом.22-23 (2)'!G164</f>
        <v>80</v>
      </c>
      <c r="G222" s="489">
        <f>'пр.6.1.ведом.22-23 (2)'!H164</f>
        <v>90</v>
      </c>
    </row>
    <row r="223" spans="1:7" ht="15.75" hidden="1" x14ac:dyDescent="0.25">
      <c r="A223" s="494" t="s">
        <v>212</v>
      </c>
      <c r="B223" s="495" t="s">
        <v>213</v>
      </c>
      <c r="C223" s="495"/>
      <c r="D223" s="495"/>
      <c r="E223" s="495"/>
      <c r="F223" s="488">
        <f t="shared" ref="F223:G226" si="13">F224</f>
        <v>0</v>
      </c>
      <c r="G223" s="488">
        <f t="shared" si="13"/>
        <v>0</v>
      </c>
    </row>
    <row r="224" spans="1:7" ht="31.5" hidden="1" x14ac:dyDescent="0.25">
      <c r="A224" s="494" t="s">
        <v>218</v>
      </c>
      <c r="B224" s="495" t="s">
        <v>213</v>
      </c>
      <c r="C224" s="495" t="s">
        <v>219</v>
      </c>
      <c r="D224" s="495"/>
      <c r="E224" s="495"/>
      <c r="F224" s="488">
        <f t="shared" si="13"/>
        <v>0</v>
      </c>
      <c r="G224" s="488">
        <f t="shared" si="13"/>
        <v>0</v>
      </c>
    </row>
    <row r="225" spans="1:7" ht="15.75" hidden="1" x14ac:dyDescent="0.25">
      <c r="A225" s="494" t="s">
        <v>141</v>
      </c>
      <c r="B225" s="495" t="s">
        <v>213</v>
      </c>
      <c r="C225" s="495" t="s">
        <v>219</v>
      </c>
      <c r="D225" s="495" t="s">
        <v>866</v>
      </c>
      <c r="E225" s="495"/>
      <c r="F225" s="488">
        <f t="shared" si="13"/>
        <v>0</v>
      </c>
      <c r="G225" s="488">
        <f t="shared" si="13"/>
        <v>0</v>
      </c>
    </row>
    <row r="226" spans="1:7" ht="31.5" hidden="1" x14ac:dyDescent="0.25">
      <c r="A226" s="494" t="s">
        <v>870</v>
      </c>
      <c r="B226" s="495" t="s">
        <v>213</v>
      </c>
      <c r="C226" s="495" t="s">
        <v>219</v>
      </c>
      <c r="D226" s="495" t="s">
        <v>865</v>
      </c>
      <c r="E226" s="495"/>
      <c r="F226" s="488">
        <f t="shared" si="13"/>
        <v>0</v>
      </c>
      <c r="G226" s="488">
        <f t="shared" si="13"/>
        <v>0</v>
      </c>
    </row>
    <row r="227" spans="1:7" ht="16.350000000000001" hidden="1" customHeight="1" x14ac:dyDescent="0.25">
      <c r="A227" s="496" t="s">
        <v>220</v>
      </c>
      <c r="B227" s="492" t="s">
        <v>213</v>
      </c>
      <c r="C227" s="492" t="s">
        <v>219</v>
      </c>
      <c r="D227" s="492" t="s">
        <v>871</v>
      </c>
      <c r="E227" s="492"/>
      <c r="F227" s="489">
        <f>'[1]Пр.4 Рд,пр, ЦС,ВР 21'!F218</f>
        <v>0</v>
      </c>
      <c r="G227" s="489">
        <f t="shared" ref="G227:G282" si="14">F227</f>
        <v>0</v>
      </c>
    </row>
    <row r="228" spans="1:7" ht="47.25" hidden="1" x14ac:dyDescent="0.25">
      <c r="A228" s="496" t="s">
        <v>198</v>
      </c>
      <c r="B228" s="492" t="s">
        <v>213</v>
      </c>
      <c r="C228" s="492" t="s">
        <v>219</v>
      </c>
      <c r="D228" s="492" t="s">
        <v>871</v>
      </c>
      <c r="E228" s="492" t="s">
        <v>132</v>
      </c>
      <c r="F228" s="489">
        <f>'[1]Пр.4 Рд,пр, ЦС,ВР 21'!F219</f>
        <v>0</v>
      </c>
      <c r="G228" s="489">
        <f t="shared" si="14"/>
        <v>0</v>
      </c>
    </row>
    <row r="229" spans="1:7" ht="47.25" hidden="1" x14ac:dyDescent="0.25">
      <c r="A229" s="496" t="s">
        <v>133</v>
      </c>
      <c r="B229" s="492" t="s">
        <v>213</v>
      </c>
      <c r="C229" s="492" t="s">
        <v>219</v>
      </c>
      <c r="D229" s="492" t="s">
        <v>871</v>
      </c>
      <c r="E229" s="492" t="s">
        <v>134</v>
      </c>
      <c r="F229" s="489">
        <f>'[1]Пр.4 Рд,пр, ЦС,ВР 21'!F220</f>
        <v>0</v>
      </c>
      <c r="G229" s="489">
        <f t="shared" si="14"/>
        <v>0</v>
      </c>
    </row>
    <row r="230" spans="1:7" ht="31.5" x14ac:dyDescent="0.25">
      <c r="A230" s="494" t="s">
        <v>222</v>
      </c>
      <c r="B230" s="495" t="s">
        <v>215</v>
      </c>
      <c r="C230" s="495"/>
      <c r="D230" s="495"/>
      <c r="E230" s="495"/>
      <c r="F230" s="488">
        <f t="shared" ref="F230:G231" si="15">F231</f>
        <v>8197.1</v>
      </c>
      <c r="G230" s="488">
        <f t="shared" si="15"/>
        <v>8197.1</v>
      </c>
    </row>
    <row r="231" spans="1:7" ht="63" x14ac:dyDescent="0.25">
      <c r="A231" s="494" t="s">
        <v>1345</v>
      </c>
      <c r="B231" s="495" t="s">
        <v>215</v>
      </c>
      <c r="C231" s="495" t="s">
        <v>244</v>
      </c>
      <c r="D231" s="492"/>
      <c r="E231" s="492"/>
      <c r="F231" s="488">
        <f t="shared" si="15"/>
        <v>8197.1</v>
      </c>
      <c r="G231" s="488">
        <f t="shared" si="15"/>
        <v>8197.1</v>
      </c>
    </row>
    <row r="232" spans="1:7" ht="15.75" x14ac:dyDescent="0.25">
      <c r="A232" s="494" t="s">
        <v>141</v>
      </c>
      <c r="B232" s="495" t="s">
        <v>215</v>
      </c>
      <c r="C232" s="495" t="s">
        <v>244</v>
      </c>
      <c r="D232" s="495" t="s">
        <v>866</v>
      </c>
      <c r="E232" s="495"/>
      <c r="F232" s="488">
        <f>F233+F240</f>
        <v>8197.1</v>
      </c>
      <c r="G232" s="488">
        <f>G233+G240</f>
        <v>8197.1</v>
      </c>
    </row>
    <row r="233" spans="1:7" ht="31.5" x14ac:dyDescent="0.25">
      <c r="A233" s="494" t="s">
        <v>870</v>
      </c>
      <c r="B233" s="495" t="s">
        <v>215</v>
      </c>
      <c r="C233" s="495" t="s">
        <v>244</v>
      </c>
      <c r="D233" s="495" t="s">
        <v>865</v>
      </c>
      <c r="E233" s="495"/>
      <c r="F233" s="488">
        <f>F234+F237</f>
        <v>2089</v>
      </c>
      <c r="G233" s="488">
        <f>G234+G237</f>
        <v>2089</v>
      </c>
    </row>
    <row r="234" spans="1:7" ht="47.25" x14ac:dyDescent="0.25">
      <c r="A234" s="496" t="s">
        <v>224</v>
      </c>
      <c r="B234" s="492" t="s">
        <v>215</v>
      </c>
      <c r="C234" s="492" t="s">
        <v>244</v>
      </c>
      <c r="D234" s="492" t="s">
        <v>875</v>
      </c>
      <c r="E234" s="492"/>
      <c r="F234" s="489">
        <f>F235</f>
        <v>1785</v>
      </c>
      <c r="G234" s="489">
        <f>G235</f>
        <v>1785</v>
      </c>
    </row>
    <row r="235" spans="1:7" ht="35.450000000000003" customHeight="1" x14ac:dyDescent="0.25">
      <c r="A235" s="496" t="s">
        <v>198</v>
      </c>
      <c r="B235" s="492" t="s">
        <v>215</v>
      </c>
      <c r="C235" s="492" t="s">
        <v>244</v>
      </c>
      <c r="D235" s="492" t="s">
        <v>875</v>
      </c>
      <c r="E235" s="492" t="s">
        <v>132</v>
      </c>
      <c r="F235" s="489">
        <f>F236</f>
        <v>1785</v>
      </c>
      <c r="G235" s="489">
        <f>G236</f>
        <v>1785</v>
      </c>
    </row>
    <row r="236" spans="1:7" ht="47.25" x14ac:dyDescent="0.25">
      <c r="A236" s="496" t="s">
        <v>133</v>
      </c>
      <c r="B236" s="492" t="s">
        <v>215</v>
      </c>
      <c r="C236" s="492" t="s">
        <v>244</v>
      </c>
      <c r="D236" s="492" t="s">
        <v>875</v>
      </c>
      <c r="E236" s="492" t="s">
        <v>134</v>
      </c>
      <c r="F236" s="489">
        <f>'пр.6.1.ведом.22-23 (2)'!G178</f>
        <v>1785</v>
      </c>
      <c r="G236" s="489">
        <f>'пр.6.1.ведом.22-23 (2)'!H178</f>
        <v>1785</v>
      </c>
    </row>
    <row r="237" spans="1:7" ht="15.75" x14ac:dyDescent="0.25">
      <c r="A237" s="496" t="s">
        <v>230</v>
      </c>
      <c r="B237" s="492" t="s">
        <v>215</v>
      </c>
      <c r="C237" s="492" t="s">
        <v>244</v>
      </c>
      <c r="D237" s="492" t="s">
        <v>876</v>
      </c>
      <c r="E237" s="492"/>
      <c r="F237" s="489">
        <f>F238</f>
        <v>304</v>
      </c>
      <c r="G237" s="489">
        <f>G238</f>
        <v>304</v>
      </c>
    </row>
    <row r="238" spans="1:7" ht="47.25" x14ac:dyDescent="0.25">
      <c r="A238" s="496" t="s">
        <v>198</v>
      </c>
      <c r="B238" s="492" t="s">
        <v>215</v>
      </c>
      <c r="C238" s="492" t="s">
        <v>244</v>
      </c>
      <c r="D238" s="492" t="s">
        <v>876</v>
      </c>
      <c r="E238" s="492" t="s">
        <v>132</v>
      </c>
      <c r="F238" s="489">
        <f>F239</f>
        <v>304</v>
      </c>
      <c r="G238" s="489">
        <f>G239</f>
        <v>304</v>
      </c>
    </row>
    <row r="239" spans="1:7" ht="47.25" x14ac:dyDescent="0.25">
      <c r="A239" s="496" t="s">
        <v>133</v>
      </c>
      <c r="B239" s="492" t="s">
        <v>215</v>
      </c>
      <c r="C239" s="492" t="s">
        <v>244</v>
      </c>
      <c r="D239" s="492" t="s">
        <v>876</v>
      </c>
      <c r="E239" s="492" t="s">
        <v>134</v>
      </c>
      <c r="F239" s="489">
        <f>'пр.6.1.ведом.22-23 (2)'!G181+'пр.6.1.ведом.22-23 (2)'!G852</f>
        <v>304</v>
      </c>
      <c r="G239" s="489">
        <f>'пр.6.1.ведом.22-23 (2)'!H181+'пр.6.1.ведом.22-23 (2)'!H852</f>
        <v>304</v>
      </c>
    </row>
    <row r="240" spans="1:7" ht="47.25" x14ac:dyDescent="0.25">
      <c r="A240" s="494" t="s">
        <v>923</v>
      </c>
      <c r="B240" s="495" t="s">
        <v>215</v>
      </c>
      <c r="C240" s="495" t="s">
        <v>244</v>
      </c>
      <c r="D240" s="495" t="s">
        <v>872</v>
      </c>
      <c r="E240" s="495"/>
      <c r="F240" s="488">
        <f>F241+F246</f>
        <v>6108.1</v>
      </c>
      <c r="G240" s="488">
        <f>G241+G246</f>
        <v>6108.1</v>
      </c>
    </row>
    <row r="241" spans="1:9" ht="31.5" x14ac:dyDescent="0.25">
      <c r="A241" s="496" t="s">
        <v>927</v>
      </c>
      <c r="B241" s="492" t="s">
        <v>215</v>
      </c>
      <c r="C241" s="492" t="s">
        <v>244</v>
      </c>
      <c r="D241" s="492" t="s">
        <v>873</v>
      </c>
      <c r="E241" s="492"/>
      <c r="F241" s="489">
        <f>F242+F244</f>
        <v>5856.1</v>
      </c>
      <c r="G241" s="489">
        <f>G242+G244</f>
        <v>5856.1</v>
      </c>
    </row>
    <row r="242" spans="1:9" ht="94.5" x14ac:dyDescent="0.25">
      <c r="A242" s="496" t="s">
        <v>127</v>
      </c>
      <c r="B242" s="492" t="s">
        <v>215</v>
      </c>
      <c r="C242" s="492" t="s">
        <v>244</v>
      </c>
      <c r="D242" s="492" t="s">
        <v>873</v>
      </c>
      <c r="E242" s="492" t="s">
        <v>128</v>
      </c>
      <c r="F242" s="489">
        <f>F243</f>
        <v>5693.1</v>
      </c>
      <c r="G242" s="489">
        <f>G243</f>
        <v>5693.1</v>
      </c>
    </row>
    <row r="243" spans="1:9" ht="31.5" x14ac:dyDescent="0.25">
      <c r="A243" s="496" t="s">
        <v>208</v>
      </c>
      <c r="B243" s="492" t="s">
        <v>215</v>
      </c>
      <c r="C243" s="492" t="s">
        <v>244</v>
      </c>
      <c r="D243" s="492" t="s">
        <v>873</v>
      </c>
      <c r="E243" s="492" t="s">
        <v>209</v>
      </c>
      <c r="F243" s="489">
        <f>'пр.6.1.ведом.22-23 (2)'!G185</f>
        <v>5693.1</v>
      </c>
      <c r="G243" s="489">
        <f>'пр.6.1.ведом.22-23 (2)'!H185</f>
        <v>5693.1</v>
      </c>
    </row>
    <row r="244" spans="1:9" ht="47.25" x14ac:dyDescent="0.25">
      <c r="A244" s="496" t="s">
        <v>198</v>
      </c>
      <c r="B244" s="492" t="s">
        <v>215</v>
      </c>
      <c r="C244" s="492" t="s">
        <v>244</v>
      </c>
      <c r="D244" s="492" t="s">
        <v>873</v>
      </c>
      <c r="E244" s="492" t="s">
        <v>132</v>
      </c>
      <c r="F244" s="489">
        <f>F245</f>
        <v>163</v>
      </c>
      <c r="G244" s="489">
        <f>G245</f>
        <v>163</v>
      </c>
    </row>
    <row r="245" spans="1:9" ht="47.25" x14ac:dyDescent="0.25">
      <c r="A245" s="496" t="s">
        <v>133</v>
      </c>
      <c r="B245" s="492" t="s">
        <v>215</v>
      </c>
      <c r="C245" s="492" t="s">
        <v>244</v>
      </c>
      <c r="D245" s="492" t="s">
        <v>873</v>
      </c>
      <c r="E245" s="492" t="s">
        <v>134</v>
      </c>
      <c r="F245" s="489">
        <f>'пр.6.1.ведом.22-23 (2)'!G187</f>
        <v>163</v>
      </c>
      <c r="G245" s="489">
        <f>'пр.6.1.ведом.22-23 (2)'!H187</f>
        <v>163</v>
      </c>
    </row>
    <row r="246" spans="1:9" ht="47.25" x14ac:dyDescent="0.25">
      <c r="A246" s="496" t="s">
        <v>839</v>
      </c>
      <c r="B246" s="492" t="s">
        <v>215</v>
      </c>
      <c r="C246" s="492" t="s">
        <v>244</v>
      </c>
      <c r="D246" s="492" t="s">
        <v>874</v>
      </c>
      <c r="E246" s="492"/>
      <c r="F246" s="489">
        <f>F247</f>
        <v>252</v>
      </c>
      <c r="G246" s="489">
        <f>G247</f>
        <v>252</v>
      </c>
    </row>
    <row r="247" spans="1:9" ht="94.5" x14ac:dyDescent="0.25">
      <c r="A247" s="496" t="s">
        <v>127</v>
      </c>
      <c r="B247" s="492" t="s">
        <v>215</v>
      </c>
      <c r="C247" s="492" t="s">
        <v>244</v>
      </c>
      <c r="D247" s="492" t="s">
        <v>874</v>
      </c>
      <c r="E247" s="492" t="s">
        <v>128</v>
      </c>
      <c r="F247" s="489">
        <f>F248</f>
        <v>252</v>
      </c>
      <c r="G247" s="489">
        <f>G248</f>
        <v>252</v>
      </c>
    </row>
    <row r="248" spans="1:9" ht="31.7" customHeight="1" x14ac:dyDescent="0.25">
      <c r="A248" s="496" t="s">
        <v>129</v>
      </c>
      <c r="B248" s="492" t="s">
        <v>215</v>
      </c>
      <c r="C248" s="492" t="s">
        <v>244</v>
      </c>
      <c r="D248" s="492" t="s">
        <v>874</v>
      </c>
      <c r="E248" s="492" t="s">
        <v>130</v>
      </c>
      <c r="F248" s="489">
        <f>'пр.6.1.ведом.22-23 (2)'!G190</f>
        <v>252</v>
      </c>
      <c r="G248" s="489">
        <f>'пр.6.1.ведом.22-23 (2)'!H190</f>
        <v>252</v>
      </c>
    </row>
    <row r="249" spans="1:9" ht="15.75" x14ac:dyDescent="0.25">
      <c r="A249" s="494" t="s">
        <v>232</v>
      </c>
      <c r="B249" s="495" t="s">
        <v>150</v>
      </c>
      <c r="C249" s="495"/>
      <c r="D249" s="495"/>
      <c r="E249" s="492"/>
      <c r="F249" s="488">
        <f t="shared" ref="F249" si="16">F263+F269+F283+F250</f>
        <v>6525.2</v>
      </c>
      <c r="G249" s="488">
        <f>G263+G269+G283+G250</f>
        <v>6535.8</v>
      </c>
    </row>
    <row r="250" spans="1:9" ht="15.75" x14ac:dyDescent="0.25">
      <c r="A250" s="494" t="s">
        <v>233</v>
      </c>
      <c r="B250" s="495" t="s">
        <v>150</v>
      </c>
      <c r="C250" s="495" t="s">
        <v>234</v>
      </c>
      <c r="D250" s="495"/>
      <c r="E250" s="492"/>
      <c r="F250" s="488">
        <f>F251</f>
        <v>274</v>
      </c>
      <c r="G250" s="488">
        <f>G251</f>
        <v>274</v>
      </c>
      <c r="H250" s="22"/>
      <c r="I250" s="22"/>
    </row>
    <row r="251" spans="1:9" ht="47.25" x14ac:dyDescent="0.25">
      <c r="A251" s="34" t="s">
        <v>1381</v>
      </c>
      <c r="B251" s="495" t="s">
        <v>150</v>
      </c>
      <c r="C251" s="495" t="s">
        <v>234</v>
      </c>
      <c r="D251" s="194" t="s">
        <v>182</v>
      </c>
      <c r="E251" s="504"/>
      <c r="F251" s="488">
        <f>F252+F259</f>
        <v>274</v>
      </c>
      <c r="G251" s="488">
        <f>G252+G259</f>
        <v>274</v>
      </c>
    </row>
    <row r="252" spans="1:9" ht="47.25" x14ac:dyDescent="0.25">
      <c r="A252" s="34" t="s">
        <v>1006</v>
      </c>
      <c r="B252" s="495" t="s">
        <v>150</v>
      </c>
      <c r="C252" s="495" t="s">
        <v>234</v>
      </c>
      <c r="D252" s="251" t="s">
        <v>877</v>
      </c>
      <c r="E252" s="504"/>
      <c r="F252" s="488">
        <f>F253+F256</f>
        <v>274</v>
      </c>
      <c r="G252" s="488">
        <f>G253+G256</f>
        <v>274</v>
      </c>
    </row>
    <row r="253" spans="1:9" ht="31.5" x14ac:dyDescent="0.25">
      <c r="A253" s="496" t="s">
        <v>235</v>
      </c>
      <c r="B253" s="492" t="s">
        <v>150</v>
      </c>
      <c r="C253" s="492" t="s">
        <v>234</v>
      </c>
      <c r="D253" s="492" t="s">
        <v>898</v>
      </c>
      <c r="E253" s="498"/>
      <c r="F253" s="489">
        <f>F254</f>
        <v>274</v>
      </c>
      <c r="G253" s="489">
        <f>G254</f>
        <v>274</v>
      </c>
    </row>
    <row r="254" spans="1:9" ht="15.75" x14ac:dyDescent="0.25">
      <c r="A254" s="29" t="s">
        <v>135</v>
      </c>
      <c r="B254" s="492" t="s">
        <v>150</v>
      </c>
      <c r="C254" s="492" t="s">
        <v>234</v>
      </c>
      <c r="D254" s="492" t="s">
        <v>898</v>
      </c>
      <c r="E254" s="498" t="s">
        <v>145</v>
      </c>
      <c r="F254" s="489">
        <f>F255</f>
        <v>274</v>
      </c>
      <c r="G254" s="489">
        <f>G255</f>
        <v>274</v>
      </c>
    </row>
    <row r="255" spans="1:9" ht="63" x14ac:dyDescent="0.25">
      <c r="A255" s="29" t="s">
        <v>184</v>
      </c>
      <c r="B255" s="492" t="s">
        <v>150</v>
      </c>
      <c r="C255" s="492" t="s">
        <v>234</v>
      </c>
      <c r="D255" s="492" t="s">
        <v>898</v>
      </c>
      <c r="E255" s="498" t="s">
        <v>160</v>
      </c>
      <c r="F255" s="489">
        <f>'пр.6.1.ведом.22-23 (2)'!G197</f>
        <v>274</v>
      </c>
      <c r="G255" s="489">
        <f>'пр.6.1.ведом.22-23 (2)'!H197</f>
        <v>274</v>
      </c>
    </row>
    <row r="256" spans="1:9" ht="31.5" hidden="1" x14ac:dyDescent="0.25">
      <c r="A256" s="496" t="s">
        <v>235</v>
      </c>
      <c r="B256" s="492" t="s">
        <v>150</v>
      </c>
      <c r="C256" s="492" t="s">
        <v>234</v>
      </c>
      <c r="D256" s="492" t="s">
        <v>880</v>
      </c>
      <c r="E256" s="492"/>
      <c r="F256" s="489">
        <f>F257</f>
        <v>0</v>
      </c>
      <c r="G256" s="489">
        <f>G257</f>
        <v>0</v>
      </c>
    </row>
    <row r="257" spans="1:7" ht="15.75" hidden="1" x14ac:dyDescent="0.25">
      <c r="A257" s="496" t="s">
        <v>135</v>
      </c>
      <c r="B257" s="492" t="s">
        <v>150</v>
      </c>
      <c r="C257" s="492" t="s">
        <v>234</v>
      </c>
      <c r="D257" s="492" t="s">
        <v>880</v>
      </c>
      <c r="E257" s="492" t="s">
        <v>145</v>
      </c>
      <c r="F257" s="489">
        <f>F258</f>
        <v>0</v>
      </c>
      <c r="G257" s="489">
        <f>G258</f>
        <v>0</v>
      </c>
    </row>
    <row r="258" spans="1:7" ht="63" hidden="1" x14ac:dyDescent="0.25">
      <c r="A258" s="496" t="s">
        <v>184</v>
      </c>
      <c r="B258" s="492" t="s">
        <v>150</v>
      </c>
      <c r="C258" s="492" t="s">
        <v>234</v>
      </c>
      <c r="D258" s="492" t="s">
        <v>880</v>
      </c>
      <c r="E258" s="492" t="s">
        <v>160</v>
      </c>
      <c r="F258" s="489">
        <f>'пр.6.1.ведом.22-23 (2)'!G200</f>
        <v>0</v>
      </c>
      <c r="G258" s="489">
        <f>'пр.6.1.ведом.22-23 (2)'!H200</f>
        <v>0</v>
      </c>
    </row>
    <row r="259" spans="1:7" ht="47.25" hidden="1" x14ac:dyDescent="0.25">
      <c r="A259" s="214" t="s">
        <v>1007</v>
      </c>
      <c r="B259" s="495" t="s">
        <v>150</v>
      </c>
      <c r="C259" s="495" t="s">
        <v>234</v>
      </c>
      <c r="D259" s="194" t="s">
        <v>879</v>
      </c>
      <c r="E259" s="504"/>
      <c r="F259" s="488">
        <f t="shared" ref="F259:G261" si="17">F260</f>
        <v>0</v>
      </c>
      <c r="G259" s="488">
        <f t="shared" si="17"/>
        <v>0</v>
      </c>
    </row>
    <row r="260" spans="1:7" ht="15.75" hidden="1" x14ac:dyDescent="0.25">
      <c r="A260" s="496" t="s">
        <v>878</v>
      </c>
      <c r="B260" s="492" t="s">
        <v>150</v>
      </c>
      <c r="C260" s="492" t="s">
        <v>234</v>
      </c>
      <c r="D260" s="5" t="s">
        <v>899</v>
      </c>
      <c r="E260" s="498"/>
      <c r="F260" s="489">
        <f t="shared" si="17"/>
        <v>0</v>
      </c>
      <c r="G260" s="489">
        <f t="shared" si="17"/>
        <v>0</v>
      </c>
    </row>
    <row r="261" spans="1:7" ht="15.75" hidden="1" x14ac:dyDescent="0.25">
      <c r="A261" s="29" t="s">
        <v>135</v>
      </c>
      <c r="B261" s="492" t="s">
        <v>150</v>
      </c>
      <c r="C261" s="492" t="s">
        <v>234</v>
      </c>
      <c r="D261" s="5" t="s">
        <v>899</v>
      </c>
      <c r="E261" s="498" t="s">
        <v>145</v>
      </c>
      <c r="F261" s="489">
        <f t="shared" si="17"/>
        <v>0</v>
      </c>
      <c r="G261" s="489">
        <f t="shared" si="17"/>
        <v>0</v>
      </c>
    </row>
    <row r="262" spans="1:7" ht="63" hidden="1" x14ac:dyDescent="0.25">
      <c r="A262" s="29" t="s">
        <v>184</v>
      </c>
      <c r="B262" s="492" t="s">
        <v>150</v>
      </c>
      <c r="C262" s="492" t="s">
        <v>234</v>
      </c>
      <c r="D262" s="5" t="s">
        <v>899</v>
      </c>
      <c r="E262" s="498" t="s">
        <v>160</v>
      </c>
      <c r="F262" s="489">
        <f>'пр.6.1.ведом.22-23 (2)'!G204</f>
        <v>0</v>
      </c>
      <c r="G262" s="489">
        <f>'пр.6.1.ведом.22-23 (2)'!H204</f>
        <v>0</v>
      </c>
    </row>
    <row r="263" spans="1:7" ht="15.75" x14ac:dyDescent="0.25">
      <c r="A263" s="494" t="s">
        <v>505</v>
      </c>
      <c r="B263" s="495" t="s">
        <v>150</v>
      </c>
      <c r="C263" s="495" t="s">
        <v>299</v>
      </c>
      <c r="D263" s="495"/>
      <c r="E263" s="495"/>
      <c r="F263" s="488">
        <f t="shared" ref="F263:G265" si="18">F264</f>
        <v>3258</v>
      </c>
      <c r="G263" s="488">
        <f t="shared" si="18"/>
        <v>3258</v>
      </c>
    </row>
    <row r="264" spans="1:7" ht="15.75" x14ac:dyDescent="0.25">
      <c r="A264" s="494" t="s">
        <v>141</v>
      </c>
      <c r="B264" s="495" t="s">
        <v>150</v>
      </c>
      <c r="C264" s="495" t="s">
        <v>299</v>
      </c>
      <c r="D264" s="495" t="s">
        <v>866</v>
      </c>
      <c r="E264" s="495"/>
      <c r="F264" s="488">
        <f t="shared" si="18"/>
        <v>3258</v>
      </c>
      <c r="G264" s="488">
        <f t="shared" si="18"/>
        <v>3258</v>
      </c>
    </row>
    <row r="265" spans="1:7" ht="31.5" x14ac:dyDescent="0.25">
      <c r="A265" s="494" t="s">
        <v>870</v>
      </c>
      <c r="B265" s="495" t="s">
        <v>150</v>
      </c>
      <c r="C265" s="495" t="s">
        <v>299</v>
      </c>
      <c r="D265" s="495" t="s">
        <v>865</v>
      </c>
      <c r="E265" s="495"/>
      <c r="F265" s="488">
        <f t="shared" si="18"/>
        <v>3258</v>
      </c>
      <c r="G265" s="488">
        <f t="shared" si="18"/>
        <v>3258</v>
      </c>
    </row>
    <row r="266" spans="1:7" ht="31.5" x14ac:dyDescent="0.25">
      <c r="A266" s="496" t="s">
        <v>506</v>
      </c>
      <c r="B266" s="492" t="s">
        <v>150</v>
      </c>
      <c r="C266" s="492" t="s">
        <v>299</v>
      </c>
      <c r="D266" s="492" t="s">
        <v>957</v>
      </c>
      <c r="E266" s="492"/>
      <c r="F266" s="489">
        <f>F267</f>
        <v>3258</v>
      </c>
      <c r="G266" s="489">
        <f>G267</f>
        <v>3258</v>
      </c>
    </row>
    <row r="267" spans="1:7" ht="31.5" x14ac:dyDescent="0.25">
      <c r="A267" s="496" t="s">
        <v>131</v>
      </c>
      <c r="B267" s="492" t="s">
        <v>150</v>
      </c>
      <c r="C267" s="492" t="s">
        <v>299</v>
      </c>
      <c r="D267" s="492" t="s">
        <v>957</v>
      </c>
      <c r="E267" s="492" t="s">
        <v>132</v>
      </c>
      <c r="F267" s="489">
        <f>F268</f>
        <v>3258</v>
      </c>
      <c r="G267" s="489">
        <f>G268</f>
        <v>3258</v>
      </c>
    </row>
    <row r="268" spans="1:7" ht="47.25" x14ac:dyDescent="0.25">
      <c r="A268" s="496" t="s">
        <v>133</v>
      </c>
      <c r="B268" s="492" t="s">
        <v>150</v>
      </c>
      <c r="C268" s="492" t="s">
        <v>299</v>
      </c>
      <c r="D268" s="492" t="s">
        <v>957</v>
      </c>
      <c r="E268" s="492" t="s">
        <v>134</v>
      </c>
      <c r="F268" s="489">
        <f>'пр.6.1.ведом.22-23 (2)'!G859</f>
        <v>3258</v>
      </c>
      <c r="G268" s="489">
        <f>'пр.6.1.ведом.22-23 (2)'!H859</f>
        <v>3258</v>
      </c>
    </row>
    <row r="269" spans="1:7" ht="15.75" x14ac:dyDescent="0.25">
      <c r="A269" s="494" t="s">
        <v>508</v>
      </c>
      <c r="B269" s="495" t="s">
        <v>150</v>
      </c>
      <c r="C269" s="495" t="s">
        <v>219</v>
      </c>
      <c r="D269" s="492"/>
      <c r="E269" s="495"/>
      <c r="F269" s="488">
        <f t="shared" ref="F269:G269" si="19">F270</f>
        <v>2319</v>
      </c>
      <c r="G269" s="488">
        <f t="shared" si="19"/>
        <v>2319</v>
      </c>
    </row>
    <row r="270" spans="1:7" ht="47.25" x14ac:dyDescent="0.25">
      <c r="A270" s="34" t="s">
        <v>1370</v>
      </c>
      <c r="B270" s="495" t="s">
        <v>150</v>
      </c>
      <c r="C270" s="495" t="s">
        <v>219</v>
      </c>
      <c r="D270" s="495" t="s">
        <v>510</v>
      </c>
      <c r="E270" s="495"/>
      <c r="F270" s="59">
        <f>F271+F275</f>
        <v>2319</v>
      </c>
      <c r="G270" s="59">
        <f>G271+G275</f>
        <v>2319</v>
      </c>
    </row>
    <row r="271" spans="1:7" ht="31.5" hidden="1" x14ac:dyDescent="0.25">
      <c r="A271" s="34" t="s">
        <v>999</v>
      </c>
      <c r="B271" s="495" t="s">
        <v>150</v>
      </c>
      <c r="C271" s="495" t="s">
        <v>219</v>
      </c>
      <c r="D271" s="7" t="s">
        <v>958</v>
      </c>
      <c r="E271" s="495"/>
      <c r="F271" s="59">
        <f t="shared" ref="F271:G273" si="20">F272</f>
        <v>0</v>
      </c>
      <c r="G271" s="59">
        <f t="shared" si="20"/>
        <v>0</v>
      </c>
    </row>
    <row r="272" spans="1:7" ht="15.75" hidden="1" x14ac:dyDescent="0.25">
      <c r="A272" s="29" t="s">
        <v>1001</v>
      </c>
      <c r="B272" s="492" t="s">
        <v>150</v>
      </c>
      <c r="C272" s="492" t="s">
        <v>219</v>
      </c>
      <c r="D272" s="499" t="s">
        <v>1000</v>
      </c>
      <c r="E272" s="492"/>
      <c r="F272" s="489">
        <f t="shared" si="20"/>
        <v>0</v>
      </c>
      <c r="G272" s="489">
        <f t="shared" si="20"/>
        <v>0</v>
      </c>
    </row>
    <row r="273" spans="1:7" ht="31.5" hidden="1" x14ac:dyDescent="0.25">
      <c r="A273" s="496" t="s">
        <v>131</v>
      </c>
      <c r="B273" s="492" t="s">
        <v>150</v>
      </c>
      <c r="C273" s="492" t="s">
        <v>219</v>
      </c>
      <c r="D273" s="499" t="s">
        <v>1000</v>
      </c>
      <c r="E273" s="492" t="s">
        <v>132</v>
      </c>
      <c r="F273" s="489">
        <f t="shared" si="20"/>
        <v>0</v>
      </c>
      <c r="G273" s="489">
        <f t="shared" si="20"/>
        <v>0</v>
      </c>
    </row>
    <row r="274" spans="1:7" ht="47.25" hidden="1" x14ac:dyDescent="0.25">
      <c r="A274" s="496" t="s">
        <v>133</v>
      </c>
      <c r="B274" s="492" t="s">
        <v>150</v>
      </c>
      <c r="C274" s="492" t="s">
        <v>219</v>
      </c>
      <c r="D274" s="499" t="s">
        <v>1000</v>
      </c>
      <c r="E274" s="492" t="s">
        <v>134</v>
      </c>
      <c r="F274" s="489">
        <f>'пр.6.1.ведом.22-23 (2)'!G865</f>
        <v>0</v>
      </c>
      <c r="G274" s="489">
        <f>'пр.6.1.ведом.22-23 (2)'!H865</f>
        <v>0</v>
      </c>
    </row>
    <row r="275" spans="1:7" ht="47.25" x14ac:dyDescent="0.25">
      <c r="A275" s="34" t="s">
        <v>1060</v>
      </c>
      <c r="B275" s="495" t="s">
        <v>150</v>
      </c>
      <c r="C275" s="495" t="s">
        <v>219</v>
      </c>
      <c r="D275" s="495" t="s">
        <v>959</v>
      </c>
      <c r="E275" s="495"/>
      <c r="F275" s="388">
        <f t="shared" ref="F275:G279" si="21">F276</f>
        <v>2319</v>
      </c>
      <c r="G275" s="388">
        <f t="shared" si="21"/>
        <v>2319</v>
      </c>
    </row>
    <row r="276" spans="1:7" ht="15.75" x14ac:dyDescent="0.25">
      <c r="A276" s="29" t="s">
        <v>511</v>
      </c>
      <c r="B276" s="492" t="s">
        <v>150</v>
      </c>
      <c r="C276" s="492" t="s">
        <v>219</v>
      </c>
      <c r="D276" s="499" t="s">
        <v>1002</v>
      </c>
      <c r="E276" s="492"/>
      <c r="F276" s="489">
        <f>F279+F277</f>
        <v>2319</v>
      </c>
      <c r="G276" s="489">
        <f>G279+G277</f>
        <v>2319</v>
      </c>
    </row>
    <row r="277" spans="1:7" ht="94.5" x14ac:dyDescent="0.25">
      <c r="A277" s="496" t="s">
        <v>127</v>
      </c>
      <c r="B277" s="492" t="s">
        <v>150</v>
      </c>
      <c r="C277" s="492" t="s">
        <v>219</v>
      </c>
      <c r="D277" s="499" t="s">
        <v>1002</v>
      </c>
      <c r="E277" s="492" t="s">
        <v>128</v>
      </c>
      <c r="F277" s="497">
        <f>F278</f>
        <v>1807</v>
      </c>
      <c r="G277" s="497">
        <f>G278</f>
        <v>1807</v>
      </c>
    </row>
    <row r="278" spans="1:7" ht="31.5" x14ac:dyDescent="0.25">
      <c r="A278" s="496" t="s">
        <v>342</v>
      </c>
      <c r="B278" s="492" t="s">
        <v>150</v>
      </c>
      <c r="C278" s="492" t="s">
        <v>219</v>
      </c>
      <c r="D278" s="499" t="s">
        <v>1002</v>
      </c>
      <c r="E278" s="492" t="s">
        <v>209</v>
      </c>
      <c r="F278" s="497">
        <f>'пр.6.1.ведом.22-23 (2)'!G869</f>
        <v>1807</v>
      </c>
      <c r="G278" s="497">
        <f>'пр.6.1.ведом.22-23 (2)'!H869</f>
        <v>1807</v>
      </c>
    </row>
    <row r="279" spans="1:7" ht="31.5" x14ac:dyDescent="0.25">
      <c r="A279" s="496" t="s">
        <v>131</v>
      </c>
      <c r="B279" s="492" t="s">
        <v>150</v>
      </c>
      <c r="C279" s="492" t="s">
        <v>219</v>
      </c>
      <c r="D279" s="499" t="s">
        <v>1002</v>
      </c>
      <c r="E279" s="492" t="s">
        <v>132</v>
      </c>
      <c r="F279" s="489">
        <f t="shared" si="21"/>
        <v>512</v>
      </c>
      <c r="G279" s="489">
        <f t="shared" si="21"/>
        <v>512</v>
      </c>
    </row>
    <row r="280" spans="1:7" ht="47.25" x14ac:dyDescent="0.25">
      <c r="A280" s="496" t="s">
        <v>133</v>
      </c>
      <c r="B280" s="492" t="s">
        <v>150</v>
      </c>
      <c r="C280" s="492" t="s">
        <v>219</v>
      </c>
      <c r="D280" s="499" t="s">
        <v>1002</v>
      </c>
      <c r="E280" s="492" t="s">
        <v>134</v>
      </c>
      <c r="F280" s="489">
        <f>'пр.6.1.ведом.22-23 (2)'!G871</f>
        <v>512</v>
      </c>
      <c r="G280" s="489">
        <f>'пр.6.1.ведом.22-23 (2)'!H871</f>
        <v>512</v>
      </c>
    </row>
    <row r="281" spans="1:7" ht="15.75" x14ac:dyDescent="0.25">
      <c r="A281" s="496" t="s">
        <v>135</v>
      </c>
      <c r="B281" s="492" t="s">
        <v>150</v>
      </c>
      <c r="C281" s="492" t="s">
        <v>219</v>
      </c>
      <c r="D281" s="499" t="s">
        <v>1002</v>
      </c>
      <c r="E281" s="492" t="s">
        <v>145</v>
      </c>
      <c r="F281" s="489">
        <f>'[1]Пр.4 Рд,пр, ЦС,ВР 21'!F269</f>
        <v>0</v>
      </c>
      <c r="G281" s="489">
        <f t="shared" si="14"/>
        <v>0</v>
      </c>
    </row>
    <row r="282" spans="1:7" ht="15.75" x14ac:dyDescent="0.25">
      <c r="A282" s="496" t="s">
        <v>568</v>
      </c>
      <c r="B282" s="492" t="s">
        <v>150</v>
      </c>
      <c r="C282" s="492" t="s">
        <v>219</v>
      </c>
      <c r="D282" s="499" t="s">
        <v>1002</v>
      </c>
      <c r="E282" s="492" t="s">
        <v>138</v>
      </c>
      <c r="F282" s="489">
        <f>'[1]Пр.4 Рд,пр, ЦС,ВР 21'!F270</f>
        <v>0</v>
      </c>
      <c r="G282" s="489">
        <f t="shared" si="14"/>
        <v>0</v>
      </c>
    </row>
    <row r="283" spans="1:7" ht="31.5" x14ac:dyDescent="0.25">
      <c r="A283" s="494" t="s">
        <v>237</v>
      </c>
      <c r="B283" s="495" t="s">
        <v>150</v>
      </c>
      <c r="C283" s="495" t="s">
        <v>238</v>
      </c>
      <c r="D283" s="495"/>
      <c r="E283" s="495"/>
      <c r="F283" s="59">
        <f>F284+F291+F309</f>
        <v>674.2</v>
      </c>
      <c r="G283" s="59">
        <f>G284+G291+G309</f>
        <v>684.8</v>
      </c>
    </row>
    <row r="284" spans="1:7" ht="31.5" x14ac:dyDescent="0.25">
      <c r="A284" s="494" t="s">
        <v>917</v>
      </c>
      <c r="B284" s="495" t="s">
        <v>150</v>
      </c>
      <c r="C284" s="495" t="s">
        <v>238</v>
      </c>
      <c r="D284" s="495" t="s">
        <v>858</v>
      </c>
      <c r="E284" s="495"/>
      <c r="F284" s="59">
        <f>F285</f>
        <v>264.2</v>
      </c>
      <c r="G284" s="59">
        <f>G285</f>
        <v>274.8</v>
      </c>
    </row>
    <row r="285" spans="1:7" ht="47.25" x14ac:dyDescent="0.25">
      <c r="A285" s="494" t="s">
        <v>885</v>
      </c>
      <c r="B285" s="495" t="s">
        <v>150</v>
      </c>
      <c r="C285" s="495" t="s">
        <v>238</v>
      </c>
      <c r="D285" s="495" t="s">
        <v>863</v>
      </c>
      <c r="E285" s="495"/>
      <c r="F285" s="59">
        <f>F286</f>
        <v>264.2</v>
      </c>
      <c r="G285" s="59">
        <f>G286</f>
        <v>274.8</v>
      </c>
    </row>
    <row r="286" spans="1:7" ht="63" x14ac:dyDescent="0.25">
      <c r="A286" s="31" t="s">
        <v>241</v>
      </c>
      <c r="B286" s="492" t="s">
        <v>150</v>
      </c>
      <c r="C286" s="492" t="s">
        <v>238</v>
      </c>
      <c r="D286" s="492" t="s">
        <v>924</v>
      </c>
      <c r="E286" s="492"/>
      <c r="F286" s="489">
        <f>F287+F289</f>
        <v>264.2</v>
      </c>
      <c r="G286" s="489">
        <f>G287+G289</f>
        <v>274.8</v>
      </c>
    </row>
    <row r="287" spans="1:7" ht="94.5" x14ac:dyDescent="0.25">
      <c r="A287" s="496" t="s">
        <v>127</v>
      </c>
      <c r="B287" s="492" t="s">
        <v>150</v>
      </c>
      <c r="C287" s="492" t="s">
        <v>238</v>
      </c>
      <c r="D287" s="492" t="s">
        <v>924</v>
      </c>
      <c r="E287" s="492" t="s">
        <v>128</v>
      </c>
      <c r="F287" s="489">
        <f>F288</f>
        <v>205.8</v>
      </c>
      <c r="G287" s="489">
        <f>G288</f>
        <v>205.8</v>
      </c>
    </row>
    <row r="288" spans="1:7" ht="31.5" x14ac:dyDescent="0.25">
      <c r="A288" s="496" t="s">
        <v>129</v>
      </c>
      <c r="B288" s="492" t="s">
        <v>150</v>
      </c>
      <c r="C288" s="492" t="s">
        <v>238</v>
      </c>
      <c r="D288" s="492" t="s">
        <v>924</v>
      </c>
      <c r="E288" s="492" t="s">
        <v>130</v>
      </c>
      <c r="F288" s="489">
        <f>'пр.6.1.ведом.22-23 (2)'!G210</f>
        <v>205.8</v>
      </c>
      <c r="G288" s="489">
        <f>'пр.6.1.ведом.22-23 (2)'!H210</f>
        <v>205.8</v>
      </c>
    </row>
    <row r="289" spans="1:7" ht="31.5" x14ac:dyDescent="0.25">
      <c r="A289" s="496" t="s">
        <v>131</v>
      </c>
      <c r="B289" s="492" t="s">
        <v>150</v>
      </c>
      <c r="C289" s="492" t="s">
        <v>238</v>
      </c>
      <c r="D289" s="492" t="s">
        <v>924</v>
      </c>
      <c r="E289" s="492" t="s">
        <v>132</v>
      </c>
      <c r="F289" s="489">
        <f>F290</f>
        <v>58.4</v>
      </c>
      <c r="G289" s="489">
        <f>G290</f>
        <v>69</v>
      </c>
    </row>
    <row r="290" spans="1:7" ht="47.25" x14ac:dyDescent="0.25">
      <c r="A290" s="496" t="s">
        <v>133</v>
      </c>
      <c r="B290" s="492" t="s">
        <v>150</v>
      </c>
      <c r="C290" s="492" t="s">
        <v>238</v>
      </c>
      <c r="D290" s="492" t="s">
        <v>924</v>
      </c>
      <c r="E290" s="492" t="s">
        <v>134</v>
      </c>
      <c r="F290" s="489">
        <f>'пр.6.1.ведом.22-23 (2)'!G212</f>
        <v>58.4</v>
      </c>
      <c r="G290" s="489">
        <f>'пр.6.1.ведом.22-23 (2)'!H212</f>
        <v>69</v>
      </c>
    </row>
    <row r="291" spans="1:7" ht="47.25" x14ac:dyDescent="0.25">
      <c r="A291" s="494" t="s">
        <v>1372</v>
      </c>
      <c r="B291" s="495" t="s">
        <v>150</v>
      </c>
      <c r="C291" s="495" t="s">
        <v>238</v>
      </c>
      <c r="D291" s="495" t="s">
        <v>344</v>
      </c>
      <c r="E291" s="504"/>
      <c r="F291" s="59">
        <f>F292</f>
        <v>260</v>
      </c>
      <c r="G291" s="59">
        <f>G292</f>
        <v>260</v>
      </c>
    </row>
    <row r="292" spans="1:7" ht="63" x14ac:dyDescent="0.25">
      <c r="A292" s="494" t="s">
        <v>367</v>
      </c>
      <c r="B292" s="495" t="s">
        <v>150</v>
      </c>
      <c r="C292" s="495" t="s">
        <v>238</v>
      </c>
      <c r="D292" s="495" t="s">
        <v>356</v>
      </c>
      <c r="E292" s="495"/>
      <c r="F292" s="59">
        <f>F293+F297+F301+F305</f>
        <v>260</v>
      </c>
      <c r="G292" s="59">
        <f>G293+G297+G301+G305</f>
        <v>260</v>
      </c>
    </row>
    <row r="293" spans="1:7" ht="47.25" hidden="1" x14ac:dyDescent="0.25">
      <c r="A293" s="215" t="s">
        <v>1042</v>
      </c>
      <c r="B293" s="495" t="s">
        <v>150</v>
      </c>
      <c r="C293" s="495" t="s">
        <v>238</v>
      </c>
      <c r="D293" s="495" t="s">
        <v>907</v>
      </c>
      <c r="E293" s="495"/>
      <c r="F293" s="59">
        <f>F294</f>
        <v>0</v>
      </c>
      <c r="G293" s="59">
        <f>G294</f>
        <v>0</v>
      </c>
    </row>
    <row r="294" spans="1:7" ht="63" hidden="1" x14ac:dyDescent="0.25">
      <c r="A294" s="496" t="s">
        <v>375</v>
      </c>
      <c r="B294" s="492" t="s">
        <v>150</v>
      </c>
      <c r="C294" s="492" t="s">
        <v>238</v>
      </c>
      <c r="D294" s="492" t="s">
        <v>1316</v>
      </c>
      <c r="E294" s="492"/>
      <c r="F294" s="489">
        <f>'[1]Пр.4 Рд,пр, ЦС,ВР 21'!F282</f>
        <v>0</v>
      </c>
      <c r="G294" s="489">
        <f t="shared" ref="G294:G341" si="22">F294</f>
        <v>0</v>
      </c>
    </row>
    <row r="295" spans="1:7" ht="31.5" hidden="1" x14ac:dyDescent="0.25">
      <c r="A295" s="496" t="s">
        <v>248</v>
      </c>
      <c r="B295" s="492" t="s">
        <v>150</v>
      </c>
      <c r="C295" s="492" t="s">
        <v>238</v>
      </c>
      <c r="D295" s="492" t="s">
        <v>1316</v>
      </c>
      <c r="E295" s="492" t="s">
        <v>249</v>
      </c>
      <c r="F295" s="489">
        <f>'[1]Пр.4 Рд,пр, ЦС,ВР 21'!F283</f>
        <v>0</v>
      </c>
      <c r="G295" s="489">
        <f t="shared" si="22"/>
        <v>0</v>
      </c>
    </row>
    <row r="296" spans="1:7" ht="31.5" hidden="1" x14ac:dyDescent="0.25">
      <c r="A296" s="496" t="s">
        <v>250</v>
      </c>
      <c r="B296" s="492" t="s">
        <v>150</v>
      </c>
      <c r="C296" s="492" t="s">
        <v>238</v>
      </c>
      <c r="D296" s="492" t="s">
        <v>1316</v>
      </c>
      <c r="E296" s="492" t="s">
        <v>251</v>
      </c>
      <c r="F296" s="489">
        <f>'[1]Пр.4 Рд,пр, ЦС,ВР 21'!F284</f>
        <v>0</v>
      </c>
      <c r="G296" s="489">
        <f t="shared" si="22"/>
        <v>0</v>
      </c>
    </row>
    <row r="297" spans="1:7" ht="47.25" x14ac:dyDescent="0.25">
      <c r="A297" s="494" t="s">
        <v>1041</v>
      </c>
      <c r="B297" s="495" t="s">
        <v>150</v>
      </c>
      <c r="C297" s="495" t="s">
        <v>238</v>
      </c>
      <c r="D297" s="495" t="s">
        <v>1199</v>
      </c>
      <c r="E297" s="495"/>
      <c r="F297" s="59">
        <f t="shared" ref="F297:G299" si="23">F298</f>
        <v>260</v>
      </c>
      <c r="G297" s="59">
        <f t="shared" si="23"/>
        <v>260</v>
      </c>
    </row>
    <row r="298" spans="1:7" ht="126" x14ac:dyDescent="0.25">
      <c r="A298" s="496" t="s">
        <v>1501</v>
      </c>
      <c r="B298" s="492" t="s">
        <v>150</v>
      </c>
      <c r="C298" s="492" t="s">
        <v>238</v>
      </c>
      <c r="D298" s="492" t="s">
        <v>1200</v>
      </c>
      <c r="E298" s="492"/>
      <c r="F298" s="489">
        <f t="shared" si="23"/>
        <v>260</v>
      </c>
      <c r="G298" s="489">
        <f t="shared" si="23"/>
        <v>260</v>
      </c>
    </row>
    <row r="299" spans="1:7" ht="15.75" x14ac:dyDescent="0.25">
      <c r="A299" s="496" t="s">
        <v>135</v>
      </c>
      <c r="B299" s="492" t="s">
        <v>150</v>
      </c>
      <c r="C299" s="492" t="s">
        <v>238</v>
      </c>
      <c r="D299" s="492" t="s">
        <v>1200</v>
      </c>
      <c r="E299" s="492" t="s">
        <v>145</v>
      </c>
      <c r="F299" s="489">
        <f t="shared" si="23"/>
        <v>260</v>
      </c>
      <c r="G299" s="489">
        <f t="shared" si="23"/>
        <v>260</v>
      </c>
    </row>
    <row r="300" spans="1:7" ht="63" x14ac:dyDescent="0.25">
      <c r="A300" s="496" t="s">
        <v>184</v>
      </c>
      <c r="B300" s="492" t="s">
        <v>150</v>
      </c>
      <c r="C300" s="492" t="s">
        <v>238</v>
      </c>
      <c r="D300" s="492" t="s">
        <v>1200</v>
      </c>
      <c r="E300" s="492" t="s">
        <v>160</v>
      </c>
      <c r="F300" s="489">
        <f>'пр.6.1.ведом.22-23 (2)'!G284</f>
        <v>260</v>
      </c>
      <c r="G300" s="489">
        <f>'пр.6.1.ведом.22-23 (2)'!H284</f>
        <v>260</v>
      </c>
    </row>
    <row r="301" spans="1:7" ht="31.5" hidden="1" x14ac:dyDescent="0.25">
      <c r="A301" s="494" t="s">
        <v>995</v>
      </c>
      <c r="B301" s="495" t="s">
        <v>150</v>
      </c>
      <c r="C301" s="495" t="s">
        <v>238</v>
      </c>
      <c r="D301" s="495" t="s">
        <v>1309</v>
      </c>
      <c r="E301" s="495"/>
      <c r="F301" s="59">
        <f>F302</f>
        <v>0</v>
      </c>
      <c r="G301" s="59">
        <f>G302</f>
        <v>0</v>
      </c>
    </row>
    <row r="302" spans="1:7" ht="47.25" hidden="1" x14ac:dyDescent="0.25">
      <c r="A302" s="252" t="s">
        <v>1043</v>
      </c>
      <c r="B302" s="492" t="s">
        <v>150</v>
      </c>
      <c r="C302" s="492" t="s">
        <v>238</v>
      </c>
      <c r="D302" s="492" t="s">
        <v>1310</v>
      </c>
      <c r="E302" s="492"/>
      <c r="F302" s="489">
        <f>'[1]Пр.4 Рд,пр, ЦС,ВР 21'!F290</f>
        <v>0</v>
      </c>
      <c r="G302" s="489">
        <f t="shared" si="22"/>
        <v>0</v>
      </c>
    </row>
    <row r="303" spans="1:7" ht="31.5" hidden="1" x14ac:dyDescent="0.25">
      <c r="A303" s="496" t="s">
        <v>131</v>
      </c>
      <c r="B303" s="492" t="s">
        <v>150</v>
      </c>
      <c r="C303" s="492" t="s">
        <v>238</v>
      </c>
      <c r="D303" s="492" t="s">
        <v>1310</v>
      </c>
      <c r="E303" s="492" t="s">
        <v>132</v>
      </c>
      <c r="F303" s="489">
        <f>'[1]Пр.4 Рд,пр, ЦС,ВР 21'!F291</f>
        <v>0</v>
      </c>
      <c r="G303" s="489">
        <f t="shared" si="22"/>
        <v>0</v>
      </c>
    </row>
    <row r="304" spans="1:7" ht="47.25" hidden="1" x14ac:dyDescent="0.25">
      <c r="A304" s="496" t="s">
        <v>133</v>
      </c>
      <c r="B304" s="492" t="s">
        <v>150</v>
      </c>
      <c r="C304" s="492" t="s">
        <v>238</v>
      </c>
      <c r="D304" s="492" t="s">
        <v>1310</v>
      </c>
      <c r="E304" s="492" t="s">
        <v>134</v>
      </c>
      <c r="F304" s="489">
        <f>'[1]Пр.4 Рд,пр, ЦС,ВР 21'!F292</f>
        <v>0</v>
      </c>
      <c r="G304" s="489">
        <f t="shared" si="22"/>
        <v>0</v>
      </c>
    </row>
    <row r="305" spans="1:9" ht="47.25" hidden="1" x14ac:dyDescent="0.25">
      <c r="A305" s="503" t="s">
        <v>1102</v>
      </c>
      <c r="B305" s="495" t="s">
        <v>150</v>
      </c>
      <c r="C305" s="495" t="s">
        <v>238</v>
      </c>
      <c r="D305" s="495" t="s">
        <v>1201</v>
      </c>
      <c r="E305" s="495"/>
      <c r="F305" s="493">
        <f t="shared" ref="F305:G307" si="24">F306</f>
        <v>0</v>
      </c>
      <c r="G305" s="493">
        <f t="shared" si="24"/>
        <v>0</v>
      </c>
    </row>
    <row r="306" spans="1:9" ht="31.5" hidden="1" x14ac:dyDescent="0.25">
      <c r="A306" s="231" t="s">
        <v>1103</v>
      </c>
      <c r="B306" s="492" t="s">
        <v>150</v>
      </c>
      <c r="C306" s="492" t="s">
        <v>238</v>
      </c>
      <c r="D306" s="492" t="s">
        <v>1202</v>
      </c>
      <c r="E306" s="492"/>
      <c r="F306" s="497">
        <f t="shared" si="24"/>
        <v>0</v>
      </c>
      <c r="G306" s="489">
        <f t="shared" si="24"/>
        <v>0</v>
      </c>
    </row>
    <row r="307" spans="1:9" ht="31.5" hidden="1" x14ac:dyDescent="0.25">
      <c r="A307" s="496" t="s">
        <v>131</v>
      </c>
      <c r="B307" s="492" t="s">
        <v>150</v>
      </c>
      <c r="C307" s="492" t="s">
        <v>238</v>
      </c>
      <c r="D307" s="492" t="s">
        <v>1202</v>
      </c>
      <c r="E307" s="492" t="s">
        <v>132</v>
      </c>
      <c r="F307" s="497">
        <f t="shared" si="24"/>
        <v>0</v>
      </c>
      <c r="G307" s="489">
        <f t="shared" si="24"/>
        <v>0</v>
      </c>
    </row>
    <row r="308" spans="1:9" ht="47.25" hidden="1" x14ac:dyDescent="0.25">
      <c r="A308" s="496" t="s">
        <v>133</v>
      </c>
      <c r="B308" s="492" t="s">
        <v>150</v>
      </c>
      <c r="C308" s="492" t="s">
        <v>238</v>
      </c>
      <c r="D308" s="492" t="s">
        <v>1202</v>
      </c>
      <c r="E308" s="492" t="s">
        <v>134</v>
      </c>
      <c r="F308" s="497">
        <f>'пр.6.1.ведом.22-23 (2)'!G292</f>
        <v>0</v>
      </c>
      <c r="G308" s="489">
        <f>'пр.6.1.ведом.22-23 (2)'!H292</f>
        <v>0</v>
      </c>
    </row>
    <row r="309" spans="1:9" ht="47.25" x14ac:dyDescent="0.25">
      <c r="A309" s="494" t="s">
        <v>1336</v>
      </c>
      <c r="B309" s="495" t="s">
        <v>150</v>
      </c>
      <c r="C309" s="495" t="s">
        <v>238</v>
      </c>
      <c r="D309" s="495" t="s">
        <v>156</v>
      </c>
      <c r="E309" s="495"/>
      <c r="F309" s="59">
        <f t="shared" ref="F309:G312" si="25">F310</f>
        <v>150</v>
      </c>
      <c r="G309" s="59">
        <f t="shared" si="25"/>
        <v>150</v>
      </c>
    </row>
    <row r="310" spans="1:9" ht="47.25" x14ac:dyDescent="0.25">
      <c r="A310" s="494" t="s">
        <v>1064</v>
      </c>
      <c r="B310" s="495" t="s">
        <v>150</v>
      </c>
      <c r="C310" s="495" t="s">
        <v>238</v>
      </c>
      <c r="D310" s="495" t="s">
        <v>1061</v>
      </c>
      <c r="E310" s="495"/>
      <c r="F310" s="59">
        <f t="shared" si="25"/>
        <v>150</v>
      </c>
      <c r="G310" s="59">
        <f t="shared" si="25"/>
        <v>150</v>
      </c>
    </row>
    <row r="311" spans="1:9" ht="31.5" x14ac:dyDescent="0.25">
      <c r="A311" s="496" t="s">
        <v>1065</v>
      </c>
      <c r="B311" s="492" t="s">
        <v>150</v>
      </c>
      <c r="C311" s="492" t="s">
        <v>238</v>
      </c>
      <c r="D311" s="492" t="s">
        <v>1062</v>
      </c>
      <c r="E311" s="492"/>
      <c r="F311" s="489">
        <f t="shared" si="25"/>
        <v>150</v>
      </c>
      <c r="G311" s="489">
        <f t="shared" si="25"/>
        <v>150</v>
      </c>
    </row>
    <row r="312" spans="1:9" ht="15.75" x14ac:dyDescent="0.25">
      <c r="A312" s="496" t="s">
        <v>135</v>
      </c>
      <c r="B312" s="492" t="s">
        <v>150</v>
      </c>
      <c r="C312" s="492" t="s">
        <v>238</v>
      </c>
      <c r="D312" s="492" t="s">
        <v>1062</v>
      </c>
      <c r="E312" s="492" t="s">
        <v>145</v>
      </c>
      <c r="F312" s="489">
        <f t="shared" si="25"/>
        <v>150</v>
      </c>
      <c r="G312" s="489">
        <f t="shared" si="25"/>
        <v>150</v>
      </c>
    </row>
    <row r="313" spans="1:9" ht="63" x14ac:dyDescent="0.25">
      <c r="A313" s="496" t="s">
        <v>184</v>
      </c>
      <c r="B313" s="492" t="s">
        <v>150</v>
      </c>
      <c r="C313" s="492" t="s">
        <v>238</v>
      </c>
      <c r="D313" s="492" t="s">
        <v>1062</v>
      </c>
      <c r="E313" s="492" t="s">
        <v>160</v>
      </c>
      <c r="F313" s="489">
        <f>'пр.6.1.ведом.22-23 (2)'!G217</f>
        <v>150</v>
      </c>
      <c r="G313" s="489">
        <f>'пр.6.1.ведом.22-23 (2)'!H217</f>
        <v>150</v>
      </c>
    </row>
    <row r="314" spans="1:9" ht="15.75" x14ac:dyDescent="0.25">
      <c r="A314" s="494" t="s">
        <v>390</v>
      </c>
      <c r="B314" s="495" t="s">
        <v>234</v>
      </c>
      <c r="C314" s="495"/>
      <c r="D314" s="495"/>
      <c r="E314" s="495"/>
      <c r="F314" s="488">
        <f>F315++F329+F393+F443</f>
        <v>41786.1</v>
      </c>
      <c r="G314" s="488">
        <f>G315++G329+G393+G443</f>
        <v>49898.45</v>
      </c>
    </row>
    <row r="315" spans="1:9" ht="15.75" x14ac:dyDescent="0.25">
      <c r="A315" s="494" t="s">
        <v>391</v>
      </c>
      <c r="B315" s="495" t="s">
        <v>234</v>
      </c>
      <c r="C315" s="495" t="s">
        <v>118</v>
      </c>
      <c r="D315" s="495"/>
      <c r="E315" s="495"/>
      <c r="F315" s="488">
        <f t="shared" ref="F315:G316" si="26">F316</f>
        <v>6060.4</v>
      </c>
      <c r="G315" s="488">
        <f t="shared" si="26"/>
        <v>6060.4</v>
      </c>
      <c r="I315" s="22"/>
    </row>
    <row r="316" spans="1:9" ht="15.75" x14ac:dyDescent="0.25">
      <c r="A316" s="494" t="s">
        <v>141</v>
      </c>
      <c r="B316" s="495" t="s">
        <v>234</v>
      </c>
      <c r="C316" s="495" t="s">
        <v>118</v>
      </c>
      <c r="D316" s="495" t="s">
        <v>866</v>
      </c>
      <c r="E316" s="495"/>
      <c r="F316" s="488">
        <f t="shared" si="26"/>
        <v>6060.4</v>
      </c>
      <c r="G316" s="488">
        <f t="shared" si="26"/>
        <v>6060.4</v>
      </c>
    </row>
    <row r="317" spans="1:9" ht="31.5" x14ac:dyDescent="0.25">
      <c r="A317" s="494" t="s">
        <v>870</v>
      </c>
      <c r="B317" s="495" t="s">
        <v>234</v>
      </c>
      <c r="C317" s="495" t="s">
        <v>118</v>
      </c>
      <c r="D317" s="495" t="s">
        <v>865</v>
      </c>
      <c r="E317" s="495"/>
      <c r="F317" s="488">
        <f>F318+F323+F326</f>
        <v>6060.4</v>
      </c>
      <c r="G317" s="488">
        <f>G318+G323+G326</f>
        <v>6060.4</v>
      </c>
    </row>
    <row r="318" spans="1:9" ht="15.75" hidden="1" x14ac:dyDescent="0.25">
      <c r="A318" s="496" t="s">
        <v>515</v>
      </c>
      <c r="B318" s="492" t="s">
        <v>774</v>
      </c>
      <c r="C318" s="492" t="s">
        <v>118</v>
      </c>
      <c r="D318" s="492" t="s">
        <v>960</v>
      </c>
      <c r="E318" s="495"/>
      <c r="F318" s="489">
        <f>'[1]Пр.4 Рд,пр, ЦС,ВР 21'!F306</f>
        <v>0</v>
      </c>
      <c r="G318" s="489">
        <f t="shared" si="22"/>
        <v>0</v>
      </c>
    </row>
    <row r="319" spans="1:9" ht="31.5" hidden="1" x14ac:dyDescent="0.25">
      <c r="A319" s="496" t="s">
        <v>131</v>
      </c>
      <c r="B319" s="492" t="s">
        <v>234</v>
      </c>
      <c r="C319" s="492" t="s">
        <v>118</v>
      </c>
      <c r="D319" s="492" t="s">
        <v>960</v>
      </c>
      <c r="E319" s="492" t="s">
        <v>132</v>
      </c>
      <c r="F319" s="489">
        <f>'[1]Пр.4 Рд,пр, ЦС,ВР 21'!F307</f>
        <v>0</v>
      </c>
      <c r="G319" s="489">
        <f t="shared" si="22"/>
        <v>0</v>
      </c>
    </row>
    <row r="320" spans="1:9" ht="47.25" hidden="1" x14ac:dyDescent="0.25">
      <c r="A320" s="496" t="s">
        <v>133</v>
      </c>
      <c r="B320" s="492" t="s">
        <v>234</v>
      </c>
      <c r="C320" s="492" t="s">
        <v>118</v>
      </c>
      <c r="D320" s="492" t="s">
        <v>960</v>
      </c>
      <c r="E320" s="492" t="s">
        <v>134</v>
      </c>
      <c r="F320" s="489">
        <f>'[1]Пр.4 Рд,пр, ЦС,ВР 21'!F308</f>
        <v>0</v>
      </c>
      <c r="G320" s="489">
        <f t="shared" si="22"/>
        <v>0</v>
      </c>
    </row>
    <row r="321" spans="1:7" ht="15.75" hidden="1" x14ac:dyDescent="0.25">
      <c r="A321" s="496" t="s">
        <v>135</v>
      </c>
      <c r="B321" s="492" t="s">
        <v>234</v>
      </c>
      <c r="C321" s="492" t="s">
        <v>118</v>
      </c>
      <c r="D321" s="492" t="s">
        <v>960</v>
      </c>
      <c r="E321" s="492" t="s">
        <v>145</v>
      </c>
      <c r="F321" s="489">
        <f>'[1]Пр.4 Рд,пр, ЦС,ВР 21'!F309</f>
        <v>0</v>
      </c>
      <c r="G321" s="489">
        <f t="shared" si="22"/>
        <v>0</v>
      </c>
    </row>
    <row r="322" spans="1:7" ht="63" hidden="1" x14ac:dyDescent="0.25">
      <c r="A322" s="496" t="s">
        <v>184</v>
      </c>
      <c r="B322" s="492" t="s">
        <v>234</v>
      </c>
      <c r="C322" s="492" t="s">
        <v>118</v>
      </c>
      <c r="D322" s="492" t="s">
        <v>960</v>
      </c>
      <c r="E322" s="492" t="s">
        <v>160</v>
      </c>
      <c r="F322" s="489">
        <f>'[1]Пр.4 Рд,пр, ЦС,ВР 21'!F310</f>
        <v>0</v>
      </c>
      <c r="G322" s="489">
        <f t="shared" si="22"/>
        <v>0</v>
      </c>
    </row>
    <row r="323" spans="1:7" ht="31.5" x14ac:dyDescent="0.25">
      <c r="A323" s="29" t="s">
        <v>398</v>
      </c>
      <c r="B323" s="492" t="s">
        <v>234</v>
      </c>
      <c r="C323" s="492" t="s">
        <v>118</v>
      </c>
      <c r="D323" s="492" t="s">
        <v>961</v>
      </c>
      <c r="E323" s="495"/>
      <c r="F323" s="489">
        <f>F324</f>
        <v>4920.3999999999996</v>
      </c>
      <c r="G323" s="489">
        <f>G324</f>
        <v>4920.3999999999996</v>
      </c>
    </row>
    <row r="324" spans="1:7" ht="31.5" x14ac:dyDescent="0.25">
      <c r="A324" s="496" t="s">
        <v>131</v>
      </c>
      <c r="B324" s="492" t="s">
        <v>234</v>
      </c>
      <c r="C324" s="492" t="s">
        <v>118</v>
      </c>
      <c r="D324" s="492" t="s">
        <v>961</v>
      </c>
      <c r="E324" s="492" t="s">
        <v>132</v>
      </c>
      <c r="F324" s="489">
        <f>F325</f>
        <v>4920.3999999999996</v>
      </c>
      <c r="G324" s="489">
        <f>G325</f>
        <v>4920.3999999999996</v>
      </c>
    </row>
    <row r="325" spans="1:7" ht="47.25" x14ac:dyDescent="0.25">
      <c r="A325" s="496" t="s">
        <v>133</v>
      </c>
      <c r="B325" s="492" t="s">
        <v>234</v>
      </c>
      <c r="C325" s="492" t="s">
        <v>118</v>
      </c>
      <c r="D325" s="492" t="s">
        <v>961</v>
      </c>
      <c r="E325" s="492" t="s">
        <v>134</v>
      </c>
      <c r="F325" s="489">
        <f>'пр.6.1.ведом.22-23 (2)'!G885+'пр.6.1.ведом.22-23 (2)'!G527</f>
        <v>4920.3999999999996</v>
      </c>
      <c r="G325" s="489">
        <f>'пр.6.1.ведом.22-23 (2)'!H885+'пр.6.1.ведом.22-23 (2)'!H527</f>
        <v>4920.3999999999996</v>
      </c>
    </row>
    <row r="326" spans="1:7" ht="47.25" x14ac:dyDescent="0.25">
      <c r="A326" s="29" t="s">
        <v>932</v>
      </c>
      <c r="B326" s="492" t="s">
        <v>234</v>
      </c>
      <c r="C326" s="492" t="s">
        <v>118</v>
      </c>
      <c r="D326" s="492" t="s">
        <v>962</v>
      </c>
      <c r="E326" s="495"/>
      <c r="F326" s="489">
        <f>F327</f>
        <v>1140</v>
      </c>
      <c r="G326" s="489">
        <f>G327</f>
        <v>1140</v>
      </c>
    </row>
    <row r="327" spans="1:7" ht="31.5" x14ac:dyDescent="0.25">
      <c r="A327" s="496" t="s">
        <v>131</v>
      </c>
      <c r="B327" s="492" t="s">
        <v>234</v>
      </c>
      <c r="C327" s="492" t="s">
        <v>118</v>
      </c>
      <c r="D327" s="492" t="s">
        <v>962</v>
      </c>
      <c r="E327" s="492" t="s">
        <v>132</v>
      </c>
      <c r="F327" s="489">
        <f>F328</f>
        <v>1140</v>
      </c>
      <c r="G327" s="489">
        <f>G328</f>
        <v>1140</v>
      </c>
    </row>
    <row r="328" spans="1:7" ht="47.25" x14ac:dyDescent="0.25">
      <c r="A328" s="496" t="s">
        <v>133</v>
      </c>
      <c r="B328" s="492" t="s">
        <v>234</v>
      </c>
      <c r="C328" s="492" t="s">
        <v>118</v>
      </c>
      <c r="D328" s="492" t="s">
        <v>962</v>
      </c>
      <c r="E328" s="492" t="s">
        <v>134</v>
      </c>
      <c r="F328" s="489">
        <f>'пр.6.1.ведом.22-23 (2)'!G530+'пр.6.1.ведом.22-23 (2)'!G888</f>
        <v>1140</v>
      </c>
      <c r="G328" s="489">
        <f>'пр.6.1.ведом.22-23 (2)'!H530+'пр.6.1.ведом.22-23 (2)'!H888</f>
        <v>1140</v>
      </c>
    </row>
    <row r="329" spans="1:7" ht="15.75" x14ac:dyDescent="0.25">
      <c r="A329" s="494" t="s">
        <v>517</v>
      </c>
      <c r="B329" s="495" t="s">
        <v>234</v>
      </c>
      <c r="C329" s="495" t="s">
        <v>213</v>
      </c>
      <c r="D329" s="495"/>
      <c r="E329" s="495"/>
      <c r="F329" s="488">
        <f>F359+F330+F388</f>
        <v>6611.199999999998</v>
      </c>
      <c r="G329" s="488">
        <f>G359+G330+G388</f>
        <v>14470.550000000001</v>
      </c>
    </row>
    <row r="330" spans="1:7" ht="15.75" x14ac:dyDescent="0.25">
      <c r="A330" s="494" t="s">
        <v>141</v>
      </c>
      <c r="B330" s="495" t="s">
        <v>234</v>
      </c>
      <c r="C330" s="495" t="s">
        <v>213</v>
      </c>
      <c r="D330" s="495" t="s">
        <v>866</v>
      </c>
      <c r="E330" s="495"/>
      <c r="F330" s="488">
        <f>F331+F342</f>
        <v>5707.199999999998</v>
      </c>
      <c r="G330" s="488">
        <f>G331+G342</f>
        <v>13555.550000000001</v>
      </c>
    </row>
    <row r="331" spans="1:7" ht="31.5" x14ac:dyDescent="0.25">
      <c r="A331" s="494" t="s">
        <v>870</v>
      </c>
      <c r="B331" s="495" t="s">
        <v>234</v>
      </c>
      <c r="C331" s="495" t="s">
        <v>213</v>
      </c>
      <c r="D331" s="495" t="s">
        <v>865</v>
      </c>
      <c r="E331" s="495"/>
      <c r="F331" s="488">
        <f>F332+F337</f>
        <v>5707.199999999998</v>
      </c>
      <c r="G331" s="488">
        <f>G332+G337</f>
        <v>13555.550000000001</v>
      </c>
    </row>
    <row r="332" spans="1:7" ht="31.5" hidden="1" x14ac:dyDescent="0.25">
      <c r="A332" s="35" t="s">
        <v>537</v>
      </c>
      <c r="B332" s="492" t="s">
        <v>234</v>
      </c>
      <c r="C332" s="492" t="s">
        <v>213</v>
      </c>
      <c r="D332" s="492" t="s">
        <v>979</v>
      </c>
      <c r="E332" s="492"/>
      <c r="F332" s="489">
        <f>F333+F335</f>
        <v>0</v>
      </c>
      <c r="G332" s="489">
        <f t="shared" si="22"/>
        <v>0</v>
      </c>
    </row>
    <row r="333" spans="1:7" ht="31.5" hidden="1" x14ac:dyDescent="0.25">
      <c r="A333" s="496" t="s">
        <v>131</v>
      </c>
      <c r="B333" s="492" t="s">
        <v>234</v>
      </c>
      <c r="C333" s="492" t="s">
        <v>213</v>
      </c>
      <c r="D333" s="492" t="s">
        <v>979</v>
      </c>
      <c r="E333" s="492" t="s">
        <v>132</v>
      </c>
      <c r="F333" s="489">
        <f>F334</f>
        <v>0</v>
      </c>
      <c r="G333" s="489">
        <f t="shared" si="22"/>
        <v>0</v>
      </c>
    </row>
    <row r="334" spans="1:7" ht="47.25" hidden="1" x14ac:dyDescent="0.25">
      <c r="A334" s="496" t="s">
        <v>133</v>
      </c>
      <c r="B334" s="492" t="s">
        <v>234</v>
      </c>
      <c r="C334" s="492" t="s">
        <v>213</v>
      </c>
      <c r="D334" s="492" t="s">
        <v>979</v>
      </c>
      <c r="E334" s="492" t="s">
        <v>134</v>
      </c>
      <c r="F334" s="489">
        <f>'пр.6.1.ведом.22-23 (2)'!G894</f>
        <v>0</v>
      </c>
      <c r="G334" s="489">
        <f t="shared" si="22"/>
        <v>0</v>
      </c>
    </row>
    <row r="335" spans="1:7" ht="15.75" hidden="1" x14ac:dyDescent="0.25">
      <c r="A335" s="496" t="s">
        <v>135</v>
      </c>
      <c r="B335" s="492" t="s">
        <v>234</v>
      </c>
      <c r="C335" s="492" t="s">
        <v>213</v>
      </c>
      <c r="D335" s="492" t="s">
        <v>979</v>
      </c>
      <c r="E335" s="492" t="s">
        <v>145</v>
      </c>
      <c r="F335" s="489">
        <f>F336</f>
        <v>0</v>
      </c>
      <c r="G335" s="489">
        <f t="shared" si="22"/>
        <v>0</v>
      </c>
    </row>
    <row r="336" spans="1:7" ht="63" hidden="1" x14ac:dyDescent="0.25">
      <c r="A336" s="496" t="s">
        <v>184</v>
      </c>
      <c r="B336" s="492" t="s">
        <v>234</v>
      </c>
      <c r="C336" s="492" t="s">
        <v>213</v>
      </c>
      <c r="D336" s="492" t="s">
        <v>979</v>
      </c>
      <c r="E336" s="492" t="s">
        <v>160</v>
      </c>
      <c r="F336" s="489">
        <f>'пр.6.1.ведом.22-23 (2)'!G896</f>
        <v>0</v>
      </c>
      <c r="G336" s="489">
        <f t="shared" si="22"/>
        <v>0</v>
      </c>
    </row>
    <row r="337" spans="1:7" ht="47.25" x14ac:dyDescent="0.25">
      <c r="A337" s="29" t="s">
        <v>932</v>
      </c>
      <c r="B337" s="492" t="s">
        <v>234</v>
      </c>
      <c r="C337" s="492" t="s">
        <v>213</v>
      </c>
      <c r="D337" s="492" t="s">
        <v>962</v>
      </c>
      <c r="E337" s="492"/>
      <c r="F337" s="489">
        <f>F338</f>
        <v>5707.199999999998</v>
      </c>
      <c r="G337" s="489">
        <f>G338</f>
        <v>13555.550000000001</v>
      </c>
    </row>
    <row r="338" spans="1:7" ht="31.5" x14ac:dyDescent="0.25">
      <c r="A338" s="496" t="s">
        <v>131</v>
      </c>
      <c r="B338" s="492" t="s">
        <v>234</v>
      </c>
      <c r="C338" s="492" t="s">
        <v>213</v>
      </c>
      <c r="D338" s="492" t="s">
        <v>962</v>
      </c>
      <c r="E338" s="492" t="s">
        <v>132</v>
      </c>
      <c r="F338" s="489">
        <f>F339</f>
        <v>5707.199999999998</v>
      </c>
      <c r="G338" s="489">
        <f>G339</f>
        <v>13555.550000000001</v>
      </c>
    </row>
    <row r="339" spans="1:7" ht="47.25" x14ac:dyDescent="0.25">
      <c r="A339" s="496" t="s">
        <v>133</v>
      </c>
      <c r="B339" s="492" t="s">
        <v>234</v>
      </c>
      <c r="C339" s="492" t="s">
        <v>213</v>
      </c>
      <c r="D339" s="492" t="s">
        <v>962</v>
      </c>
      <c r="E339" s="492" t="s">
        <v>134</v>
      </c>
      <c r="F339" s="489">
        <f>'пр.6.1.ведом.22-23 (2)'!G899</f>
        <v>5707.199999999998</v>
      </c>
      <c r="G339" s="489">
        <f>'пр.6.1.ведом.22-23 (2)'!H899</f>
        <v>13555.550000000001</v>
      </c>
    </row>
    <row r="340" spans="1:7" ht="15.75" hidden="1" x14ac:dyDescent="0.25">
      <c r="A340" s="496" t="s">
        <v>135</v>
      </c>
      <c r="B340" s="492" t="s">
        <v>234</v>
      </c>
      <c r="C340" s="492" t="s">
        <v>213</v>
      </c>
      <c r="D340" s="492" t="s">
        <v>962</v>
      </c>
      <c r="E340" s="492" t="s">
        <v>145</v>
      </c>
      <c r="F340" s="489">
        <f>'[1]Пр.4 Рд,пр, ЦС,ВР 21'!F329</f>
        <v>0</v>
      </c>
      <c r="G340" s="489">
        <f t="shared" si="22"/>
        <v>0</v>
      </c>
    </row>
    <row r="341" spans="1:7" ht="15.75" hidden="1" x14ac:dyDescent="0.25">
      <c r="A341" s="496" t="s">
        <v>146</v>
      </c>
      <c r="B341" s="492" t="s">
        <v>234</v>
      </c>
      <c r="C341" s="492" t="s">
        <v>213</v>
      </c>
      <c r="D341" s="492" t="s">
        <v>962</v>
      </c>
      <c r="E341" s="492" t="s">
        <v>147</v>
      </c>
      <c r="F341" s="489">
        <f>'[1]Пр.4 Рд,пр, ЦС,ВР 21'!F330</f>
        <v>0</v>
      </c>
      <c r="G341" s="489">
        <f t="shared" si="22"/>
        <v>0</v>
      </c>
    </row>
    <row r="342" spans="1:7" ht="63" hidden="1" x14ac:dyDescent="0.25">
      <c r="A342" s="494" t="s">
        <v>1013</v>
      </c>
      <c r="B342" s="495" t="s">
        <v>234</v>
      </c>
      <c r="C342" s="495" t="s">
        <v>213</v>
      </c>
      <c r="D342" s="495" t="s">
        <v>980</v>
      </c>
      <c r="E342" s="495"/>
      <c r="F342" s="488">
        <f>F343+F348+F351+F356</f>
        <v>0</v>
      </c>
      <c r="G342" s="488">
        <f>G343+G348+G351+G356</f>
        <v>0</v>
      </c>
    </row>
    <row r="343" spans="1:7" ht="47.25" hidden="1" x14ac:dyDescent="0.25">
      <c r="A343" s="496" t="s">
        <v>827</v>
      </c>
      <c r="B343" s="492" t="s">
        <v>234</v>
      </c>
      <c r="C343" s="492" t="s">
        <v>213</v>
      </c>
      <c r="D343" s="492" t="s">
        <v>981</v>
      </c>
      <c r="E343" s="492"/>
      <c r="F343" s="489">
        <f>'[1]Пр.4 Рд,пр, ЦС,ВР 21'!F332</f>
        <v>0</v>
      </c>
      <c r="G343" s="489">
        <f t="shared" ref="G343:G387" si="27">F343</f>
        <v>0</v>
      </c>
    </row>
    <row r="344" spans="1:7" ht="31.5" hidden="1" x14ac:dyDescent="0.25">
      <c r="A344" s="496" t="s">
        <v>131</v>
      </c>
      <c r="B344" s="492" t="s">
        <v>234</v>
      </c>
      <c r="C344" s="492" t="s">
        <v>213</v>
      </c>
      <c r="D344" s="492" t="s">
        <v>981</v>
      </c>
      <c r="E344" s="492" t="s">
        <v>132</v>
      </c>
      <c r="F344" s="489">
        <f>'[1]Пр.4 Рд,пр, ЦС,ВР 21'!F333</f>
        <v>0</v>
      </c>
      <c r="G344" s="489">
        <f t="shared" si="27"/>
        <v>0</v>
      </c>
    </row>
    <row r="345" spans="1:7" ht="47.25" hidden="1" x14ac:dyDescent="0.25">
      <c r="A345" s="496" t="s">
        <v>133</v>
      </c>
      <c r="B345" s="492" t="s">
        <v>234</v>
      </c>
      <c r="C345" s="492" t="s">
        <v>213</v>
      </c>
      <c r="D345" s="492" t="s">
        <v>981</v>
      </c>
      <c r="E345" s="492" t="s">
        <v>134</v>
      </c>
      <c r="F345" s="489">
        <f>'[1]Пр.4 Рд,пр, ЦС,ВР 21'!F334</f>
        <v>0</v>
      </c>
      <c r="G345" s="489">
        <f t="shared" si="27"/>
        <v>0</v>
      </c>
    </row>
    <row r="346" spans="1:7" ht="15.75" hidden="1" x14ac:dyDescent="0.25">
      <c r="A346" s="496" t="s">
        <v>135</v>
      </c>
      <c r="B346" s="492" t="s">
        <v>234</v>
      </c>
      <c r="C346" s="492" t="s">
        <v>213</v>
      </c>
      <c r="D346" s="492" t="s">
        <v>981</v>
      </c>
      <c r="E346" s="492" t="s">
        <v>837</v>
      </c>
      <c r="F346" s="489">
        <f>'[1]Пр.4 Рд,пр, ЦС,ВР 21'!F335</f>
        <v>0</v>
      </c>
      <c r="G346" s="489">
        <f t="shared" si="27"/>
        <v>0</v>
      </c>
    </row>
    <row r="347" spans="1:7" ht="15.75" hidden="1" x14ac:dyDescent="0.25">
      <c r="A347" s="496" t="s">
        <v>568</v>
      </c>
      <c r="B347" s="492" t="s">
        <v>234</v>
      </c>
      <c r="C347" s="492" t="s">
        <v>213</v>
      </c>
      <c r="D347" s="492" t="s">
        <v>981</v>
      </c>
      <c r="E347" s="492" t="s">
        <v>1067</v>
      </c>
      <c r="F347" s="489">
        <f>'[1]Пр.4 Рд,пр, ЦС,ВР 21'!F336</f>
        <v>0</v>
      </c>
      <c r="G347" s="489">
        <f t="shared" si="27"/>
        <v>0</v>
      </c>
    </row>
    <row r="348" spans="1:7" ht="63" hidden="1" x14ac:dyDescent="0.25">
      <c r="A348" s="496" t="s">
        <v>793</v>
      </c>
      <c r="B348" s="492" t="s">
        <v>234</v>
      </c>
      <c r="C348" s="492" t="s">
        <v>213</v>
      </c>
      <c r="D348" s="492" t="s">
        <v>982</v>
      </c>
      <c r="E348" s="492"/>
      <c r="F348" s="489">
        <f>'[1]Пр.4 Рд,пр, ЦС,ВР 21'!F337</f>
        <v>0</v>
      </c>
      <c r="G348" s="489">
        <f t="shared" si="27"/>
        <v>0</v>
      </c>
    </row>
    <row r="349" spans="1:7" ht="31.5" hidden="1" x14ac:dyDescent="0.25">
      <c r="A349" s="496" t="s">
        <v>131</v>
      </c>
      <c r="B349" s="492" t="s">
        <v>234</v>
      </c>
      <c r="C349" s="492" t="s">
        <v>213</v>
      </c>
      <c r="D349" s="492" t="s">
        <v>982</v>
      </c>
      <c r="E349" s="492" t="s">
        <v>132</v>
      </c>
      <c r="F349" s="489">
        <f>'[1]Пр.4 Рд,пр, ЦС,ВР 21'!F338</f>
        <v>0</v>
      </c>
      <c r="G349" s="489">
        <f t="shared" si="27"/>
        <v>0</v>
      </c>
    </row>
    <row r="350" spans="1:7" ht="47.25" hidden="1" x14ac:dyDescent="0.25">
      <c r="A350" s="496" t="s">
        <v>133</v>
      </c>
      <c r="B350" s="492" t="s">
        <v>234</v>
      </c>
      <c r="C350" s="492" t="s">
        <v>213</v>
      </c>
      <c r="D350" s="492" t="s">
        <v>982</v>
      </c>
      <c r="E350" s="492" t="s">
        <v>134</v>
      </c>
      <c r="F350" s="489">
        <f>'[1]Пр.4 Рд,пр, ЦС,ВР 21'!F339</f>
        <v>0</v>
      </c>
      <c r="G350" s="489">
        <f t="shared" si="27"/>
        <v>0</v>
      </c>
    </row>
    <row r="351" spans="1:7" ht="47.25" hidden="1" x14ac:dyDescent="0.25">
      <c r="A351" s="97" t="s">
        <v>833</v>
      </c>
      <c r="B351" s="492" t="s">
        <v>234</v>
      </c>
      <c r="C351" s="492" t="s">
        <v>213</v>
      </c>
      <c r="D351" s="492" t="s">
        <v>983</v>
      </c>
      <c r="E351" s="492"/>
      <c r="F351" s="489">
        <f>'[1]Пр.4 Рд,пр, ЦС,ВР 21'!F340</f>
        <v>0</v>
      </c>
      <c r="G351" s="489">
        <f t="shared" si="27"/>
        <v>0</v>
      </c>
    </row>
    <row r="352" spans="1:7" ht="47.25" hidden="1" x14ac:dyDescent="0.25">
      <c r="A352" s="496" t="s">
        <v>838</v>
      </c>
      <c r="B352" s="492" t="s">
        <v>234</v>
      </c>
      <c r="C352" s="492" t="s">
        <v>213</v>
      </c>
      <c r="D352" s="492" t="s">
        <v>983</v>
      </c>
      <c r="E352" s="492" t="s">
        <v>837</v>
      </c>
      <c r="F352" s="489">
        <f>'[1]Пр.4 Рд,пр, ЦС,ВР 21'!F341</f>
        <v>0</v>
      </c>
      <c r="G352" s="489">
        <f t="shared" si="27"/>
        <v>0</v>
      </c>
    </row>
    <row r="353" spans="1:7" ht="63" hidden="1" x14ac:dyDescent="0.25">
      <c r="A353" s="496" t="s">
        <v>1048</v>
      </c>
      <c r="B353" s="492" t="s">
        <v>234</v>
      </c>
      <c r="C353" s="492" t="s">
        <v>213</v>
      </c>
      <c r="D353" s="492" t="s">
        <v>983</v>
      </c>
      <c r="E353" s="492" t="s">
        <v>1067</v>
      </c>
      <c r="F353" s="489">
        <f>'[1]Пр.4 Рд,пр, ЦС,ВР 21'!F342</f>
        <v>0</v>
      </c>
      <c r="G353" s="489">
        <f t="shared" si="27"/>
        <v>0</v>
      </c>
    </row>
    <row r="354" spans="1:7" ht="15.75" hidden="1" x14ac:dyDescent="0.25">
      <c r="A354" s="496" t="s">
        <v>135</v>
      </c>
      <c r="B354" s="492" t="s">
        <v>234</v>
      </c>
      <c r="C354" s="492" t="s">
        <v>213</v>
      </c>
      <c r="D354" s="492" t="s">
        <v>983</v>
      </c>
      <c r="E354" s="492" t="s">
        <v>145</v>
      </c>
      <c r="F354" s="489">
        <f>'[1]Пр.4 Рд,пр, ЦС,ВР 21'!F343</f>
        <v>0</v>
      </c>
      <c r="G354" s="489">
        <f t="shared" si="27"/>
        <v>0</v>
      </c>
    </row>
    <row r="355" spans="1:7" ht="15.75" hidden="1" x14ac:dyDescent="0.25">
      <c r="A355" s="496" t="s">
        <v>704</v>
      </c>
      <c r="B355" s="492" t="s">
        <v>234</v>
      </c>
      <c r="C355" s="492" t="s">
        <v>213</v>
      </c>
      <c r="D355" s="492" t="s">
        <v>983</v>
      </c>
      <c r="E355" s="492" t="s">
        <v>138</v>
      </c>
      <c r="F355" s="489">
        <f>'[1]Пр.4 Рд,пр, ЦС,ВР 21'!F344</f>
        <v>0</v>
      </c>
      <c r="G355" s="489">
        <f t="shared" si="27"/>
        <v>0</v>
      </c>
    </row>
    <row r="356" spans="1:7" ht="31.5" hidden="1" x14ac:dyDescent="0.25">
      <c r="A356" s="496" t="s">
        <v>1068</v>
      </c>
      <c r="B356" s="492" t="s">
        <v>234</v>
      </c>
      <c r="C356" s="492" t="s">
        <v>213</v>
      </c>
      <c r="D356" s="492" t="s">
        <v>1069</v>
      </c>
      <c r="E356" s="492"/>
      <c r="F356" s="489">
        <f>'[1]Пр.4 Рд,пр, ЦС,ВР 21'!F345</f>
        <v>0</v>
      </c>
      <c r="G356" s="489">
        <f t="shared" si="27"/>
        <v>0</v>
      </c>
    </row>
    <row r="357" spans="1:7" ht="31.5" hidden="1" x14ac:dyDescent="0.25">
      <c r="A357" s="496" t="s">
        <v>131</v>
      </c>
      <c r="B357" s="492" t="s">
        <v>234</v>
      </c>
      <c r="C357" s="492" t="s">
        <v>213</v>
      </c>
      <c r="D357" s="492" t="s">
        <v>1069</v>
      </c>
      <c r="E357" s="492" t="s">
        <v>132</v>
      </c>
      <c r="F357" s="489">
        <f>'[1]Пр.4 Рд,пр, ЦС,ВР 21'!F346</f>
        <v>0</v>
      </c>
      <c r="G357" s="489">
        <f t="shared" si="27"/>
        <v>0</v>
      </c>
    </row>
    <row r="358" spans="1:7" ht="47.25" hidden="1" x14ac:dyDescent="0.25">
      <c r="A358" s="496" t="s">
        <v>133</v>
      </c>
      <c r="B358" s="492" t="s">
        <v>234</v>
      </c>
      <c r="C358" s="492" t="s">
        <v>213</v>
      </c>
      <c r="D358" s="492" t="s">
        <v>1069</v>
      </c>
      <c r="E358" s="492" t="s">
        <v>134</v>
      </c>
      <c r="F358" s="489">
        <f>'[1]Пр.4 Рд,пр, ЦС,ВР 21'!F347</f>
        <v>0</v>
      </c>
      <c r="G358" s="489">
        <f t="shared" si="27"/>
        <v>0</v>
      </c>
    </row>
    <row r="359" spans="1:7" ht="63" x14ac:dyDescent="0.25">
      <c r="A359" s="494" t="s">
        <v>1527</v>
      </c>
      <c r="B359" s="495" t="s">
        <v>234</v>
      </c>
      <c r="C359" s="495" t="s">
        <v>213</v>
      </c>
      <c r="D359" s="495" t="s">
        <v>518</v>
      </c>
      <c r="E359" s="495"/>
      <c r="F359" s="488">
        <f>F360+F364+F368+F372+F376+F380+F384</f>
        <v>700</v>
      </c>
      <c r="G359" s="488">
        <f>G360+G364+G368+G372+G376+G380+G384</f>
        <v>700</v>
      </c>
    </row>
    <row r="360" spans="1:7" ht="31.5" x14ac:dyDescent="0.25">
      <c r="A360" s="494" t="s">
        <v>963</v>
      </c>
      <c r="B360" s="495" t="s">
        <v>234</v>
      </c>
      <c r="C360" s="495" t="s">
        <v>213</v>
      </c>
      <c r="D360" s="495" t="s">
        <v>965</v>
      </c>
      <c r="E360" s="495"/>
      <c r="F360" s="488">
        <f t="shared" ref="F360:G362" si="28">F361</f>
        <v>700</v>
      </c>
      <c r="G360" s="488">
        <f t="shared" si="28"/>
        <v>700</v>
      </c>
    </row>
    <row r="361" spans="1:7" ht="15.75" x14ac:dyDescent="0.25">
      <c r="A361" s="45" t="s">
        <v>964</v>
      </c>
      <c r="B361" s="499" t="s">
        <v>234</v>
      </c>
      <c r="C361" s="499" t="s">
        <v>213</v>
      </c>
      <c r="D361" s="492" t="s">
        <v>966</v>
      </c>
      <c r="E361" s="499"/>
      <c r="F361" s="489">
        <f t="shared" si="28"/>
        <v>700</v>
      </c>
      <c r="G361" s="489">
        <f t="shared" si="28"/>
        <v>700</v>
      </c>
    </row>
    <row r="362" spans="1:7" ht="31.5" x14ac:dyDescent="0.25">
      <c r="A362" s="31" t="s">
        <v>131</v>
      </c>
      <c r="B362" s="499" t="s">
        <v>234</v>
      </c>
      <c r="C362" s="499" t="s">
        <v>213</v>
      </c>
      <c r="D362" s="492" t="s">
        <v>966</v>
      </c>
      <c r="E362" s="499" t="s">
        <v>132</v>
      </c>
      <c r="F362" s="489">
        <f t="shared" si="28"/>
        <v>700</v>
      </c>
      <c r="G362" s="489">
        <f t="shared" si="28"/>
        <v>700</v>
      </c>
    </row>
    <row r="363" spans="1:7" ht="47.25" x14ac:dyDescent="0.25">
      <c r="A363" s="31" t="s">
        <v>133</v>
      </c>
      <c r="B363" s="499" t="s">
        <v>234</v>
      </c>
      <c r="C363" s="499" t="s">
        <v>213</v>
      </c>
      <c r="D363" s="492" t="s">
        <v>966</v>
      </c>
      <c r="E363" s="499" t="s">
        <v>134</v>
      </c>
      <c r="F363" s="489">
        <f>'пр.6.1.ведом.22-23 (2)'!G923</f>
        <v>700</v>
      </c>
      <c r="G363" s="489">
        <f>'пр.6.1.ведом.22-23 (2)'!H923</f>
        <v>700</v>
      </c>
    </row>
    <row r="364" spans="1:7" ht="31.5" hidden="1" x14ac:dyDescent="0.25">
      <c r="A364" s="34" t="s">
        <v>967</v>
      </c>
      <c r="B364" s="7" t="s">
        <v>234</v>
      </c>
      <c r="C364" s="7" t="s">
        <v>213</v>
      </c>
      <c r="D364" s="495" t="s">
        <v>968</v>
      </c>
      <c r="E364" s="7"/>
      <c r="F364" s="488">
        <f>F365</f>
        <v>0</v>
      </c>
      <c r="G364" s="488">
        <f>G365</f>
        <v>0</v>
      </c>
    </row>
    <row r="365" spans="1:7" ht="15.75" hidden="1" x14ac:dyDescent="0.25">
      <c r="A365" s="45" t="s">
        <v>523</v>
      </c>
      <c r="B365" s="499" t="s">
        <v>234</v>
      </c>
      <c r="C365" s="499" t="s">
        <v>213</v>
      </c>
      <c r="D365" s="492" t="s">
        <v>971</v>
      </c>
      <c r="E365" s="499"/>
      <c r="F365" s="489">
        <f>'[1]Пр.4 Рд,пр, ЦС,ВР 21'!F354</f>
        <v>0</v>
      </c>
      <c r="G365" s="489">
        <f t="shared" si="27"/>
        <v>0</v>
      </c>
    </row>
    <row r="366" spans="1:7" ht="31.5" hidden="1" x14ac:dyDescent="0.25">
      <c r="A366" s="31" t="s">
        <v>131</v>
      </c>
      <c r="B366" s="499" t="s">
        <v>234</v>
      </c>
      <c r="C366" s="499" t="s">
        <v>213</v>
      </c>
      <c r="D366" s="492" t="s">
        <v>971</v>
      </c>
      <c r="E366" s="499" t="s">
        <v>132</v>
      </c>
      <c r="F366" s="489">
        <f>'[1]Пр.4 Рд,пр, ЦС,ВР 21'!F355</f>
        <v>0</v>
      </c>
      <c r="G366" s="489">
        <f t="shared" si="27"/>
        <v>0</v>
      </c>
    </row>
    <row r="367" spans="1:7" ht="47.25" hidden="1" x14ac:dyDescent="0.25">
      <c r="A367" s="31" t="s">
        <v>133</v>
      </c>
      <c r="B367" s="499" t="s">
        <v>234</v>
      </c>
      <c r="C367" s="499" t="s">
        <v>213</v>
      </c>
      <c r="D367" s="492" t="s">
        <v>971</v>
      </c>
      <c r="E367" s="499" t="s">
        <v>134</v>
      </c>
      <c r="F367" s="489">
        <f>'[1]Пр.4 Рд,пр, ЦС,ВР 21'!F356</f>
        <v>0</v>
      </c>
      <c r="G367" s="489">
        <f t="shared" si="27"/>
        <v>0</v>
      </c>
    </row>
    <row r="368" spans="1:7" ht="31.5" hidden="1" x14ac:dyDescent="0.25">
      <c r="A368" s="58" t="s">
        <v>969</v>
      </c>
      <c r="B368" s="7" t="s">
        <v>234</v>
      </c>
      <c r="C368" s="7" t="s">
        <v>213</v>
      </c>
      <c r="D368" s="495" t="s">
        <v>970</v>
      </c>
      <c r="E368" s="7"/>
      <c r="F368" s="488">
        <f>F369</f>
        <v>0</v>
      </c>
      <c r="G368" s="488">
        <f>G369</f>
        <v>0</v>
      </c>
    </row>
    <row r="369" spans="1:7" ht="15.75" hidden="1" x14ac:dyDescent="0.25">
      <c r="A369" s="45" t="s">
        <v>525</v>
      </c>
      <c r="B369" s="499" t="s">
        <v>234</v>
      </c>
      <c r="C369" s="499" t="s">
        <v>213</v>
      </c>
      <c r="D369" s="492" t="s">
        <v>972</v>
      </c>
      <c r="E369" s="499"/>
      <c r="F369" s="489">
        <f>'[1]Пр.4 Рд,пр, ЦС,ВР 21'!F358</f>
        <v>0</v>
      </c>
      <c r="G369" s="489">
        <f t="shared" si="27"/>
        <v>0</v>
      </c>
    </row>
    <row r="370" spans="1:7" ht="31.5" hidden="1" x14ac:dyDescent="0.25">
      <c r="A370" s="31" t="s">
        <v>131</v>
      </c>
      <c r="B370" s="499" t="s">
        <v>234</v>
      </c>
      <c r="C370" s="499" t="s">
        <v>213</v>
      </c>
      <c r="D370" s="492" t="s">
        <v>972</v>
      </c>
      <c r="E370" s="499" t="s">
        <v>132</v>
      </c>
      <c r="F370" s="489">
        <f>'[1]Пр.4 Рд,пр, ЦС,ВР 21'!F359</f>
        <v>0</v>
      </c>
      <c r="G370" s="489">
        <f t="shared" si="27"/>
        <v>0</v>
      </c>
    </row>
    <row r="371" spans="1:7" ht="47.25" hidden="1" x14ac:dyDescent="0.25">
      <c r="A371" s="31" t="s">
        <v>133</v>
      </c>
      <c r="B371" s="499" t="s">
        <v>234</v>
      </c>
      <c r="C371" s="499" t="s">
        <v>213</v>
      </c>
      <c r="D371" s="492" t="s">
        <v>972</v>
      </c>
      <c r="E371" s="499" t="s">
        <v>134</v>
      </c>
      <c r="F371" s="489">
        <f>'[1]Пр.4 Рд,пр, ЦС,ВР 21'!F360</f>
        <v>0</v>
      </c>
      <c r="G371" s="489">
        <f t="shared" si="27"/>
        <v>0</v>
      </c>
    </row>
    <row r="372" spans="1:7" ht="31.5" hidden="1" x14ac:dyDescent="0.25">
      <c r="A372" s="58" t="s">
        <v>973</v>
      </c>
      <c r="B372" s="7" t="s">
        <v>234</v>
      </c>
      <c r="C372" s="7" t="s">
        <v>213</v>
      </c>
      <c r="D372" s="495" t="s">
        <v>974</v>
      </c>
      <c r="E372" s="7"/>
      <c r="F372" s="488">
        <f>F373</f>
        <v>0</v>
      </c>
      <c r="G372" s="488">
        <f>G373</f>
        <v>0</v>
      </c>
    </row>
    <row r="373" spans="1:7" ht="15.75" hidden="1" x14ac:dyDescent="0.25">
      <c r="A373" s="45" t="s">
        <v>527</v>
      </c>
      <c r="B373" s="499" t="s">
        <v>234</v>
      </c>
      <c r="C373" s="499" t="s">
        <v>213</v>
      </c>
      <c r="D373" s="492" t="s">
        <v>975</v>
      </c>
      <c r="E373" s="499"/>
      <c r="F373" s="489">
        <f>'[1]Пр.4 Рд,пр, ЦС,ВР 21'!F362</f>
        <v>0</v>
      </c>
      <c r="G373" s="489">
        <f t="shared" si="27"/>
        <v>0</v>
      </c>
    </row>
    <row r="374" spans="1:7" ht="31.5" hidden="1" x14ac:dyDescent="0.25">
      <c r="A374" s="31" t="s">
        <v>131</v>
      </c>
      <c r="B374" s="499" t="s">
        <v>234</v>
      </c>
      <c r="C374" s="499" t="s">
        <v>213</v>
      </c>
      <c r="D374" s="492" t="s">
        <v>975</v>
      </c>
      <c r="E374" s="499" t="s">
        <v>132</v>
      </c>
      <c r="F374" s="489">
        <f>'[1]Пр.4 Рд,пр, ЦС,ВР 21'!F363</f>
        <v>0</v>
      </c>
      <c r="G374" s="489">
        <f t="shared" si="27"/>
        <v>0</v>
      </c>
    </row>
    <row r="375" spans="1:7" ht="47.25" hidden="1" x14ac:dyDescent="0.25">
      <c r="A375" s="31" t="s">
        <v>133</v>
      </c>
      <c r="B375" s="499" t="s">
        <v>234</v>
      </c>
      <c r="C375" s="499" t="s">
        <v>213</v>
      </c>
      <c r="D375" s="492" t="s">
        <v>975</v>
      </c>
      <c r="E375" s="499" t="s">
        <v>134</v>
      </c>
      <c r="F375" s="489">
        <f>'[1]Пр.4 Рд,пр, ЦС,ВР 21'!F364</f>
        <v>0</v>
      </c>
      <c r="G375" s="489">
        <f t="shared" si="27"/>
        <v>0</v>
      </c>
    </row>
    <row r="376" spans="1:7" ht="31.5" hidden="1" x14ac:dyDescent="0.25">
      <c r="A376" s="34" t="s">
        <v>1014</v>
      </c>
      <c r="B376" s="7" t="s">
        <v>234</v>
      </c>
      <c r="C376" s="7" t="s">
        <v>213</v>
      </c>
      <c r="D376" s="495" t="s">
        <v>1015</v>
      </c>
      <c r="E376" s="7"/>
      <c r="F376" s="488">
        <f>F377</f>
        <v>0</v>
      </c>
      <c r="G376" s="488">
        <f>G377</f>
        <v>0</v>
      </c>
    </row>
    <row r="377" spans="1:7" ht="15.75" hidden="1" x14ac:dyDescent="0.25">
      <c r="A377" s="45" t="s">
        <v>529</v>
      </c>
      <c r="B377" s="499" t="s">
        <v>234</v>
      </c>
      <c r="C377" s="499" t="s">
        <v>213</v>
      </c>
      <c r="D377" s="492" t="s">
        <v>1018</v>
      </c>
      <c r="E377" s="499"/>
      <c r="F377" s="489">
        <f>'[1]Пр.4 Рд,пр, ЦС,ВР 21'!F366</f>
        <v>0</v>
      </c>
      <c r="G377" s="489">
        <f t="shared" si="27"/>
        <v>0</v>
      </c>
    </row>
    <row r="378" spans="1:7" ht="31.5" hidden="1" x14ac:dyDescent="0.25">
      <c r="A378" s="31" t="s">
        <v>131</v>
      </c>
      <c r="B378" s="499" t="s">
        <v>234</v>
      </c>
      <c r="C378" s="499" t="s">
        <v>213</v>
      </c>
      <c r="D378" s="492" t="s">
        <v>1018</v>
      </c>
      <c r="E378" s="499" t="s">
        <v>132</v>
      </c>
      <c r="F378" s="489">
        <f>'[1]Пр.4 Рд,пр, ЦС,ВР 21'!F367</f>
        <v>0</v>
      </c>
      <c r="G378" s="489">
        <f t="shared" si="27"/>
        <v>0</v>
      </c>
    </row>
    <row r="379" spans="1:7" ht="47.25" hidden="1" x14ac:dyDescent="0.25">
      <c r="A379" s="31" t="s">
        <v>133</v>
      </c>
      <c r="B379" s="499" t="s">
        <v>234</v>
      </c>
      <c r="C379" s="499" t="s">
        <v>213</v>
      </c>
      <c r="D379" s="492" t="s">
        <v>1018</v>
      </c>
      <c r="E379" s="499" t="s">
        <v>134</v>
      </c>
      <c r="F379" s="489">
        <f>'[1]Пр.4 Рд,пр, ЦС,ВР 21'!F368</f>
        <v>0</v>
      </c>
      <c r="G379" s="489">
        <f t="shared" si="27"/>
        <v>0</v>
      </c>
    </row>
    <row r="380" spans="1:7" ht="47.25" hidden="1" x14ac:dyDescent="0.25">
      <c r="A380" s="220" t="s">
        <v>1016</v>
      </c>
      <c r="B380" s="7" t="s">
        <v>234</v>
      </c>
      <c r="C380" s="7" t="s">
        <v>213</v>
      </c>
      <c r="D380" s="495" t="s">
        <v>1017</v>
      </c>
      <c r="E380" s="7"/>
      <c r="F380" s="488">
        <f>F381</f>
        <v>0</v>
      </c>
      <c r="G380" s="488">
        <f>G381</f>
        <v>0</v>
      </c>
    </row>
    <row r="381" spans="1:7" ht="31.5" hidden="1" x14ac:dyDescent="0.25">
      <c r="A381" s="174" t="s">
        <v>531</v>
      </c>
      <c r="B381" s="499" t="s">
        <v>234</v>
      </c>
      <c r="C381" s="499" t="s">
        <v>213</v>
      </c>
      <c r="D381" s="492" t="s">
        <v>1019</v>
      </c>
      <c r="E381" s="499"/>
      <c r="F381" s="489">
        <f>'[1]Пр.4 Рд,пр, ЦС,ВР 21'!F370</f>
        <v>0</v>
      </c>
      <c r="G381" s="489">
        <f t="shared" si="27"/>
        <v>0</v>
      </c>
    </row>
    <row r="382" spans="1:7" ht="31.5" hidden="1" x14ac:dyDescent="0.25">
      <c r="A382" s="31" t="s">
        <v>131</v>
      </c>
      <c r="B382" s="499" t="s">
        <v>234</v>
      </c>
      <c r="C382" s="499" t="s">
        <v>213</v>
      </c>
      <c r="D382" s="492" t="s">
        <v>1019</v>
      </c>
      <c r="E382" s="499" t="s">
        <v>132</v>
      </c>
      <c r="F382" s="489">
        <f>'[1]Пр.4 Рд,пр, ЦС,ВР 21'!F371</f>
        <v>0</v>
      </c>
      <c r="G382" s="489">
        <f t="shared" si="27"/>
        <v>0</v>
      </c>
    </row>
    <row r="383" spans="1:7" ht="47.25" hidden="1" x14ac:dyDescent="0.25">
      <c r="A383" s="31" t="s">
        <v>133</v>
      </c>
      <c r="B383" s="499" t="s">
        <v>234</v>
      </c>
      <c r="C383" s="499" t="s">
        <v>213</v>
      </c>
      <c r="D383" s="492" t="s">
        <v>1019</v>
      </c>
      <c r="E383" s="499" t="s">
        <v>134</v>
      </c>
      <c r="F383" s="489">
        <f>'[1]Пр.4 Рд,пр, ЦС,ВР 21'!F372</f>
        <v>0</v>
      </c>
      <c r="G383" s="489">
        <f t="shared" si="27"/>
        <v>0</v>
      </c>
    </row>
    <row r="384" spans="1:7" ht="31.5" hidden="1" x14ac:dyDescent="0.25">
      <c r="A384" s="220" t="s">
        <v>977</v>
      </c>
      <c r="B384" s="7" t="s">
        <v>234</v>
      </c>
      <c r="C384" s="7" t="s">
        <v>213</v>
      </c>
      <c r="D384" s="495" t="s">
        <v>978</v>
      </c>
      <c r="E384" s="7"/>
      <c r="F384" s="488">
        <f>F385</f>
        <v>0</v>
      </c>
      <c r="G384" s="488">
        <f>G385</f>
        <v>0</v>
      </c>
    </row>
    <row r="385" spans="1:9" ht="15.75" hidden="1" x14ac:dyDescent="0.25">
      <c r="A385" s="174" t="s">
        <v>533</v>
      </c>
      <c r="B385" s="499" t="s">
        <v>234</v>
      </c>
      <c r="C385" s="499" t="s">
        <v>213</v>
      </c>
      <c r="D385" s="492" t="s">
        <v>976</v>
      </c>
      <c r="E385" s="499"/>
      <c r="F385" s="489">
        <f>'[1]Пр.4 Рд,пр, ЦС,ВР 21'!F374</f>
        <v>0</v>
      </c>
      <c r="G385" s="489">
        <f t="shared" si="27"/>
        <v>0</v>
      </c>
    </row>
    <row r="386" spans="1:9" ht="31.5" hidden="1" x14ac:dyDescent="0.25">
      <c r="A386" s="496" t="s">
        <v>131</v>
      </c>
      <c r="B386" s="499" t="s">
        <v>234</v>
      </c>
      <c r="C386" s="499" t="s">
        <v>213</v>
      </c>
      <c r="D386" s="492" t="s">
        <v>976</v>
      </c>
      <c r="E386" s="499" t="s">
        <v>132</v>
      </c>
      <c r="F386" s="489">
        <f>'[1]Пр.4 Рд,пр, ЦС,ВР 21'!F375</f>
        <v>0</v>
      </c>
      <c r="G386" s="489">
        <f t="shared" si="27"/>
        <v>0</v>
      </c>
    </row>
    <row r="387" spans="1:9" ht="47.25" hidden="1" x14ac:dyDescent="0.25">
      <c r="A387" s="496" t="s">
        <v>133</v>
      </c>
      <c r="B387" s="499" t="s">
        <v>234</v>
      </c>
      <c r="C387" s="499" t="s">
        <v>213</v>
      </c>
      <c r="D387" s="492" t="s">
        <v>976</v>
      </c>
      <c r="E387" s="499" t="s">
        <v>134</v>
      </c>
      <c r="F387" s="489">
        <f>'[1]Пр.4 Рд,пр, ЦС,ВР 21'!F376</f>
        <v>0</v>
      </c>
      <c r="G387" s="489">
        <f t="shared" si="27"/>
        <v>0</v>
      </c>
    </row>
    <row r="388" spans="1:9" ht="47.25" x14ac:dyDescent="0.25">
      <c r="A388" s="494" t="s">
        <v>1528</v>
      </c>
      <c r="B388" s="7" t="s">
        <v>234</v>
      </c>
      <c r="C388" s="7" t="s">
        <v>213</v>
      </c>
      <c r="D388" s="495" t="s">
        <v>1141</v>
      </c>
      <c r="E388" s="7"/>
      <c r="F388" s="488">
        <f t="shared" ref="F388:G391" si="29">F389</f>
        <v>204</v>
      </c>
      <c r="G388" s="488">
        <f t="shared" si="29"/>
        <v>215</v>
      </c>
    </row>
    <row r="389" spans="1:9" ht="31.5" x14ac:dyDescent="0.25">
      <c r="A389" s="494" t="s">
        <v>1532</v>
      </c>
      <c r="B389" s="7" t="s">
        <v>234</v>
      </c>
      <c r="C389" s="7" t="s">
        <v>213</v>
      </c>
      <c r="D389" s="495" t="s">
        <v>1143</v>
      </c>
      <c r="E389" s="7"/>
      <c r="F389" s="488">
        <f t="shared" si="29"/>
        <v>204</v>
      </c>
      <c r="G389" s="488">
        <f t="shared" si="29"/>
        <v>215</v>
      </c>
    </row>
    <row r="390" spans="1:9" ht="31.5" x14ac:dyDescent="0.25">
      <c r="A390" s="496" t="s">
        <v>537</v>
      </c>
      <c r="B390" s="499" t="s">
        <v>234</v>
      </c>
      <c r="C390" s="499" t="s">
        <v>213</v>
      </c>
      <c r="D390" s="492" t="s">
        <v>1144</v>
      </c>
      <c r="E390" s="499"/>
      <c r="F390" s="489">
        <f t="shared" si="29"/>
        <v>204</v>
      </c>
      <c r="G390" s="489">
        <f t="shared" si="29"/>
        <v>215</v>
      </c>
    </row>
    <row r="391" spans="1:9" ht="31.5" x14ac:dyDescent="0.25">
      <c r="A391" s="496" t="s">
        <v>131</v>
      </c>
      <c r="B391" s="499" t="s">
        <v>234</v>
      </c>
      <c r="C391" s="499" t="s">
        <v>213</v>
      </c>
      <c r="D391" s="492" t="s">
        <v>1144</v>
      </c>
      <c r="E391" s="499" t="s">
        <v>132</v>
      </c>
      <c r="F391" s="489">
        <f t="shared" si="29"/>
        <v>204</v>
      </c>
      <c r="G391" s="489">
        <f t="shared" si="29"/>
        <v>215</v>
      </c>
    </row>
    <row r="392" spans="1:9" ht="47.25" x14ac:dyDescent="0.25">
      <c r="A392" s="496" t="s">
        <v>133</v>
      </c>
      <c r="B392" s="499" t="s">
        <v>234</v>
      </c>
      <c r="C392" s="499" t="s">
        <v>213</v>
      </c>
      <c r="D392" s="492" t="s">
        <v>1144</v>
      </c>
      <c r="E392" s="499" t="s">
        <v>134</v>
      </c>
      <c r="F392" s="489">
        <f>'пр.6.1.ведом.22-23 (2)'!G952</f>
        <v>204</v>
      </c>
      <c r="G392" s="489">
        <f>'пр.6.1.ведом.22-23 (2)'!H952</f>
        <v>215</v>
      </c>
    </row>
    <row r="393" spans="1:9" ht="15.75" x14ac:dyDescent="0.25">
      <c r="A393" s="500" t="s">
        <v>541</v>
      </c>
      <c r="B393" s="7" t="s">
        <v>234</v>
      </c>
      <c r="C393" s="7" t="s">
        <v>215</v>
      </c>
      <c r="D393" s="7"/>
      <c r="E393" s="7"/>
      <c r="F393" s="488">
        <f>F394+F399+F438</f>
        <v>3810</v>
      </c>
      <c r="G393" s="488">
        <f>G394+G399+G438</f>
        <v>4063</v>
      </c>
    </row>
    <row r="394" spans="1:9" ht="15.75" x14ac:dyDescent="0.25">
      <c r="A394" s="494" t="s">
        <v>141</v>
      </c>
      <c r="B394" s="495" t="s">
        <v>234</v>
      </c>
      <c r="C394" s="495" t="s">
        <v>215</v>
      </c>
      <c r="D394" s="495" t="s">
        <v>866</v>
      </c>
      <c r="E394" s="495"/>
      <c r="F394" s="488">
        <f t="shared" ref="F394:G397" si="30">F395</f>
        <v>1390</v>
      </c>
      <c r="G394" s="488">
        <f t="shared" si="30"/>
        <v>1390</v>
      </c>
    </row>
    <row r="395" spans="1:9" ht="31.5" x14ac:dyDescent="0.25">
      <c r="A395" s="494" t="s">
        <v>870</v>
      </c>
      <c r="B395" s="495" t="s">
        <v>234</v>
      </c>
      <c r="C395" s="495" t="s">
        <v>215</v>
      </c>
      <c r="D395" s="495" t="s">
        <v>865</v>
      </c>
      <c r="E395" s="495"/>
      <c r="F395" s="488">
        <f t="shared" si="30"/>
        <v>1390</v>
      </c>
      <c r="G395" s="488">
        <f t="shared" si="30"/>
        <v>1390</v>
      </c>
    </row>
    <row r="396" spans="1:9" ht="15.75" x14ac:dyDescent="0.25">
      <c r="A396" s="496" t="s">
        <v>564</v>
      </c>
      <c r="B396" s="492" t="s">
        <v>234</v>
      </c>
      <c r="C396" s="492" t="s">
        <v>215</v>
      </c>
      <c r="D396" s="492" t="s">
        <v>1074</v>
      </c>
      <c r="E396" s="492"/>
      <c r="F396" s="489">
        <f t="shared" si="30"/>
        <v>1390</v>
      </c>
      <c r="G396" s="489">
        <f t="shared" si="30"/>
        <v>1390</v>
      </c>
    </row>
    <row r="397" spans="1:9" ht="31.5" x14ac:dyDescent="0.25">
      <c r="A397" s="496" t="s">
        <v>131</v>
      </c>
      <c r="B397" s="492" t="s">
        <v>234</v>
      </c>
      <c r="C397" s="492" t="s">
        <v>215</v>
      </c>
      <c r="D397" s="492" t="s">
        <v>1074</v>
      </c>
      <c r="E397" s="492" t="s">
        <v>132</v>
      </c>
      <c r="F397" s="489">
        <f t="shared" si="30"/>
        <v>1390</v>
      </c>
      <c r="G397" s="489">
        <f t="shared" si="30"/>
        <v>1390</v>
      </c>
    </row>
    <row r="398" spans="1:9" ht="47.25" x14ac:dyDescent="0.25">
      <c r="A398" s="496" t="s">
        <v>133</v>
      </c>
      <c r="B398" s="492" t="s">
        <v>234</v>
      </c>
      <c r="C398" s="492" t="s">
        <v>215</v>
      </c>
      <c r="D398" s="492" t="s">
        <v>1074</v>
      </c>
      <c r="E398" s="492" t="s">
        <v>134</v>
      </c>
      <c r="F398" s="489">
        <f>'пр.6.1.ведом.22-23 (2)'!G958</f>
        <v>1390</v>
      </c>
      <c r="G398" s="489">
        <f>'пр.6.1.ведом.22-23 (2)'!H958</f>
        <v>1390</v>
      </c>
    </row>
    <row r="399" spans="1:9" ht="47.25" x14ac:dyDescent="0.25">
      <c r="A399" s="494" t="s">
        <v>1362</v>
      </c>
      <c r="B399" s="7" t="s">
        <v>234</v>
      </c>
      <c r="C399" s="7" t="s">
        <v>215</v>
      </c>
      <c r="D399" s="7" t="s">
        <v>543</v>
      </c>
      <c r="E399" s="7"/>
      <c r="F399" s="488">
        <f>F400+F404+F431</f>
        <v>1920</v>
      </c>
      <c r="G399" s="488">
        <f>G400+G404+G431</f>
        <v>2173</v>
      </c>
      <c r="I399" s="22"/>
    </row>
    <row r="400" spans="1:9" ht="47.25" hidden="1" x14ac:dyDescent="0.25">
      <c r="A400" s="494" t="s">
        <v>1430</v>
      </c>
      <c r="B400" s="495" t="s">
        <v>234</v>
      </c>
      <c r="C400" s="495" t="s">
        <v>215</v>
      </c>
      <c r="D400" s="495" t="s">
        <v>1273</v>
      </c>
      <c r="E400" s="495"/>
      <c r="F400" s="488">
        <f t="shared" ref="F400:G402" si="31">F401</f>
        <v>0</v>
      </c>
      <c r="G400" s="488">
        <f t="shared" si="31"/>
        <v>0</v>
      </c>
    </row>
    <row r="401" spans="1:7" ht="31.5" hidden="1" x14ac:dyDescent="0.25">
      <c r="A401" s="327" t="s">
        <v>1431</v>
      </c>
      <c r="B401" s="492" t="s">
        <v>234</v>
      </c>
      <c r="C401" s="492" t="s">
        <v>215</v>
      </c>
      <c r="D401" s="492" t="s">
        <v>1419</v>
      </c>
      <c r="E401" s="492"/>
      <c r="F401" s="497">
        <f t="shared" si="31"/>
        <v>0</v>
      </c>
      <c r="G401" s="489">
        <f t="shared" si="31"/>
        <v>0</v>
      </c>
    </row>
    <row r="402" spans="1:7" ht="31.5" hidden="1" x14ac:dyDescent="0.25">
      <c r="A402" s="496" t="s">
        <v>131</v>
      </c>
      <c r="B402" s="492" t="s">
        <v>234</v>
      </c>
      <c r="C402" s="492" t="s">
        <v>215</v>
      </c>
      <c r="D402" s="492" t="s">
        <v>1419</v>
      </c>
      <c r="E402" s="492" t="s">
        <v>132</v>
      </c>
      <c r="F402" s="497">
        <f t="shared" si="31"/>
        <v>0</v>
      </c>
      <c r="G402" s="489">
        <f t="shared" si="31"/>
        <v>0</v>
      </c>
    </row>
    <row r="403" spans="1:7" ht="47.25" hidden="1" x14ac:dyDescent="0.25">
      <c r="A403" s="496" t="s">
        <v>133</v>
      </c>
      <c r="B403" s="492" t="s">
        <v>234</v>
      </c>
      <c r="C403" s="492" t="s">
        <v>215</v>
      </c>
      <c r="D403" s="492" t="s">
        <v>1419</v>
      </c>
      <c r="E403" s="492" t="s">
        <v>134</v>
      </c>
      <c r="F403" s="497">
        <f>'пр.6.1.ведом.22-23 (2)'!G963</f>
        <v>0</v>
      </c>
      <c r="G403" s="489">
        <f>'пр.6.1.ведом.22-23 (2)'!H963</f>
        <v>0</v>
      </c>
    </row>
    <row r="404" spans="1:7" ht="47.25" x14ac:dyDescent="0.25">
      <c r="A404" s="494" t="s">
        <v>1433</v>
      </c>
      <c r="B404" s="495" t="s">
        <v>234</v>
      </c>
      <c r="C404" s="495" t="s">
        <v>215</v>
      </c>
      <c r="D404" s="495" t="s">
        <v>1274</v>
      </c>
      <c r="E404" s="495"/>
      <c r="F404" s="488">
        <f>F405+F408+F414+F417+F420+F425+F428</f>
        <v>1920</v>
      </c>
      <c r="G404" s="488">
        <f>G405+G408+G414+G417+G420+G425+G428</f>
        <v>2173</v>
      </c>
    </row>
    <row r="405" spans="1:7" ht="24.4" customHeight="1" x14ac:dyDescent="0.25">
      <c r="A405" s="496" t="s">
        <v>546</v>
      </c>
      <c r="B405" s="492" t="s">
        <v>234</v>
      </c>
      <c r="C405" s="492" t="s">
        <v>215</v>
      </c>
      <c r="D405" s="492" t="s">
        <v>1429</v>
      </c>
      <c r="E405" s="492"/>
      <c r="F405" s="489">
        <f>F406</f>
        <v>365</v>
      </c>
      <c r="G405" s="489">
        <f>G406</f>
        <v>365</v>
      </c>
    </row>
    <row r="406" spans="1:7" ht="31.5" x14ac:dyDescent="0.25">
      <c r="A406" s="496" t="s">
        <v>131</v>
      </c>
      <c r="B406" s="492" t="s">
        <v>234</v>
      </c>
      <c r="C406" s="492" t="s">
        <v>215</v>
      </c>
      <c r="D406" s="492" t="s">
        <v>1429</v>
      </c>
      <c r="E406" s="492" t="s">
        <v>132</v>
      </c>
      <c r="F406" s="489">
        <f>F407</f>
        <v>365</v>
      </c>
      <c r="G406" s="489">
        <f>G407</f>
        <v>365</v>
      </c>
    </row>
    <row r="407" spans="1:7" ht="47.25" x14ac:dyDescent="0.25">
      <c r="A407" s="496" t="s">
        <v>133</v>
      </c>
      <c r="B407" s="492" t="s">
        <v>234</v>
      </c>
      <c r="C407" s="492" t="s">
        <v>215</v>
      </c>
      <c r="D407" s="492" t="s">
        <v>1429</v>
      </c>
      <c r="E407" s="492" t="s">
        <v>134</v>
      </c>
      <c r="F407" s="489">
        <f>'пр.6.1.ведом.22-23 (2)'!G967</f>
        <v>365</v>
      </c>
      <c r="G407" s="489">
        <f>'пр.6.1.ведом.22-23 (2)'!H967</f>
        <v>365</v>
      </c>
    </row>
    <row r="408" spans="1:7" ht="15.75" x14ac:dyDescent="0.25">
      <c r="A408" s="496" t="s">
        <v>548</v>
      </c>
      <c r="B408" s="492" t="s">
        <v>234</v>
      </c>
      <c r="C408" s="492" t="s">
        <v>215</v>
      </c>
      <c r="D408" s="492" t="s">
        <v>1418</v>
      </c>
      <c r="E408" s="492"/>
      <c r="F408" s="489">
        <f>F409</f>
        <v>1080</v>
      </c>
      <c r="G408" s="489">
        <f>G409</f>
        <v>1188</v>
      </c>
    </row>
    <row r="409" spans="1:7" ht="31.5" x14ac:dyDescent="0.25">
      <c r="A409" s="496" t="s">
        <v>131</v>
      </c>
      <c r="B409" s="492" t="s">
        <v>234</v>
      </c>
      <c r="C409" s="492" t="s">
        <v>215</v>
      </c>
      <c r="D409" s="492" t="s">
        <v>1418</v>
      </c>
      <c r="E409" s="492" t="s">
        <v>132</v>
      </c>
      <c r="F409" s="489">
        <f>F410</f>
        <v>1080</v>
      </c>
      <c r="G409" s="489">
        <f>G410</f>
        <v>1188</v>
      </c>
    </row>
    <row r="410" spans="1:7" ht="47.25" x14ac:dyDescent="0.25">
      <c r="A410" s="496" t="s">
        <v>133</v>
      </c>
      <c r="B410" s="492" t="s">
        <v>234</v>
      </c>
      <c r="C410" s="492" t="s">
        <v>215</v>
      </c>
      <c r="D410" s="492" t="s">
        <v>1418</v>
      </c>
      <c r="E410" s="492" t="s">
        <v>134</v>
      </c>
      <c r="F410" s="489">
        <f>'пр.6.1.ведом.22-23 (2)'!G970</f>
        <v>1080</v>
      </c>
      <c r="G410" s="489">
        <f>'пр.6.1.ведом.22-23 (2)'!H970</f>
        <v>1188</v>
      </c>
    </row>
    <row r="411" spans="1:7" ht="15.75" hidden="1" x14ac:dyDescent="0.25">
      <c r="A411" s="29" t="s">
        <v>135</v>
      </c>
      <c r="B411" s="492" t="s">
        <v>234</v>
      </c>
      <c r="C411" s="492" t="s">
        <v>215</v>
      </c>
      <c r="D411" s="492" t="s">
        <v>1418</v>
      </c>
      <c r="E411" s="492" t="s">
        <v>145</v>
      </c>
      <c r="F411" s="489">
        <f>'[1]Пр.4 Рд,пр, ЦС,ВР 21'!F400</f>
        <v>0</v>
      </c>
      <c r="G411" s="489">
        <f>'[1]Пр.4 Рд,пр, ЦС,ВР 21'!G400</f>
        <v>0</v>
      </c>
    </row>
    <row r="412" spans="1:7" ht="47.25" hidden="1" x14ac:dyDescent="0.25">
      <c r="A412" s="496" t="s">
        <v>836</v>
      </c>
      <c r="B412" s="492" t="s">
        <v>234</v>
      </c>
      <c r="C412" s="492" t="s">
        <v>215</v>
      </c>
      <c r="D412" s="492" t="s">
        <v>1418</v>
      </c>
      <c r="E412" s="492" t="s">
        <v>147</v>
      </c>
      <c r="F412" s="489">
        <f>'[1]Пр.4 Рд,пр, ЦС,ВР 21'!F401</f>
        <v>0</v>
      </c>
      <c r="G412" s="489">
        <f>'[1]Пр.4 Рд,пр, ЦС,ВР 21'!G401</f>
        <v>0</v>
      </c>
    </row>
    <row r="413" spans="1:7" ht="15.75" hidden="1" x14ac:dyDescent="0.25">
      <c r="A413" s="29" t="s">
        <v>568</v>
      </c>
      <c r="B413" s="492" t="s">
        <v>234</v>
      </c>
      <c r="C413" s="492" t="s">
        <v>215</v>
      </c>
      <c r="D413" s="492" t="s">
        <v>1418</v>
      </c>
      <c r="E413" s="492" t="s">
        <v>138</v>
      </c>
      <c r="F413" s="489">
        <f>'[1]Пр.4 Рд,пр, ЦС,ВР 21'!F402</f>
        <v>0</v>
      </c>
      <c r="G413" s="489">
        <f>'[1]Пр.4 Рд,пр, ЦС,ВР 21'!G402</f>
        <v>0</v>
      </c>
    </row>
    <row r="414" spans="1:7" ht="15.75" hidden="1" x14ac:dyDescent="0.25">
      <c r="A414" s="496" t="s">
        <v>550</v>
      </c>
      <c r="B414" s="492" t="s">
        <v>234</v>
      </c>
      <c r="C414" s="492" t="s">
        <v>215</v>
      </c>
      <c r="D414" s="492" t="s">
        <v>1298</v>
      </c>
      <c r="E414" s="492"/>
      <c r="F414" s="489">
        <f>F415</f>
        <v>0</v>
      </c>
      <c r="G414" s="489">
        <f>G415</f>
        <v>0</v>
      </c>
    </row>
    <row r="415" spans="1:7" ht="31.5" hidden="1" x14ac:dyDescent="0.25">
      <c r="A415" s="496" t="s">
        <v>131</v>
      </c>
      <c r="B415" s="492" t="s">
        <v>234</v>
      </c>
      <c r="C415" s="492" t="s">
        <v>215</v>
      </c>
      <c r="D415" s="492" t="s">
        <v>1298</v>
      </c>
      <c r="E415" s="492" t="s">
        <v>132</v>
      </c>
      <c r="F415" s="489">
        <f>F416</f>
        <v>0</v>
      </c>
      <c r="G415" s="489">
        <f>G416</f>
        <v>0</v>
      </c>
    </row>
    <row r="416" spans="1:7" ht="47.25" hidden="1" x14ac:dyDescent="0.25">
      <c r="A416" s="496" t="s">
        <v>133</v>
      </c>
      <c r="B416" s="492" t="s">
        <v>234</v>
      </c>
      <c r="C416" s="492" t="s">
        <v>215</v>
      </c>
      <c r="D416" s="492" t="s">
        <v>1298</v>
      </c>
      <c r="E416" s="492" t="s">
        <v>134</v>
      </c>
      <c r="F416" s="489">
        <f>'пр.6.1.ведом.22-23 (2)'!G976</f>
        <v>0</v>
      </c>
      <c r="G416" s="489">
        <f>'пр.6.1.ведом.22-23 (2)'!H976</f>
        <v>0</v>
      </c>
    </row>
    <row r="417" spans="1:7" ht="15.75" x14ac:dyDescent="0.25">
      <c r="A417" s="496" t="s">
        <v>555</v>
      </c>
      <c r="B417" s="492" t="s">
        <v>234</v>
      </c>
      <c r="C417" s="492" t="s">
        <v>215</v>
      </c>
      <c r="D417" s="492" t="s">
        <v>1275</v>
      </c>
      <c r="E417" s="492"/>
      <c r="F417" s="489">
        <f>F418</f>
        <v>50</v>
      </c>
      <c r="G417" s="489">
        <f>G418</f>
        <v>55</v>
      </c>
    </row>
    <row r="418" spans="1:7" ht="31.5" x14ac:dyDescent="0.25">
      <c r="A418" s="496" t="s">
        <v>131</v>
      </c>
      <c r="B418" s="492" t="s">
        <v>234</v>
      </c>
      <c r="C418" s="492" t="s">
        <v>215</v>
      </c>
      <c r="D418" s="492" t="s">
        <v>1275</v>
      </c>
      <c r="E418" s="492" t="s">
        <v>132</v>
      </c>
      <c r="F418" s="489">
        <f>F419</f>
        <v>50</v>
      </c>
      <c r="G418" s="489">
        <f>G419</f>
        <v>55</v>
      </c>
    </row>
    <row r="419" spans="1:7" ht="47.25" x14ac:dyDescent="0.25">
      <c r="A419" s="496" t="s">
        <v>133</v>
      </c>
      <c r="B419" s="492" t="s">
        <v>234</v>
      </c>
      <c r="C419" s="492" t="s">
        <v>215</v>
      </c>
      <c r="D419" s="492" t="s">
        <v>1275</v>
      </c>
      <c r="E419" s="492" t="s">
        <v>134</v>
      </c>
      <c r="F419" s="489">
        <f>'пр.6.1.ведом.22-23 (2)'!G979</f>
        <v>50</v>
      </c>
      <c r="G419" s="489">
        <f>'пр.6.1.ведом.22-23 (2)'!H979</f>
        <v>55</v>
      </c>
    </row>
    <row r="420" spans="1:7" ht="31.5" x14ac:dyDescent="0.25">
      <c r="A420" s="325" t="s">
        <v>1432</v>
      </c>
      <c r="B420" s="492" t="s">
        <v>234</v>
      </c>
      <c r="C420" s="492" t="s">
        <v>215</v>
      </c>
      <c r="D420" s="492" t="s">
        <v>1276</v>
      </c>
      <c r="E420" s="492"/>
      <c r="F420" s="489">
        <f>F421+F423</f>
        <v>375</v>
      </c>
      <c r="G420" s="489">
        <f>G421+G423</f>
        <v>375</v>
      </c>
    </row>
    <row r="421" spans="1:7" ht="31.5" x14ac:dyDescent="0.25">
      <c r="A421" s="496" t="s">
        <v>131</v>
      </c>
      <c r="B421" s="492" t="s">
        <v>234</v>
      </c>
      <c r="C421" s="492" t="s">
        <v>215</v>
      </c>
      <c r="D421" s="492" t="s">
        <v>1276</v>
      </c>
      <c r="E421" s="492" t="s">
        <v>132</v>
      </c>
      <c r="F421" s="489">
        <f>F422</f>
        <v>300</v>
      </c>
      <c r="G421" s="489">
        <f>G422</f>
        <v>300</v>
      </c>
    </row>
    <row r="422" spans="1:7" ht="47.25" x14ac:dyDescent="0.25">
      <c r="A422" s="496" t="s">
        <v>133</v>
      </c>
      <c r="B422" s="492" t="s">
        <v>234</v>
      </c>
      <c r="C422" s="492" t="s">
        <v>215</v>
      </c>
      <c r="D422" s="492" t="s">
        <v>1276</v>
      </c>
      <c r="E422" s="492" t="s">
        <v>134</v>
      </c>
      <c r="F422" s="489">
        <f>'пр.6.1.ведом.22-23 (2)'!G982</f>
        <v>300</v>
      </c>
      <c r="G422" s="489">
        <f>'пр.6.1.ведом.22-23 (2)'!H982</f>
        <v>300</v>
      </c>
    </row>
    <row r="423" spans="1:7" ht="15.75" x14ac:dyDescent="0.25">
      <c r="A423" s="29" t="s">
        <v>135</v>
      </c>
      <c r="B423" s="492" t="s">
        <v>234</v>
      </c>
      <c r="C423" s="492" t="s">
        <v>215</v>
      </c>
      <c r="D423" s="492" t="s">
        <v>1276</v>
      </c>
      <c r="E423" s="492" t="s">
        <v>145</v>
      </c>
      <c r="F423" s="489">
        <f>F424</f>
        <v>75</v>
      </c>
      <c r="G423" s="489">
        <f>G424</f>
        <v>75</v>
      </c>
    </row>
    <row r="424" spans="1:7" ht="20.25" customHeight="1" x14ac:dyDescent="0.25">
      <c r="A424" s="29" t="s">
        <v>568</v>
      </c>
      <c r="B424" s="492" t="s">
        <v>234</v>
      </c>
      <c r="C424" s="492" t="s">
        <v>215</v>
      </c>
      <c r="D424" s="492" t="s">
        <v>1276</v>
      </c>
      <c r="E424" s="492" t="s">
        <v>138</v>
      </c>
      <c r="F424" s="489">
        <f>'пр.6.1.ведом.22-23 (2)'!G984</f>
        <v>75</v>
      </c>
      <c r="G424" s="489">
        <f>'пр.6.1.ведом.22-23 (2)'!H984</f>
        <v>75</v>
      </c>
    </row>
    <row r="425" spans="1:7" ht="19.149999999999999" hidden="1" customHeight="1" x14ac:dyDescent="0.25">
      <c r="A425" s="98" t="s">
        <v>559</v>
      </c>
      <c r="B425" s="492" t="s">
        <v>234</v>
      </c>
      <c r="C425" s="492" t="s">
        <v>215</v>
      </c>
      <c r="D425" s="492" t="s">
        <v>1277</v>
      </c>
      <c r="E425" s="492"/>
      <c r="F425" s="489">
        <f>F426</f>
        <v>0</v>
      </c>
      <c r="G425" s="489">
        <f>G426</f>
        <v>130</v>
      </c>
    </row>
    <row r="426" spans="1:7" ht="31.5" hidden="1" x14ac:dyDescent="0.25">
      <c r="A426" s="496" t="s">
        <v>131</v>
      </c>
      <c r="B426" s="492" t="s">
        <v>234</v>
      </c>
      <c r="C426" s="492" t="s">
        <v>215</v>
      </c>
      <c r="D426" s="492" t="s">
        <v>1277</v>
      </c>
      <c r="E426" s="492" t="s">
        <v>132</v>
      </c>
      <c r="F426" s="489">
        <f>F427</f>
        <v>0</v>
      </c>
      <c r="G426" s="489">
        <f>G427</f>
        <v>130</v>
      </c>
    </row>
    <row r="427" spans="1:7" ht="47.25" hidden="1" x14ac:dyDescent="0.25">
      <c r="A427" s="496" t="s">
        <v>133</v>
      </c>
      <c r="B427" s="492" t="s">
        <v>234</v>
      </c>
      <c r="C427" s="492" t="s">
        <v>215</v>
      </c>
      <c r="D427" s="492" t="s">
        <v>1277</v>
      </c>
      <c r="E427" s="492" t="s">
        <v>134</v>
      </c>
      <c r="F427" s="489">
        <f>'пр.6.1.ведом.22-23 (2)'!G987</f>
        <v>0</v>
      </c>
      <c r="G427" s="489">
        <f>'пр.6.1.ведом.22-23 (2)'!H987</f>
        <v>130</v>
      </c>
    </row>
    <row r="428" spans="1:7" ht="31.5" x14ac:dyDescent="0.25">
      <c r="A428" s="229" t="s">
        <v>1088</v>
      </c>
      <c r="B428" s="492" t="s">
        <v>234</v>
      </c>
      <c r="C428" s="492" t="s">
        <v>215</v>
      </c>
      <c r="D428" s="492" t="s">
        <v>1278</v>
      </c>
      <c r="E428" s="492"/>
      <c r="F428" s="497">
        <f>F429</f>
        <v>50</v>
      </c>
      <c r="G428" s="497">
        <f>G429</f>
        <v>60</v>
      </c>
    </row>
    <row r="429" spans="1:7" ht="31.5" x14ac:dyDescent="0.25">
      <c r="A429" s="496" t="s">
        <v>131</v>
      </c>
      <c r="B429" s="492" t="s">
        <v>234</v>
      </c>
      <c r="C429" s="492" t="s">
        <v>215</v>
      </c>
      <c r="D429" s="492" t="s">
        <v>1278</v>
      </c>
      <c r="E429" s="492" t="s">
        <v>132</v>
      </c>
      <c r="F429" s="497">
        <f>F430</f>
        <v>50</v>
      </c>
      <c r="G429" s="497">
        <f>G430</f>
        <v>60</v>
      </c>
    </row>
    <row r="430" spans="1:7" ht="47.25" x14ac:dyDescent="0.25">
      <c r="A430" s="496" t="s">
        <v>133</v>
      </c>
      <c r="B430" s="492" t="s">
        <v>234</v>
      </c>
      <c r="C430" s="492" t="s">
        <v>215</v>
      </c>
      <c r="D430" s="492" t="s">
        <v>1278</v>
      </c>
      <c r="E430" s="492" t="s">
        <v>134</v>
      </c>
      <c r="F430" s="497">
        <f>'пр.6.1.ведом.22-23 (2)'!G990</f>
        <v>50</v>
      </c>
      <c r="G430" s="497">
        <f>'пр.6.1.ведом.22-23 (2)'!H990</f>
        <v>60</v>
      </c>
    </row>
    <row r="431" spans="1:7" ht="41.25" hidden="1" customHeight="1" x14ac:dyDescent="0.25">
      <c r="A431" s="494" t="s">
        <v>891</v>
      </c>
      <c r="B431" s="7" t="s">
        <v>234</v>
      </c>
      <c r="C431" s="7" t="s">
        <v>215</v>
      </c>
      <c r="D431" s="495" t="s">
        <v>1296</v>
      </c>
      <c r="E431" s="495"/>
      <c r="F431" s="488">
        <f>F432+F435</f>
        <v>0</v>
      </c>
      <c r="G431" s="488">
        <f>G432+G435</f>
        <v>0</v>
      </c>
    </row>
    <row r="432" spans="1:7" ht="47.25" hidden="1" x14ac:dyDescent="0.25">
      <c r="A432" s="496" t="s">
        <v>690</v>
      </c>
      <c r="B432" s="492" t="s">
        <v>234</v>
      </c>
      <c r="C432" s="492" t="s">
        <v>215</v>
      </c>
      <c r="D432" s="492" t="s">
        <v>1327</v>
      </c>
      <c r="E432" s="492"/>
      <c r="F432" s="489">
        <f>F433</f>
        <v>0</v>
      </c>
      <c r="G432" s="489">
        <f t="shared" ref="G432:G463" si="32">F432</f>
        <v>0</v>
      </c>
    </row>
    <row r="433" spans="1:7" ht="31.5" hidden="1" x14ac:dyDescent="0.25">
      <c r="A433" s="496" t="s">
        <v>131</v>
      </c>
      <c r="B433" s="492" t="s">
        <v>234</v>
      </c>
      <c r="C433" s="492" t="s">
        <v>215</v>
      </c>
      <c r="D433" s="492" t="s">
        <v>1327</v>
      </c>
      <c r="E433" s="492" t="s">
        <v>132</v>
      </c>
      <c r="F433" s="489">
        <f>F434</f>
        <v>0</v>
      </c>
      <c r="G433" s="489">
        <f t="shared" si="32"/>
        <v>0</v>
      </c>
    </row>
    <row r="434" spans="1:7" ht="47.25" hidden="1" x14ac:dyDescent="0.25">
      <c r="A434" s="496" t="s">
        <v>133</v>
      </c>
      <c r="B434" s="492" t="s">
        <v>234</v>
      </c>
      <c r="C434" s="492" t="s">
        <v>215</v>
      </c>
      <c r="D434" s="492" t="s">
        <v>1327</v>
      </c>
      <c r="E434" s="492" t="s">
        <v>134</v>
      </c>
      <c r="F434" s="489">
        <f>'[1]Пр.4 Рд,пр, ЦС,ВР 21'!F423</f>
        <v>0</v>
      </c>
      <c r="G434" s="489">
        <f t="shared" si="32"/>
        <v>0</v>
      </c>
    </row>
    <row r="435" spans="1:7" ht="63" hidden="1" x14ac:dyDescent="0.25">
      <c r="A435" s="496" t="s">
        <v>1070</v>
      </c>
      <c r="B435" s="492" t="s">
        <v>234</v>
      </c>
      <c r="C435" s="492" t="s">
        <v>215</v>
      </c>
      <c r="D435" s="492" t="s">
        <v>1295</v>
      </c>
      <c r="E435" s="492"/>
      <c r="F435" s="489">
        <f>F436</f>
        <v>0</v>
      </c>
      <c r="G435" s="489">
        <f>G436</f>
        <v>0</v>
      </c>
    </row>
    <row r="436" spans="1:7" ht="31.5" hidden="1" x14ac:dyDescent="0.25">
      <c r="A436" s="496" t="s">
        <v>131</v>
      </c>
      <c r="B436" s="492" t="s">
        <v>234</v>
      </c>
      <c r="C436" s="492" t="s">
        <v>215</v>
      </c>
      <c r="D436" s="492" t="s">
        <v>1295</v>
      </c>
      <c r="E436" s="492" t="s">
        <v>132</v>
      </c>
      <c r="F436" s="489">
        <f>F437</f>
        <v>0</v>
      </c>
      <c r="G436" s="489">
        <f>G437</f>
        <v>0</v>
      </c>
    </row>
    <row r="437" spans="1:7" ht="47.25" hidden="1" x14ac:dyDescent="0.25">
      <c r="A437" s="496" t="s">
        <v>133</v>
      </c>
      <c r="B437" s="492" t="s">
        <v>234</v>
      </c>
      <c r="C437" s="492" t="s">
        <v>215</v>
      </c>
      <c r="D437" s="492" t="s">
        <v>1295</v>
      </c>
      <c r="E437" s="492" t="s">
        <v>134</v>
      </c>
      <c r="F437" s="489">
        <f>'пр.6.1.ведом.22-23 (2)'!G997</f>
        <v>0</v>
      </c>
      <c r="G437" s="489">
        <f>'пр.6.1.ведом.22-23 (2)'!H997</f>
        <v>0</v>
      </c>
    </row>
    <row r="438" spans="1:7" ht="78.75" x14ac:dyDescent="0.25">
      <c r="A438" s="494" t="s">
        <v>1530</v>
      </c>
      <c r="B438" s="495" t="s">
        <v>234</v>
      </c>
      <c r="C438" s="495" t="s">
        <v>215</v>
      </c>
      <c r="D438" s="495" t="s">
        <v>711</v>
      </c>
      <c r="E438" s="495"/>
      <c r="F438" s="488">
        <f t="shared" ref="F438:G438" si="33">F440</f>
        <v>500</v>
      </c>
      <c r="G438" s="488">
        <f t="shared" si="33"/>
        <v>500</v>
      </c>
    </row>
    <row r="439" spans="1:7" ht="31.5" x14ac:dyDescent="0.25">
      <c r="A439" s="494" t="s">
        <v>1066</v>
      </c>
      <c r="B439" s="495" t="s">
        <v>234</v>
      </c>
      <c r="C439" s="495" t="s">
        <v>215</v>
      </c>
      <c r="D439" s="495" t="s">
        <v>835</v>
      </c>
      <c r="E439" s="492"/>
      <c r="F439" s="488">
        <f t="shared" ref="F439:G441" si="34">F440</f>
        <v>500</v>
      </c>
      <c r="G439" s="488">
        <f t="shared" si="34"/>
        <v>500</v>
      </c>
    </row>
    <row r="440" spans="1:7" ht="31.5" x14ac:dyDescent="0.25">
      <c r="A440" s="253" t="s">
        <v>710</v>
      </c>
      <c r="B440" s="492" t="s">
        <v>234</v>
      </c>
      <c r="C440" s="492" t="s">
        <v>215</v>
      </c>
      <c r="D440" s="492" t="s">
        <v>835</v>
      </c>
      <c r="E440" s="492"/>
      <c r="F440" s="489">
        <f t="shared" si="34"/>
        <v>500</v>
      </c>
      <c r="G440" s="489">
        <f t="shared" si="34"/>
        <v>500</v>
      </c>
    </row>
    <row r="441" spans="1:7" ht="31.5" x14ac:dyDescent="0.25">
      <c r="A441" s="496" t="s">
        <v>131</v>
      </c>
      <c r="B441" s="492" t="s">
        <v>234</v>
      </c>
      <c r="C441" s="492" t="s">
        <v>215</v>
      </c>
      <c r="D441" s="492" t="s">
        <v>835</v>
      </c>
      <c r="E441" s="492" t="s">
        <v>132</v>
      </c>
      <c r="F441" s="489">
        <f t="shared" si="34"/>
        <v>500</v>
      </c>
      <c r="G441" s="489">
        <f t="shared" si="34"/>
        <v>500</v>
      </c>
    </row>
    <row r="442" spans="1:7" ht="47.25" x14ac:dyDescent="0.25">
      <c r="A442" s="496" t="s">
        <v>133</v>
      </c>
      <c r="B442" s="492" t="s">
        <v>234</v>
      </c>
      <c r="C442" s="492" t="s">
        <v>215</v>
      </c>
      <c r="D442" s="492" t="s">
        <v>835</v>
      </c>
      <c r="E442" s="492" t="s">
        <v>134</v>
      </c>
      <c r="F442" s="489">
        <f>'пр.6.1.ведом.22-23 (2)'!G1002</f>
        <v>500</v>
      </c>
      <c r="G442" s="489">
        <f>'пр.6.1.ведом.22-23 (2)'!H1002</f>
        <v>500</v>
      </c>
    </row>
    <row r="443" spans="1:7" ht="31.5" x14ac:dyDescent="0.25">
      <c r="A443" s="500" t="s">
        <v>569</v>
      </c>
      <c r="B443" s="7" t="s">
        <v>234</v>
      </c>
      <c r="C443" s="7" t="s">
        <v>234</v>
      </c>
      <c r="D443" s="7"/>
      <c r="E443" s="7"/>
      <c r="F443" s="488">
        <f>F444+F456+F473</f>
        <v>25304.5</v>
      </c>
      <c r="G443" s="488">
        <f>G444+G456+G473</f>
        <v>25304.5</v>
      </c>
    </row>
    <row r="444" spans="1:7" ht="31.5" x14ac:dyDescent="0.25">
      <c r="A444" s="494" t="s">
        <v>917</v>
      </c>
      <c r="B444" s="495" t="s">
        <v>234</v>
      </c>
      <c r="C444" s="495" t="s">
        <v>234</v>
      </c>
      <c r="D444" s="495" t="s">
        <v>858</v>
      </c>
      <c r="E444" s="495"/>
      <c r="F444" s="488">
        <f>F445</f>
        <v>12879.3</v>
      </c>
      <c r="G444" s="488">
        <f>G445</f>
        <v>12879.3</v>
      </c>
    </row>
    <row r="445" spans="1:7" ht="15.75" x14ac:dyDescent="0.25">
      <c r="A445" s="494" t="s">
        <v>918</v>
      </c>
      <c r="B445" s="495" t="s">
        <v>234</v>
      </c>
      <c r="C445" s="495" t="s">
        <v>234</v>
      </c>
      <c r="D445" s="495" t="s">
        <v>859</v>
      </c>
      <c r="E445" s="495"/>
      <c r="F445" s="488">
        <f>F446+F453</f>
        <v>12879.3</v>
      </c>
      <c r="G445" s="488">
        <f>G446+G453</f>
        <v>12879.3</v>
      </c>
    </row>
    <row r="446" spans="1:7" ht="31.5" x14ac:dyDescent="0.25">
      <c r="A446" s="496" t="s">
        <v>897</v>
      </c>
      <c r="B446" s="492" t="s">
        <v>234</v>
      </c>
      <c r="C446" s="492" t="s">
        <v>234</v>
      </c>
      <c r="D446" s="492" t="s">
        <v>860</v>
      </c>
      <c r="E446" s="492"/>
      <c r="F446" s="489">
        <f>F447+F449+F451</f>
        <v>12511.3</v>
      </c>
      <c r="G446" s="489">
        <f>G447+G449+G451</f>
        <v>12511.3</v>
      </c>
    </row>
    <row r="447" spans="1:7" ht="94.5" x14ac:dyDescent="0.25">
      <c r="A447" s="496" t="s">
        <v>127</v>
      </c>
      <c r="B447" s="492" t="s">
        <v>234</v>
      </c>
      <c r="C447" s="492" t="s">
        <v>234</v>
      </c>
      <c r="D447" s="492" t="s">
        <v>860</v>
      </c>
      <c r="E447" s="492" t="s">
        <v>128</v>
      </c>
      <c r="F447" s="489">
        <f>F448</f>
        <v>12439.3</v>
      </c>
      <c r="G447" s="489">
        <f>G448</f>
        <v>12439.3</v>
      </c>
    </row>
    <row r="448" spans="1:7" ht="36.75" customHeight="1" x14ac:dyDescent="0.25">
      <c r="A448" s="496" t="s">
        <v>129</v>
      </c>
      <c r="B448" s="492" t="s">
        <v>234</v>
      </c>
      <c r="C448" s="492" t="s">
        <v>234</v>
      </c>
      <c r="D448" s="492" t="s">
        <v>860</v>
      </c>
      <c r="E448" s="492" t="s">
        <v>130</v>
      </c>
      <c r="F448" s="489">
        <f>'пр.6.1.ведом.22-23 (2)'!G1008</f>
        <v>12439.3</v>
      </c>
      <c r="G448" s="489">
        <f>'пр.6.1.ведом.22-23 (2)'!H1008</f>
        <v>12439.3</v>
      </c>
    </row>
    <row r="449" spans="1:7" ht="31.5" x14ac:dyDescent="0.25">
      <c r="A449" s="496" t="s">
        <v>131</v>
      </c>
      <c r="B449" s="492" t="s">
        <v>234</v>
      </c>
      <c r="C449" s="492" t="s">
        <v>234</v>
      </c>
      <c r="D449" s="492" t="s">
        <v>860</v>
      </c>
      <c r="E449" s="492" t="s">
        <v>132</v>
      </c>
      <c r="F449" s="489">
        <f>F450</f>
        <v>25</v>
      </c>
      <c r="G449" s="489">
        <f>G450</f>
        <v>25</v>
      </c>
    </row>
    <row r="450" spans="1:7" ht="47.25" x14ac:dyDescent="0.25">
      <c r="A450" s="496" t="s">
        <v>133</v>
      </c>
      <c r="B450" s="492" t="s">
        <v>234</v>
      </c>
      <c r="C450" s="492" t="s">
        <v>234</v>
      </c>
      <c r="D450" s="492" t="s">
        <v>860</v>
      </c>
      <c r="E450" s="492" t="s">
        <v>134</v>
      </c>
      <c r="F450" s="489">
        <f>'пр.6.1.ведом.22-23 (2)'!G1010</f>
        <v>25</v>
      </c>
      <c r="G450" s="489">
        <f>'пр.6.1.ведом.22-23 (2)'!H1010</f>
        <v>25</v>
      </c>
    </row>
    <row r="451" spans="1:7" ht="15.75" x14ac:dyDescent="0.25">
      <c r="A451" s="496" t="s">
        <v>135</v>
      </c>
      <c r="B451" s="492" t="s">
        <v>234</v>
      </c>
      <c r="C451" s="492" t="s">
        <v>234</v>
      </c>
      <c r="D451" s="492" t="s">
        <v>860</v>
      </c>
      <c r="E451" s="492" t="s">
        <v>145</v>
      </c>
      <c r="F451" s="489">
        <f>F452</f>
        <v>47</v>
      </c>
      <c r="G451" s="489">
        <f>G452</f>
        <v>47</v>
      </c>
    </row>
    <row r="452" spans="1:7" ht="21.75" customHeight="1" x14ac:dyDescent="0.25">
      <c r="A452" s="496" t="s">
        <v>568</v>
      </c>
      <c r="B452" s="492" t="s">
        <v>234</v>
      </c>
      <c r="C452" s="492" t="s">
        <v>234</v>
      </c>
      <c r="D452" s="492" t="s">
        <v>860</v>
      </c>
      <c r="E452" s="492" t="s">
        <v>138</v>
      </c>
      <c r="F452" s="489">
        <f>'пр.6.1.ведом.22-23 (2)'!G1012</f>
        <v>47</v>
      </c>
      <c r="G452" s="489">
        <f>'пр.6.1.ведом.22-23 (2)'!H1012</f>
        <v>47</v>
      </c>
    </row>
    <row r="453" spans="1:7" ht="47.25" x14ac:dyDescent="0.25">
      <c r="A453" s="496" t="s">
        <v>839</v>
      </c>
      <c r="B453" s="492" t="s">
        <v>234</v>
      </c>
      <c r="C453" s="492" t="s">
        <v>234</v>
      </c>
      <c r="D453" s="492" t="s">
        <v>862</v>
      </c>
      <c r="E453" s="492"/>
      <c r="F453" s="489">
        <f>F454</f>
        <v>368</v>
      </c>
      <c r="G453" s="489">
        <f>G454</f>
        <v>368</v>
      </c>
    </row>
    <row r="454" spans="1:7" ht="94.5" x14ac:dyDescent="0.25">
      <c r="A454" s="496" t="s">
        <v>127</v>
      </c>
      <c r="B454" s="492" t="s">
        <v>234</v>
      </c>
      <c r="C454" s="492" t="s">
        <v>234</v>
      </c>
      <c r="D454" s="492" t="s">
        <v>862</v>
      </c>
      <c r="E454" s="492" t="s">
        <v>128</v>
      </c>
      <c r="F454" s="489">
        <f>F455</f>
        <v>368</v>
      </c>
      <c r="G454" s="489">
        <f>G455</f>
        <v>368</v>
      </c>
    </row>
    <row r="455" spans="1:7" ht="33" customHeight="1" x14ac:dyDescent="0.25">
      <c r="A455" s="496" t="s">
        <v>129</v>
      </c>
      <c r="B455" s="492" t="s">
        <v>234</v>
      </c>
      <c r="C455" s="492" t="s">
        <v>234</v>
      </c>
      <c r="D455" s="492" t="s">
        <v>862</v>
      </c>
      <c r="E455" s="492" t="s">
        <v>130</v>
      </c>
      <c r="F455" s="489">
        <f>'пр.6.1.ведом.22-23 (2)'!G1015</f>
        <v>368</v>
      </c>
      <c r="G455" s="489">
        <f>'пр.6.1.ведом.22-23 (2)'!H1015</f>
        <v>368</v>
      </c>
    </row>
    <row r="456" spans="1:7" ht="15.75" x14ac:dyDescent="0.25">
      <c r="A456" s="494" t="s">
        <v>141</v>
      </c>
      <c r="B456" s="495" t="s">
        <v>234</v>
      </c>
      <c r="C456" s="495" t="s">
        <v>234</v>
      </c>
      <c r="D456" s="495" t="s">
        <v>866</v>
      </c>
      <c r="E456" s="495"/>
      <c r="F456" s="488">
        <f>F457+F464</f>
        <v>12425.2</v>
      </c>
      <c r="G456" s="488">
        <f>G457+G464</f>
        <v>12425.2</v>
      </c>
    </row>
    <row r="457" spans="1:7" ht="31.5" x14ac:dyDescent="0.25">
      <c r="A457" s="494" t="s">
        <v>870</v>
      </c>
      <c r="B457" s="495" t="s">
        <v>234</v>
      </c>
      <c r="C457" s="495" t="s">
        <v>234</v>
      </c>
      <c r="D457" s="495" t="s">
        <v>865</v>
      </c>
      <c r="E457" s="495"/>
      <c r="F457" s="388">
        <f>F458+F461</f>
        <v>982</v>
      </c>
      <c r="G457" s="388">
        <f>G458+G461</f>
        <v>982</v>
      </c>
    </row>
    <row r="458" spans="1:7" ht="31.5" x14ac:dyDescent="0.25">
      <c r="A458" s="496" t="s">
        <v>570</v>
      </c>
      <c r="B458" s="492" t="s">
        <v>234</v>
      </c>
      <c r="C458" s="492" t="s">
        <v>234</v>
      </c>
      <c r="D458" s="492" t="s">
        <v>984</v>
      </c>
      <c r="E458" s="492"/>
      <c r="F458" s="489">
        <f>F459</f>
        <v>982</v>
      </c>
      <c r="G458" s="489">
        <f>G459</f>
        <v>982</v>
      </c>
    </row>
    <row r="459" spans="1:7" ht="15.75" x14ac:dyDescent="0.25">
      <c r="A459" s="496" t="s">
        <v>135</v>
      </c>
      <c r="B459" s="492" t="s">
        <v>234</v>
      </c>
      <c r="C459" s="492" t="s">
        <v>234</v>
      </c>
      <c r="D459" s="492" t="s">
        <v>984</v>
      </c>
      <c r="E459" s="492" t="s">
        <v>145</v>
      </c>
      <c r="F459" s="489">
        <f>F460</f>
        <v>982</v>
      </c>
      <c r="G459" s="489">
        <f>G460</f>
        <v>982</v>
      </c>
    </row>
    <row r="460" spans="1:7" ht="63" x14ac:dyDescent="0.25">
      <c r="A460" s="496" t="s">
        <v>184</v>
      </c>
      <c r="B460" s="492" t="s">
        <v>234</v>
      </c>
      <c r="C460" s="492" t="s">
        <v>234</v>
      </c>
      <c r="D460" s="492" t="s">
        <v>984</v>
      </c>
      <c r="E460" s="492" t="s">
        <v>160</v>
      </c>
      <c r="F460" s="489">
        <f>'пр.6.1.ведом.22-23 (2)'!G1020</f>
        <v>982</v>
      </c>
      <c r="G460" s="489">
        <f>'пр.6.1.ведом.22-23 (2)'!H1020</f>
        <v>982</v>
      </c>
    </row>
    <row r="461" spans="1:7" ht="31.5" hidden="1" x14ac:dyDescent="0.25">
      <c r="A461" s="496" t="s">
        <v>823</v>
      </c>
      <c r="B461" s="492" t="s">
        <v>234</v>
      </c>
      <c r="C461" s="492" t="s">
        <v>234</v>
      </c>
      <c r="D461" s="492" t="s">
        <v>1071</v>
      </c>
      <c r="E461" s="492"/>
      <c r="F461" s="489">
        <f>'[1]Пр.4 Рд,пр, ЦС,ВР 21'!F452</f>
        <v>0</v>
      </c>
      <c r="G461" s="489">
        <f t="shared" si="32"/>
        <v>0</v>
      </c>
    </row>
    <row r="462" spans="1:7" ht="15.75" hidden="1" x14ac:dyDescent="0.25">
      <c r="A462" s="496" t="s">
        <v>135</v>
      </c>
      <c r="B462" s="492" t="s">
        <v>234</v>
      </c>
      <c r="C462" s="492" t="s">
        <v>234</v>
      </c>
      <c r="D462" s="492" t="s">
        <v>1071</v>
      </c>
      <c r="E462" s="492" t="s">
        <v>145</v>
      </c>
      <c r="F462" s="489">
        <f>'[1]Пр.4 Рд,пр, ЦС,ВР 21'!F453</f>
        <v>0</v>
      </c>
      <c r="G462" s="489">
        <f t="shared" si="32"/>
        <v>0</v>
      </c>
    </row>
    <row r="463" spans="1:7" ht="63" hidden="1" x14ac:dyDescent="0.25">
      <c r="A463" s="496" t="s">
        <v>184</v>
      </c>
      <c r="B463" s="492" t="s">
        <v>234</v>
      </c>
      <c r="C463" s="492" t="s">
        <v>234</v>
      </c>
      <c r="D463" s="492" t="s">
        <v>1071</v>
      </c>
      <c r="E463" s="492" t="s">
        <v>160</v>
      </c>
      <c r="F463" s="489">
        <f>'[1]Пр.4 Рд,пр, ЦС,ВР 21'!F454</f>
        <v>0</v>
      </c>
      <c r="G463" s="489">
        <f t="shared" si="32"/>
        <v>0</v>
      </c>
    </row>
    <row r="464" spans="1:7" ht="47.25" x14ac:dyDescent="0.25">
      <c r="A464" s="494" t="s">
        <v>929</v>
      </c>
      <c r="B464" s="495" t="s">
        <v>234</v>
      </c>
      <c r="C464" s="495" t="s">
        <v>234</v>
      </c>
      <c r="D464" s="495" t="s">
        <v>914</v>
      </c>
      <c r="E464" s="495"/>
      <c r="F464" s="388">
        <f>F465+F470</f>
        <v>11443.2</v>
      </c>
      <c r="G464" s="388">
        <f>G465+G470</f>
        <v>11443.2</v>
      </c>
    </row>
    <row r="465" spans="1:10" ht="31.5" x14ac:dyDescent="0.25">
      <c r="A465" s="496" t="s">
        <v>903</v>
      </c>
      <c r="B465" s="492" t="s">
        <v>234</v>
      </c>
      <c r="C465" s="492" t="s">
        <v>234</v>
      </c>
      <c r="D465" s="492" t="s">
        <v>915</v>
      </c>
      <c r="E465" s="492"/>
      <c r="F465" s="489">
        <f>F466+F469</f>
        <v>10845.2</v>
      </c>
      <c r="G465" s="489">
        <f>G466+G469</f>
        <v>10845.2</v>
      </c>
    </row>
    <row r="466" spans="1:10" ht="94.5" x14ac:dyDescent="0.25">
      <c r="A466" s="496" t="s">
        <v>127</v>
      </c>
      <c r="B466" s="492" t="s">
        <v>234</v>
      </c>
      <c r="C466" s="492" t="s">
        <v>234</v>
      </c>
      <c r="D466" s="492" t="s">
        <v>915</v>
      </c>
      <c r="E466" s="492" t="s">
        <v>128</v>
      </c>
      <c r="F466" s="489">
        <f>F467</f>
        <v>9193</v>
      </c>
      <c r="G466" s="489">
        <f>G467</f>
        <v>9193</v>
      </c>
    </row>
    <row r="467" spans="1:10" ht="31.5" x14ac:dyDescent="0.25">
      <c r="A467" s="496" t="s">
        <v>342</v>
      </c>
      <c r="B467" s="492" t="s">
        <v>234</v>
      </c>
      <c r="C467" s="492" t="s">
        <v>234</v>
      </c>
      <c r="D467" s="492" t="s">
        <v>915</v>
      </c>
      <c r="E467" s="492" t="s">
        <v>209</v>
      </c>
      <c r="F467" s="489">
        <f>'пр.6.1.ведом.22-23 (2)'!G1027</f>
        <v>9193</v>
      </c>
      <c r="G467" s="489">
        <f>'пр.6.1.ведом.22-23 (2)'!H1027</f>
        <v>9193</v>
      </c>
    </row>
    <row r="468" spans="1:10" ht="31.5" x14ac:dyDescent="0.25">
      <c r="A468" s="496" t="s">
        <v>131</v>
      </c>
      <c r="B468" s="492" t="s">
        <v>234</v>
      </c>
      <c r="C468" s="492" t="s">
        <v>234</v>
      </c>
      <c r="D468" s="492" t="s">
        <v>915</v>
      </c>
      <c r="E468" s="492" t="s">
        <v>132</v>
      </c>
      <c r="F468" s="489">
        <f>F469</f>
        <v>1652.2</v>
      </c>
      <c r="G468" s="489">
        <f>G469</f>
        <v>1652.2</v>
      </c>
    </row>
    <row r="469" spans="1:10" ht="47.25" x14ac:dyDescent="0.25">
      <c r="A469" s="496" t="s">
        <v>133</v>
      </c>
      <c r="B469" s="492" t="s">
        <v>234</v>
      </c>
      <c r="C469" s="492" t="s">
        <v>234</v>
      </c>
      <c r="D469" s="492" t="s">
        <v>915</v>
      </c>
      <c r="E469" s="492" t="s">
        <v>134</v>
      </c>
      <c r="F469" s="489">
        <f>'пр.6.1.ведом.22-23 (2)'!G1029</f>
        <v>1652.2</v>
      </c>
      <c r="G469" s="489">
        <f>'пр.6.1.ведом.22-23 (2)'!H1029</f>
        <v>1652.2</v>
      </c>
    </row>
    <row r="470" spans="1:10" ht="47.25" x14ac:dyDescent="0.25">
      <c r="A470" s="496" t="s">
        <v>839</v>
      </c>
      <c r="B470" s="492" t="s">
        <v>234</v>
      </c>
      <c r="C470" s="492" t="s">
        <v>234</v>
      </c>
      <c r="D470" s="492" t="s">
        <v>916</v>
      </c>
      <c r="E470" s="492"/>
      <c r="F470" s="489">
        <f>F471</f>
        <v>598</v>
      </c>
      <c r="G470" s="489">
        <f>G471</f>
        <v>598</v>
      </c>
    </row>
    <row r="471" spans="1:10" ht="94.5" x14ac:dyDescent="0.25">
      <c r="A471" s="496" t="s">
        <v>127</v>
      </c>
      <c r="B471" s="492" t="s">
        <v>234</v>
      </c>
      <c r="C471" s="492" t="s">
        <v>234</v>
      </c>
      <c r="D471" s="492" t="s">
        <v>916</v>
      </c>
      <c r="E471" s="492" t="s">
        <v>128</v>
      </c>
      <c r="F471" s="489">
        <f>F472</f>
        <v>598</v>
      </c>
      <c r="G471" s="489">
        <f>G472</f>
        <v>598</v>
      </c>
    </row>
    <row r="472" spans="1:10" ht="39.75" customHeight="1" x14ac:dyDescent="0.25">
      <c r="A472" s="496" t="s">
        <v>129</v>
      </c>
      <c r="B472" s="492" t="s">
        <v>234</v>
      </c>
      <c r="C472" s="492" t="s">
        <v>234</v>
      </c>
      <c r="D472" s="492" t="s">
        <v>916</v>
      </c>
      <c r="E472" s="492" t="s">
        <v>130</v>
      </c>
      <c r="F472" s="489">
        <f>'пр.6.1.ведом.22-23 (2)'!G1032</f>
        <v>598</v>
      </c>
      <c r="G472" s="489">
        <f>'пр.6.1.ведом.22-23 (2)'!H1032</f>
        <v>598</v>
      </c>
    </row>
    <row r="473" spans="1:10" ht="63" hidden="1" x14ac:dyDescent="0.25">
      <c r="A473" s="34" t="s">
        <v>1357</v>
      </c>
      <c r="B473" s="495" t="s">
        <v>234</v>
      </c>
      <c r="C473" s="495" t="s">
        <v>234</v>
      </c>
      <c r="D473" s="495" t="s">
        <v>324</v>
      </c>
      <c r="E473" s="495"/>
      <c r="F473" s="493">
        <f t="shared" ref="F473:G476" si="35">F474</f>
        <v>0</v>
      </c>
      <c r="G473" s="493">
        <f t="shared" si="35"/>
        <v>0</v>
      </c>
    </row>
    <row r="474" spans="1:10" ht="63" hidden="1" x14ac:dyDescent="0.25">
      <c r="A474" s="34" t="s">
        <v>1009</v>
      </c>
      <c r="B474" s="495" t="s">
        <v>234</v>
      </c>
      <c r="C474" s="495" t="s">
        <v>234</v>
      </c>
      <c r="D474" s="495" t="s">
        <v>934</v>
      </c>
      <c r="E474" s="495"/>
      <c r="F474" s="493">
        <f t="shared" si="35"/>
        <v>0</v>
      </c>
      <c r="G474" s="493">
        <f t="shared" si="35"/>
        <v>0</v>
      </c>
    </row>
    <row r="475" spans="1:10" ht="47.25" hidden="1" x14ac:dyDescent="0.25">
      <c r="A475" s="31" t="s">
        <v>1080</v>
      </c>
      <c r="B475" s="492" t="s">
        <v>234</v>
      </c>
      <c r="C475" s="492" t="s">
        <v>234</v>
      </c>
      <c r="D475" s="492" t="s">
        <v>1026</v>
      </c>
      <c r="E475" s="492"/>
      <c r="F475" s="497">
        <f t="shared" si="35"/>
        <v>0</v>
      </c>
      <c r="G475" s="497">
        <f t="shared" si="35"/>
        <v>0</v>
      </c>
    </row>
    <row r="476" spans="1:10" ht="31.5" hidden="1" x14ac:dyDescent="0.25">
      <c r="A476" s="496" t="s">
        <v>131</v>
      </c>
      <c r="B476" s="492" t="s">
        <v>234</v>
      </c>
      <c r="C476" s="492" t="s">
        <v>234</v>
      </c>
      <c r="D476" s="492" t="s">
        <v>1026</v>
      </c>
      <c r="E476" s="492" t="s">
        <v>132</v>
      </c>
      <c r="F476" s="497">
        <f t="shared" si="35"/>
        <v>0</v>
      </c>
      <c r="G476" s="497">
        <f t="shared" si="35"/>
        <v>0</v>
      </c>
    </row>
    <row r="477" spans="1:10" ht="47.25" hidden="1" x14ac:dyDescent="0.25">
      <c r="A477" s="496" t="s">
        <v>133</v>
      </c>
      <c r="B477" s="492" t="s">
        <v>234</v>
      </c>
      <c r="C477" s="492" t="s">
        <v>234</v>
      </c>
      <c r="D477" s="492" t="s">
        <v>1026</v>
      </c>
      <c r="E477" s="492" t="s">
        <v>134</v>
      </c>
      <c r="F477" s="497">
        <f>'пр.6.1.ведом.22-23 (2)'!G1037</f>
        <v>0</v>
      </c>
      <c r="G477" s="489">
        <f>'пр.6.1.ведом.22-23 (2)'!H1037</f>
        <v>0</v>
      </c>
    </row>
    <row r="478" spans="1:10" ht="15.75" x14ac:dyDescent="0.25">
      <c r="A478" s="500" t="s">
        <v>263</v>
      </c>
      <c r="B478" s="7" t="s">
        <v>264</v>
      </c>
      <c r="C478" s="499"/>
      <c r="D478" s="499"/>
      <c r="E478" s="499"/>
      <c r="F478" s="488">
        <f>F479+F542+F714+F620+F689</f>
        <v>366206.80999999994</v>
      </c>
      <c r="G478" s="488">
        <f>G479+G542+G714+G620+G689</f>
        <v>389340.16000000003</v>
      </c>
      <c r="H478" s="225"/>
      <c r="I478" s="225"/>
      <c r="J478" s="225"/>
    </row>
    <row r="479" spans="1:10" ht="15.75" x14ac:dyDescent="0.25">
      <c r="A479" s="500" t="s">
        <v>404</v>
      </c>
      <c r="B479" s="7" t="s">
        <v>264</v>
      </c>
      <c r="C479" s="7" t="s">
        <v>118</v>
      </c>
      <c r="D479" s="7"/>
      <c r="E479" s="7"/>
      <c r="F479" s="488">
        <f>F480+F532+F537</f>
        <v>102250.3</v>
      </c>
      <c r="G479" s="488">
        <f>G480+G532+G537</f>
        <v>105829.20000000001</v>
      </c>
    </row>
    <row r="480" spans="1:10" ht="47.25" x14ac:dyDescent="0.25">
      <c r="A480" s="494" t="s">
        <v>1356</v>
      </c>
      <c r="B480" s="495" t="s">
        <v>264</v>
      </c>
      <c r="C480" s="495" t="s">
        <v>118</v>
      </c>
      <c r="D480" s="495" t="s">
        <v>406</v>
      </c>
      <c r="E480" s="495"/>
      <c r="F480" s="488">
        <f>F481+F485+F498+F508+F518+F525</f>
        <v>101599.40000000001</v>
      </c>
      <c r="G480" s="488">
        <f>G481+G485+G498+G508+G518+G525</f>
        <v>105210.40000000001</v>
      </c>
    </row>
    <row r="481" spans="1:7" ht="47.25" x14ac:dyDescent="0.25">
      <c r="A481" s="494" t="s">
        <v>937</v>
      </c>
      <c r="B481" s="495" t="s">
        <v>264</v>
      </c>
      <c r="C481" s="495" t="s">
        <v>118</v>
      </c>
      <c r="D481" s="495" t="s">
        <v>1230</v>
      </c>
      <c r="E481" s="495"/>
      <c r="F481" s="488">
        <f t="shared" ref="F481:G483" si="36">F482</f>
        <v>14795.6</v>
      </c>
      <c r="G481" s="488">
        <f t="shared" si="36"/>
        <v>14795.6</v>
      </c>
    </row>
    <row r="482" spans="1:7" ht="47.25" x14ac:dyDescent="0.25">
      <c r="A482" s="496" t="s">
        <v>1229</v>
      </c>
      <c r="B482" s="492" t="s">
        <v>264</v>
      </c>
      <c r="C482" s="492" t="s">
        <v>118</v>
      </c>
      <c r="D482" s="492" t="s">
        <v>1231</v>
      </c>
      <c r="E482" s="492"/>
      <c r="F482" s="489">
        <f t="shared" si="36"/>
        <v>14795.6</v>
      </c>
      <c r="G482" s="489">
        <f t="shared" si="36"/>
        <v>14795.6</v>
      </c>
    </row>
    <row r="483" spans="1:7" ht="47.25" x14ac:dyDescent="0.25">
      <c r="A483" s="496" t="s">
        <v>272</v>
      </c>
      <c r="B483" s="492" t="s">
        <v>264</v>
      </c>
      <c r="C483" s="492" t="s">
        <v>118</v>
      </c>
      <c r="D483" s="492" t="s">
        <v>1231</v>
      </c>
      <c r="E483" s="492" t="s">
        <v>273</v>
      </c>
      <c r="F483" s="489">
        <f t="shared" si="36"/>
        <v>14795.6</v>
      </c>
      <c r="G483" s="489">
        <f t="shared" si="36"/>
        <v>14795.6</v>
      </c>
    </row>
    <row r="484" spans="1:7" ht="25.5" customHeight="1" x14ac:dyDescent="0.25">
      <c r="A484" s="496" t="s">
        <v>274</v>
      </c>
      <c r="B484" s="492" t="s">
        <v>264</v>
      </c>
      <c r="C484" s="492" t="s">
        <v>118</v>
      </c>
      <c r="D484" s="492" t="s">
        <v>1231</v>
      </c>
      <c r="E484" s="492" t="s">
        <v>275</v>
      </c>
      <c r="F484" s="386">
        <f>'пр.6.1.ведом.22-23 (2)'!G554</f>
        <v>14795.6</v>
      </c>
      <c r="G484" s="386">
        <f>'пр.6.1.ведом.22-23 (2)'!H554</f>
        <v>14795.6</v>
      </c>
    </row>
    <row r="485" spans="1:7" ht="47.25" x14ac:dyDescent="0.25">
      <c r="A485" s="494" t="s">
        <v>900</v>
      </c>
      <c r="B485" s="495" t="s">
        <v>264</v>
      </c>
      <c r="C485" s="495" t="s">
        <v>118</v>
      </c>
      <c r="D485" s="495" t="s">
        <v>1232</v>
      </c>
      <c r="E485" s="495"/>
      <c r="F485" s="488">
        <f>F489+F492+F495+F486</f>
        <v>75561.5</v>
      </c>
      <c r="G485" s="488">
        <f>G489+G492+G495+G486</f>
        <v>79924.100000000006</v>
      </c>
    </row>
    <row r="486" spans="1:7" ht="110.25" x14ac:dyDescent="0.25">
      <c r="A486" s="31" t="s">
        <v>293</v>
      </c>
      <c r="B486" s="492" t="s">
        <v>264</v>
      </c>
      <c r="C486" s="492" t="s">
        <v>118</v>
      </c>
      <c r="D486" s="492" t="s">
        <v>1390</v>
      </c>
      <c r="E486" s="492"/>
      <c r="F486" s="489">
        <f t="shared" ref="F486:G487" si="37">F487</f>
        <v>3230</v>
      </c>
      <c r="G486" s="489">
        <f t="shared" si="37"/>
        <v>3230</v>
      </c>
    </row>
    <row r="487" spans="1:7" ht="47.25" x14ac:dyDescent="0.25">
      <c r="A487" s="496" t="s">
        <v>272</v>
      </c>
      <c r="B487" s="492" t="s">
        <v>264</v>
      </c>
      <c r="C487" s="492" t="s">
        <v>118</v>
      </c>
      <c r="D487" s="492" t="s">
        <v>1390</v>
      </c>
      <c r="E487" s="492" t="s">
        <v>273</v>
      </c>
      <c r="F487" s="489">
        <f t="shared" si="37"/>
        <v>3230</v>
      </c>
      <c r="G487" s="489">
        <f t="shared" si="37"/>
        <v>3230</v>
      </c>
    </row>
    <row r="488" spans="1:7" ht="15.75" x14ac:dyDescent="0.25">
      <c r="A488" s="496" t="s">
        <v>274</v>
      </c>
      <c r="B488" s="492" t="s">
        <v>264</v>
      </c>
      <c r="C488" s="492" t="s">
        <v>118</v>
      </c>
      <c r="D488" s="492" t="s">
        <v>1390</v>
      </c>
      <c r="E488" s="492" t="s">
        <v>275</v>
      </c>
      <c r="F488" s="489">
        <f>'пр.6.1.ведом.22-23 (2)'!G558</f>
        <v>3230</v>
      </c>
      <c r="G488" s="489">
        <f>'пр.6.1.ведом.22-23 (2)'!H558</f>
        <v>3230</v>
      </c>
    </row>
    <row r="489" spans="1:7" ht="63" x14ac:dyDescent="0.25">
      <c r="A489" s="31" t="s">
        <v>289</v>
      </c>
      <c r="B489" s="492" t="s">
        <v>264</v>
      </c>
      <c r="C489" s="492" t="s">
        <v>118</v>
      </c>
      <c r="D489" s="492" t="s">
        <v>1233</v>
      </c>
      <c r="E489" s="492"/>
      <c r="F489" s="489">
        <f t="shared" ref="F489:G490" si="38">F490</f>
        <v>589</v>
      </c>
      <c r="G489" s="489">
        <f t="shared" si="38"/>
        <v>589</v>
      </c>
    </row>
    <row r="490" spans="1:7" ht="47.25" x14ac:dyDescent="0.25">
      <c r="A490" s="496" t="s">
        <v>272</v>
      </c>
      <c r="B490" s="492" t="s">
        <v>264</v>
      </c>
      <c r="C490" s="492" t="s">
        <v>118</v>
      </c>
      <c r="D490" s="492" t="s">
        <v>1233</v>
      </c>
      <c r="E490" s="492" t="s">
        <v>273</v>
      </c>
      <c r="F490" s="489">
        <f t="shared" si="38"/>
        <v>589</v>
      </c>
      <c r="G490" s="489">
        <f t="shared" si="38"/>
        <v>589</v>
      </c>
    </row>
    <row r="491" spans="1:7" ht="15.75" x14ac:dyDescent="0.25">
      <c r="A491" s="496" t="s">
        <v>274</v>
      </c>
      <c r="B491" s="492" t="s">
        <v>264</v>
      </c>
      <c r="C491" s="492" t="s">
        <v>118</v>
      </c>
      <c r="D491" s="492" t="s">
        <v>1233</v>
      </c>
      <c r="E491" s="492" t="s">
        <v>275</v>
      </c>
      <c r="F491" s="489">
        <f>'пр.6.1.ведом.22-23 (2)'!G561</f>
        <v>589</v>
      </c>
      <c r="G491" s="489">
        <f>'пр.6.1.ведом.22-23 (2)'!H561</f>
        <v>589</v>
      </c>
    </row>
    <row r="492" spans="1:7" ht="78.75" x14ac:dyDescent="0.25">
      <c r="A492" s="31" t="s">
        <v>291</v>
      </c>
      <c r="B492" s="492" t="s">
        <v>264</v>
      </c>
      <c r="C492" s="492" t="s">
        <v>118</v>
      </c>
      <c r="D492" s="492" t="s">
        <v>1234</v>
      </c>
      <c r="E492" s="492"/>
      <c r="F492" s="489">
        <f t="shared" ref="F492:G493" si="39">F493</f>
        <v>1629.3</v>
      </c>
      <c r="G492" s="489">
        <f t="shared" si="39"/>
        <v>1629.3</v>
      </c>
    </row>
    <row r="493" spans="1:7" ht="47.25" x14ac:dyDescent="0.25">
      <c r="A493" s="496" t="s">
        <v>272</v>
      </c>
      <c r="B493" s="492" t="s">
        <v>264</v>
      </c>
      <c r="C493" s="492" t="s">
        <v>118</v>
      </c>
      <c r="D493" s="492" t="s">
        <v>1234</v>
      </c>
      <c r="E493" s="492" t="s">
        <v>273</v>
      </c>
      <c r="F493" s="489">
        <f t="shared" si="39"/>
        <v>1629.3</v>
      </c>
      <c r="G493" s="489">
        <f t="shared" si="39"/>
        <v>1629.3</v>
      </c>
    </row>
    <row r="494" spans="1:7" ht="15.75" x14ac:dyDescent="0.25">
      <c r="A494" s="496" t="s">
        <v>274</v>
      </c>
      <c r="B494" s="492" t="s">
        <v>264</v>
      </c>
      <c r="C494" s="492" t="s">
        <v>118</v>
      </c>
      <c r="D494" s="492" t="s">
        <v>1234</v>
      </c>
      <c r="E494" s="492" t="s">
        <v>275</v>
      </c>
      <c r="F494" s="489">
        <f>'пр.6.1.ведом.22-23 (2)'!G564</f>
        <v>1629.3</v>
      </c>
      <c r="G494" s="489">
        <f>'пр.6.1.ведом.22-23 (2)'!H564</f>
        <v>1629.3</v>
      </c>
    </row>
    <row r="495" spans="1:7" ht="94.5" x14ac:dyDescent="0.25">
      <c r="A495" s="31" t="s">
        <v>1183</v>
      </c>
      <c r="B495" s="492" t="s">
        <v>264</v>
      </c>
      <c r="C495" s="492" t="s">
        <v>118</v>
      </c>
      <c r="D495" s="492" t="s">
        <v>1235</v>
      </c>
      <c r="E495" s="492"/>
      <c r="F495" s="489">
        <f t="shared" ref="F495:G496" si="40">F496</f>
        <v>70113.2</v>
      </c>
      <c r="G495" s="489">
        <f t="shared" si="40"/>
        <v>74475.8</v>
      </c>
    </row>
    <row r="496" spans="1:7" ht="47.25" x14ac:dyDescent="0.25">
      <c r="A496" s="496" t="s">
        <v>272</v>
      </c>
      <c r="B496" s="492" t="s">
        <v>264</v>
      </c>
      <c r="C496" s="492" t="s">
        <v>118</v>
      </c>
      <c r="D496" s="492" t="s">
        <v>1235</v>
      </c>
      <c r="E496" s="492" t="s">
        <v>273</v>
      </c>
      <c r="F496" s="489">
        <f t="shared" si="40"/>
        <v>70113.2</v>
      </c>
      <c r="G496" s="489">
        <f t="shared" si="40"/>
        <v>74475.8</v>
      </c>
    </row>
    <row r="497" spans="1:7" ht="15.75" x14ac:dyDescent="0.25">
      <c r="A497" s="496" t="s">
        <v>274</v>
      </c>
      <c r="B497" s="492" t="s">
        <v>264</v>
      </c>
      <c r="C497" s="492" t="s">
        <v>118</v>
      </c>
      <c r="D497" s="492" t="s">
        <v>1235</v>
      </c>
      <c r="E497" s="492" t="s">
        <v>275</v>
      </c>
      <c r="F497" s="489">
        <f>'пр.6.1.ведом.22-23 (2)'!G567</f>
        <v>70113.2</v>
      </c>
      <c r="G497" s="489">
        <f>'пр.6.1.ведом.22-23 (2)'!H567</f>
        <v>74475.8</v>
      </c>
    </row>
    <row r="498" spans="1:7" ht="31.5" x14ac:dyDescent="0.25">
      <c r="A498" s="494" t="s">
        <v>1292</v>
      </c>
      <c r="B498" s="495" t="s">
        <v>264</v>
      </c>
      <c r="C498" s="495" t="s">
        <v>118</v>
      </c>
      <c r="D498" s="495" t="s">
        <v>1237</v>
      </c>
      <c r="E498" s="495"/>
      <c r="F498" s="488">
        <f>F505</f>
        <v>4430</v>
      </c>
      <c r="G498" s="488">
        <f>G505</f>
        <v>4430</v>
      </c>
    </row>
    <row r="499" spans="1:7" ht="47.25" hidden="1" x14ac:dyDescent="0.25">
      <c r="A499" s="496" t="s">
        <v>278</v>
      </c>
      <c r="B499" s="492" t="s">
        <v>264</v>
      </c>
      <c r="C499" s="492" t="s">
        <v>118</v>
      </c>
      <c r="D499" s="492" t="s">
        <v>1318</v>
      </c>
      <c r="E499" s="492"/>
      <c r="F499" s="489">
        <f>F500</f>
        <v>0</v>
      </c>
      <c r="G499" s="489">
        <f>G500</f>
        <v>0</v>
      </c>
    </row>
    <row r="500" spans="1:7" ht="47.25" hidden="1" x14ac:dyDescent="0.25">
      <c r="A500" s="496" t="s">
        <v>272</v>
      </c>
      <c r="B500" s="492" t="s">
        <v>264</v>
      </c>
      <c r="C500" s="492" t="s">
        <v>118</v>
      </c>
      <c r="D500" s="492" t="s">
        <v>1318</v>
      </c>
      <c r="E500" s="492" t="s">
        <v>273</v>
      </c>
      <c r="F500" s="489">
        <f t="shared" ref="F500:G500" si="41">F501</f>
        <v>0</v>
      </c>
      <c r="G500" s="489">
        <f t="shared" si="41"/>
        <v>0</v>
      </c>
    </row>
    <row r="501" spans="1:7" ht="15.75" hidden="1" x14ac:dyDescent="0.25">
      <c r="A501" s="496" t="s">
        <v>274</v>
      </c>
      <c r="B501" s="492" t="s">
        <v>264</v>
      </c>
      <c r="C501" s="492" t="s">
        <v>118</v>
      </c>
      <c r="D501" s="492" t="s">
        <v>1318</v>
      </c>
      <c r="E501" s="492" t="s">
        <v>275</v>
      </c>
      <c r="F501" s="489">
        <f>'пр.6.1.ведом.22-23 (2)'!G571</f>
        <v>0</v>
      </c>
      <c r="G501" s="489">
        <f>'пр.6.1.ведом.22-23 (2)'!H571</f>
        <v>0</v>
      </c>
    </row>
    <row r="502" spans="1:7" ht="31.5" hidden="1" x14ac:dyDescent="0.25">
      <c r="A502" s="496" t="s">
        <v>280</v>
      </c>
      <c r="B502" s="492" t="s">
        <v>264</v>
      </c>
      <c r="C502" s="492" t="s">
        <v>118</v>
      </c>
      <c r="D502" s="492" t="s">
        <v>1319</v>
      </c>
      <c r="E502" s="492"/>
      <c r="F502" s="489">
        <f>F503</f>
        <v>0</v>
      </c>
      <c r="G502" s="489">
        <f>G503</f>
        <v>0</v>
      </c>
    </row>
    <row r="503" spans="1:7" ht="47.25" hidden="1" x14ac:dyDescent="0.25">
      <c r="A503" s="496" t="s">
        <v>272</v>
      </c>
      <c r="B503" s="492" t="s">
        <v>264</v>
      </c>
      <c r="C503" s="492" t="s">
        <v>118</v>
      </c>
      <c r="D503" s="492" t="s">
        <v>1319</v>
      </c>
      <c r="E503" s="492" t="s">
        <v>273</v>
      </c>
      <c r="F503" s="489">
        <f t="shared" ref="F503:G503" si="42">F504</f>
        <v>0</v>
      </c>
      <c r="G503" s="489">
        <f t="shared" si="42"/>
        <v>0</v>
      </c>
    </row>
    <row r="504" spans="1:7" ht="15.75" hidden="1" x14ac:dyDescent="0.25">
      <c r="A504" s="496" t="s">
        <v>274</v>
      </c>
      <c r="B504" s="492" t="s">
        <v>264</v>
      </c>
      <c r="C504" s="492" t="s">
        <v>118</v>
      </c>
      <c r="D504" s="492" t="s">
        <v>1319</v>
      </c>
      <c r="E504" s="492" t="s">
        <v>275</v>
      </c>
      <c r="F504" s="489">
        <f>'пр.6.1.ведом.22-23 (2)'!G574</f>
        <v>0</v>
      </c>
      <c r="G504" s="489">
        <f>'пр.6.1.ведом.22-23 (2)'!H574</f>
        <v>0</v>
      </c>
    </row>
    <row r="505" spans="1:7" ht="47.25" x14ac:dyDescent="0.25">
      <c r="A505" s="29" t="s">
        <v>415</v>
      </c>
      <c r="B505" s="492" t="s">
        <v>264</v>
      </c>
      <c r="C505" s="492" t="s">
        <v>118</v>
      </c>
      <c r="D505" s="492" t="s">
        <v>1238</v>
      </c>
      <c r="E505" s="492"/>
      <c r="F505" s="489">
        <f>F506</f>
        <v>4430</v>
      </c>
      <c r="G505" s="489">
        <f>G506</f>
        <v>4430</v>
      </c>
    </row>
    <row r="506" spans="1:7" ht="47.25" x14ac:dyDescent="0.25">
      <c r="A506" s="496" t="s">
        <v>272</v>
      </c>
      <c r="B506" s="492" t="s">
        <v>264</v>
      </c>
      <c r="C506" s="492" t="s">
        <v>118</v>
      </c>
      <c r="D506" s="492" t="s">
        <v>1238</v>
      </c>
      <c r="E506" s="492" t="s">
        <v>273</v>
      </c>
      <c r="F506" s="489">
        <f>F507</f>
        <v>4430</v>
      </c>
      <c r="G506" s="489">
        <f>G507</f>
        <v>4430</v>
      </c>
    </row>
    <row r="507" spans="1:7" ht="15.75" x14ac:dyDescent="0.25">
      <c r="A507" s="496" t="s">
        <v>274</v>
      </c>
      <c r="B507" s="492" t="s">
        <v>264</v>
      </c>
      <c r="C507" s="492" t="s">
        <v>118</v>
      </c>
      <c r="D507" s="492" t="s">
        <v>1238</v>
      </c>
      <c r="E507" s="492" t="s">
        <v>275</v>
      </c>
      <c r="F507" s="489">
        <f>'пр.6.1.ведом.22-23 (2)'!G577</f>
        <v>4430</v>
      </c>
      <c r="G507" s="489">
        <f>'пр.6.1.ведом.22-23 (2)'!H577</f>
        <v>4430</v>
      </c>
    </row>
    <row r="508" spans="1:7" ht="47.25" x14ac:dyDescent="0.25">
      <c r="A508" s="219" t="s">
        <v>948</v>
      </c>
      <c r="B508" s="495" t="s">
        <v>264</v>
      </c>
      <c r="C508" s="495" t="s">
        <v>118</v>
      </c>
      <c r="D508" s="495" t="s">
        <v>1240</v>
      </c>
      <c r="E508" s="495"/>
      <c r="F508" s="488">
        <f>F512+F515</f>
        <v>4848</v>
      </c>
      <c r="G508" s="488">
        <f>G512+G515</f>
        <v>4848</v>
      </c>
    </row>
    <row r="509" spans="1:7" ht="31.5" hidden="1" x14ac:dyDescent="0.25">
      <c r="A509" s="496" t="s">
        <v>284</v>
      </c>
      <c r="B509" s="492" t="s">
        <v>264</v>
      </c>
      <c r="C509" s="492" t="s">
        <v>118</v>
      </c>
      <c r="D509" s="492" t="s">
        <v>1258</v>
      </c>
      <c r="E509" s="492"/>
      <c r="F509" s="489">
        <f>F510</f>
        <v>0</v>
      </c>
      <c r="G509" s="489">
        <f>G510</f>
        <v>0</v>
      </c>
    </row>
    <row r="510" spans="1:7" ht="47.25" hidden="1" x14ac:dyDescent="0.25">
      <c r="A510" s="496" t="s">
        <v>272</v>
      </c>
      <c r="B510" s="492" t="s">
        <v>264</v>
      </c>
      <c r="C510" s="492" t="s">
        <v>118</v>
      </c>
      <c r="D510" s="492" t="s">
        <v>1258</v>
      </c>
      <c r="E510" s="492" t="s">
        <v>273</v>
      </c>
      <c r="F510" s="489">
        <f>F511</f>
        <v>0</v>
      </c>
      <c r="G510" s="489">
        <f>G511</f>
        <v>0</v>
      </c>
    </row>
    <row r="511" spans="1:7" ht="15.75" hidden="1" x14ac:dyDescent="0.25">
      <c r="A511" s="496" t="s">
        <v>274</v>
      </c>
      <c r="B511" s="492" t="s">
        <v>264</v>
      </c>
      <c r="C511" s="492" t="s">
        <v>118</v>
      </c>
      <c r="D511" s="492" t="s">
        <v>1258</v>
      </c>
      <c r="E511" s="492" t="s">
        <v>275</v>
      </c>
      <c r="F511" s="489">
        <f>'пр.6.1.ведом.22-23 (2)'!G581</f>
        <v>0</v>
      </c>
      <c r="G511" s="489">
        <f>'пр.6.1.ведом.22-23 (2)'!H581</f>
        <v>0</v>
      </c>
    </row>
    <row r="512" spans="1:7" ht="47.25" x14ac:dyDescent="0.25">
      <c r="A512" s="60" t="s">
        <v>764</v>
      </c>
      <c r="B512" s="492" t="s">
        <v>264</v>
      </c>
      <c r="C512" s="492" t="s">
        <v>118</v>
      </c>
      <c r="D512" s="492" t="s">
        <v>1241</v>
      </c>
      <c r="E512" s="492"/>
      <c r="F512" s="489">
        <f>F513</f>
        <v>3088</v>
      </c>
      <c r="G512" s="489">
        <f>G513</f>
        <v>3088</v>
      </c>
    </row>
    <row r="513" spans="1:7" ht="47.25" x14ac:dyDescent="0.25">
      <c r="A513" s="29" t="s">
        <v>272</v>
      </c>
      <c r="B513" s="492" t="s">
        <v>264</v>
      </c>
      <c r="C513" s="492" t="s">
        <v>118</v>
      </c>
      <c r="D513" s="492" t="s">
        <v>1241</v>
      </c>
      <c r="E513" s="492" t="s">
        <v>273</v>
      </c>
      <c r="F513" s="489">
        <f>F514</f>
        <v>3088</v>
      </c>
      <c r="G513" s="489">
        <f>G514</f>
        <v>3088</v>
      </c>
    </row>
    <row r="514" spans="1:7" ht="15.75" x14ac:dyDescent="0.25">
      <c r="A514" s="182" t="s">
        <v>274</v>
      </c>
      <c r="B514" s="492" t="s">
        <v>264</v>
      </c>
      <c r="C514" s="492" t="s">
        <v>118</v>
      </c>
      <c r="D514" s="492" t="s">
        <v>1241</v>
      </c>
      <c r="E514" s="492" t="s">
        <v>275</v>
      </c>
      <c r="F514" s="489">
        <f>'пр.6.1.ведом.22-23 (2)'!G584</f>
        <v>3088</v>
      </c>
      <c r="G514" s="489">
        <f>'пр.6.1.ведом.22-23 (2)'!H584</f>
        <v>3088</v>
      </c>
    </row>
    <row r="515" spans="1:7" ht="63" x14ac:dyDescent="0.25">
      <c r="A515" s="60" t="s">
        <v>765</v>
      </c>
      <c r="B515" s="492" t="s">
        <v>264</v>
      </c>
      <c r="C515" s="492" t="s">
        <v>118</v>
      </c>
      <c r="D515" s="492" t="s">
        <v>1242</v>
      </c>
      <c r="E515" s="492"/>
      <c r="F515" s="489">
        <f>F516</f>
        <v>1760</v>
      </c>
      <c r="G515" s="489">
        <f>G516</f>
        <v>1760</v>
      </c>
    </row>
    <row r="516" spans="1:7" ht="47.25" x14ac:dyDescent="0.25">
      <c r="A516" s="29" t="s">
        <v>272</v>
      </c>
      <c r="B516" s="492" t="s">
        <v>264</v>
      </c>
      <c r="C516" s="492" t="s">
        <v>118</v>
      </c>
      <c r="D516" s="492" t="s">
        <v>1242</v>
      </c>
      <c r="E516" s="492" t="s">
        <v>273</v>
      </c>
      <c r="F516" s="489">
        <f>F517</f>
        <v>1760</v>
      </c>
      <c r="G516" s="489">
        <f>G517</f>
        <v>1760</v>
      </c>
    </row>
    <row r="517" spans="1:7" ht="15.75" x14ac:dyDescent="0.25">
      <c r="A517" s="182" t="s">
        <v>274</v>
      </c>
      <c r="B517" s="492" t="s">
        <v>264</v>
      </c>
      <c r="C517" s="492" t="s">
        <v>118</v>
      </c>
      <c r="D517" s="492" t="s">
        <v>1242</v>
      </c>
      <c r="E517" s="492" t="s">
        <v>275</v>
      </c>
      <c r="F517" s="489">
        <f>'пр.6.1.ведом.22-23 (2)'!G587</f>
        <v>1760</v>
      </c>
      <c r="G517" s="489">
        <f>'пр.6.1.ведом.22-23 (2)'!H587</f>
        <v>1760</v>
      </c>
    </row>
    <row r="518" spans="1:7" ht="78" customHeight="1" x14ac:dyDescent="0.25">
      <c r="A518" s="494" t="s">
        <v>933</v>
      </c>
      <c r="B518" s="495" t="s">
        <v>264</v>
      </c>
      <c r="C518" s="495" t="s">
        <v>118</v>
      </c>
      <c r="D518" s="495" t="s">
        <v>1243</v>
      </c>
      <c r="E518" s="495"/>
      <c r="F518" s="488">
        <f t="shared" ref="F518:G520" si="43">F519</f>
        <v>297.70000000000005</v>
      </c>
      <c r="G518" s="488">
        <f t="shared" si="43"/>
        <v>297.70000000000005</v>
      </c>
    </row>
    <row r="519" spans="1:7" ht="110.25" x14ac:dyDescent="0.25">
      <c r="A519" s="496" t="s">
        <v>1506</v>
      </c>
      <c r="B519" s="492" t="s">
        <v>264</v>
      </c>
      <c r="C519" s="492" t="s">
        <v>118</v>
      </c>
      <c r="D519" s="492" t="s">
        <v>1244</v>
      </c>
      <c r="E519" s="492"/>
      <c r="F519" s="489">
        <f t="shared" si="43"/>
        <v>297.70000000000005</v>
      </c>
      <c r="G519" s="489">
        <f t="shared" si="43"/>
        <v>297.70000000000005</v>
      </c>
    </row>
    <row r="520" spans="1:7" ht="47.25" x14ac:dyDescent="0.25">
      <c r="A520" s="29" t="s">
        <v>272</v>
      </c>
      <c r="B520" s="492" t="s">
        <v>264</v>
      </c>
      <c r="C520" s="492" t="s">
        <v>118</v>
      </c>
      <c r="D520" s="492" t="s">
        <v>1244</v>
      </c>
      <c r="E520" s="492" t="s">
        <v>273</v>
      </c>
      <c r="F520" s="489">
        <f t="shared" si="43"/>
        <v>297.70000000000005</v>
      </c>
      <c r="G520" s="489">
        <f t="shared" si="43"/>
        <v>297.70000000000005</v>
      </c>
    </row>
    <row r="521" spans="1:7" ht="15.75" x14ac:dyDescent="0.25">
      <c r="A521" s="182" t="s">
        <v>274</v>
      </c>
      <c r="B521" s="492" t="s">
        <v>264</v>
      </c>
      <c r="C521" s="492" t="s">
        <v>118</v>
      </c>
      <c r="D521" s="492" t="s">
        <v>1244</v>
      </c>
      <c r="E521" s="492" t="s">
        <v>275</v>
      </c>
      <c r="F521" s="489">
        <f>'пр.6.1.ведом.22-23 (2)'!G591</f>
        <v>297.70000000000005</v>
      </c>
      <c r="G521" s="489">
        <f>'пр.6.1.ведом.22-23 (2)'!H591</f>
        <v>297.70000000000005</v>
      </c>
    </row>
    <row r="522" spans="1:7" ht="157.5" hidden="1" x14ac:dyDescent="0.25">
      <c r="A522" s="496" t="s">
        <v>423</v>
      </c>
      <c r="B522" s="492" t="s">
        <v>264</v>
      </c>
      <c r="C522" s="492" t="s">
        <v>118</v>
      </c>
      <c r="D522" s="492" t="s">
        <v>1245</v>
      </c>
      <c r="E522" s="492"/>
      <c r="F522" s="489" t="e">
        <f t="shared" ref="F522:G523" si="44">F523</f>
        <v>#REF!</v>
      </c>
      <c r="G522" s="489" t="e">
        <f t="shared" si="44"/>
        <v>#REF!</v>
      </c>
    </row>
    <row r="523" spans="1:7" ht="47.25" hidden="1" x14ac:dyDescent="0.25">
      <c r="A523" s="496" t="s">
        <v>272</v>
      </c>
      <c r="B523" s="492" t="s">
        <v>264</v>
      </c>
      <c r="C523" s="492" t="s">
        <v>118</v>
      </c>
      <c r="D523" s="492" t="s">
        <v>1245</v>
      </c>
      <c r="E523" s="492" t="s">
        <v>273</v>
      </c>
      <c r="F523" s="489" t="e">
        <f t="shared" si="44"/>
        <v>#REF!</v>
      </c>
      <c r="G523" s="489" t="e">
        <f t="shared" si="44"/>
        <v>#REF!</v>
      </c>
    </row>
    <row r="524" spans="1:7" ht="15.75" hidden="1" x14ac:dyDescent="0.25">
      <c r="A524" s="496" t="s">
        <v>274</v>
      </c>
      <c r="B524" s="492" t="s">
        <v>264</v>
      </c>
      <c r="C524" s="492" t="s">
        <v>118</v>
      </c>
      <c r="D524" s="492" t="s">
        <v>1245</v>
      </c>
      <c r="E524" s="492" t="s">
        <v>275</v>
      </c>
      <c r="F524" s="489" t="e">
        <f>'пр.6.1.ведом.22-23 (2)'!#REF!</f>
        <v>#REF!</v>
      </c>
      <c r="G524" s="489" t="e">
        <f>'пр.6.1.ведом.22-23 (2)'!#REF!</f>
        <v>#REF!</v>
      </c>
    </row>
    <row r="525" spans="1:7" ht="110.25" x14ac:dyDescent="0.25">
      <c r="A525" s="494" t="s">
        <v>1166</v>
      </c>
      <c r="B525" s="495" t="s">
        <v>264</v>
      </c>
      <c r="C525" s="495" t="s">
        <v>118</v>
      </c>
      <c r="D525" s="495" t="s">
        <v>1246</v>
      </c>
      <c r="E525" s="495"/>
      <c r="F525" s="493">
        <f>F526+F529</f>
        <v>1666.6</v>
      </c>
      <c r="G525" s="493">
        <f>G526+G529</f>
        <v>915</v>
      </c>
    </row>
    <row r="526" spans="1:7" ht="101.25" hidden="1" customHeight="1" x14ac:dyDescent="0.25">
      <c r="A526" s="149" t="s">
        <v>1185</v>
      </c>
      <c r="B526" s="492" t="s">
        <v>264</v>
      </c>
      <c r="C526" s="492" t="s">
        <v>118</v>
      </c>
      <c r="D526" s="492" t="s">
        <v>1247</v>
      </c>
      <c r="E526" s="492"/>
      <c r="F526" s="497">
        <f>F527</f>
        <v>0</v>
      </c>
      <c r="G526" s="497">
        <f>G527</f>
        <v>0</v>
      </c>
    </row>
    <row r="527" spans="1:7" ht="47.25" hidden="1" x14ac:dyDescent="0.25">
      <c r="A527" s="496" t="s">
        <v>272</v>
      </c>
      <c r="B527" s="492" t="s">
        <v>264</v>
      </c>
      <c r="C527" s="492" t="s">
        <v>118</v>
      </c>
      <c r="D527" s="492" t="s">
        <v>1247</v>
      </c>
      <c r="E527" s="492" t="s">
        <v>273</v>
      </c>
      <c r="F527" s="497">
        <f>F528</f>
        <v>0</v>
      </c>
      <c r="G527" s="497">
        <f>G528</f>
        <v>0</v>
      </c>
    </row>
    <row r="528" spans="1:7" ht="15.75" hidden="1" x14ac:dyDescent="0.25">
      <c r="A528" s="496" t="s">
        <v>274</v>
      </c>
      <c r="B528" s="492" t="s">
        <v>264</v>
      </c>
      <c r="C528" s="492" t="s">
        <v>118</v>
      </c>
      <c r="D528" s="492" t="s">
        <v>1247</v>
      </c>
      <c r="E528" s="492" t="s">
        <v>275</v>
      </c>
      <c r="F528" s="497">
        <f>'пр.6.1.ведом.22-23 (2)'!G595</f>
        <v>0</v>
      </c>
      <c r="G528" s="497">
        <f>'пр.6.1.ведом.22-23 (2)'!H595</f>
        <v>0</v>
      </c>
    </row>
    <row r="529" spans="1:7" ht="94.5" x14ac:dyDescent="0.25">
      <c r="A529" s="149" t="s">
        <v>1493</v>
      </c>
      <c r="B529" s="492" t="s">
        <v>264</v>
      </c>
      <c r="C529" s="492" t="s">
        <v>118</v>
      </c>
      <c r="D529" s="492" t="s">
        <v>1247</v>
      </c>
      <c r="E529" s="492"/>
      <c r="F529" s="497">
        <f>F530</f>
        <v>1666.6</v>
      </c>
      <c r="G529" s="497">
        <f>G530</f>
        <v>915</v>
      </c>
    </row>
    <row r="530" spans="1:7" ht="47.25" x14ac:dyDescent="0.25">
      <c r="A530" s="496" t="s">
        <v>272</v>
      </c>
      <c r="B530" s="492" t="s">
        <v>264</v>
      </c>
      <c r="C530" s="492" t="s">
        <v>118</v>
      </c>
      <c r="D530" s="492" t="s">
        <v>1247</v>
      </c>
      <c r="E530" s="492" t="s">
        <v>273</v>
      </c>
      <c r="F530" s="497">
        <f>F531</f>
        <v>1666.6</v>
      </c>
      <c r="G530" s="497">
        <f>G531</f>
        <v>915</v>
      </c>
    </row>
    <row r="531" spans="1:7" ht="15.75" x14ac:dyDescent="0.25">
      <c r="A531" s="496" t="s">
        <v>274</v>
      </c>
      <c r="B531" s="492" t="s">
        <v>264</v>
      </c>
      <c r="C531" s="492" t="s">
        <v>118</v>
      </c>
      <c r="D531" s="492" t="s">
        <v>1247</v>
      </c>
      <c r="E531" s="492" t="s">
        <v>275</v>
      </c>
      <c r="F531" s="497">
        <f>'пр.6.1.ведом.22-23 (2)'!G598</f>
        <v>1666.6</v>
      </c>
      <c r="G531" s="497">
        <f>'пр.6.1.ведом.22-23 (2)'!H598</f>
        <v>915</v>
      </c>
    </row>
    <row r="532" spans="1:7" ht="63" x14ac:dyDescent="0.25">
      <c r="A532" s="34" t="s">
        <v>1357</v>
      </c>
      <c r="B532" s="495" t="s">
        <v>264</v>
      </c>
      <c r="C532" s="495" t="s">
        <v>118</v>
      </c>
      <c r="D532" s="495" t="s">
        <v>324</v>
      </c>
      <c r="E532" s="495"/>
      <c r="F532" s="493">
        <f t="shared" ref="F532:G535" si="45">F533</f>
        <v>80</v>
      </c>
      <c r="G532" s="493">
        <f t="shared" si="45"/>
        <v>25</v>
      </c>
    </row>
    <row r="533" spans="1:7" ht="63" x14ac:dyDescent="0.25">
      <c r="A533" s="34" t="s">
        <v>1009</v>
      </c>
      <c r="B533" s="495" t="s">
        <v>264</v>
      </c>
      <c r="C533" s="495" t="s">
        <v>118</v>
      </c>
      <c r="D533" s="495" t="s">
        <v>934</v>
      </c>
      <c r="E533" s="495"/>
      <c r="F533" s="493">
        <f t="shared" si="45"/>
        <v>80</v>
      </c>
      <c r="G533" s="493">
        <f t="shared" si="45"/>
        <v>25</v>
      </c>
    </row>
    <row r="534" spans="1:7" ht="47.25" x14ac:dyDescent="0.25">
      <c r="A534" s="31" t="s">
        <v>1081</v>
      </c>
      <c r="B534" s="492" t="s">
        <v>264</v>
      </c>
      <c r="C534" s="492" t="s">
        <v>118</v>
      </c>
      <c r="D534" s="492" t="s">
        <v>935</v>
      </c>
      <c r="E534" s="492"/>
      <c r="F534" s="497">
        <f t="shared" si="45"/>
        <v>80</v>
      </c>
      <c r="G534" s="497">
        <f t="shared" si="45"/>
        <v>25</v>
      </c>
    </row>
    <row r="535" spans="1:7" ht="47.25" x14ac:dyDescent="0.25">
      <c r="A535" s="31" t="s">
        <v>272</v>
      </c>
      <c r="B535" s="492" t="s">
        <v>264</v>
      </c>
      <c r="C535" s="492" t="s">
        <v>118</v>
      </c>
      <c r="D535" s="492" t="s">
        <v>935</v>
      </c>
      <c r="E535" s="492" t="s">
        <v>273</v>
      </c>
      <c r="F535" s="497">
        <f t="shared" si="45"/>
        <v>80</v>
      </c>
      <c r="G535" s="497">
        <f t="shared" si="45"/>
        <v>25</v>
      </c>
    </row>
    <row r="536" spans="1:7" ht="15.75" x14ac:dyDescent="0.25">
      <c r="A536" s="31" t="s">
        <v>274</v>
      </c>
      <c r="B536" s="492" t="s">
        <v>264</v>
      </c>
      <c r="C536" s="492" t="s">
        <v>118</v>
      </c>
      <c r="D536" s="492" t="s">
        <v>935</v>
      </c>
      <c r="E536" s="492" t="s">
        <v>275</v>
      </c>
      <c r="F536" s="497">
        <f>'пр.6.1.ведом.22-23 (2)'!G603</f>
        <v>80</v>
      </c>
      <c r="G536" s="497">
        <f>'пр.6.1.ведом.22-23 (2)'!H603</f>
        <v>25</v>
      </c>
    </row>
    <row r="537" spans="1:7" ht="63" x14ac:dyDescent="0.25">
      <c r="A537" s="500" t="s">
        <v>1352</v>
      </c>
      <c r="B537" s="495" t="s">
        <v>264</v>
      </c>
      <c r="C537" s="495" t="s">
        <v>118</v>
      </c>
      <c r="D537" s="495" t="s">
        <v>705</v>
      </c>
      <c r="E537" s="504"/>
      <c r="F537" s="488">
        <f>F538</f>
        <v>570.9</v>
      </c>
      <c r="G537" s="488">
        <f>G538</f>
        <v>593.79999999999995</v>
      </c>
    </row>
    <row r="538" spans="1:7" ht="63" x14ac:dyDescent="0.25">
      <c r="A538" s="500" t="s">
        <v>890</v>
      </c>
      <c r="B538" s="495" t="s">
        <v>264</v>
      </c>
      <c r="C538" s="495" t="s">
        <v>118</v>
      </c>
      <c r="D538" s="495" t="s">
        <v>888</v>
      </c>
      <c r="E538" s="504"/>
      <c r="F538" s="488">
        <f t="shared" ref="F538:G539" si="46">F539</f>
        <v>570.9</v>
      </c>
      <c r="G538" s="488">
        <f t="shared" si="46"/>
        <v>593.79999999999995</v>
      </c>
    </row>
    <row r="539" spans="1:7" ht="47.25" x14ac:dyDescent="0.25">
      <c r="A539" s="98" t="s">
        <v>780</v>
      </c>
      <c r="B539" s="492" t="s">
        <v>264</v>
      </c>
      <c r="C539" s="492" t="s">
        <v>118</v>
      </c>
      <c r="D539" s="492" t="s">
        <v>936</v>
      </c>
      <c r="E539" s="498"/>
      <c r="F539" s="489">
        <f t="shared" si="46"/>
        <v>570.9</v>
      </c>
      <c r="G539" s="489">
        <f t="shared" si="46"/>
        <v>593.79999999999995</v>
      </c>
    </row>
    <row r="540" spans="1:7" ht="47.25" x14ac:dyDescent="0.25">
      <c r="A540" s="29" t="s">
        <v>272</v>
      </c>
      <c r="B540" s="492" t="s">
        <v>264</v>
      </c>
      <c r="C540" s="492" t="s">
        <v>118</v>
      </c>
      <c r="D540" s="492" t="s">
        <v>936</v>
      </c>
      <c r="E540" s="498" t="s">
        <v>273</v>
      </c>
      <c r="F540" s="489">
        <f>F541</f>
        <v>570.9</v>
      </c>
      <c r="G540" s="489">
        <f>G541</f>
        <v>593.79999999999995</v>
      </c>
    </row>
    <row r="541" spans="1:7" ht="15.75" x14ac:dyDescent="0.25">
      <c r="A541" s="182" t="s">
        <v>274</v>
      </c>
      <c r="B541" s="492" t="s">
        <v>264</v>
      </c>
      <c r="C541" s="492" t="s">
        <v>118</v>
      </c>
      <c r="D541" s="492" t="s">
        <v>936</v>
      </c>
      <c r="E541" s="498" t="s">
        <v>275</v>
      </c>
      <c r="F541" s="489">
        <f>'пр.6.1.ведом.22-23 (2)'!G608</f>
        <v>570.9</v>
      </c>
      <c r="G541" s="489">
        <f>'пр.6.1.ведом.22-23 (2)'!H608</f>
        <v>593.79999999999995</v>
      </c>
    </row>
    <row r="542" spans="1:7" ht="15.75" x14ac:dyDescent="0.25">
      <c r="A542" s="500" t="s">
        <v>425</v>
      </c>
      <c r="B542" s="7" t="s">
        <v>264</v>
      </c>
      <c r="C542" s="7" t="s">
        <v>213</v>
      </c>
      <c r="D542" s="7"/>
      <c r="E542" s="7"/>
      <c r="F542" s="488">
        <f>F543+F615+F610</f>
        <v>177341.49999999997</v>
      </c>
      <c r="G542" s="488">
        <f>G543+G615+G610</f>
        <v>196805.15000000002</v>
      </c>
    </row>
    <row r="543" spans="1:7" ht="47.25" x14ac:dyDescent="0.25">
      <c r="A543" s="494" t="s">
        <v>1358</v>
      </c>
      <c r="B543" s="495" t="s">
        <v>264</v>
      </c>
      <c r="C543" s="495" t="s">
        <v>213</v>
      </c>
      <c r="D543" s="495" t="s">
        <v>406</v>
      </c>
      <c r="E543" s="495"/>
      <c r="F543" s="488">
        <f>F544+F548+F567+F580+F587+F591+F595+F602+F606</f>
        <v>176410.99999999997</v>
      </c>
      <c r="G543" s="488">
        <f>G544+G548+G567+G580+G587+G591+G595+G602+G606</f>
        <v>195829.85000000003</v>
      </c>
    </row>
    <row r="544" spans="1:7" ht="47.25" x14ac:dyDescent="0.25">
      <c r="A544" s="494" t="s">
        <v>937</v>
      </c>
      <c r="B544" s="495" t="s">
        <v>264</v>
      </c>
      <c r="C544" s="495" t="s">
        <v>213</v>
      </c>
      <c r="D544" s="495" t="s">
        <v>1230</v>
      </c>
      <c r="E544" s="495"/>
      <c r="F544" s="488">
        <f>F545</f>
        <v>28690.799999999999</v>
      </c>
      <c r="G544" s="488">
        <f>G545</f>
        <v>28690.799999999999</v>
      </c>
    </row>
    <row r="545" spans="1:7" ht="47.25" x14ac:dyDescent="0.25">
      <c r="A545" s="496" t="s">
        <v>1236</v>
      </c>
      <c r="B545" s="492" t="s">
        <v>264</v>
      </c>
      <c r="C545" s="492" t="s">
        <v>213</v>
      </c>
      <c r="D545" s="492" t="s">
        <v>1249</v>
      </c>
      <c r="E545" s="492"/>
      <c r="F545" s="386">
        <f t="shared" ref="F545:G545" si="47">F546</f>
        <v>28690.799999999999</v>
      </c>
      <c r="G545" s="386">
        <f t="shared" si="47"/>
        <v>28690.799999999999</v>
      </c>
    </row>
    <row r="546" spans="1:7" ht="47.25" x14ac:dyDescent="0.25">
      <c r="A546" s="496" t="s">
        <v>272</v>
      </c>
      <c r="B546" s="492" t="s">
        <v>264</v>
      </c>
      <c r="C546" s="492" t="s">
        <v>213</v>
      </c>
      <c r="D546" s="492" t="s">
        <v>1249</v>
      </c>
      <c r="E546" s="492" t="s">
        <v>273</v>
      </c>
      <c r="F546" s="386">
        <f>F547</f>
        <v>28690.799999999999</v>
      </c>
      <c r="G546" s="386">
        <f>G547</f>
        <v>28690.799999999999</v>
      </c>
    </row>
    <row r="547" spans="1:7" ht="15.75" x14ac:dyDescent="0.25">
      <c r="A547" s="496" t="s">
        <v>274</v>
      </c>
      <c r="B547" s="492" t="s">
        <v>264</v>
      </c>
      <c r="C547" s="492" t="s">
        <v>213</v>
      </c>
      <c r="D547" s="492" t="s">
        <v>1249</v>
      </c>
      <c r="E547" s="492" t="s">
        <v>275</v>
      </c>
      <c r="F547" s="489">
        <f>'пр.6.1.ведом.22-23 (2)'!G614</f>
        <v>28690.799999999999</v>
      </c>
      <c r="G547" s="489">
        <f>'пр.6.1.ведом.22-23 (2)'!H614</f>
        <v>28690.799999999999</v>
      </c>
    </row>
    <row r="548" spans="1:7" ht="47.25" x14ac:dyDescent="0.25">
      <c r="A548" s="494" t="s">
        <v>900</v>
      </c>
      <c r="B548" s="495" t="s">
        <v>264</v>
      </c>
      <c r="C548" s="495" t="s">
        <v>213</v>
      </c>
      <c r="D548" s="495" t="s">
        <v>1232</v>
      </c>
      <c r="E548" s="495"/>
      <c r="F548" s="488">
        <f>F555+F558+F561+F564+F552+F549</f>
        <v>131370.9</v>
      </c>
      <c r="G548" s="488">
        <f>G555+G558+G561+G564+G552+G549</f>
        <v>150534.80000000002</v>
      </c>
    </row>
    <row r="549" spans="1:7" ht="78.75" x14ac:dyDescent="0.25">
      <c r="A549" s="496" t="s">
        <v>1392</v>
      </c>
      <c r="B549" s="492" t="s">
        <v>264</v>
      </c>
      <c r="C549" s="492" t="s">
        <v>213</v>
      </c>
      <c r="D549" s="492" t="s">
        <v>1393</v>
      </c>
      <c r="E549" s="492"/>
      <c r="F549" s="27">
        <f>F550</f>
        <v>7226.1</v>
      </c>
      <c r="G549" s="27">
        <f>G550</f>
        <v>7226.1</v>
      </c>
    </row>
    <row r="550" spans="1:7" ht="47.25" x14ac:dyDescent="0.25">
      <c r="A550" s="496" t="s">
        <v>272</v>
      </c>
      <c r="B550" s="492" t="s">
        <v>264</v>
      </c>
      <c r="C550" s="492" t="s">
        <v>213</v>
      </c>
      <c r="D550" s="492" t="s">
        <v>1393</v>
      </c>
      <c r="E550" s="492" t="s">
        <v>273</v>
      </c>
      <c r="F550" s="27">
        <f>F551</f>
        <v>7226.1</v>
      </c>
      <c r="G550" s="27">
        <f>G551</f>
        <v>7226.1</v>
      </c>
    </row>
    <row r="551" spans="1:7" ht="15.75" x14ac:dyDescent="0.25">
      <c r="A551" s="496" t="s">
        <v>274</v>
      </c>
      <c r="B551" s="492" t="s">
        <v>264</v>
      </c>
      <c r="C551" s="492" t="s">
        <v>213</v>
      </c>
      <c r="D551" s="492" t="s">
        <v>1393</v>
      </c>
      <c r="E551" s="492" t="s">
        <v>275</v>
      </c>
      <c r="F551" s="27">
        <f>'пр.6.1.ведом.22-23 (2)'!G618</f>
        <v>7226.1</v>
      </c>
      <c r="G551" s="27">
        <f>'пр.6.1.ведом.22-23 (2)'!H618</f>
        <v>7226.1</v>
      </c>
    </row>
    <row r="552" spans="1:7" ht="110.25" x14ac:dyDescent="0.25">
      <c r="A552" s="31" t="s">
        <v>464</v>
      </c>
      <c r="B552" s="492" t="s">
        <v>264</v>
      </c>
      <c r="C552" s="492" t="s">
        <v>213</v>
      </c>
      <c r="D552" s="492" t="s">
        <v>1390</v>
      </c>
      <c r="E552" s="492"/>
      <c r="F552" s="489">
        <f>F553</f>
        <v>4610</v>
      </c>
      <c r="G552" s="489">
        <f>G553</f>
        <v>4610</v>
      </c>
    </row>
    <row r="553" spans="1:7" ht="47.25" x14ac:dyDescent="0.25">
      <c r="A553" s="496" t="s">
        <v>272</v>
      </c>
      <c r="B553" s="492" t="s">
        <v>264</v>
      </c>
      <c r="C553" s="492" t="s">
        <v>213</v>
      </c>
      <c r="D553" s="492" t="s">
        <v>1390</v>
      </c>
      <c r="E553" s="492" t="s">
        <v>273</v>
      </c>
      <c r="F553" s="489">
        <f>F554</f>
        <v>4610</v>
      </c>
      <c r="G553" s="489">
        <f>G554</f>
        <v>4610</v>
      </c>
    </row>
    <row r="554" spans="1:7" ht="15.75" x14ac:dyDescent="0.25">
      <c r="A554" s="496" t="s">
        <v>274</v>
      </c>
      <c r="B554" s="492" t="s">
        <v>264</v>
      </c>
      <c r="C554" s="492" t="s">
        <v>213</v>
      </c>
      <c r="D554" s="492" t="s">
        <v>1390</v>
      </c>
      <c r="E554" s="492" t="s">
        <v>275</v>
      </c>
      <c r="F554" s="489">
        <f>'пр.6.1.ведом.22-23 (2)'!G621</f>
        <v>4610</v>
      </c>
      <c r="G554" s="489">
        <f>'пр.6.1.ведом.22-23 (2)'!H621</f>
        <v>4610</v>
      </c>
    </row>
    <row r="555" spans="1:7" ht="102.75" customHeight="1" x14ac:dyDescent="0.25">
      <c r="A555" s="31" t="s">
        <v>1184</v>
      </c>
      <c r="B555" s="492" t="s">
        <v>264</v>
      </c>
      <c r="C555" s="492" t="s">
        <v>213</v>
      </c>
      <c r="D555" s="492" t="s">
        <v>1250</v>
      </c>
      <c r="E555" s="492"/>
      <c r="F555" s="489">
        <f>F556</f>
        <v>115047.8</v>
      </c>
      <c r="G555" s="489">
        <f>G556</f>
        <v>134211.70000000001</v>
      </c>
    </row>
    <row r="556" spans="1:7" ht="51" customHeight="1" x14ac:dyDescent="0.25">
      <c r="A556" s="496" t="s">
        <v>272</v>
      </c>
      <c r="B556" s="492" t="s">
        <v>264</v>
      </c>
      <c r="C556" s="492" t="s">
        <v>213</v>
      </c>
      <c r="D556" s="492" t="s">
        <v>1250</v>
      </c>
      <c r="E556" s="492" t="s">
        <v>273</v>
      </c>
      <c r="F556" s="489">
        <f t="shared" ref="F556:G556" si="48">F557</f>
        <v>115047.8</v>
      </c>
      <c r="G556" s="489">
        <f t="shared" si="48"/>
        <v>134211.70000000001</v>
      </c>
    </row>
    <row r="557" spans="1:7" ht="15.75" x14ac:dyDescent="0.25">
      <c r="A557" s="496" t="s">
        <v>274</v>
      </c>
      <c r="B557" s="492" t="s">
        <v>264</v>
      </c>
      <c r="C557" s="492" t="s">
        <v>213</v>
      </c>
      <c r="D557" s="492" t="s">
        <v>1250</v>
      </c>
      <c r="E557" s="492" t="s">
        <v>275</v>
      </c>
      <c r="F557" s="489">
        <f>'пр.6.1.ведом.22-23 (2)'!G624</f>
        <v>115047.8</v>
      </c>
      <c r="G557" s="489">
        <f>'пр.6.1.ведом.22-23 (2)'!H624</f>
        <v>134211.70000000001</v>
      </c>
    </row>
    <row r="558" spans="1:7" ht="63" x14ac:dyDescent="0.25">
      <c r="A558" s="31" t="s">
        <v>289</v>
      </c>
      <c r="B558" s="492" t="s">
        <v>264</v>
      </c>
      <c r="C558" s="492" t="s">
        <v>213</v>
      </c>
      <c r="D558" s="492" t="s">
        <v>1233</v>
      </c>
      <c r="E558" s="492"/>
      <c r="F558" s="489">
        <f>F559</f>
        <v>1311</v>
      </c>
      <c r="G558" s="489">
        <f>G559</f>
        <v>1311</v>
      </c>
    </row>
    <row r="559" spans="1:7" ht="47.25" x14ac:dyDescent="0.25">
      <c r="A559" s="496" t="s">
        <v>272</v>
      </c>
      <c r="B559" s="492" t="s">
        <v>264</v>
      </c>
      <c r="C559" s="492" t="s">
        <v>213</v>
      </c>
      <c r="D559" s="492" t="s">
        <v>1233</v>
      </c>
      <c r="E559" s="492" t="s">
        <v>273</v>
      </c>
      <c r="F559" s="489">
        <f t="shared" ref="F559:G559" si="49">F560</f>
        <v>1311</v>
      </c>
      <c r="G559" s="489">
        <f t="shared" si="49"/>
        <v>1311</v>
      </c>
    </row>
    <row r="560" spans="1:7" ht="15.75" x14ac:dyDescent="0.25">
      <c r="A560" s="496" t="s">
        <v>274</v>
      </c>
      <c r="B560" s="492" t="s">
        <v>264</v>
      </c>
      <c r="C560" s="492" t="s">
        <v>213</v>
      </c>
      <c r="D560" s="492" t="s">
        <v>1233</v>
      </c>
      <c r="E560" s="492" t="s">
        <v>275</v>
      </c>
      <c r="F560" s="489">
        <f>'пр.6.1.ведом.22-23 (2)'!G627</f>
        <v>1311</v>
      </c>
      <c r="G560" s="489">
        <f>'пр.6.1.ведом.22-23 (2)'!H627</f>
        <v>1311</v>
      </c>
    </row>
    <row r="561" spans="1:7" ht="78.75" x14ac:dyDescent="0.25">
      <c r="A561" s="31" t="s">
        <v>291</v>
      </c>
      <c r="B561" s="492" t="s">
        <v>264</v>
      </c>
      <c r="C561" s="492" t="s">
        <v>213</v>
      </c>
      <c r="D561" s="492" t="s">
        <v>1234</v>
      </c>
      <c r="E561" s="492"/>
      <c r="F561" s="489">
        <f>F562</f>
        <v>2266.6999999999998</v>
      </c>
      <c r="G561" s="489">
        <f>G562</f>
        <v>2266.6999999999998</v>
      </c>
    </row>
    <row r="562" spans="1:7" ht="47.25" x14ac:dyDescent="0.25">
      <c r="A562" s="496" t="s">
        <v>272</v>
      </c>
      <c r="B562" s="492" t="s">
        <v>264</v>
      </c>
      <c r="C562" s="492" t="s">
        <v>213</v>
      </c>
      <c r="D562" s="492" t="s">
        <v>1234</v>
      </c>
      <c r="E562" s="492" t="s">
        <v>273</v>
      </c>
      <c r="F562" s="489">
        <f t="shared" ref="F562:G562" si="50">F563</f>
        <v>2266.6999999999998</v>
      </c>
      <c r="G562" s="489">
        <f t="shared" si="50"/>
        <v>2266.6999999999998</v>
      </c>
    </row>
    <row r="563" spans="1:7" ht="15.75" x14ac:dyDescent="0.25">
      <c r="A563" s="496" t="s">
        <v>274</v>
      </c>
      <c r="B563" s="492" t="s">
        <v>264</v>
      </c>
      <c r="C563" s="492" t="s">
        <v>213</v>
      </c>
      <c r="D563" s="492" t="s">
        <v>1234</v>
      </c>
      <c r="E563" s="492" t="s">
        <v>275</v>
      </c>
      <c r="F563" s="489">
        <f>'пр.6.1.ведом.22-23 (2)'!G630</f>
        <v>2266.6999999999998</v>
      </c>
      <c r="G563" s="489">
        <f>'пр.6.1.ведом.22-23 (2)'!H630</f>
        <v>2266.6999999999998</v>
      </c>
    </row>
    <row r="564" spans="1:7" ht="47.25" x14ac:dyDescent="0.25">
      <c r="A564" s="31" t="s">
        <v>462</v>
      </c>
      <c r="B564" s="492" t="s">
        <v>264</v>
      </c>
      <c r="C564" s="492" t="s">
        <v>213</v>
      </c>
      <c r="D564" s="492" t="s">
        <v>1251</v>
      </c>
      <c r="E564" s="492"/>
      <c r="F564" s="489">
        <f>F565</f>
        <v>909.3</v>
      </c>
      <c r="G564" s="489">
        <f>G565</f>
        <v>909.3</v>
      </c>
    </row>
    <row r="565" spans="1:7" ht="47.25" x14ac:dyDescent="0.25">
      <c r="A565" s="496" t="s">
        <v>272</v>
      </c>
      <c r="B565" s="492" t="s">
        <v>264</v>
      </c>
      <c r="C565" s="492" t="s">
        <v>213</v>
      </c>
      <c r="D565" s="492" t="s">
        <v>1251</v>
      </c>
      <c r="E565" s="492" t="s">
        <v>273</v>
      </c>
      <c r="F565" s="489">
        <f t="shared" ref="F565:G565" si="51">F566</f>
        <v>909.3</v>
      </c>
      <c r="G565" s="489">
        <f t="shared" si="51"/>
        <v>909.3</v>
      </c>
    </row>
    <row r="566" spans="1:7" ht="15.75" x14ac:dyDescent="0.25">
      <c r="A566" s="496" t="s">
        <v>274</v>
      </c>
      <c r="B566" s="492" t="s">
        <v>264</v>
      </c>
      <c r="C566" s="492" t="s">
        <v>213</v>
      </c>
      <c r="D566" s="492" t="s">
        <v>1251</v>
      </c>
      <c r="E566" s="492" t="s">
        <v>275</v>
      </c>
      <c r="F566" s="489">
        <f>'пр.6.1.ведом.22-23 (2)'!G633</f>
        <v>909.3</v>
      </c>
      <c r="G566" s="489">
        <f>'пр.6.1.ведом.22-23 (2)'!H633</f>
        <v>909.3</v>
      </c>
    </row>
    <row r="567" spans="1:7" ht="31.5" x14ac:dyDescent="0.25">
      <c r="A567" s="494" t="s">
        <v>1304</v>
      </c>
      <c r="B567" s="495" t="s">
        <v>264</v>
      </c>
      <c r="C567" s="495" t="s">
        <v>213</v>
      </c>
      <c r="D567" s="495" t="s">
        <v>1237</v>
      </c>
      <c r="E567" s="495"/>
      <c r="F567" s="488">
        <f>F568+F571+F574+F577</f>
        <v>224</v>
      </c>
      <c r="G567" s="488">
        <f>G568+G571+G574+G577</f>
        <v>224</v>
      </c>
    </row>
    <row r="568" spans="1:7" ht="47.25" hidden="1" x14ac:dyDescent="0.25">
      <c r="A568" s="496" t="s">
        <v>440</v>
      </c>
      <c r="B568" s="492" t="s">
        <v>264</v>
      </c>
      <c r="C568" s="492" t="s">
        <v>213</v>
      </c>
      <c r="D568" s="492" t="s">
        <v>1317</v>
      </c>
      <c r="E568" s="492"/>
      <c r="F568" s="489">
        <f t="shared" ref="F568:G568" si="52">F569</f>
        <v>0</v>
      </c>
      <c r="G568" s="489">
        <f t="shared" si="52"/>
        <v>0</v>
      </c>
    </row>
    <row r="569" spans="1:7" ht="47.25" hidden="1" x14ac:dyDescent="0.25">
      <c r="A569" s="496" t="s">
        <v>272</v>
      </c>
      <c r="B569" s="492" t="s">
        <v>264</v>
      </c>
      <c r="C569" s="492" t="s">
        <v>213</v>
      </c>
      <c r="D569" s="492" t="s">
        <v>1317</v>
      </c>
      <c r="E569" s="492" t="s">
        <v>273</v>
      </c>
      <c r="F569" s="489">
        <f>F570</f>
        <v>0</v>
      </c>
      <c r="G569" s="489">
        <f>G570</f>
        <v>0</v>
      </c>
    </row>
    <row r="570" spans="1:7" ht="15.75" hidden="1" x14ac:dyDescent="0.25">
      <c r="A570" s="496" t="s">
        <v>274</v>
      </c>
      <c r="B570" s="492" t="s">
        <v>264</v>
      </c>
      <c r="C570" s="492" t="s">
        <v>213</v>
      </c>
      <c r="D570" s="492" t="s">
        <v>1317</v>
      </c>
      <c r="E570" s="492" t="s">
        <v>275</v>
      </c>
      <c r="F570" s="489">
        <f>'пр.6.1.ведом.22-23 (2)'!G637</f>
        <v>0</v>
      </c>
      <c r="G570" s="489">
        <f>'пр.6.1.ведом.22-23 (2)'!H637</f>
        <v>0</v>
      </c>
    </row>
    <row r="571" spans="1:7" ht="47.25" hidden="1" x14ac:dyDescent="0.25">
      <c r="A571" s="496" t="s">
        <v>278</v>
      </c>
      <c r="B571" s="492" t="s">
        <v>264</v>
      </c>
      <c r="C571" s="492" t="s">
        <v>213</v>
      </c>
      <c r="D571" s="492" t="s">
        <v>1318</v>
      </c>
      <c r="E571" s="492"/>
      <c r="F571" s="489">
        <f t="shared" ref="F571:G571" si="53">F572</f>
        <v>0</v>
      </c>
      <c r="G571" s="489">
        <f t="shared" si="53"/>
        <v>0</v>
      </c>
    </row>
    <row r="572" spans="1:7" ht="47.25" hidden="1" x14ac:dyDescent="0.25">
      <c r="A572" s="496" t="s">
        <v>272</v>
      </c>
      <c r="B572" s="492" t="s">
        <v>264</v>
      </c>
      <c r="C572" s="492" t="s">
        <v>213</v>
      </c>
      <c r="D572" s="492" t="s">
        <v>1318</v>
      </c>
      <c r="E572" s="492" t="s">
        <v>273</v>
      </c>
      <c r="F572" s="489">
        <f>F573</f>
        <v>0</v>
      </c>
      <c r="G572" s="489">
        <f>G573</f>
        <v>0</v>
      </c>
    </row>
    <row r="573" spans="1:7" ht="15.75" hidden="1" x14ac:dyDescent="0.25">
      <c r="A573" s="496" t="s">
        <v>274</v>
      </c>
      <c r="B573" s="492" t="s">
        <v>264</v>
      </c>
      <c r="C573" s="492" t="s">
        <v>213</v>
      </c>
      <c r="D573" s="492" t="s">
        <v>1318</v>
      </c>
      <c r="E573" s="492" t="s">
        <v>275</v>
      </c>
      <c r="F573" s="489">
        <f>'пр.6.1.ведом.22-23 (2)'!G640</f>
        <v>0</v>
      </c>
      <c r="G573" s="489">
        <f>'пр.6.1.ведом.22-23 (2)'!H640</f>
        <v>0</v>
      </c>
    </row>
    <row r="574" spans="1:7" ht="31.5" hidden="1" x14ac:dyDescent="0.25">
      <c r="A574" s="496" t="s">
        <v>280</v>
      </c>
      <c r="B574" s="492" t="s">
        <v>264</v>
      </c>
      <c r="C574" s="492" t="s">
        <v>213</v>
      </c>
      <c r="D574" s="492" t="s">
        <v>1319</v>
      </c>
      <c r="E574" s="492"/>
      <c r="F574" s="489">
        <f t="shared" ref="F574:G574" si="54">F575</f>
        <v>0</v>
      </c>
      <c r="G574" s="489">
        <f t="shared" si="54"/>
        <v>0</v>
      </c>
    </row>
    <row r="575" spans="1:7" ht="47.25" hidden="1" x14ac:dyDescent="0.25">
      <c r="A575" s="496" t="s">
        <v>272</v>
      </c>
      <c r="B575" s="492" t="s">
        <v>264</v>
      </c>
      <c r="C575" s="492" t="s">
        <v>213</v>
      </c>
      <c r="D575" s="492" t="s">
        <v>1319</v>
      </c>
      <c r="E575" s="492" t="s">
        <v>273</v>
      </c>
      <c r="F575" s="489">
        <f>F576</f>
        <v>0</v>
      </c>
      <c r="G575" s="489">
        <f>G576</f>
        <v>0</v>
      </c>
    </row>
    <row r="576" spans="1:7" ht="15.75" hidden="1" x14ac:dyDescent="0.25">
      <c r="A576" s="496" t="s">
        <v>274</v>
      </c>
      <c r="B576" s="492" t="s">
        <v>264</v>
      </c>
      <c r="C576" s="492" t="s">
        <v>213</v>
      </c>
      <c r="D576" s="492" t="s">
        <v>1319</v>
      </c>
      <c r="E576" s="492" t="s">
        <v>275</v>
      </c>
      <c r="F576" s="489">
        <f>'пр.6.1.ведом.22-23 (2)'!G643</f>
        <v>0</v>
      </c>
      <c r="G576" s="489">
        <f>'пр.6.1.ведом.22-23 (2)'!H643</f>
        <v>0</v>
      </c>
    </row>
    <row r="577" spans="1:7" ht="47.25" x14ac:dyDescent="0.25">
      <c r="A577" s="496" t="s">
        <v>282</v>
      </c>
      <c r="B577" s="492" t="s">
        <v>264</v>
      </c>
      <c r="C577" s="492" t="s">
        <v>213</v>
      </c>
      <c r="D577" s="492" t="s">
        <v>1253</v>
      </c>
      <c r="E577" s="492"/>
      <c r="F577" s="489">
        <f t="shared" ref="F577:G577" si="55">F578</f>
        <v>224</v>
      </c>
      <c r="G577" s="489">
        <f t="shared" si="55"/>
        <v>224</v>
      </c>
    </row>
    <row r="578" spans="1:7" ht="47.25" x14ac:dyDescent="0.25">
      <c r="A578" s="496" t="s">
        <v>272</v>
      </c>
      <c r="B578" s="492" t="s">
        <v>264</v>
      </c>
      <c r="C578" s="492" t="s">
        <v>213</v>
      </c>
      <c r="D578" s="492" t="s">
        <v>1253</v>
      </c>
      <c r="E578" s="492" t="s">
        <v>273</v>
      </c>
      <c r="F578" s="489">
        <f>F579</f>
        <v>224</v>
      </c>
      <c r="G578" s="489">
        <f>G579</f>
        <v>224</v>
      </c>
    </row>
    <row r="579" spans="1:7" ht="15.75" x14ac:dyDescent="0.25">
      <c r="A579" s="496" t="s">
        <v>274</v>
      </c>
      <c r="B579" s="492" t="s">
        <v>264</v>
      </c>
      <c r="C579" s="492" t="s">
        <v>213</v>
      </c>
      <c r="D579" s="492" t="s">
        <v>1253</v>
      </c>
      <c r="E579" s="492" t="s">
        <v>275</v>
      </c>
      <c r="F579" s="489">
        <f>'пр.6.1.ведом.22-23 (2)'!G646</f>
        <v>224</v>
      </c>
      <c r="G579" s="489">
        <f>'пр.6.1.ведом.22-23 (2)'!H646</f>
        <v>224</v>
      </c>
    </row>
    <row r="580" spans="1:7" ht="47.25" x14ac:dyDescent="0.25">
      <c r="A580" s="219" t="s">
        <v>948</v>
      </c>
      <c r="B580" s="495" t="s">
        <v>264</v>
      </c>
      <c r="C580" s="495" t="s">
        <v>213</v>
      </c>
      <c r="D580" s="495" t="s">
        <v>1240</v>
      </c>
      <c r="E580" s="495"/>
      <c r="F580" s="488">
        <f>F581+F584</f>
        <v>2888</v>
      </c>
      <c r="G580" s="488">
        <f>G581+G584</f>
        <v>2888</v>
      </c>
    </row>
    <row r="581" spans="1:7" ht="31.5" hidden="1" x14ac:dyDescent="0.25">
      <c r="A581" s="496" t="s">
        <v>284</v>
      </c>
      <c r="B581" s="492" t="s">
        <v>264</v>
      </c>
      <c r="C581" s="492" t="s">
        <v>213</v>
      </c>
      <c r="D581" s="492" t="s">
        <v>1258</v>
      </c>
      <c r="E581" s="492"/>
      <c r="F581" s="489">
        <f>F582</f>
        <v>0</v>
      </c>
      <c r="G581" s="489">
        <f>G582</f>
        <v>0</v>
      </c>
    </row>
    <row r="582" spans="1:7" ht="47.25" hidden="1" x14ac:dyDescent="0.25">
      <c r="A582" s="496" t="s">
        <v>272</v>
      </c>
      <c r="B582" s="492" t="s">
        <v>264</v>
      </c>
      <c r="C582" s="492" t="s">
        <v>213</v>
      </c>
      <c r="D582" s="492" t="s">
        <v>1258</v>
      </c>
      <c r="E582" s="492" t="s">
        <v>273</v>
      </c>
      <c r="F582" s="489">
        <f>F583</f>
        <v>0</v>
      </c>
      <c r="G582" s="489">
        <f>G583</f>
        <v>0</v>
      </c>
    </row>
    <row r="583" spans="1:7" ht="18.75" hidden="1" customHeight="1" x14ac:dyDescent="0.25">
      <c r="A583" s="496" t="s">
        <v>274</v>
      </c>
      <c r="B583" s="492" t="s">
        <v>264</v>
      </c>
      <c r="C583" s="492" t="s">
        <v>213</v>
      </c>
      <c r="D583" s="492" t="s">
        <v>1258</v>
      </c>
      <c r="E583" s="492" t="s">
        <v>275</v>
      </c>
      <c r="F583" s="489">
        <f>'пр.6.1.ведом.22-23 (2)'!G650</f>
        <v>0</v>
      </c>
      <c r="G583" s="489">
        <f>'пр.6.1.ведом.22-23 (2)'!H650</f>
        <v>0</v>
      </c>
    </row>
    <row r="584" spans="1:7" ht="47.25" x14ac:dyDescent="0.25">
      <c r="A584" s="60" t="s">
        <v>764</v>
      </c>
      <c r="B584" s="492" t="s">
        <v>264</v>
      </c>
      <c r="C584" s="492" t="s">
        <v>213</v>
      </c>
      <c r="D584" s="492" t="s">
        <v>1241</v>
      </c>
      <c r="E584" s="492"/>
      <c r="F584" s="489">
        <f>F585</f>
        <v>2888</v>
      </c>
      <c r="G584" s="489">
        <f>G585</f>
        <v>2888</v>
      </c>
    </row>
    <row r="585" spans="1:7" ht="47.25" x14ac:dyDescent="0.25">
      <c r="A585" s="29" t="s">
        <v>272</v>
      </c>
      <c r="B585" s="492" t="s">
        <v>264</v>
      </c>
      <c r="C585" s="492" t="s">
        <v>213</v>
      </c>
      <c r="D585" s="492" t="s">
        <v>1241</v>
      </c>
      <c r="E585" s="492" t="s">
        <v>273</v>
      </c>
      <c r="F585" s="489">
        <f>F586</f>
        <v>2888</v>
      </c>
      <c r="G585" s="489">
        <f>G586</f>
        <v>2888</v>
      </c>
    </row>
    <row r="586" spans="1:7" ht="15.75" x14ac:dyDescent="0.25">
      <c r="A586" s="182" t="s">
        <v>274</v>
      </c>
      <c r="B586" s="492" t="s">
        <v>264</v>
      </c>
      <c r="C586" s="492" t="s">
        <v>213</v>
      </c>
      <c r="D586" s="492" t="s">
        <v>1241</v>
      </c>
      <c r="E586" s="492" t="s">
        <v>275</v>
      </c>
      <c r="F586" s="489">
        <f>'пр.6.1.ведом.22-23 (2)'!G653</f>
        <v>2888</v>
      </c>
      <c r="G586" s="489">
        <f>'пр.6.1.ведом.22-23 (2)'!H653</f>
        <v>2888</v>
      </c>
    </row>
    <row r="587" spans="1:7" ht="31.5" x14ac:dyDescent="0.25">
      <c r="A587" s="494" t="s">
        <v>938</v>
      </c>
      <c r="B587" s="495" t="s">
        <v>264</v>
      </c>
      <c r="C587" s="495" t="s">
        <v>213</v>
      </c>
      <c r="D587" s="495" t="s">
        <v>1254</v>
      </c>
      <c r="E587" s="495"/>
      <c r="F587" s="488">
        <f t="shared" ref="F587:G589" si="56">F588</f>
        <v>3931.8</v>
      </c>
      <c r="G587" s="488">
        <f t="shared" si="56"/>
        <v>3865.2</v>
      </c>
    </row>
    <row r="588" spans="1:7" ht="47.25" x14ac:dyDescent="0.25">
      <c r="A588" s="29" t="s">
        <v>602</v>
      </c>
      <c r="B588" s="492" t="s">
        <v>264</v>
      </c>
      <c r="C588" s="492" t="s">
        <v>213</v>
      </c>
      <c r="D588" s="492" t="s">
        <v>1255</v>
      </c>
      <c r="E588" s="492"/>
      <c r="F588" s="489">
        <f t="shared" si="56"/>
        <v>3931.8</v>
      </c>
      <c r="G588" s="489">
        <f t="shared" si="56"/>
        <v>3865.2</v>
      </c>
    </row>
    <row r="589" spans="1:7" ht="47.25" x14ac:dyDescent="0.25">
      <c r="A589" s="496" t="s">
        <v>272</v>
      </c>
      <c r="B589" s="492" t="s">
        <v>264</v>
      </c>
      <c r="C589" s="492" t="s">
        <v>213</v>
      </c>
      <c r="D589" s="492" t="s">
        <v>1255</v>
      </c>
      <c r="E589" s="492" t="s">
        <v>273</v>
      </c>
      <c r="F589" s="489">
        <f t="shared" si="56"/>
        <v>3931.8</v>
      </c>
      <c r="G589" s="489">
        <f t="shared" si="56"/>
        <v>3865.2</v>
      </c>
    </row>
    <row r="590" spans="1:7" ht="15.75" x14ac:dyDescent="0.25">
      <c r="A590" s="496" t="s">
        <v>274</v>
      </c>
      <c r="B590" s="492" t="s">
        <v>264</v>
      </c>
      <c r="C590" s="492" t="s">
        <v>213</v>
      </c>
      <c r="D590" s="492" t="s">
        <v>1255</v>
      </c>
      <c r="E590" s="492" t="s">
        <v>275</v>
      </c>
      <c r="F590" s="489">
        <f>'пр.6.1.ведом.22-23 (2)'!G657</f>
        <v>3931.8</v>
      </c>
      <c r="G590" s="489">
        <f>'пр.6.1.ведом.22-23 (2)'!H657</f>
        <v>3865.2</v>
      </c>
    </row>
    <row r="591" spans="1:7" ht="31.5" x14ac:dyDescent="0.25">
      <c r="A591" s="494" t="s">
        <v>939</v>
      </c>
      <c r="B591" s="495" t="s">
        <v>264</v>
      </c>
      <c r="C591" s="495" t="s">
        <v>213</v>
      </c>
      <c r="D591" s="495" t="s">
        <v>1256</v>
      </c>
      <c r="E591" s="495"/>
      <c r="F591" s="488">
        <f t="shared" ref="F591:G593" si="57">F592</f>
        <v>1384.6</v>
      </c>
      <c r="G591" s="488">
        <f t="shared" si="57"/>
        <v>1384.6</v>
      </c>
    </row>
    <row r="592" spans="1:7" ht="63" x14ac:dyDescent="0.25">
      <c r="A592" s="496" t="s">
        <v>438</v>
      </c>
      <c r="B592" s="492" t="s">
        <v>264</v>
      </c>
      <c r="C592" s="492" t="s">
        <v>213</v>
      </c>
      <c r="D592" s="492" t="s">
        <v>1257</v>
      </c>
      <c r="E592" s="492"/>
      <c r="F592" s="489">
        <f t="shared" si="57"/>
        <v>1384.6</v>
      </c>
      <c r="G592" s="489">
        <f t="shared" si="57"/>
        <v>1384.6</v>
      </c>
    </row>
    <row r="593" spans="1:7" ht="47.25" x14ac:dyDescent="0.25">
      <c r="A593" s="496" t="s">
        <v>272</v>
      </c>
      <c r="B593" s="492" t="s">
        <v>264</v>
      </c>
      <c r="C593" s="492" t="s">
        <v>213</v>
      </c>
      <c r="D593" s="492" t="s">
        <v>1257</v>
      </c>
      <c r="E593" s="492" t="s">
        <v>273</v>
      </c>
      <c r="F593" s="489">
        <f t="shared" si="57"/>
        <v>1384.6</v>
      </c>
      <c r="G593" s="489">
        <f t="shared" si="57"/>
        <v>1384.6</v>
      </c>
    </row>
    <row r="594" spans="1:7" ht="15.75" x14ac:dyDescent="0.25">
      <c r="A594" s="496" t="s">
        <v>274</v>
      </c>
      <c r="B594" s="492" t="s">
        <v>264</v>
      </c>
      <c r="C594" s="492" t="s">
        <v>213</v>
      </c>
      <c r="D594" s="492" t="s">
        <v>1257</v>
      </c>
      <c r="E594" s="492" t="s">
        <v>275</v>
      </c>
      <c r="F594" s="489">
        <f>'пр.6.1.ведом.22-23 (2)'!G661</f>
        <v>1384.6</v>
      </c>
      <c r="G594" s="489">
        <f>'пр.6.1.ведом.22-23 (2)'!H661</f>
        <v>1384.6</v>
      </c>
    </row>
    <row r="595" spans="1:7" ht="31.5" x14ac:dyDescent="0.25">
      <c r="A595" s="217" t="s">
        <v>940</v>
      </c>
      <c r="B595" s="495" t="s">
        <v>264</v>
      </c>
      <c r="C595" s="495" t="s">
        <v>213</v>
      </c>
      <c r="D595" s="495" t="s">
        <v>1259</v>
      </c>
      <c r="E595" s="495"/>
      <c r="F595" s="488">
        <f>F596+F599</f>
        <v>755.8</v>
      </c>
      <c r="G595" s="488">
        <f>G596+G599</f>
        <v>759</v>
      </c>
    </row>
    <row r="596" spans="1:7" ht="63" x14ac:dyDescent="0.25">
      <c r="A596" s="182" t="s">
        <v>828</v>
      </c>
      <c r="B596" s="492" t="s">
        <v>264</v>
      </c>
      <c r="C596" s="492" t="s">
        <v>213</v>
      </c>
      <c r="D596" s="492" t="s">
        <v>1425</v>
      </c>
      <c r="E596" s="492"/>
      <c r="F596" s="489">
        <f t="shared" ref="F596:G596" si="58">F597</f>
        <v>755.8</v>
      </c>
      <c r="G596" s="489">
        <f t="shared" si="58"/>
        <v>759</v>
      </c>
    </row>
    <row r="597" spans="1:7" ht="47.25" x14ac:dyDescent="0.25">
      <c r="A597" s="31" t="s">
        <v>272</v>
      </c>
      <c r="B597" s="492" t="s">
        <v>264</v>
      </c>
      <c r="C597" s="492" t="s">
        <v>213</v>
      </c>
      <c r="D597" s="492" t="s">
        <v>1425</v>
      </c>
      <c r="E597" s="492" t="s">
        <v>273</v>
      </c>
      <c r="F597" s="489">
        <f>F598</f>
        <v>755.8</v>
      </c>
      <c r="G597" s="489">
        <f>G598</f>
        <v>759</v>
      </c>
    </row>
    <row r="598" spans="1:7" ht="15.75" x14ac:dyDescent="0.25">
      <c r="A598" s="31" t="s">
        <v>274</v>
      </c>
      <c r="B598" s="492" t="s">
        <v>264</v>
      </c>
      <c r="C598" s="492" t="s">
        <v>213</v>
      </c>
      <c r="D598" s="492" t="s">
        <v>1425</v>
      </c>
      <c r="E598" s="492" t="s">
        <v>275</v>
      </c>
      <c r="F598" s="489">
        <f>'пр.6.1.ведом.22-23 (2)'!G665</f>
        <v>755.8</v>
      </c>
      <c r="G598" s="489">
        <f>'пр.6.1.ведом.22-23 (2)'!H665</f>
        <v>759</v>
      </c>
    </row>
    <row r="599" spans="1:7" ht="31.5" hidden="1" x14ac:dyDescent="0.25">
      <c r="A599" s="353" t="s">
        <v>1424</v>
      </c>
      <c r="B599" s="492" t="s">
        <v>264</v>
      </c>
      <c r="C599" s="492" t="s">
        <v>213</v>
      </c>
      <c r="D599" s="492" t="s">
        <v>1426</v>
      </c>
      <c r="E599" s="492"/>
      <c r="F599" s="497">
        <f>F600</f>
        <v>0</v>
      </c>
      <c r="G599" s="489">
        <f>G600</f>
        <v>0</v>
      </c>
    </row>
    <row r="600" spans="1:7" ht="47.25" hidden="1" x14ac:dyDescent="0.25">
      <c r="A600" s="31" t="s">
        <v>272</v>
      </c>
      <c r="B600" s="492" t="s">
        <v>264</v>
      </c>
      <c r="C600" s="492" t="s">
        <v>213</v>
      </c>
      <c r="D600" s="492" t="s">
        <v>1426</v>
      </c>
      <c r="E600" s="492" t="s">
        <v>273</v>
      </c>
      <c r="F600" s="497">
        <f>F601</f>
        <v>0</v>
      </c>
      <c r="G600" s="489">
        <f>G601</f>
        <v>0</v>
      </c>
    </row>
    <row r="601" spans="1:7" ht="15.75" hidden="1" x14ac:dyDescent="0.25">
      <c r="A601" s="31" t="s">
        <v>274</v>
      </c>
      <c r="B601" s="492" t="s">
        <v>264</v>
      </c>
      <c r="C601" s="492" t="s">
        <v>213</v>
      </c>
      <c r="D601" s="492" t="s">
        <v>1426</v>
      </c>
      <c r="E601" s="492" t="s">
        <v>275</v>
      </c>
      <c r="F601" s="497">
        <v>0</v>
      </c>
      <c r="G601" s="489">
        <v>0</v>
      </c>
    </row>
    <row r="602" spans="1:7" ht="47.25" x14ac:dyDescent="0.25">
      <c r="A602" s="304" t="s">
        <v>1405</v>
      </c>
      <c r="B602" s="495" t="s">
        <v>264</v>
      </c>
      <c r="C602" s="495" t="s">
        <v>213</v>
      </c>
      <c r="D602" s="495" t="s">
        <v>1404</v>
      </c>
      <c r="E602" s="495"/>
      <c r="F602" s="493">
        <f t="shared" ref="F602:G604" si="59">F603</f>
        <v>5415.6500000000005</v>
      </c>
      <c r="G602" s="493">
        <f t="shared" si="59"/>
        <v>5142.4500000000007</v>
      </c>
    </row>
    <row r="603" spans="1:7" ht="78.75" x14ac:dyDescent="0.25">
      <c r="A603" s="303" t="s">
        <v>1391</v>
      </c>
      <c r="B603" s="492" t="s">
        <v>264</v>
      </c>
      <c r="C603" s="492" t="s">
        <v>213</v>
      </c>
      <c r="D603" s="492" t="s">
        <v>1449</v>
      </c>
      <c r="E603" s="492"/>
      <c r="F603" s="497">
        <f t="shared" si="59"/>
        <v>5415.6500000000005</v>
      </c>
      <c r="G603" s="497">
        <f t="shared" si="59"/>
        <v>5142.4500000000007</v>
      </c>
    </row>
    <row r="604" spans="1:7" ht="47.25" x14ac:dyDescent="0.25">
      <c r="A604" s="31" t="s">
        <v>272</v>
      </c>
      <c r="B604" s="492" t="s">
        <v>264</v>
      </c>
      <c r="C604" s="492" t="s">
        <v>213</v>
      </c>
      <c r="D604" s="492" t="s">
        <v>1449</v>
      </c>
      <c r="E604" s="492" t="s">
        <v>273</v>
      </c>
      <c r="F604" s="497">
        <f t="shared" si="59"/>
        <v>5415.6500000000005</v>
      </c>
      <c r="G604" s="497">
        <f t="shared" si="59"/>
        <v>5142.4500000000007</v>
      </c>
    </row>
    <row r="605" spans="1:7" ht="15.75" x14ac:dyDescent="0.25">
      <c r="A605" s="31" t="s">
        <v>274</v>
      </c>
      <c r="B605" s="492" t="s">
        <v>264</v>
      </c>
      <c r="C605" s="492" t="s">
        <v>213</v>
      </c>
      <c r="D605" s="492" t="s">
        <v>1449</v>
      </c>
      <c r="E605" s="492" t="s">
        <v>275</v>
      </c>
      <c r="F605" s="497">
        <f>'пр.6.1.ведом.22-23 (2)'!G672</f>
        <v>5415.6500000000005</v>
      </c>
      <c r="G605" s="489">
        <f>'пр.6.1.ведом.22-23 (2)'!H672</f>
        <v>5142.4500000000007</v>
      </c>
    </row>
    <row r="606" spans="1:7" ht="31.5" x14ac:dyDescent="0.25">
      <c r="A606" s="34" t="s">
        <v>1472</v>
      </c>
      <c r="B606" s="495" t="s">
        <v>264</v>
      </c>
      <c r="C606" s="495" t="s">
        <v>213</v>
      </c>
      <c r="D606" s="495" t="s">
        <v>1470</v>
      </c>
      <c r="E606" s="495"/>
      <c r="F606" s="493">
        <f t="shared" ref="F606:G608" si="60">F607</f>
        <v>1749.4499999999998</v>
      </c>
      <c r="G606" s="493">
        <f t="shared" si="60"/>
        <v>2341</v>
      </c>
    </row>
    <row r="607" spans="1:7" ht="47.25" x14ac:dyDescent="0.25">
      <c r="A607" s="31" t="s">
        <v>1521</v>
      </c>
      <c r="B607" s="492" t="s">
        <v>264</v>
      </c>
      <c r="C607" s="492" t="s">
        <v>213</v>
      </c>
      <c r="D607" s="492" t="s">
        <v>1471</v>
      </c>
      <c r="E607" s="492"/>
      <c r="F607" s="497">
        <f t="shared" si="60"/>
        <v>1749.4499999999998</v>
      </c>
      <c r="G607" s="497">
        <f t="shared" si="60"/>
        <v>2341</v>
      </c>
    </row>
    <row r="608" spans="1:7" ht="47.25" x14ac:dyDescent="0.25">
      <c r="A608" s="31" t="s">
        <v>272</v>
      </c>
      <c r="B608" s="492" t="s">
        <v>264</v>
      </c>
      <c r="C608" s="492" t="s">
        <v>213</v>
      </c>
      <c r="D608" s="492" t="s">
        <v>1471</v>
      </c>
      <c r="E608" s="492" t="s">
        <v>273</v>
      </c>
      <c r="F608" s="497">
        <f t="shared" si="60"/>
        <v>1749.4499999999998</v>
      </c>
      <c r="G608" s="497">
        <f t="shared" si="60"/>
        <v>2341</v>
      </c>
    </row>
    <row r="609" spans="1:7" ht="15.75" x14ac:dyDescent="0.25">
      <c r="A609" s="31" t="s">
        <v>274</v>
      </c>
      <c r="B609" s="492" t="s">
        <v>264</v>
      </c>
      <c r="C609" s="492" t="s">
        <v>213</v>
      </c>
      <c r="D609" s="492" t="s">
        <v>1471</v>
      </c>
      <c r="E609" s="492" t="s">
        <v>275</v>
      </c>
      <c r="F609" s="497">
        <f>'пр.6.1.ведом.22-23 (2)'!G680</f>
        <v>1749.4499999999998</v>
      </c>
      <c r="G609" s="497">
        <f>'пр.6.1.ведом.22-23 (2)'!H680</f>
        <v>2341</v>
      </c>
    </row>
    <row r="610" spans="1:7" ht="63" x14ac:dyDescent="0.25">
      <c r="A610" s="34" t="s">
        <v>1357</v>
      </c>
      <c r="B610" s="495" t="s">
        <v>264</v>
      </c>
      <c r="C610" s="495" t="s">
        <v>213</v>
      </c>
      <c r="D610" s="495" t="s">
        <v>324</v>
      </c>
      <c r="E610" s="495"/>
      <c r="F610" s="488">
        <f t="shared" ref="F610:G613" si="61">F611</f>
        <v>60</v>
      </c>
      <c r="G610" s="488">
        <f t="shared" si="61"/>
        <v>70</v>
      </c>
    </row>
    <row r="611" spans="1:7" ht="63" x14ac:dyDescent="0.25">
      <c r="A611" s="34" t="s">
        <v>1024</v>
      </c>
      <c r="B611" s="495" t="s">
        <v>264</v>
      </c>
      <c r="C611" s="495" t="s">
        <v>213</v>
      </c>
      <c r="D611" s="495" t="s">
        <v>934</v>
      </c>
      <c r="E611" s="495"/>
      <c r="F611" s="488">
        <f t="shared" si="61"/>
        <v>60</v>
      </c>
      <c r="G611" s="488">
        <f t="shared" si="61"/>
        <v>70</v>
      </c>
    </row>
    <row r="612" spans="1:7" ht="47.25" x14ac:dyDescent="0.25">
      <c r="A612" s="31" t="s">
        <v>1008</v>
      </c>
      <c r="B612" s="492" t="s">
        <v>264</v>
      </c>
      <c r="C612" s="492" t="s">
        <v>213</v>
      </c>
      <c r="D612" s="492" t="s">
        <v>935</v>
      </c>
      <c r="E612" s="492"/>
      <c r="F612" s="489">
        <f t="shared" si="61"/>
        <v>60</v>
      </c>
      <c r="G612" s="489">
        <f t="shared" si="61"/>
        <v>70</v>
      </c>
    </row>
    <row r="613" spans="1:7" ht="47.25" x14ac:dyDescent="0.25">
      <c r="A613" s="31" t="s">
        <v>272</v>
      </c>
      <c r="B613" s="492" t="s">
        <v>264</v>
      </c>
      <c r="C613" s="492" t="s">
        <v>213</v>
      </c>
      <c r="D613" s="492" t="s">
        <v>935</v>
      </c>
      <c r="E613" s="492" t="s">
        <v>273</v>
      </c>
      <c r="F613" s="489">
        <f t="shared" si="61"/>
        <v>60</v>
      </c>
      <c r="G613" s="489">
        <f t="shared" si="61"/>
        <v>70</v>
      </c>
    </row>
    <row r="614" spans="1:7" ht="15.75" x14ac:dyDescent="0.25">
      <c r="A614" s="31" t="s">
        <v>274</v>
      </c>
      <c r="B614" s="492" t="s">
        <v>264</v>
      </c>
      <c r="C614" s="492" t="s">
        <v>213</v>
      </c>
      <c r="D614" s="492" t="s">
        <v>935</v>
      </c>
      <c r="E614" s="492" t="s">
        <v>275</v>
      </c>
      <c r="F614" s="489">
        <f>'пр.7.1.МП 22-23 (2)'!G621</f>
        <v>60</v>
      </c>
      <c r="G614" s="489">
        <f>'пр.7.1.МП 22-23 (2)'!H621</f>
        <v>70</v>
      </c>
    </row>
    <row r="615" spans="1:7" ht="63" x14ac:dyDescent="0.25">
      <c r="A615" s="500" t="s">
        <v>1352</v>
      </c>
      <c r="B615" s="495" t="s">
        <v>264</v>
      </c>
      <c r="C615" s="495" t="s">
        <v>213</v>
      </c>
      <c r="D615" s="495" t="s">
        <v>705</v>
      </c>
      <c r="E615" s="504"/>
      <c r="F615" s="488">
        <f t="shared" ref="F615:G616" si="62">F616</f>
        <v>870.5</v>
      </c>
      <c r="G615" s="488">
        <f t="shared" si="62"/>
        <v>905.3</v>
      </c>
    </row>
    <row r="616" spans="1:7" ht="63" x14ac:dyDescent="0.25">
      <c r="A616" s="500" t="s">
        <v>890</v>
      </c>
      <c r="B616" s="495" t="s">
        <v>264</v>
      </c>
      <c r="C616" s="495" t="s">
        <v>213</v>
      </c>
      <c r="D616" s="495" t="s">
        <v>888</v>
      </c>
      <c r="E616" s="504"/>
      <c r="F616" s="488">
        <f t="shared" si="62"/>
        <v>870.5</v>
      </c>
      <c r="G616" s="488">
        <f t="shared" si="62"/>
        <v>905.3</v>
      </c>
    </row>
    <row r="617" spans="1:7" ht="47.25" x14ac:dyDescent="0.25">
      <c r="A617" s="98" t="s">
        <v>780</v>
      </c>
      <c r="B617" s="492" t="s">
        <v>264</v>
      </c>
      <c r="C617" s="492" t="s">
        <v>213</v>
      </c>
      <c r="D617" s="492" t="s">
        <v>936</v>
      </c>
      <c r="E617" s="498"/>
      <c r="F617" s="489">
        <f>F618</f>
        <v>870.5</v>
      </c>
      <c r="G617" s="489">
        <f>G618</f>
        <v>905.3</v>
      </c>
    </row>
    <row r="618" spans="1:7" ht="47.25" x14ac:dyDescent="0.25">
      <c r="A618" s="29" t="s">
        <v>272</v>
      </c>
      <c r="B618" s="492" t="s">
        <v>264</v>
      </c>
      <c r="C618" s="492" t="s">
        <v>213</v>
      </c>
      <c r="D618" s="492" t="s">
        <v>936</v>
      </c>
      <c r="E618" s="498" t="s">
        <v>273</v>
      </c>
      <c r="F618" s="489">
        <f>F619</f>
        <v>870.5</v>
      </c>
      <c r="G618" s="489">
        <f>G619</f>
        <v>905.3</v>
      </c>
    </row>
    <row r="619" spans="1:7" ht="15.75" x14ac:dyDescent="0.25">
      <c r="A619" s="182" t="s">
        <v>274</v>
      </c>
      <c r="B619" s="492" t="s">
        <v>264</v>
      </c>
      <c r="C619" s="492" t="s">
        <v>213</v>
      </c>
      <c r="D619" s="492" t="s">
        <v>936</v>
      </c>
      <c r="E619" s="498" t="s">
        <v>275</v>
      </c>
      <c r="F619" s="489">
        <f>'пр.6.1.ведом.22-23 (2)'!G690</f>
        <v>870.5</v>
      </c>
      <c r="G619" s="489">
        <f>'пр.6.1.ведом.22-23 (2)'!H690</f>
        <v>905.3</v>
      </c>
    </row>
    <row r="620" spans="1:7" ht="15.75" x14ac:dyDescent="0.25">
      <c r="A620" s="500" t="s">
        <v>265</v>
      </c>
      <c r="B620" s="7" t="s">
        <v>264</v>
      </c>
      <c r="C620" s="7" t="s">
        <v>215</v>
      </c>
      <c r="D620" s="495"/>
      <c r="E620" s="7"/>
      <c r="F620" s="488">
        <f>F621+F644+F681+F676</f>
        <v>60278.110000000008</v>
      </c>
      <c r="G620" s="488">
        <f>G621+G644+G681+G676</f>
        <v>60303.91</v>
      </c>
    </row>
    <row r="621" spans="1:7" ht="47.25" x14ac:dyDescent="0.25">
      <c r="A621" s="494" t="s">
        <v>1358</v>
      </c>
      <c r="B621" s="495" t="s">
        <v>264</v>
      </c>
      <c r="C621" s="495" t="s">
        <v>215</v>
      </c>
      <c r="D621" s="495" t="s">
        <v>406</v>
      </c>
      <c r="E621" s="495"/>
      <c r="F621" s="488">
        <f>F622+F626+F640</f>
        <v>40748.800000000003</v>
      </c>
      <c r="G621" s="488">
        <f>G622+G626+G640</f>
        <v>40748.800000000003</v>
      </c>
    </row>
    <row r="622" spans="1:7" ht="47.25" x14ac:dyDescent="0.25">
      <c r="A622" s="494" t="s">
        <v>937</v>
      </c>
      <c r="B622" s="495" t="s">
        <v>264</v>
      </c>
      <c r="C622" s="495" t="s">
        <v>215</v>
      </c>
      <c r="D622" s="495" t="s">
        <v>1230</v>
      </c>
      <c r="E622" s="495"/>
      <c r="F622" s="488">
        <f t="shared" ref="F622:G622" si="63">F623</f>
        <v>37056.300000000003</v>
      </c>
      <c r="G622" s="488">
        <f t="shared" si="63"/>
        <v>37056.300000000003</v>
      </c>
    </row>
    <row r="623" spans="1:7" ht="47.25" x14ac:dyDescent="0.25">
      <c r="A623" s="496" t="s">
        <v>270</v>
      </c>
      <c r="B623" s="492" t="s">
        <v>264</v>
      </c>
      <c r="C623" s="492" t="s">
        <v>215</v>
      </c>
      <c r="D623" s="492" t="s">
        <v>1260</v>
      </c>
      <c r="E623" s="492"/>
      <c r="F623" s="489">
        <f>F624</f>
        <v>37056.300000000003</v>
      </c>
      <c r="G623" s="489">
        <f>G624</f>
        <v>37056.300000000003</v>
      </c>
    </row>
    <row r="624" spans="1:7" ht="47.25" x14ac:dyDescent="0.25">
      <c r="A624" s="496" t="s">
        <v>272</v>
      </c>
      <c r="B624" s="492" t="s">
        <v>264</v>
      </c>
      <c r="C624" s="492" t="s">
        <v>215</v>
      </c>
      <c r="D624" s="492" t="s">
        <v>1260</v>
      </c>
      <c r="E624" s="492" t="s">
        <v>273</v>
      </c>
      <c r="F624" s="489">
        <f>F625</f>
        <v>37056.300000000003</v>
      </c>
      <c r="G624" s="489">
        <f>G625</f>
        <v>37056.300000000003</v>
      </c>
    </row>
    <row r="625" spans="1:7" ht="15.75" x14ac:dyDescent="0.25">
      <c r="A625" s="496" t="s">
        <v>274</v>
      </c>
      <c r="B625" s="492" t="s">
        <v>264</v>
      </c>
      <c r="C625" s="492" t="s">
        <v>215</v>
      </c>
      <c r="D625" s="492" t="s">
        <v>1260</v>
      </c>
      <c r="E625" s="492" t="s">
        <v>275</v>
      </c>
      <c r="F625" s="489">
        <f>'пр.6.1.ведом.22-23 (2)'!G696</f>
        <v>37056.300000000003</v>
      </c>
      <c r="G625" s="489">
        <f>'пр.6.1.ведом.22-23 (2)'!H696</f>
        <v>37056.300000000003</v>
      </c>
    </row>
    <row r="626" spans="1:7" ht="47.25" x14ac:dyDescent="0.25">
      <c r="A626" s="494" t="s">
        <v>900</v>
      </c>
      <c r="B626" s="495" t="s">
        <v>264</v>
      </c>
      <c r="C626" s="495" t="s">
        <v>215</v>
      </c>
      <c r="D626" s="495" t="s">
        <v>1232</v>
      </c>
      <c r="E626" s="495"/>
      <c r="F626" s="488">
        <f>F630+F633+F627</f>
        <v>2128.5</v>
      </c>
      <c r="G626" s="488">
        <f>G630+G633+G627</f>
        <v>2128.5</v>
      </c>
    </row>
    <row r="627" spans="1:7" ht="110.25" x14ac:dyDescent="0.25">
      <c r="A627" s="31" t="s">
        <v>293</v>
      </c>
      <c r="B627" s="492" t="s">
        <v>264</v>
      </c>
      <c r="C627" s="492" t="s">
        <v>215</v>
      </c>
      <c r="D627" s="492" t="s">
        <v>1390</v>
      </c>
      <c r="E627" s="492"/>
      <c r="F627" s="489">
        <f>F628</f>
        <v>1400</v>
      </c>
      <c r="G627" s="489">
        <f>G628</f>
        <v>1400</v>
      </c>
    </row>
    <row r="628" spans="1:7" ht="47.25" x14ac:dyDescent="0.25">
      <c r="A628" s="496" t="s">
        <v>272</v>
      </c>
      <c r="B628" s="492" t="s">
        <v>264</v>
      </c>
      <c r="C628" s="492" t="s">
        <v>215</v>
      </c>
      <c r="D628" s="492" t="s">
        <v>1390</v>
      </c>
      <c r="E628" s="492" t="s">
        <v>273</v>
      </c>
      <c r="F628" s="489">
        <f>F629</f>
        <v>1400</v>
      </c>
      <c r="G628" s="489">
        <f>G629</f>
        <v>1400</v>
      </c>
    </row>
    <row r="629" spans="1:7" ht="15.75" x14ac:dyDescent="0.25">
      <c r="A629" s="496" t="s">
        <v>274</v>
      </c>
      <c r="B629" s="492" t="s">
        <v>264</v>
      </c>
      <c r="C629" s="492" t="s">
        <v>215</v>
      </c>
      <c r="D629" s="492" t="s">
        <v>1390</v>
      </c>
      <c r="E629" s="492" t="s">
        <v>275</v>
      </c>
      <c r="F629" s="489">
        <f>'пр.6.1.ведом.22-23 (2)'!G700</f>
        <v>1400</v>
      </c>
      <c r="G629" s="489">
        <f>'пр.6.1.ведом.22-23 (2)'!H700</f>
        <v>1400</v>
      </c>
    </row>
    <row r="630" spans="1:7" ht="63" x14ac:dyDescent="0.25">
      <c r="A630" s="31" t="s">
        <v>289</v>
      </c>
      <c r="B630" s="492" t="s">
        <v>264</v>
      </c>
      <c r="C630" s="492" t="s">
        <v>215</v>
      </c>
      <c r="D630" s="492" t="s">
        <v>1233</v>
      </c>
      <c r="E630" s="492"/>
      <c r="F630" s="489">
        <f>F631</f>
        <v>179</v>
      </c>
      <c r="G630" s="489">
        <f>G631</f>
        <v>179</v>
      </c>
    </row>
    <row r="631" spans="1:7" ht="47.25" x14ac:dyDescent="0.25">
      <c r="A631" s="496" t="s">
        <v>272</v>
      </c>
      <c r="B631" s="492" t="s">
        <v>264</v>
      </c>
      <c r="C631" s="492" t="s">
        <v>215</v>
      </c>
      <c r="D631" s="492" t="s">
        <v>1233</v>
      </c>
      <c r="E631" s="492" t="s">
        <v>273</v>
      </c>
      <c r="F631" s="489">
        <f>F632</f>
        <v>179</v>
      </c>
      <c r="G631" s="489">
        <f>G632</f>
        <v>179</v>
      </c>
    </row>
    <row r="632" spans="1:7" ht="15.75" x14ac:dyDescent="0.25">
      <c r="A632" s="496" t="s">
        <v>274</v>
      </c>
      <c r="B632" s="492" t="s">
        <v>264</v>
      </c>
      <c r="C632" s="492" t="s">
        <v>215</v>
      </c>
      <c r="D632" s="492" t="s">
        <v>1233</v>
      </c>
      <c r="E632" s="492" t="s">
        <v>275</v>
      </c>
      <c r="F632" s="489">
        <f>'пр.6.1.ведом.22-23 (2)'!G703</f>
        <v>179</v>
      </c>
      <c r="G632" s="489">
        <f>'пр.6.1.ведом.22-23 (2)'!H703</f>
        <v>179</v>
      </c>
    </row>
    <row r="633" spans="1:7" ht="78.75" x14ac:dyDescent="0.25">
      <c r="A633" s="31" t="s">
        <v>291</v>
      </c>
      <c r="B633" s="492" t="s">
        <v>264</v>
      </c>
      <c r="C633" s="492" t="s">
        <v>215</v>
      </c>
      <c r="D633" s="492" t="s">
        <v>1234</v>
      </c>
      <c r="E633" s="492"/>
      <c r="F633" s="489">
        <f>F634</f>
        <v>549.5</v>
      </c>
      <c r="G633" s="489">
        <f>G634</f>
        <v>549.5</v>
      </c>
    </row>
    <row r="634" spans="1:7" ht="47.25" x14ac:dyDescent="0.25">
      <c r="A634" s="496" t="s">
        <v>272</v>
      </c>
      <c r="B634" s="492" t="s">
        <v>264</v>
      </c>
      <c r="C634" s="492" t="s">
        <v>215</v>
      </c>
      <c r="D634" s="492" t="s">
        <v>1234</v>
      </c>
      <c r="E634" s="492" t="s">
        <v>273</v>
      </c>
      <c r="F634" s="489">
        <f>F635</f>
        <v>549.5</v>
      </c>
      <c r="G634" s="489">
        <f>G635</f>
        <v>549.5</v>
      </c>
    </row>
    <row r="635" spans="1:7" ht="15.75" x14ac:dyDescent="0.25">
      <c r="A635" s="496" t="s">
        <v>274</v>
      </c>
      <c r="B635" s="492" t="s">
        <v>264</v>
      </c>
      <c r="C635" s="492" t="s">
        <v>215</v>
      </c>
      <c r="D635" s="492" t="s">
        <v>1234</v>
      </c>
      <c r="E635" s="492" t="s">
        <v>275</v>
      </c>
      <c r="F635" s="489">
        <f>'пр.6.1.ведом.22-23 (2)'!G706</f>
        <v>549.5</v>
      </c>
      <c r="G635" s="489">
        <f>'пр.6.1.ведом.22-23 (2)'!H706</f>
        <v>549.5</v>
      </c>
    </row>
    <row r="636" spans="1:7" ht="31.5" hidden="1" x14ac:dyDescent="0.25">
      <c r="A636" s="494" t="s">
        <v>1292</v>
      </c>
      <c r="B636" s="495" t="s">
        <v>264</v>
      </c>
      <c r="C636" s="495" t="s">
        <v>215</v>
      </c>
      <c r="D636" s="495" t="s">
        <v>1237</v>
      </c>
      <c r="E636" s="495"/>
      <c r="F636" s="488">
        <f>F637</f>
        <v>0</v>
      </c>
      <c r="G636" s="488">
        <f>G637</f>
        <v>0</v>
      </c>
    </row>
    <row r="637" spans="1:7" ht="31.5" hidden="1" x14ac:dyDescent="0.25">
      <c r="A637" s="45" t="s">
        <v>766</v>
      </c>
      <c r="B637" s="492" t="s">
        <v>264</v>
      </c>
      <c r="C637" s="492" t="s">
        <v>215</v>
      </c>
      <c r="D637" s="492" t="s">
        <v>1329</v>
      </c>
      <c r="E637" s="492"/>
      <c r="F637" s="489">
        <f>'[1]Пр.4 Рд,пр, ЦС,ВР 21'!F630</f>
        <v>0</v>
      </c>
      <c r="G637" s="489">
        <f t="shared" ref="G637:G661" si="64">F637</f>
        <v>0</v>
      </c>
    </row>
    <row r="638" spans="1:7" ht="47.25" hidden="1" x14ac:dyDescent="0.25">
      <c r="A638" s="31" t="s">
        <v>272</v>
      </c>
      <c r="B638" s="492" t="s">
        <v>264</v>
      </c>
      <c r="C638" s="492" t="s">
        <v>215</v>
      </c>
      <c r="D638" s="492" t="s">
        <v>1329</v>
      </c>
      <c r="E638" s="492" t="s">
        <v>273</v>
      </c>
      <c r="F638" s="489">
        <f>'[1]Пр.4 Рд,пр, ЦС,ВР 21'!F631</f>
        <v>0</v>
      </c>
      <c r="G638" s="489">
        <f t="shared" si="64"/>
        <v>0</v>
      </c>
    </row>
    <row r="639" spans="1:7" ht="15.75" hidden="1" x14ac:dyDescent="0.25">
      <c r="A639" s="31" t="s">
        <v>274</v>
      </c>
      <c r="B639" s="492" t="s">
        <v>264</v>
      </c>
      <c r="C639" s="492" t="s">
        <v>215</v>
      </c>
      <c r="D639" s="492" t="s">
        <v>1329</v>
      </c>
      <c r="E639" s="492" t="s">
        <v>275</v>
      </c>
      <c r="F639" s="489">
        <f>'[1]Пр.4 Рд,пр, ЦС,ВР 21'!F632</f>
        <v>0</v>
      </c>
      <c r="G639" s="489">
        <f t="shared" si="64"/>
        <v>0</v>
      </c>
    </row>
    <row r="640" spans="1:7" ht="47.25" x14ac:dyDescent="0.25">
      <c r="A640" s="219" t="s">
        <v>948</v>
      </c>
      <c r="B640" s="495" t="s">
        <v>264</v>
      </c>
      <c r="C640" s="495" t="s">
        <v>215</v>
      </c>
      <c r="D640" s="495" t="s">
        <v>1240</v>
      </c>
      <c r="E640" s="495"/>
      <c r="F640" s="488">
        <f t="shared" ref="F640:G642" si="65">F641</f>
        <v>1564</v>
      </c>
      <c r="G640" s="488">
        <f t="shared" si="65"/>
        <v>1564</v>
      </c>
    </row>
    <row r="641" spans="1:7" ht="47.25" x14ac:dyDescent="0.25">
      <c r="A641" s="45" t="s">
        <v>764</v>
      </c>
      <c r="B641" s="492" t="s">
        <v>264</v>
      </c>
      <c r="C641" s="492" t="s">
        <v>215</v>
      </c>
      <c r="D641" s="492" t="s">
        <v>1241</v>
      </c>
      <c r="E641" s="492"/>
      <c r="F641" s="489">
        <f t="shared" si="65"/>
        <v>1564</v>
      </c>
      <c r="G641" s="489">
        <f t="shared" si="65"/>
        <v>1564</v>
      </c>
    </row>
    <row r="642" spans="1:7" ht="47.25" x14ac:dyDescent="0.25">
      <c r="A642" s="496" t="s">
        <v>272</v>
      </c>
      <c r="B642" s="492" t="s">
        <v>264</v>
      </c>
      <c r="C642" s="492" t="s">
        <v>215</v>
      </c>
      <c r="D642" s="492" t="s">
        <v>1241</v>
      </c>
      <c r="E642" s="492" t="s">
        <v>273</v>
      </c>
      <c r="F642" s="489">
        <f t="shared" si="65"/>
        <v>1564</v>
      </c>
      <c r="G642" s="489">
        <f t="shared" si="65"/>
        <v>1564</v>
      </c>
    </row>
    <row r="643" spans="1:7" ht="15.75" x14ac:dyDescent="0.25">
      <c r="A643" s="31" t="s">
        <v>274</v>
      </c>
      <c r="B643" s="492" t="s">
        <v>264</v>
      </c>
      <c r="C643" s="492" t="s">
        <v>215</v>
      </c>
      <c r="D643" s="492" t="s">
        <v>1241</v>
      </c>
      <c r="E643" s="492" t="s">
        <v>275</v>
      </c>
      <c r="F643" s="489">
        <f>'пр.6.1.ведом.22-23 (2)'!G714</f>
        <v>1564</v>
      </c>
      <c r="G643" s="489">
        <f>'пр.6.1.ведом.22-23 (2)'!H714</f>
        <v>1564</v>
      </c>
    </row>
    <row r="644" spans="1:7" ht="47.25" x14ac:dyDescent="0.25">
      <c r="A644" s="494" t="s">
        <v>1351</v>
      </c>
      <c r="B644" s="495" t="s">
        <v>264</v>
      </c>
      <c r="C644" s="495" t="s">
        <v>215</v>
      </c>
      <c r="D644" s="495" t="s">
        <v>267</v>
      </c>
      <c r="E644" s="495"/>
      <c r="F644" s="488">
        <f>F645+F653+F662+F666</f>
        <v>18730.410000000003</v>
      </c>
      <c r="G644" s="488">
        <f>G645+G653+G662+G666</f>
        <v>18730.410000000003</v>
      </c>
    </row>
    <row r="645" spans="1:7" ht="47.25" x14ac:dyDescent="0.25">
      <c r="A645" s="494" t="s">
        <v>1299</v>
      </c>
      <c r="B645" s="495" t="s">
        <v>264</v>
      </c>
      <c r="C645" s="495" t="s">
        <v>215</v>
      </c>
      <c r="D645" s="495" t="s">
        <v>1203</v>
      </c>
      <c r="E645" s="495"/>
      <c r="F645" s="488">
        <f>F646</f>
        <v>15854.01</v>
      </c>
      <c r="G645" s="488">
        <f>G646</f>
        <v>15854.01</v>
      </c>
    </row>
    <row r="646" spans="1:7" ht="31.5" x14ac:dyDescent="0.25">
      <c r="A646" s="496" t="s">
        <v>800</v>
      </c>
      <c r="B646" s="492" t="s">
        <v>264</v>
      </c>
      <c r="C646" s="492" t="s">
        <v>215</v>
      </c>
      <c r="D646" s="492" t="s">
        <v>1204</v>
      </c>
      <c r="E646" s="492"/>
      <c r="F646" s="489">
        <f>F647+F649+F651</f>
        <v>15854.01</v>
      </c>
      <c r="G646" s="489">
        <f>G647+G649+G651</f>
        <v>15854.01</v>
      </c>
    </row>
    <row r="647" spans="1:7" ht="94.5" x14ac:dyDescent="0.25">
      <c r="A647" s="496" t="s">
        <v>127</v>
      </c>
      <c r="B647" s="492" t="s">
        <v>264</v>
      </c>
      <c r="C647" s="492" t="s">
        <v>215</v>
      </c>
      <c r="D647" s="492" t="s">
        <v>1204</v>
      </c>
      <c r="E647" s="492" t="s">
        <v>128</v>
      </c>
      <c r="F647" s="489">
        <f>F648</f>
        <v>14172.31</v>
      </c>
      <c r="G647" s="489">
        <f>G648</f>
        <v>14172.31</v>
      </c>
    </row>
    <row r="648" spans="1:7" ht="31.5" x14ac:dyDescent="0.25">
      <c r="A648" s="46" t="s">
        <v>342</v>
      </c>
      <c r="B648" s="492" t="s">
        <v>264</v>
      </c>
      <c r="C648" s="492" t="s">
        <v>215</v>
      </c>
      <c r="D648" s="492" t="s">
        <v>1204</v>
      </c>
      <c r="E648" s="492" t="s">
        <v>209</v>
      </c>
      <c r="F648" s="489">
        <f>'пр.6.1.ведом.22-23 (2)'!G299</f>
        <v>14172.31</v>
      </c>
      <c r="G648" s="489">
        <f>'пр.6.1.ведом.22-23 (2)'!H299</f>
        <v>14172.31</v>
      </c>
    </row>
    <row r="649" spans="1:7" ht="31.5" x14ac:dyDescent="0.25">
      <c r="A649" s="496" t="s">
        <v>131</v>
      </c>
      <c r="B649" s="492" t="s">
        <v>264</v>
      </c>
      <c r="C649" s="492" t="s">
        <v>215</v>
      </c>
      <c r="D649" s="492" t="s">
        <v>1204</v>
      </c>
      <c r="E649" s="492" t="s">
        <v>132</v>
      </c>
      <c r="F649" s="489">
        <f>F650</f>
        <v>1603.7</v>
      </c>
      <c r="G649" s="489">
        <f>G650</f>
        <v>1603.7</v>
      </c>
    </row>
    <row r="650" spans="1:7" ht="47.25" x14ac:dyDescent="0.25">
      <c r="A650" s="496" t="s">
        <v>133</v>
      </c>
      <c r="B650" s="492" t="s">
        <v>264</v>
      </c>
      <c r="C650" s="492" t="s">
        <v>215</v>
      </c>
      <c r="D650" s="492" t="s">
        <v>1204</v>
      </c>
      <c r="E650" s="492" t="s">
        <v>134</v>
      </c>
      <c r="F650" s="489">
        <f>'пр.6.1.ведом.22-23 (2)'!G301</f>
        <v>1603.7</v>
      </c>
      <c r="G650" s="489">
        <f>'пр.6.1.ведом.22-23 (2)'!H301</f>
        <v>1603.7</v>
      </c>
    </row>
    <row r="651" spans="1:7" ht="15.75" x14ac:dyDescent="0.25">
      <c r="A651" s="496" t="s">
        <v>135</v>
      </c>
      <c r="B651" s="492" t="s">
        <v>264</v>
      </c>
      <c r="C651" s="492" t="s">
        <v>215</v>
      </c>
      <c r="D651" s="492" t="s">
        <v>1204</v>
      </c>
      <c r="E651" s="492" t="s">
        <v>145</v>
      </c>
      <c r="F651" s="489">
        <f>F652</f>
        <v>78</v>
      </c>
      <c r="G651" s="489">
        <f>G652</f>
        <v>78</v>
      </c>
    </row>
    <row r="652" spans="1:7" ht="15.75" x14ac:dyDescent="0.25">
      <c r="A652" s="496" t="s">
        <v>704</v>
      </c>
      <c r="B652" s="492" t="s">
        <v>264</v>
      </c>
      <c r="C652" s="492" t="s">
        <v>215</v>
      </c>
      <c r="D652" s="492" t="s">
        <v>1204</v>
      </c>
      <c r="E652" s="492" t="s">
        <v>138</v>
      </c>
      <c r="F652" s="489">
        <f>'пр.6.1.ведом.22-23 (2)'!G303</f>
        <v>78</v>
      </c>
      <c r="G652" s="489">
        <f>'пр.6.1.ведом.22-23 (2)'!H303</f>
        <v>78</v>
      </c>
    </row>
    <row r="653" spans="1:7" ht="31.5" x14ac:dyDescent="0.25">
      <c r="A653" s="216" t="s">
        <v>1301</v>
      </c>
      <c r="B653" s="495" t="s">
        <v>264</v>
      </c>
      <c r="C653" s="495" t="s">
        <v>215</v>
      </c>
      <c r="D653" s="495" t="s">
        <v>1205</v>
      </c>
      <c r="E653" s="495"/>
      <c r="F653" s="488">
        <f>F654+F657</f>
        <v>1295</v>
      </c>
      <c r="G653" s="488">
        <f>G654+G657</f>
        <v>1295</v>
      </c>
    </row>
    <row r="654" spans="1:7" ht="31.5" x14ac:dyDescent="0.25">
      <c r="A654" s="195" t="s">
        <v>799</v>
      </c>
      <c r="B654" s="492" t="s">
        <v>264</v>
      </c>
      <c r="C654" s="492" t="s">
        <v>215</v>
      </c>
      <c r="D654" s="492" t="s">
        <v>1206</v>
      </c>
      <c r="E654" s="492"/>
      <c r="F654" s="489">
        <f t="shared" ref="F654:G655" si="66">F655</f>
        <v>45</v>
      </c>
      <c r="G654" s="489">
        <f t="shared" si="66"/>
        <v>45</v>
      </c>
    </row>
    <row r="655" spans="1:7" ht="31.5" x14ac:dyDescent="0.25">
      <c r="A655" s="496" t="s">
        <v>248</v>
      </c>
      <c r="B655" s="492" t="s">
        <v>264</v>
      </c>
      <c r="C655" s="492" t="s">
        <v>215</v>
      </c>
      <c r="D655" s="492" t="s">
        <v>1206</v>
      </c>
      <c r="E655" s="492" t="s">
        <v>249</v>
      </c>
      <c r="F655" s="489">
        <f t="shared" si="66"/>
        <v>45</v>
      </c>
      <c r="G655" s="489">
        <f t="shared" si="66"/>
        <v>45</v>
      </c>
    </row>
    <row r="656" spans="1:7" ht="15.75" x14ac:dyDescent="0.25">
      <c r="A656" s="496" t="s">
        <v>820</v>
      </c>
      <c r="B656" s="492" t="s">
        <v>264</v>
      </c>
      <c r="C656" s="492" t="s">
        <v>215</v>
      </c>
      <c r="D656" s="492" t="s">
        <v>1206</v>
      </c>
      <c r="E656" s="492" t="s">
        <v>819</v>
      </c>
      <c r="F656" s="489">
        <f>'пр.6.1.ведом.22-23 (2)'!G307</f>
        <v>45</v>
      </c>
      <c r="G656" s="489">
        <f>'пр.6.1.ведом.22-23 (2)'!H307</f>
        <v>45</v>
      </c>
    </row>
    <row r="657" spans="1:7" ht="31.5" x14ac:dyDescent="0.25">
      <c r="A657" s="31" t="s">
        <v>816</v>
      </c>
      <c r="B657" s="492" t="s">
        <v>264</v>
      </c>
      <c r="C657" s="492" t="s">
        <v>215</v>
      </c>
      <c r="D657" s="492" t="s">
        <v>1207</v>
      </c>
      <c r="E657" s="492"/>
      <c r="F657" s="489">
        <f t="shared" ref="F657:G658" si="67">F658</f>
        <v>1250</v>
      </c>
      <c r="G657" s="489">
        <f t="shared" si="67"/>
        <v>1250</v>
      </c>
    </row>
    <row r="658" spans="1:7" ht="94.5" x14ac:dyDescent="0.25">
      <c r="A658" s="496" t="s">
        <v>127</v>
      </c>
      <c r="B658" s="492" t="s">
        <v>264</v>
      </c>
      <c r="C658" s="492" t="s">
        <v>215</v>
      </c>
      <c r="D658" s="492" t="s">
        <v>1207</v>
      </c>
      <c r="E658" s="492" t="s">
        <v>128</v>
      </c>
      <c r="F658" s="489">
        <f t="shared" si="67"/>
        <v>1250</v>
      </c>
      <c r="G658" s="489">
        <f t="shared" si="67"/>
        <v>1250</v>
      </c>
    </row>
    <row r="659" spans="1:7" ht="31.5" x14ac:dyDescent="0.25">
      <c r="A659" s="46" t="s">
        <v>342</v>
      </c>
      <c r="B659" s="492" t="s">
        <v>264</v>
      </c>
      <c r="C659" s="492" t="s">
        <v>215</v>
      </c>
      <c r="D659" s="492" t="s">
        <v>1207</v>
      </c>
      <c r="E659" s="492" t="s">
        <v>209</v>
      </c>
      <c r="F659" s="489">
        <f>'пр.6.1.ведом.22-23 (2)'!G310</f>
        <v>1250</v>
      </c>
      <c r="G659" s="489">
        <f>'пр.6.1.ведом.22-23 (2)'!H310</f>
        <v>1250</v>
      </c>
    </row>
    <row r="660" spans="1:7" ht="31.5" hidden="1" x14ac:dyDescent="0.25">
      <c r="A660" s="496" t="s">
        <v>131</v>
      </c>
      <c r="B660" s="492" t="s">
        <v>264</v>
      </c>
      <c r="C660" s="492" t="s">
        <v>215</v>
      </c>
      <c r="D660" s="492" t="s">
        <v>1207</v>
      </c>
      <c r="E660" s="492" t="s">
        <v>132</v>
      </c>
      <c r="F660" s="489">
        <f>'[1]Пр.4 Рд,пр, ЦС,ВР 21'!F656</f>
        <v>0</v>
      </c>
      <c r="G660" s="489">
        <f t="shared" si="64"/>
        <v>0</v>
      </c>
    </row>
    <row r="661" spans="1:7" ht="47.25" hidden="1" x14ac:dyDescent="0.25">
      <c r="A661" s="496" t="s">
        <v>133</v>
      </c>
      <c r="B661" s="492" t="s">
        <v>264</v>
      </c>
      <c r="C661" s="492" t="s">
        <v>215</v>
      </c>
      <c r="D661" s="492" t="s">
        <v>1207</v>
      </c>
      <c r="E661" s="492" t="s">
        <v>134</v>
      </c>
      <c r="F661" s="489">
        <f>'[1]Пр.4 Рд,пр, ЦС,ВР 21'!F657</f>
        <v>0</v>
      </c>
      <c r="G661" s="489">
        <f t="shared" si="64"/>
        <v>0</v>
      </c>
    </row>
    <row r="662" spans="1:7" ht="47.25" x14ac:dyDescent="0.25">
      <c r="A662" s="494" t="s">
        <v>947</v>
      </c>
      <c r="B662" s="495" t="s">
        <v>264</v>
      </c>
      <c r="C662" s="495" t="s">
        <v>215</v>
      </c>
      <c r="D662" s="495" t="s">
        <v>1208</v>
      </c>
      <c r="E662" s="495"/>
      <c r="F662" s="488">
        <f t="shared" ref="F662:G664" si="68">F663</f>
        <v>506</v>
      </c>
      <c r="G662" s="488">
        <f t="shared" si="68"/>
        <v>506</v>
      </c>
    </row>
    <row r="663" spans="1:7" ht="47.25" x14ac:dyDescent="0.25">
      <c r="A663" s="496" t="s">
        <v>839</v>
      </c>
      <c r="B663" s="492" t="s">
        <v>264</v>
      </c>
      <c r="C663" s="492" t="s">
        <v>215</v>
      </c>
      <c r="D663" s="492" t="s">
        <v>1209</v>
      </c>
      <c r="E663" s="492"/>
      <c r="F663" s="489">
        <f t="shared" si="68"/>
        <v>506</v>
      </c>
      <c r="G663" s="489">
        <f t="shared" si="68"/>
        <v>506</v>
      </c>
    </row>
    <row r="664" spans="1:7" ht="94.5" x14ac:dyDescent="0.25">
      <c r="A664" s="496" t="s">
        <v>127</v>
      </c>
      <c r="B664" s="492" t="s">
        <v>264</v>
      </c>
      <c r="C664" s="492" t="s">
        <v>215</v>
      </c>
      <c r="D664" s="492" t="s">
        <v>1209</v>
      </c>
      <c r="E664" s="492" t="s">
        <v>128</v>
      </c>
      <c r="F664" s="489">
        <f t="shared" si="68"/>
        <v>506</v>
      </c>
      <c r="G664" s="489">
        <f t="shared" si="68"/>
        <v>506</v>
      </c>
    </row>
    <row r="665" spans="1:7" ht="31.5" x14ac:dyDescent="0.25">
      <c r="A665" s="496" t="s">
        <v>129</v>
      </c>
      <c r="B665" s="492" t="s">
        <v>264</v>
      </c>
      <c r="C665" s="492" t="s">
        <v>215</v>
      </c>
      <c r="D665" s="492" t="s">
        <v>1209</v>
      </c>
      <c r="E665" s="492" t="s">
        <v>209</v>
      </c>
      <c r="F665" s="489">
        <f>'пр.6.1.ведом.22-23 (2)'!G316</f>
        <v>506</v>
      </c>
      <c r="G665" s="489">
        <f>'пр.6.1.ведом.22-23 (2)'!H316</f>
        <v>506</v>
      </c>
    </row>
    <row r="666" spans="1:7" ht="56.25" customHeight="1" x14ac:dyDescent="0.25">
      <c r="A666" s="494" t="s">
        <v>900</v>
      </c>
      <c r="B666" s="495" t="s">
        <v>264</v>
      </c>
      <c r="C666" s="495" t="s">
        <v>215</v>
      </c>
      <c r="D666" s="495" t="s">
        <v>1210</v>
      </c>
      <c r="E666" s="495"/>
      <c r="F666" s="488">
        <f>F670+F673+F667</f>
        <v>1075.4000000000001</v>
      </c>
      <c r="G666" s="488">
        <f>G670+G673+G667</f>
        <v>1075.4000000000001</v>
      </c>
    </row>
    <row r="667" spans="1:7" ht="120.95" customHeight="1" x14ac:dyDescent="0.25">
      <c r="A667" s="31" t="s">
        <v>293</v>
      </c>
      <c r="B667" s="492" t="s">
        <v>264</v>
      </c>
      <c r="C667" s="492" t="s">
        <v>215</v>
      </c>
      <c r="D667" s="492" t="s">
        <v>1403</v>
      </c>
      <c r="E667" s="492"/>
      <c r="F667" s="489">
        <f>F668</f>
        <v>671</v>
      </c>
      <c r="G667" s="489">
        <f>G668</f>
        <v>671</v>
      </c>
    </row>
    <row r="668" spans="1:7" ht="93.75" customHeight="1" x14ac:dyDescent="0.25">
      <c r="A668" s="496" t="s">
        <v>127</v>
      </c>
      <c r="B668" s="492" t="s">
        <v>264</v>
      </c>
      <c r="C668" s="492" t="s">
        <v>215</v>
      </c>
      <c r="D668" s="492" t="s">
        <v>1403</v>
      </c>
      <c r="E668" s="492" t="s">
        <v>128</v>
      </c>
      <c r="F668" s="489">
        <f>F669</f>
        <v>671</v>
      </c>
      <c r="G668" s="489">
        <f>G669</f>
        <v>671</v>
      </c>
    </row>
    <row r="669" spans="1:7" ht="39.4" customHeight="1" x14ac:dyDescent="0.25">
      <c r="A669" s="46" t="s">
        <v>342</v>
      </c>
      <c r="B669" s="492" t="s">
        <v>264</v>
      </c>
      <c r="C669" s="492" t="s">
        <v>215</v>
      </c>
      <c r="D669" s="492" t="s">
        <v>1403</v>
      </c>
      <c r="E669" s="492" t="s">
        <v>209</v>
      </c>
      <c r="F669" s="489">
        <f>'пр.6.1.ведом.22-23 (2)'!G320</f>
        <v>671</v>
      </c>
      <c r="G669" s="489">
        <f>'пр.6.1.ведом.22-23 (2)'!H320</f>
        <v>671</v>
      </c>
    </row>
    <row r="670" spans="1:7" ht="63" x14ac:dyDescent="0.25">
      <c r="A670" s="31" t="s">
        <v>289</v>
      </c>
      <c r="B670" s="492" t="s">
        <v>264</v>
      </c>
      <c r="C670" s="492" t="s">
        <v>215</v>
      </c>
      <c r="D670" s="492" t="s">
        <v>1211</v>
      </c>
      <c r="E670" s="492"/>
      <c r="F670" s="489">
        <f>F671</f>
        <v>106</v>
      </c>
      <c r="G670" s="489">
        <f>G671</f>
        <v>106</v>
      </c>
    </row>
    <row r="671" spans="1:7" ht="94.5" x14ac:dyDescent="0.25">
      <c r="A671" s="496" t="s">
        <v>127</v>
      </c>
      <c r="B671" s="492" t="s">
        <v>264</v>
      </c>
      <c r="C671" s="492" t="s">
        <v>215</v>
      </c>
      <c r="D671" s="492" t="s">
        <v>1211</v>
      </c>
      <c r="E671" s="492" t="s">
        <v>128</v>
      </c>
      <c r="F671" s="489">
        <f>F672</f>
        <v>106</v>
      </c>
      <c r="G671" s="489">
        <f>G672</f>
        <v>106</v>
      </c>
    </row>
    <row r="672" spans="1:7" ht="31.5" x14ac:dyDescent="0.25">
      <c r="A672" s="46" t="s">
        <v>342</v>
      </c>
      <c r="B672" s="492" t="s">
        <v>264</v>
      </c>
      <c r="C672" s="492" t="s">
        <v>215</v>
      </c>
      <c r="D672" s="492" t="s">
        <v>1211</v>
      </c>
      <c r="E672" s="492" t="s">
        <v>209</v>
      </c>
      <c r="F672" s="489">
        <f>'пр.6.1.ведом.22-23 (2)'!G323</f>
        <v>106</v>
      </c>
      <c r="G672" s="489">
        <f>'пр.6.1.ведом.22-23 (2)'!H323</f>
        <v>106</v>
      </c>
    </row>
    <row r="673" spans="1:7" ht="78.75" x14ac:dyDescent="0.25">
      <c r="A673" s="31" t="s">
        <v>291</v>
      </c>
      <c r="B673" s="492" t="s">
        <v>264</v>
      </c>
      <c r="C673" s="492" t="s">
        <v>215</v>
      </c>
      <c r="D673" s="492" t="s">
        <v>1212</v>
      </c>
      <c r="E673" s="492"/>
      <c r="F673" s="489">
        <f>F674</f>
        <v>298.39999999999998</v>
      </c>
      <c r="G673" s="489">
        <f>G674</f>
        <v>298.39999999999998</v>
      </c>
    </row>
    <row r="674" spans="1:7" ht="94.5" x14ac:dyDescent="0.25">
      <c r="A674" s="496" t="s">
        <v>127</v>
      </c>
      <c r="B674" s="492" t="s">
        <v>264</v>
      </c>
      <c r="C674" s="492" t="s">
        <v>215</v>
      </c>
      <c r="D674" s="492" t="s">
        <v>1212</v>
      </c>
      <c r="E674" s="492" t="s">
        <v>128</v>
      </c>
      <c r="F674" s="489">
        <f>F675</f>
        <v>298.39999999999998</v>
      </c>
      <c r="G674" s="489">
        <f>G675</f>
        <v>298.39999999999998</v>
      </c>
    </row>
    <row r="675" spans="1:7" ht="31.5" x14ac:dyDescent="0.25">
      <c r="A675" s="46" t="s">
        <v>342</v>
      </c>
      <c r="B675" s="492" t="s">
        <v>264</v>
      </c>
      <c r="C675" s="492" t="s">
        <v>215</v>
      </c>
      <c r="D675" s="492" t="s">
        <v>1212</v>
      </c>
      <c r="E675" s="492" t="s">
        <v>209</v>
      </c>
      <c r="F675" s="489">
        <f>'пр.6.1.ведом.22-23 (2)'!G326</f>
        <v>298.39999999999998</v>
      </c>
      <c r="G675" s="489">
        <f>'пр.6.1.ведом.22-23 (2)'!H326</f>
        <v>298.39999999999998</v>
      </c>
    </row>
    <row r="676" spans="1:7" ht="63" x14ac:dyDescent="0.25">
      <c r="A676" s="34" t="s">
        <v>1220</v>
      </c>
      <c r="B676" s="495" t="s">
        <v>264</v>
      </c>
      <c r="C676" s="495" t="s">
        <v>215</v>
      </c>
      <c r="D676" s="495" t="s">
        <v>324</v>
      </c>
      <c r="E676" s="495"/>
      <c r="F676" s="493">
        <f>F678</f>
        <v>6</v>
      </c>
      <c r="G676" s="493">
        <f>G678</f>
        <v>0</v>
      </c>
    </row>
    <row r="677" spans="1:7" ht="63" x14ac:dyDescent="0.25">
      <c r="A677" s="34" t="s">
        <v>1025</v>
      </c>
      <c r="B677" s="495" t="s">
        <v>264</v>
      </c>
      <c r="C677" s="495" t="s">
        <v>215</v>
      </c>
      <c r="D677" s="495" t="s">
        <v>934</v>
      </c>
      <c r="E677" s="495"/>
      <c r="F677" s="493">
        <f>F680</f>
        <v>6</v>
      </c>
      <c r="G677" s="493">
        <f>G680</f>
        <v>0</v>
      </c>
    </row>
    <row r="678" spans="1:7" ht="47.25" x14ac:dyDescent="0.25">
      <c r="A678" s="31" t="s">
        <v>1080</v>
      </c>
      <c r="B678" s="492" t="s">
        <v>264</v>
      </c>
      <c r="C678" s="492" t="s">
        <v>215</v>
      </c>
      <c r="D678" s="492" t="s">
        <v>1026</v>
      </c>
      <c r="E678" s="492"/>
      <c r="F678" s="497">
        <f>F679</f>
        <v>6</v>
      </c>
      <c r="G678" s="497">
        <f>G679</f>
        <v>0</v>
      </c>
    </row>
    <row r="679" spans="1:7" ht="31.5" x14ac:dyDescent="0.25">
      <c r="A679" s="496" t="s">
        <v>131</v>
      </c>
      <c r="B679" s="492" t="s">
        <v>264</v>
      </c>
      <c r="C679" s="492" t="s">
        <v>215</v>
      </c>
      <c r="D679" s="492" t="s">
        <v>1026</v>
      </c>
      <c r="E679" s="492" t="s">
        <v>132</v>
      </c>
      <c r="F679" s="497">
        <f>F680</f>
        <v>6</v>
      </c>
      <c r="G679" s="497">
        <f>G680</f>
        <v>0</v>
      </c>
    </row>
    <row r="680" spans="1:7" ht="47.25" x14ac:dyDescent="0.25">
      <c r="A680" s="496" t="s">
        <v>133</v>
      </c>
      <c r="B680" s="492" t="s">
        <v>264</v>
      </c>
      <c r="C680" s="492" t="s">
        <v>215</v>
      </c>
      <c r="D680" s="492" t="s">
        <v>1026</v>
      </c>
      <c r="E680" s="492" t="s">
        <v>134</v>
      </c>
      <c r="F680" s="497">
        <f>'пр.6.1.ведом.22-23 (2)'!G331</f>
        <v>6</v>
      </c>
      <c r="G680" s="497">
        <f>'пр.6.1.ведом.22-23 (2)'!H331</f>
        <v>0</v>
      </c>
    </row>
    <row r="681" spans="1:7" ht="63" x14ac:dyDescent="0.25">
      <c r="A681" s="500" t="s">
        <v>1352</v>
      </c>
      <c r="B681" s="495" t="s">
        <v>264</v>
      </c>
      <c r="C681" s="495" t="s">
        <v>215</v>
      </c>
      <c r="D681" s="495" t="s">
        <v>705</v>
      </c>
      <c r="E681" s="495"/>
      <c r="F681" s="488">
        <f>F682</f>
        <v>792.9</v>
      </c>
      <c r="G681" s="488">
        <f>G682</f>
        <v>824.7</v>
      </c>
    </row>
    <row r="682" spans="1:7" ht="63" x14ac:dyDescent="0.25">
      <c r="A682" s="500" t="s">
        <v>890</v>
      </c>
      <c r="B682" s="495" t="s">
        <v>264</v>
      </c>
      <c r="C682" s="495" t="s">
        <v>215</v>
      </c>
      <c r="D682" s="495" t="s">
        <v>888</v>
      </c>
      <c r="E682" s="495"/>
      <c r="F682" s="488">
        <f>F683+F686</f>
        <v>792.9</v>
      </c>
      <c r="G682" s="488">
        <f>G683+G686</f>
        <v>824.7</v>
      </c>
    </row>
    <row r="683" spans="1:7" ht="47.25" x14ac:dyDescent="0.25">
      <c r="A683" s="98" t="s">
        <v>1004</v>
      </c>
      <c r="B683" s="492" t="s">
        <v>264</v>
      </c>
      <c r="C683" s="492" t="s">
        <v>215</v>
      </c>
      <c r="D683" s="492" t="s">
        <v>889</v>
      </c>
      <c r="E683" s="498"/>
      <c r="F683" s="489">
        <f>F684</f>
        <v>490.2</v>
      </c>
      <c r="G683" s="489">
        <f>G684</f>
        <v>509.8</v>
      </c>
    </row>
    <row r="684" spans="1:7" ht="31.5" x14ac:dyDescent="0.25">
      <c r="A684" s="496" t="s">
        <v>131</v>
      </c>
      <c r="B684" s="492" t="s">
        <v>264</v>
      </c>
      <c r="C684" s="492" t="s">
        <v>215</v>
      </c>
      <c r="D684" s="492" t="s">
        <v>889</v>
      </c>
      <c r="E684" s="498" t="s">
        <v>132</v>
      </c>
      <c r="F684" s="489">
        <f>F685</f>
        <v>490.2</v>
      </c>
      <c r="G684" s="489">
        <f>G685</f>
        <v>509.8</v>
      </c>
    </row>
    <row r="685" spans="1:7" ht="47.25" x14ac:dyDescent="0.25">
      <c r="A685" s="496" t="s">
        <v>133</v>
      </c>
      <c r="B685" s="492" t="s">
        <v>264</v>
      </c>
      <c r="C685" s="492" t="s">
        <v>215</v>
      </c>
      <c r="D685" s="492" t="s">
        <v>889</v>
      </c>
      <c r="E685" s="498" t="s">
        <v>134</v>
      </c>
      <c r="F685" s="489">
        <f>'пр.6.1.ведом.22-23 (2)'!G336</f>
        <v>490.2</v>
      </c>
      <c r="G685" s="489">
        <f>'пр.6.1.ведом.22-23 (2)'!H336</f>
        <v>509.8</v>
      </c>
    </row>
    <row r="686" spans="1:7" ht="47.25" x14ac:dyDescent="0.25">
      <c r="A686" s="98" t="s">
        <v>780</v>
      </c>
      <c r="B686" s="492" t="s">
        <v>264</v>
      </c>
      <c r="C686" s="492" t="s">
        <v>215</v>
      </c>
      <c r="D686" s="492" t="s">
        <v>936</v>
      </c>
      <c r="E686" s="498"/>
      <c r="F686" s="489">
        <f>F687</f>
        <v>302.7</v>
      </c>
      <c r="G686" s="489">
        <f>G687</f>
        <v>314.89999999999998</v>
      </c>
    </row>
    <row r="687" spans="1:7" ht="47.25" x14ac:dyDescent="0.25">
      <c r="A687" s="29" t="s">
        <v>272</v>
      </c>
      <c r="B687" s="492" t="s">
        <v>264</v>
      </c>
      <c r="C687" s="492" t="s">
        <v>215</v>
      </c>
      <c r="D687" s="492" t="s">
        <v>936</v>
      </c>
      <c r="E687" s="498" t="s">
        <v>273</v>
      </c>
      <c r="F687" s="489">
        <f>F688</f>
        <v>302.7</v>
      </c>
      <c r="G687" s="489">
        <f>G688</f>
        <v>314.89999999999998</v>
      </c>
    </row>
    <row r="688" spans="1:7" ht="15.75" x14ac:dyDescent="0.25">
      <c r="A688" s="182" t="s">
        <v>274</v>
      </c>
      <c r="B688" s="492" t="s">
        <v>264</v>
      </c>
      <c r="C688" s="492" t="s">
        <v>215</v>
      </c>
      <c r="D688" s="492" t="s">
        <v>936</v>
      </c>
      <c r="E688" s="498" t="s">
        <v>275</v>
      </c>
      <c r="F688" s="489">
        <f>'пр.6.1.ведом.22-23 (2)'!G719</f>
        <v>302.7</v>
      </c>
      <c r="G688" s="489">
        <f>'пр.6.1.ведом.22-23 (2)'!H719</f>
        <v>314.89999999999998</v>
      </c>
    </row>
    <row r="689" spans="1:7" ht="21.2" customHeight="1" x14ac:dyDescent="0.25">
      <c r="A689" s="494" t="s">
        <v>466</v>
      </c>
      <c r="B689" s="495" t="s">
        <v>264</v>
      </c>
      <c r="C689" s="495" t="s">
        <v>264</v>
      </c>
      <c r="D689" s="495"/>
      <c r="E689" s="504"/>
      <c r="F689" s="488">
        <f>F690+F709</f>
        <v>6505.1</v>
      </c>
      <c r="G689" s="488">
        <f>G690+G709</f>
        <v>6570.1</v>
      </c>
    </row>
    <row r="690" spans="1:7" ht="47.25" x14ac:dyDescent="0.25">
      <c r="A690" s="494" t="s">
        <v>1372</v>
      </c>
      <c r="B690" s="495" t="s">
        <v>264</v>
      </c>
      <c r="C690" s="495" t="s">
        <v>264</v>
      </c>
      <c r="D690" s="495" t="s">
        <v>344</v>
      </c>
      <c r="E690" s="495"/>
      <c r="F690" s="488">
        <f>F691</f>
        <v>760</v>
      </c>
      <c r="G690" s="488">
        <f>G691</f>
        <v>825</v>
      </c>
    </row>
    <row r="691" spans="1:7" ht="31.5" x14ac:dyDescent="0.25">
      <c r="A691" s="494" t="s">
        <v>345</v>
      </c>
      <c r="B691" s="495" t="s">
        <v>264</v>
      </c>
      <c r="C691" s="495" t="s">
        <v>264</v>
      </c>
      <c r="D691" s="495" t="s">
        <v>346</v>
      </c>
      <c r="E691" s="495"/>
      <c r="F691" s="488">
        <f>F692+F699+F705</f>
        <v>760</v>
      </c>
      <c r="G691" s="488">
        <f>G692+G699+G705</f>
        <v>825</v>
      </c>
    </row>
    <row r="692" spans="1:7" ht="63" x14ac:dyDescent="0.25">
      <c r="A692" s="211" t="s">
        <v>1029</v>
      </c>
      <c r="B692" s="495" t="s">
        <v>264</v>
      </c>
      <c r="C692" s="495" t="s">
        <v>264</v>
      </c>
      <c r="D692" s="495" t="s">
        <v>892</v>
      </c>
      <c r="E692" s="495"/>
      <c r="F692" s="488">
        <f>F693+F696</f>
        <v>280</v>
      </c>
      <c r="G692" s="488">
        <f>G693+G696</f>
        <v>280</v>
      </c>
    </row>
    <row r="693" spans="1:7" ht="31.5" x14ac:dyDescent="0.25">
      <c r="A693" s="98" t="s">
        <v>1035</v>
      </c>
      <c r="B693" s="492" t="s">
        <v>264</v>
      </c>
      <c r="C693" s="492" t="s">
        <v>264</v>
      </c>
      <c r="D693" s="492" t="s">
        <v>893</v>
      </c>
      <c r="E693" s="492"/>
      <c r="F693" s="489">
        <f>F694</f>
        <v>280</v>
      </c>
      <c r="G693" s="489">
        <f>G694</f>
        <v>280</v>
      </c>
    </row>
    <row r="694" spans="1:7" ht="94.5" x14ac:dyDescent="0.25">
      <c r="A694" s="496" t="s">
        <v>127</v>
      </c>
      <c r="B694" s="492" t="s">
        <v>264</v>
      </c>
      <c r="C694" s="492" t="s">
        <v>264</v>
      </c>
      <c r="D694" s="492" t="s">
        <v>893</v>
      </c>
      <c r="E694" s="492" t="s">
        <v>128</v>
      </c>
      <c r="F694" s="489">
        <f>F695</f>
        <v>280</v>
      </c>
      <c r="G694" s="489">
        <f>G695</f>
        <v>280</v>
      </c>
    </row>
    <row r="695" spans="1:7" ht="31.5" x14ac:dyDescent="0.25">
      <c r="A695" s="496" t="s">
        <v>342</v>
      </c>
      <c r="B695" s="492" t="s">
        <v>264</v>
      </c>
      <c r="C695" s="492" t="s">
        <v>264</v>
      </c>
      <c r="D695" s="492" t="s">
        <v>893</v>
      </c>
      <c r="E695" s="492" t="s">
        <v>209</v>
      </c>
      <c r="F695" s="489">
        <f>'пр.6.1.ведом.22-23 (2)'!G343</f>
        <v>280</v>
      </c>
      <c r="G695" s="489">
        <f>'пр.6.1.ведом.22-23 (2)'!H343</f>
        <v>280</v>
      </c>
    </row>
    <row r="696" spans="1:7" ht="31.5" hidden="1" x14ac:dyDescent="0.25">
      <c r="A696" s="496" t="s">
        <v>1030</v>
      </c>
      <c r="B696" s="492" t="s">
        <v>264</v>
      </c>
      <c r="C696" s="492" t="s">
        <v>264</v>
      </c>
      <c r="D696" s="492" t="s">
        <v>1046</v>
      </c>
      <c r="E696" s="492"/>
      <c r="F696" s="489">
        <f>'[1]Пр.4 Рд,пр, ЦС,ВР 21'!F692</f>
        <v>0</v>
      </c>
      <c r="G696" s="489">
        <f t="shared" ref="G696:G698" si="69">F696</f>
        <v>0</v>
      </c>
    </row>
    <row r="697" spans="1:7" ht="31.5" hidden="1" x14ac:dyDescent="0.25">
      <c r="A697" s="496" t="s">
        <v>131</v>
      </c>
      <c r="B697" s="492" t="s">
        <v>264</v>
      </c>
      <c r="C697" s="492" t="s">
        <v>264</v>
      </c>
      <c r="D697" s="492" t="s">
        <v>1046</v>
      </c>
      <c r="E697" s="492" t="s">
        <v>132</v>
      </c>
      <c r="F697" s="489">
        <f>'[1]Пр.4 Рд,пр, ЦС,ВР 21'!F693</f>
        <v>0</v>
      </c>
      <c r="G697" s="489">
        <f t="shared" si="69"/>
        <v>0</v>
      </c>
    </row>
    <row r="698" spans="1:7" ht="47.25" hidden="1" x14ac:dyDescent="0.25">
      <c r="A698" s="496" t="s">
        <v>133</v>
      </c>
      <c r="B698" s="492" t="s">
        <v>264</v>
      </c>
      <c r="C698" s="492" t="s">
        <v>264</v>
      </c>
      <c r="D698" s="492" t="s">
        <v>1046</v>
      </c>
      <c r="E698" s="492" t="s">
        <v>134</v>
      </c>
      <c r="F698" s="489">
        <f>'[1]Пр.4 Рд,пр, ЦС,ВР 21'!F694</f>
        <v>0</v>
      </c>
      <c r="G698" s="489">
        <f t="shared" si="69"/>
        <v>0</v>
      </c>
    </row>
    <row r="699" spans="1:7" ht="78.75" x14ac:dyDescent="0.25">
      <c r="A699" s="494" t="s">
        <v>1031</v>
      </c>
      <c r="B699" s="495" t="s">
        <v>264</v>
      </c>
      <c r="C699" s="495" t="s">
        <v>264</v>
      </c>
      <c r="D699" s="495" t="s">
        <v>894</v>
      </c>
      <c r="E699" s="495"/>
      <c r="F699" s="488">
        <f>F700</f>
        <v>455</v>
      </c>
      <c r="G699" s="488">
        <f>G700</f>
        <v>520</v>
      </c>
    </row>
    <row r="700" spans="1:7" ht="31.5" x14ac:dyDescent="0.25">
      <c r="A700" s="496" t="s">
        <v>1032</v>
      </c>
      <c r="B700" s="492" t="s">
        <v>264</v>
      </c>
      <c r="C700" s="492" t="s">
        <v>264</v>
      </c>
      <c r="D700" s="492" t="s">
        <v>901</v>
      </c>
      <c r="E700" s="492"/>
      <c r="F700" s="489">
        <f>F701+F704</f>
        <v>455</v>
      </c>
      <c r="G700" s="489">
        <f>G701+G704</f>
        <v>520</v>
      </c>
    </row>
    <row r="701" spans="1:7" ht="94.5" x14ac:dyDescent="0.25">
      <c r="A701" s="496" t="s">
        <v>127</v>
      </c>
      <c r="B701" s="492" t="s">
        <v>264</v>
      </c>
      <c r="C701" s="492" t="s">
        <v>264</v>
      </c>
      <c r="D701" s="492" t="s">
        <v>901</v>
      </c>
      <c r="E701" s="492" t="s">
        <v>128</v>
      </c>
      <c r="F701" s="489">
        <f>F702</f>
        <v>40</v>
      </c>
      <c r="G701" s="489">
        <f>G702</f>
        <v>40</v>
      </c>
    </row>
    <row r="702" spans="1:7" ht="31.5" x14ac:dyDescent="0.25">
      <c r="A702" s="496" t="s">
        <v>342</v>
      </c>
      <c r="B702" s="492" t="s">
        <v>264</v>
      </c>
      <c r="C702" s="492" t="s">
        <v>264</v>
      </c>
      <c r="D702" s="492" t="s">
        <v>901</v>
      </c>
      <c r="E702" s="492" t="s">
        <v>209</v>
      </c>
      <c r="F702" s="489">
        <f>'пр.6.1.ведом.22-23 (2)'!G350</f>
        <v>40</v>
      </c>
      <c r="G702" s="489">
        <f>'пр.6.1.ведом.22-23 (2)'!H350</f>
        <v>40</v>
      </c>
    </row>
    <row r="703" spans="1:7" ht="31.5" x14ac:dyDescent="0.25">
      <c r="A703" s="496" t="s">
        <v>131</v>
      </c>
      <c r="B703" s="492" t="s">
        <v>264</v>
      </c>
      <c r="C703" s="492" t="s">
        <v>264</v>
      </c>
      <c r="D703" s="492" t="s">
        <v>901</v>
      </c>
      <c r="E703" s="492" t="s">
        <v>132</v>
      </c>
      <c r="F703" s="489">
        <f>F704</f>
        <v>415</v>
      </c>
      <c r="G703" s="489">
        <f>G704</f>
        <v>480</v>
      </c>
    </row>
    <row r="704" spans="1:7" ht="47.25" x14ac:dyDescent="0.25">
      <c r="A704" s="496" t="s">
        <v>133</v>
      </c>
      <c r="B704" s="492" t="s">
        <v>264</v>
      </c>
      <c r="C704" s="492" t="s">
        <v>264</v>
      </c>
      <c r="D704" s="492" t="s">
        <v>901</v>
      </c>
      <c r="E704" s="492" t="s">
        <v>134</v>
      </c>
      <c r="F704" s="489">
        <f>'пр.6.1.ведом.22-23 (2)'!G352</f>
        <v>415</v>
      </c>
      <c r="G704" s="489">
        <f>'пр.6.1.ведом.22-23 (2)'!H352</f>
        <v>480</v>
      </c>
    </row>
    <row r="705" spans="1:7" ht="47.25" x14ac:dyDescent="0.25">
      <c r="A705" s="494" t="s">
        <v>1037</v>
      </c>
      <c r="B705" s="495" t="s">
        <v>264</v>
      </c>
      <c r="C705" s="495" t="s">
        <v>264</v>
      </c>
      <c r="D705" s="495" t="s">
        <v>1033</v>
      </c>
      <c r="E705" s="495"/>
      <c r="F705" s="488">
        <f t="shared" ref="F705:G707" si="70">F706</f>
        <v>25</v>
      </c>
      <c r="G705" s="488">
        <f t="shared" si="70"/>
        <v>25</v>
      </c>
    </row>
    <row r="706" spans="1:7" ht="47.25" x14ac:dyDescent="0.25">
      <c r="A706" s="231" t="s">
        <v>1034</v>
      </c>
      <c r="B706" s="492" t="s">
        <v>264</v>
      </c>
      <c r="C706" s="492" t="s">
        <v>264</v>
      </c>
      <c r="D706" s="492" t="s">
        <v>1047</v>
      </c>
      <c r="E706" s="492"/>
      <c r="F706" s="489">
        <f t="shared" si="70"/>
        <v>25</v>
      </c>
      <c r="G706" s="489">
        <f t="shared" si="70"/>
        <v>25</v>
      </c>
    </row>
    <row r="707" spans="1:7" ht="31.5" x14ac:dyDescent="0.25">
      <c r="A707" s="496" t="s">
        <v>248</v>
      </c>
      <c r="B707" s="492" t="s">
        <v>264</v>
      </c>
      <c r="C707" s="492" t="s">
        <v>264</v>
      </c>
      <c r="D707" s="492" t="s">
        <v>1047</v>
      </c>
      <c r="E707" s="492" t="s">
        <v>249</v>
      </c>
      <c r="F707" s="489">
        <f t="shared" si="70"/>
        <v>25</v>
      </c>
      <c r="G707" s="489">
        <f t="shared" si="70"/>
        <v>25</v>
      </c>
    </row>
    <row r="708" spans="1:7" ht="37.5" customHeight="1" x14ac:dyDescent="0.25">
      <c r="A708" s="496" t="s">
        <v>1196</v>
      </c>
      <c r="B708" s="492" t="s">
        <v>264</v>
      </c>
      <c r="C708" s="492" t="s">
        <v>264</v>
      </c>
      <c r="D708" s="492" t="s">
        <v>1047</v>
      </c>
      <c r="E708" s="492" t="s">
        <v>1195</v>
      </c>
      <c r="F708" s="489">
        <f>'пр.6.1.ведом.22-23 (2)'!G356</f>
        <v>25</v>
      </c>
      <c r="G708" s="489">
        <f>'пр.6.1.ведом.22-23 (2)'!H356</f>
        <v>25</v>
      </c>
    </row>
    <row r="709" spans="1:7" ht="47.25" x14ac:dyDescent="0.25">
      <c r="A709" s="494" t="s">
        <v>1358</v>
      </c>
      <c r="B709" s="495" t="s">
        <v>264</v>
      </c>
      <c r="C709" s="495" t="s">
        <v>264</v>
      </c>
      <c r="D709" s="495" t="s">
        <v>406</v>
      </c>
      <c r="E709" s="495"/>
      <c r="F709" s="488">
        <f t="shared" ref="F709:G712" si="71">F710</f>
        <v>5745.1</v>
      </c>
      <c r="G709" s="488">
        <f t="shared" si="71"/>
        <v>5745.1</v>
      </c>
    </row>
    <row r="710" spans="1:7" ht="31.5" x14ac:dyDescent="0.25">
      <c r="A710" s="494" t="s">
        <v>943</v>
      </c>
      <c r="B710" s="495" t="s">
        <v>264</v>
      </c>
      <c r="C710" s="495" t="s">
        <v>264</v>
      </c>
      <c r="D710" s="495" t="s">
        <v>1239</v>
      </c>
      <c r="E710" s="495"/>
      <c r="F710" s="488">
        <f t="shared" si="71"/>
        <v>5745.1</v>
      </c>
      <c r="G710" s="488">
        <f t="shared" si="71"/>
        <v>5745.1</v>
      </c>
    </row>
    <row r="711" spans="1:7" ht="47.25" x14ac:dyDescent="0.25">
      <c r="A711" s="31" t="s">
        <v>1059</v>
      </c>
      <c r="B711" s="492" t="s">
        <v>264</v>
      </c>
      <c r="C711" s="492" t="s">
        <v>264</v>
      </c>
      <c r="D711" s="492" t="s">
        <v>1261</v>
      </c>
      <c r="E711" s="492"/>
      <c r="F711" s="489">
        <f t="shared" si="71"/>
        <v>5745.1</v>
      </c>
      <c r="G711" s="489">
        <f t="shared" si="71"/>
        <v>5745.1</v>
      </c>
    </row>
    <row r="712" spans="1:7" ht="47.25" x14ac:dyDescent="0.25">
      <c r="A712" s="496" t="s">
        <v>272</v>
      </c>
      <c r="B712" s="492" t="s">
        <v>264</v>
      </c>
      <c r="C712" s="492" t="s">
        <v>264</v>
      </c>
      <c r="D712" s="492" t="s">
        <v>1261</v>
      </c>
      <c r="E712" s="492" t="s">
        <v>273</v>
      </c>
      <c r="F712" s="489">
        <f t="shared" si="71"/>
        <v>5745.1</v>
      </c>
      <c r="G712" s="489">
        <f t="shared" si="71"/>
        <v>5745.1</v>
      </c>
    </row>
    <row r="713" spans="1:7" ht="15.75" x14ac:dyDescent="0.25">
      <c r="A713" s="496" t="s">
        <v>274</v>
      </c>
      <c r="B713" s="492" t="s">
        <v>264</v>
      </c>
      <c r="C713" s="492" t="s">
        <v>264</v>
      </c>
      <c r="D713" s="492" t="s">
        <v>1261</v>
      </c>
      <c r="E713" s="492" t="s">
        <v>275</v>
      </c>
      <c r="F713" s="489">
        <f>'пр.6.1.ведом.22-23 (2)'!G725</f>
        <v>5745.1</v>
      </c>
      <c r="G713" s="489">
        <f>'пр.6.1.ведом.22-23 (2)'!H725</f>
        <v>5745.1</v>
      </c>
    </row>
    <row r="714" spans="1:7" ht="15.75" x14ac:dyDescent="0.25">
      <c r="A714" s="494" t="s">
        <v>295</v>
      </c>
      <c r="B714" s="495" t="s">
        <v>264</v>
      </c>
      <c r="C714" s="495" t="s">
        <v>219</v>
      </c>
      <c r="D714" s="495"/>
      <c r="E714" s="495"/>
      <c r="F714" s="488">
        <f>F715+F725</f>
        <v>19831.8</v>
      </c>
      <c r="G714" s="488">
        <f>G715+G725</f>
        <v>19831.8</v>
      </c>
    </row>
    <row r="715" spans="1:7" ht="31.5" x14ac:dyDescent="0.25">
      <c r="A715" s="494" t="s">
        <v>917</v>
      </c>
      <c r="B715" s="495" t="s">
        <v>264</v>
      </c>
      <c r="C715" s="495" t="s">
        <v>219</v>
      </c>
      <c r="D715" s="495" t="s">
        <v>858</v>
      </c>
      <c r="E715" s="495"/>
      <c r="F715" s="488">
        <f>F716</f>
        <v>6048.7</v>
      </c>
      <c r="G715" s="488">
        <f>G716</f>
        <v>6048.7</v>
      </c>
    </row>
    <row r="716" spans="1:7" ht="15.75" x14ac:dyDescent="0.25">
      <c r="A716" s="494" t="s">
        <v>918</v>
      </c>
      <c r="B716" s="495" t="s">
        <v>264</v>
      </c>
      <c r="C716" s="495" t="s">
        <v>219</v>
      </c>
      <c r="D716" s="495" t="s">
        <v>859</v>
      </c>
      <c r="E716" s="495"/>
      <c r="F716" s="488">
        <f>F717+F722</f>
        <v>6048.7</v>
      </c>
      <c r="G716" s="488">
        <f>G717+G722</f>
        <v>6048.7</v>
      </c>
    </row>
    <row r="717" spans="1:7" ht="31.5" x14ac:dyDescent="0.25">
      <c r="A717" s="496" t="s">
        <v>897</v>
      </c>
      <c r="B717" s="492" t="s">
        <v>264</v>
      </c>
      <c r="C717" s="492" t="s">
        <v>219</v>
      </c>
      <c r="D717" s="492" t="s">
        <v>860</v>
      </c>
      <c r="E717" s="492"/>
      <c r="F717" s="489">
        <f>F718+F720</f>
        <v>5922.7</v>
      </c>
      <c r="G717" s="489">
        <f>G718+G720</f>
        <v>5922.7</v>
      </c>
    </row>
    <row r="718" spans="1:7" ht="94.5" x14ac:dyDescent="0.25">
      <c r="A718" s="496" t="s">
        <v>127</v>
      </c>
      <c r="B718" s="492" t="s">
        <v>264</v>
      </c>
      <c r="C718" s="492" t="s">
        <v>219</v>
      </c>
      <c r="D718" s="492" t="s">
        <v>860</v>
      </c>
      <c r="E718" s="492" t="s">
        <v>128</v>
      </c>
      <c r="F718" s="489">
        <f>F719</f>
        <v>5710.7</v>
      </c>
      <c r="G718" s="489">
        <f>G719</f>
        <v>5710.7</v>
      </c>
    </row>
    <row r="719" spans="1:7" ht="31.5" x14ac:dyDescent="0.25">
      <c r="A719" s="496" t="s">
        <v>129</v>
      </c>
      <c r="B719" s="492" t="s">
        <v>264</v>
      </c>
      <c r="C719" s="492" t="s">
        <v>219</v>
      </c>
      <c r="D719" s="492" t="s">
        <v>860</v>
      </c>
      <c r="E719" s="492" t="s">
        <v>130</v>
      </c>
      <c r="F719" s="489">
        <f>'пр.6.1.ведом.22-23 (2)'!G734</f>
        <v>5710.7</v>
      </c>
      <c r="G719" s="489">
        <f>'пр.6.1.ведом.22-23 (2)'!H734</f>
        <v>5710.7</v>
      </c>
    </row>
    <row r="720" spans="1:7" ht="31.5" x14ac:dyDescent="0.25">
      <c r="A720" s="496" t="s">
        <v>131</v>
      </c>
      <c r="B720" s="492" t="s">
        <v>264</v>
      </c>
      <c r="C720" s="492" t="s">
        <v>219</v>
      </c>
      <c r="D720" s="492" t="s">
        <v>860</v>
      </c>
      <c r="E720" s="492" t="s">
        <v>132</v>
      </c>
      <c r="F720" s="489">
        <f>F721</f>
        <v>212</v>
      </c>
      <c r="G720" s="489">
        <f>G721</f>
        <v>212</v>
      </c>
    </row>
    <row r="721" spans="1:7" ht="47.25" x14ac:dyDescent="0.25">
      <c r="A721" s="496" t="s">
        <v>133</v>
      </c>
      <c r="B721" s="492" t="s">
        <v>264</v>
      </c>
      <c r="C721" s="492" t="s">
        <v>219</v>
      </c>
      <c r="D721" s="492" t="s">
        <v>860</v>
      </c>
      <c r="E721" s="492" t="s">
        <v>134</v>
      </c>
      <c r="F721" s="489">
        <f>'пр.6.1.ведом.22-23 (2)'!G736</f>
        <v>212</v>
      </c>
      <c r="G721" s="489">
        <f>'пр.6.1.ведом.22-23 (2)'!H736</f>
        <v>212</v>
      </c>
    </row>
    <row r="722" spans="1:7" ht="47.25" x14ac:dyDescent="0.25">
      <c r="A722" s="496" t="s">
        <v>839</v>
      </c>
      <c r="B722" s="492" t="s">
        <v>264</v>
      </c>
      <c r="C722" s="492" t="s">
        <v>219</v>
      </c>
      <c r="D722" s="492" t="s">
        <v>862</v>
      </c>
      <c r="E722" s="492"/>
      <c r="F722" s="489">
        <f>F723</f>
        <v>126</v>
      </c>
      <c r="G722" s="489">
        <f>G723</f>
        <v>126</v>
      </c>
    </row>
    <row r="723" spans="1:7" ht="94.5" x14ac:dyDescent="0.25">
      <c r="A723" s="496" t="s">
        <v>127</v>
      </c>
      <c r="B723" s="492" t="s">
        <v>264</v>
      </c>
      <c r="C723" s="492" t="s">
        <v>219</v>
      </c>
      <c r="D723" s="492" t="s">
        <v>862</v>
      </c>
      <c r="E723" s="492" t="s">
        <v>128</v>
      </c>
      <c r="F723" s="489">
        <f>F724</f>
        <v>126</v>
      </c>
      <c r="G723" s="489">
        <f>G724</f>
        <v>126</v>
      </c>
    </row>
    <row r="724" spans="1:7" ht="31.5" x14ac:dyDescent="0.25">
      <c r="A724" s="496" t="s">
        <v>129</v>
      </c>
      <c r="B724" s="492" t="s">
        <v>264</v>
      </c>
      <c r="C724" s="492" t="s">
        <v>219</v>
      </c>
      <c r="D724" s="492" t="s">
        <v>862</v>
      </c>
      <c r="E724" s="492" t="s">
        <v>130</v>
      </c>
      <c r="F724" s="489">
        <f>'пр.6.1.ведом.22-23 (2)'!G739</f>
        <v>126</v>
      </c>
      <c r="G724" s="489">
        <f>'пр.6.1.ведом.22-23 (2)'!H739</f>
        <v>126</v>
      </c>
    </row>
    <row r="725" spans="1:7" ht="15.75" x14ac:dyDescent="0.25">
      <c r="A725" s="494" t="s">
        <v>141</v>
      </c>
      <c r="B725" s="495" t="s">
        <v>264</v>
      </c>
      <c r="C725" s="495" t="s">
        <v>219</v>
      </c>
      <c r="D725" s="495" t="s">
        <v>866</v>
      </c>
      <c r="E725" s="495"/>
      <c r="F725" s="488">
        <f>F726+F730</f>
        <v>13783.1</v>
      </c>
      <c r="G725" s="488">
        <f>G726+G730</f>
        <v>13783.1</v>
      </c>
    </row>
    <row r="726" spans="1:7" ht="31.5" x14ac:dyDescent="0.25">
      <c r="A726" s="494" t="s">
        <v>870</v>
      </c>
      <c r="B726" s="495" t="s">
        <v>264</v>
      </c>
      <c r="C726" s="495" t="s">
        <v>219</v>
      </c>
      <c r="D726" s="495" t="s">
        <v>865</v>
      </c>
      <c r="E726" s="495"/>
      <c r="F726" s="488">
        <f t="shared" ref="F726:G728" si="72">F727</f>
        <v>300</v>
      </c>
      <c r="G726" s="488">
        <f t="shared" si="72"/>
        <v>300</v>
      </c>
    </row>
    <row r="727" spans="1:7" ht="21.2" customHeight="1" x14ac:dyDescent="0.25">
      <c r="A727" s="496" t="s">
        <v>478</v>
      </c>
      <c r="B727" s="492" t="s">
        <v>264</v>
      </c>
      <c r="C727" s="492" t="s">
        <v>219</v>
      </c>
      <c r="D727" s="492" t="s">
        <v>944</v>
      </c>
      <c r="E727" s="492"/>
      <c r="F727" s="489">
        <f t="shared" si="72"/>
        <v>300</v>
      </c>
      <c r="G727" s="489">
        <f t="shared" si="72"/>
        <v>300</v>
      </c>
    </row>
    <row r="728" spans="1:7" ht="31.5" x14ac:dyDescent="0.25">
      <c r="A728" s="496" t="s">
        <v>131</v>
      </c>
      <c r="B728" s="492" t="s">
        <v>264</v>
      </c>
      <c r="C728" s="492" t="s">
        <v>219</v>
      </c>
      <c r="D728" s="492" t="s">
        <v>944</v>
      </c>
      <c r="E728" s="492" t="s">
        <v>132</v>
      </c>
      <c r="F728" s="489">
        <f t="shared" si="72"/>
        <v>300</v>
      </c>
      <c r="G728" s="489">
        <f t="shared" si="72"/>
        <v>300</v>
      </c>
    </row>
    <row r="729" spans="1:7" ht="47.25" x14ac:dyDescent="0.25">
      <c r="A729" s="496" t="s">
        <v>133</v>
      </c>
      <c r="B729" s="492" t="s">
        <v>264</v>
      </c>
      <c r="C729" s="492" t="s">
        <v>219</v>
      </c>
      <c r="D729" s="492" t="s">
        <v>944</v>
      </c>
      <c r="E729" s="492" t="s">
        <v>134</v>
      </c>
      <c r="F729" s="489">
        <f>'пр.6.1.ведом.22-23 (2)'!G744</f>
        <v>300</v>
      </c>
      <c r="G729" s="489">
        <f>'пр.6.1.ведом.22-23 (2)'!H744</f>
        <v>300</v>
      </c>
    </row>
    <row r="730" spans="1:7" ht="36" customHeight="1" x14ac:dyDescent="0.25">
      <c r="A730" s="494" t="s">
        <v>929</v>
      </c>
      <c r="B730" s="495" t="s">
        <v>264</v>
      </c>
      <c r="C730" s="495" t="s">
        <v>219</v>
      </c>
      <c r="D730" s="495" t="s">
        <v>914</v>
      </c>
      <c r="E730" s="495"/>
      <c r="F730" s="488">
        <f>F731+F738</f>
        <v>13483.1</v>
      </c>
      <c r="G730" s="488">
        <f>G731+G738</f>
        <v>13483.1</v>
      </c>
    </row>
    <row r="731" spans="1:7" ht="31.5" x14ac:dyDescent="0.25">
      <c r="A731" s="496" t="s">
        <v>903</v>
      </c>
      <c r="B731" s="492" t="s">
        <v>264</v>
      </c>
      <c r="C731" s="492" t="s">
        <v>219</v>
      </c>
      <c r="D731" s="492" t="s">
        <v>915</v>
      </c>
      <c r="E731" s="492"/>
      <c r="F731" s="489">
        <f>F732+F734+F736</f>
        <v>12977.1</v>
      </c>
      <c r="G731" s="489">
        <f>G732+G734+G736</f>
        <v>12977.1</v>
      </c>
    </row>
    <row r="732" spans="1:7" ht="94.5" x14ac:dyDescent="0.25">
      <c r="A732" s="496" t="s">
        <v>127</v>
      </c>
      <c r="B732" s="492" t="s">
        <v>264</v>
      </c>
      <c r="C732" s="492" t="s">
        <v>219</v>
      </c>
      <c r="D732" s="492" t="s">
        <v>915</v>
      </c>
      <c r="E732" s="492" t="s">
        <v>128</v>
      </c>
      <c r="F732" s="489">
        <f>F733</f>
        <v>11885.1</v>
      </c>
      <c r="G732" s="489">
        <f>G733</f>
        <v>11885.1</v>
      </c>
    </row>
    <row r="733" spans="1:7" ht="31.5" x14ac:dyDescent="0.25">
      <c r="A733" s="496" t="s">
        <v>342</v>
      </c>
      <c r="B733" s="492" t="s">
        <v>264</v>
      </c>
      <c r="C733" s="492" t="s">
        <v>219</v>
      </c>
      <c r="D733" s="492" t="s">
        <v>915</v>
      </c>
      <c r="E733" s="492" t="s">
        <v>209</v>
      </c>
      <c r="F733" s="489">
        <f>'пр.6.1.ведом.22-23 (2)'!G748</f>
        <v>11885.1</v>
      </c>
      <c r="G733" s="489">
        <f>'пр.6.1.ведом.22-23 (2)'!H748</f>
        <v>11885.1</v>
      </c>
    </row>
    <row r="734" spans="1:7" ht="31.5" x14ac:dyDescent="0.25">
      <c r="A734" s="496" t="s">
        <v>131</v>
      </c>
      <c r="B734" s="492" t="s">
        <v>264</v>
      </c>
      <c r="C734" s="492" t="s">
        <v>219</v>
      </c>
      <c r="D734" s="492" t="s">
        <v>915</v>
      </c>
      <c r="E734" s="492" t="s">
        <v>132</v>
      </c>
      <c r="F734" s="489">
        <f>F735</f>
        <v>1077</v>
      </c>
      <c r="G734" s="489">
        <f>G735</f>
        <v>1077</v>
      </c>
    </row>
    <row r="735" spans="1:7" ht="47.25" x14ac:dyDescent="0.25">
      <c r="A735" s="496" t="s">
        <v>133</v>
      </c>
      <c r="B735" s="492" t="s">
        <v>264</v>
      </c>
      <c r="C735" s="492" t="s">
        <v>219</v>
      </c>
      <c r="D735" s="492" t="s">
        <v>915</v>
      </c>
      <c r="E735" s="492" t="s">
        <v>134</v>
      </c>
      <c r="F735" s="489">
        <f>'пр.6.1.ведом.22-23 (2)'!G750</f>
        <v>1077</v>
      </c>
      <c r="G735" s="489">
        <f>'пр.6.1.ведом.22-23 (2)'!H750</f>
        <v>1077</v>
      </c>
    </row>
    <row r="736" spans="1:7" ht="15.75" x14ac:dyDescent="0.25">
      <c r="A736" s="496" t="s">
        <v>135</v>
      </c>
      <c r="B736" s="492" t="s">
        <v>264</v>
      </c>
      <c r="C736" s="492" t="s">
        <v>219</v>
      </c>
      <c r="D736" s="492" t="s">
        <v>915</v>
      </c>
      <c r="E736" s="492" t="s">
        <v>145</v>
      </c>
      <c r="F736" s="489">
        <f>F737</f>
        <v>15</v>
      </c>
      <c r="G736" s="489">
        <f>G737</f>
        <v>15</v>
      </c>
    </row>
    <row r="737" spans="1:9" ht="15.75" customHeight="1" x14ac:dyDescent="0.25">
      <c r="A737" s="496" t="s">
        <v>568</v>
      </c>
      <c r="B737" s="492" t="s">
        <v>264</v>
      </c>
      <c r="C737" s="492" t="s">
        <v>219</v>
      </c>
      <c r="D737" s="492" t="s">
        <v>915</v>
      </c>
      <c r="E737" s="492" t="s">
        <v>138</v>
      </c>
      <c r="F737" s="489">
        <f>'пр.6.1.ведом.22-23 (2)'!G752</f>
        <v>15</v>
      </c>
      <c r="G737" s="489">
        <f>'пр.6.1.ведом.22-23 (2)'!H752</f>
        <v>15</v>
      </c>
    </row>
    <row r="738" spans="1:9" ht="47.25" x14ac:dyDescent="0.25">
      <c r="A738" s="496" t="s">
        <v>839</v>
      </c>
      <c r="B738" s="492" t="s">
        <v>264</v>
      </c>
      <c r="C738" s="492" t="s">
        <v>219</v>
      </c>
      <c r="D738" s="492" t="s">
        <v>916</v>
      </c>
      <c r="E738" s="492"/>
      <c r="F738" s="489">
        <f>F739</f>
        <v>506</v>
      </c>
      <c r="G738" s="489">
        <f>G739</f>
        <v>506</v>
      </c>
    </row>
    <row r="739" spans="1:9" ht="94.5" x14ac:dyDescent="0.25">
      <c r="A739" s="496" t="s">
        <v>127</v>
      </c>
      <c r="B739" s="492" t="s">
        <v>264</v>
      </c>
      <c r="C739" s="492" t="s">
        <v>219</v>
      </c>
      <c r="D739" s="492" t="s">
        <v>916</v>
      </c>
      <c r="E739" s="492" t="s">
        <v>128</v>
      </c>
      <c r="F739" s="489">
        <f>F740</f>
        <v>506</v>
      </c>
      <c r="G739" s="489">
        <f>G740</f>
        <v>506</v>
      </c>
    </row>
    <row r="740" spans="1:9" ht="31.5" x14ac:dyDescent="0.25">
      <c r="A740" s="496" t="s">
        <v>129</v>
      </c>
      <c r="B740" s="492" t="s">
        <v>264</v>
      </c>
      <c r="C740" s="492" t="s">
        <v>219</v>
      </c>
      <c r="D740" s="492" t="s">
        <v>916</v>
      </c>
      <c r="E740" s="492" t="s">
        <v>130</v>
      </c>
      <c r="F740" s="489">
        <f>'пр.6.1.ведом.22-23 (2)'!G755</f>
        <v>506</v>
      </c>
      <c r="G740" s="489">
        <f>'пр.6.1.ведом.22-23 (2)'!H755</f>
        <v>506</v>
      </c>
    </row>
    <row r="741" spans="1:9" ht="15.75" x14ac:dyDescent="0.25">
      <c r="A741" s="500" t="s">
        <v>298</v>
      </c>
      <c r="B741" s="7" t="s">
        <v>299</v>
      </c>
      <c r="C741" s="7"/>
      <c r="D741" s="7"/>
      <c r="E741" s="7"/>
      <c r="F741" s="488">
        <f>F742+F795</f>
        <v>76411.28</v>
      </c>
      <c r="G741" s="488">
        <f>G742+G795</f>
        <v>77665.48</v>
      </c>
      <c r="H741" s="487">
        <v>72370</v>
      </c>
      <c r="I741" s="487">
        <v>73630.2</v>
      </c>
    </row>
    <row r="742" spans="1:9" ht="15.75" x14ac:dyDescent="0.25">
      <c r="A742" s="500" t="s">
        <v>300</v>
      </c>
      <c r="B742" s="7" t="s">
        <v>299</v>
      </c>
      <c r="C742" s="7" t="s">
        <v>118</v>
      </c>
      <c r="D742" s="7"/>
      <c r="E742" s="7"/>
      <c r="F742" s="488">
        <f>F743+F785+F790</f>
        <v>57844.87999999999</v>
      </c>
      <c r="G742" s="488">
        <f>G743+G785+G790</f>
        <v>59070.079999999994</v>
      </c>
      <c r="H742" s="232">
        <f>H741-F741</f>
        <v>-4041.2799999999988</v>
      </c>
      <c r="I742" s="232">
        <f>I741-G741</f>
        <v>-4035.2799999999988</v>
      </c>
    </row>
    <row r="743" spans="1:9" ht="47.25" x14ac:dyDescent="0.25">
      <c r="A743" s="494" t="s">
        <v>1351</v>
      </c>
      <c r="B743" s="495" t="s">
        <v>299</v>
      </c>
      <c r="C743" s="495" t="s">
        <v>118</v>
      </c>
      <c r="D743" s="495" t="s">
        <v>267</v>
      </c>
      <c r="E743" s="495"/>
      <c r="F743" s="488">
        <f>F744+F752+F758+F762+F769+F773+F777+F781</f>
        <v>56956.179999999993</v>
      </c>
      <c r="G743" s="488">
        <f>G744+G752+G758+G762+G769+G773+G777+G781</f>
        <v>58156.179999999993</v>
      </c>
    </row>
    <row r="744" spans="1:9" ht="47.25" x14ac:dyDescent="0.25">
      <c r="A744" s="494" t="s">
        <v>1299</v>
      </c>
      <c r="B744" s="495" t="s">
        <v>299</v>
      </c>
      <c r="C744" s="495" t="s">
        <v>118</v>
      </c>
      <c r="D744" s="495" t="s">
        <v>1203</v>
      </c>
      <c r="E744" s="495"/>
      <c r="F744" s="488">
        <f>F745</f>
        <v>51840.479999999996</v>
      </c>
      <c r="G744" s="488">
        <f>G745</f>
        <v>51840.479999999996</v>
      </c>
    </row>
    <row r="745" spans="1:9" ht="31.5" x14ac:dyDescent="0.25">
      <c r="A745" s="496" t="s">
        <v>800</v>
      </c>
      <c r="B745" s="492" t="s">
        <v>299</v>
      </c>
      <c r="C745" s="492" t="s">
        <v>118</v>
      </c>
      <c r="D745" s="492" t="s">
        <v>1204</v>
      </c>
      <c r="E745" s="492"/>
      <c r="F745" s="489">
        <f>F746+F748+F750</f>
        <v>51840.479999999996</v>
      </c>
      <c r="G745" s="489">
        <f>G746+G748+G750</f>
        <v>51840.479999999996</v>
      </c>
    </row>
    <row r="746" spans="1:9" ht="94.5" x14ac:dyDescent="0.25">
      <c r="A746" s="496" t="s">
        <v>127</v>
      </c>
      <c r="B746" s="492" t="s">
        <v>299</v>
      </c>
      <c r="C746" s="492" t="s">
        <v>118</v>
      </c>
      <c r="D746" s="492" t="s">
        <v>1204</v>
      </c>
      <c r="E746" s="492" t="s">
        <v>128</v>
      </c>
      <c r="F746" s="489">
        <f>F747</f>
        <v>43271.28</v>
      </c>
      <c r="G746" s="489">
        <f>G747</f>
        <v>43271.28</v>
      </c>
    </row>
    <row r="747" spans="1:9" ht="31.5" x14ac:dyDescent="0.25">
      <c r="A747" s="496" t="s">
        <v>208</v>
      </c>
      <c r="B747" s="492" t="s">
        <v>299</v>
      </c>
      <c r="C747" s="492" t="s">
        <v>118</v>
      </c>
      <c r="D747" s="492" t="s">
        <v>1204</v>
      </c>
      <c r="E747" s="492" t="s">
        <v>209</v>
      </c>
      <c r="F747" s="489">
        <f>'пр.6.1.ведом.22-23 (2)'!G363</f>
        <v>43271.28</v>
      </c>
      <c r="G747" s="489">
        <f>'пр.6.1.ведом.22-23 (2)'!H363</f>
        <v>43271.28</v>
      </c>
    </row>
    <row r="748" spans="1:9" ht="31.5" x14ac:dyDescent="0.25">
      <c r="A748" s="496" t="s">
        <v>131</v>
      </c>
      <c r="B748" s="492" t="s">
        <v>299</v>
      </c>
      <c r="C748" s="492" t="s">
        <v>118</v>
      </c>
      <c r="D748" s="492" t="s">
        <v>1204</v>
      </c>
      <c r="E748" s="492" t="s">
        <v>132</v>
      </c>
      <c r="F748" s="489">
        <f>F749</f>
        <v>8506.2000000000007</v>
      </c>
      <c r="G748" s="489">
        <f>G749</f>
        <v>8506.2000000000007</v>
      </c>
    </row>
    <row r="749" spans="1:9" ht="47.25" x14ac:dyDescent="0.25">
      <c r="A749" s="496" t="s">
        <v>133</v>
      </c>
      <c r="B749" s="492" t="s">
        <v>299</v>
      </c>
      <c r="C749" s="492" t="s">
        <v>118</v>
      </c>
      <c r="D749" s="492" t="s">
        <v>1204</v>
      </c>
      <c r="E749" s="492" t="s">
        <v>134</v>
      </c>
      <c r="F749" s="489">
        <f>'пр.6.1.ведом.22-23 (2)'!G365</f>
        <v>8506.2000000000007</v>
      </c>
      <c r="G749" s="489">
        <f>'пр.6.1.ведом.22-23 (2)'!H365</f>
        <v>8506.2000000000007</v>
      </c>
    </row>
    <row r="750" spans="1:9" ht="15.75" x14ac:dyDescent="0.25">
      <c r="A750" s="496" t="s">
        <v>135</v>
      </c>
      <c r="B750" s="492" t="s">
        <v>299</v>
      </c>
      <c r="C750" s="492" t="s">
        <v>118</v>
      </c>
      <c r="D750" s="492" t="s">
        <v>1204</v>
      </c>
      <c r="E750" s="492" t="s">
        <v>145</v>
      </c>
      <c r="F750" s="489">
        <f>F751</f>
        <v>63</v>
      </c>
      <c r="G750" s="489">
        <f>G751</f>
        <v>63</v>
      </c>
    </row>
    <row r="751" spans="1:9" ht="15.75" x14ac:dyDescent="0.25">
      <c r="A751" s="496" t="s">
        <v>568</v>
      </c>
      <c r="B751" s="492" t="s">
        <v>299</v>
      </c>
      <c r="C751" s="492" t="s">
        <v>118</v>
      </c>
      <c r="D751" s="492" t="s">
        <v>1204</v>
      </c>
      <c r="E751" s="492" t="s">
        <v>138</v>
      </c>
      <c r="F751" s="489">
        <f>'пр.6.1.ведом.22-23 (2)'!G367</f>
        <v>63</v>
      </c>
      <c r="G751" s="489">
        <f>'пр.6.1.ведом.22-23 (2)'!H367</f>
        <v>63</v>
      </c>
    </row>
    <row r="752" spans="1:9" ht="31.5" x14ac:dyDescent="0.25">
      <c r="A752" s="217" t="s">
        <v>1301</v>
      </c>
      <c r="B752" s="495" t="s">
        <v>299</v>
      </c>
      <c r="C752" s="495" t="s">
        <v>118</v>
      </c>
      <c r="D752" s="495" t="s">
        <v>1205</v>
      </c>
      <c r="E752" s="495"/>
      <c r="F752" s="488">
        <f>F753</f>
        <v>1380</v>
      </c>
      <c r="G752" s="488">
        <f>G753</f>
        <v>1380</v>
      </c>
    </row>
    <row r="753" spans="1:7" ht="31.5" x14ac:dyDescent="0.25">
      <c r="A753" s="31" t="s">
        <v>816</v>
      </c>
      <c r="B753" s="492" t="s">
        <v>299</v>
      </c>
      <c r="C753" s="492" t="s">
        <v>118</v>
      </c>
      <c r="D753" s="492" t="s">
        <v>1207</v>
      </c>
      <c r="E753" s="492"/>
      <c r="F753" s="489">
        <f>F756</f>
        <v>1380</v>
      </c>
      <c r="G753" s="489">
        <f>G756</f>
        <v>1380</v>
      </c>
    </row>
    <row r="754" spans="1:7" ht="94.5" hidden="1" x14ac:dyDescent="0.25">
      <c r="A754" s="496" t="s">
        <v>127</v>
      </c>
      <c r="B754" s="492" t="s">
        <v>299</v>
      </c>
      <c r="C754" s="492" t="s">
        <v>118</v>
      </c>
      <c r="D754" s="492" t="s">
        <v>1207</v>
      </c>
      <c r="E754" s="492" t="s">
        <v>128</v>
      </c>
      <c r="F754" s="489">
        <f>'[1]Пр.4 Рд,пр, ЦС,ВР 21'!F753</f>
        <v>983</v>
      </c>
      <c r="G754" s="489">
        <f>'[1]Пр.4 Рд,пр, ЦС,ВР 21'!G753</f>
        <v>0</v>
      </c>
    </row>
    <row r="755" spans="1:7" ht="31.5" hidden="1" x14ac:dyDescent="0.25">
      <c r="A755" s="496" t="s">
        <v>208</v>
      </c>
      <c r="B755" s="492" t="s">
        <v>299</v>
      </c>
      <c r="C755" s="492" t="s">
        <v>118</v>
      </c>
      <c r="D755" s="492" t="s">
        <v>1207</v>
      </c>
      <c r="E755" s="492" t="s">
        <v>209</v>
      </c>
      <c r="F755" s="489">
        <f>'[1]Пр.4 Рд,пр, ЦС,ВР 21'!F754</f>
        <v>983</v>
      </c>
      <c r="G755" s="489">
        <f>'[1]Пр.4 Рд,пр, ЦС,ВР 21'!G754</f>
        <v>0</v>
      </c>
    </row>
    <row r="756" spans="1:7" ht="31.5" x14ac:dyDescent="0.25">
      <c r="A756" s="496" t="s">
        <v>131</v>
      </c>
      <c r="B756" s="492" t="s">
        <v>299</v>
      </c>
      <c r="C756" s="492" t="s">
        <v>118</v>
      </c>
      <c r="D756" s="492" t="s">
        <v>1207</v>
      </c>
      <c r="E756" s="492" t="s">
        <v>132</v>
      </c>
      <c r="F756" s="489">
        <f>F757</f>
        <v>1380</v>
      </c>
      <c r="G756" s="489">
        <f>G757</f>
        <v>1380</v>
      </c>
    </row>
    <row r="757" spans="1:7" ht="47.25" x14ac:dyDescent="0.25">
      <c r="A757" s="496" t="s">
        <v>133</v>
      </c>
      <c r="B757" s="492" t="s">
        <v>299</v>
      </c>
      <c r="C757" s="492" t="s">
        <v>118</v>
      </c>
      <c r="D757" s="492" t="s">
        <v>1207</v>
      </c>
      <c r="E757" s="492" t="s">
        <v>134</v>
      </c>
      <c r="F757" s="489">
        <f>'пр.6.1.ведом.22-23 (2)'!G373</f>
        <v>1380</v>
      </c>
      <c r="G757" s="489">
        <f>'пр.6.1.ведом.22-23 (2)'!H373</f>
        <v>1380</v>
      </c>
    </row>
    <row r="758" spans="1:7" ht="47.25" x14ac:dyDescent="0.25">
      <c r="A758" s="494" t="s">
        <v>947</v>
      </c>
      <c r="B758" s="495" t="s">
        <v>299</v>
      </c>
      <c r="C758" s="495" t="s">
        <v>118</v>
      </c>
      <c r="D758" s="495" t="s">
        <v>1208</v>
      </c>
      <c r="E758" s="495"/>
      <c r="F758" s="488">
        <f t="shared" ref="F758:G760" si="73">F759</f>
        <v>875</v>
      </c>
      <c r="G758" s="488">
        <f t="shared" si="73"/>
        <v>875</v>
      </c>
    </row>
    <row r="759" spans="1:7" ht="47.25" x14ac:dyDescent="0.25">
      <c r="A759" s="496" t="s">
        <v>839</v>
      </c>
      <c r="B759" s="492" t="s">
        <v>299</v>
      </c>
      <c r="C759" s="492" t="s">
        <v>118</v>
      </c>
      <c r="D759" s="492" t="s">
        <v>1209</v>
      </c>
      <c r="E759" s="492"/>
      <c r="F759" s="489">
        <f t="shared" si="73"/>
        <v>875</v>
      </c>
      <c r="G759" s="489">
        <f t="shared" si="73"/>
        <v>875</v>
      </c>
    </row>
    <row r="760" spans="1:7" ht="94.5" x14ac:dyDescent="0.25">
      <c r="A760" s="496" t="s">
        <v>127</v>
      </c>
      <c r="B760" s="492" t="s">
        <v>299</v>
      </c>
      <c r="C760" s="492" t="s">
        <v>118</v>
      </c>
      <c r="D760" s="492" t="s">
        <v>1209</v>
      </c>
      <c r="E760" s="492" t="s">
        <v>128</v>
      </c>
      <c r="F760" s="489">
        <f t="shared" si="73"/>
        <v>875</v>
      </c>
      <c r="G760" s="489">
        <f t="shared" si="73"/>
        <v>875</v>
      </c>
    </row>
    <row r="761" spans="1:7" ht="33.75" customHeight="1" x14ac:dyDescent="0.25">
      <c r="A761" s="496" t="s">
        <v>129</v>
      </c>
      <c r="B761" s="492" t="s">
        <v>299</v>
      </c>
      <c r="C761" s="492" t="s">
        <v>118</v>
      </c>
      <c r="D761" s="492" t="s">
        <v>1209</v>
      </c>
      <c r="E761" s="492" t="s">
        <v>209</v>
      </c>
      <c r="F761" s="489">
        <f>'пр.6.1.ведом.22-23 (2)'!G377</f>
        <v>875</v>
      </c>
      <c r="G761" s="489">
        <f>'пр.6.1.ведом.22-23 (2)'!H377</f>
        <v>875</v>
      </c>
    </row>
    <row r="762" spans="1:7" ht="50.25" customHeight="1" x14ac:dyDescent="0.25">
      <c r="A762" s="218" t="s">
        <v>900</v>
      </c>
      <c r="B762" s="495" t="s">
        <v>299</v>
      </c>
      <c r="C762" s="495" t="s">
        <v>118</v>
      </c>
      <c r="D762" s="495" t="s">
        <v>1210</v>
      </c>
      <c r="E762" s="495"/>
      <c r="F762" s="488">
        <f>F763+F766</f>
        <v>2442</v>
      </c>
      <c r="G762" s="488">
        <f>G763+G766</f>
        <v>2442</v>
      </c>
    </row>
    <row r="763" spans="1:7" ht="110.85" customHeight="1" x14ac:dyDescent="0.25">
      <c r="A763" s="31" t="s">
        <v>293</v>
      </c>
      <c r="B763" s="492" t="s">
        <v>299</v>
      </c>
      <c r="C763" s="492" t="s">
        <v>118</v>
      </c>
      <c r="D763" s="492" t="s">
        <v>1403</v>
      </c>
      <c r="E763" s="492"/>
      <c r="F763" s="489">
        <f t="shared" ref="F763:G764" si="74">F764</f>
        <v>2100.6</v>
      </c>
      <c r="G763" s="489">
        <f t="shared" si="74"/>
        <v>2100.6</v>
      </c>
    </row>
    <row r="764" spans="1:7" ht="100.15" customHeight="1" x14ac:dyDescent="0.25">
      <c r="A764" s="496" t="s">
        <v>127</v>
      </c>
      <c r="B764" s="492" t="s">
        <v>299</v>
      </c>
      <c r="C764" s="492" t="s">
        <v>118</v>
      </c>
      <c r="D764" s="492" t="s">
        <v>1403</v>
      </c>
      <c r="E764" s="492" t="s">
        <v>128</v>
      </c>
      <c r="F764" s="489">
        <f t="shared" si="74"/>
        <v>2100.6</v>
      </c>
      <c r="G764" s="489">
        <f t="shared" si="74"/>
        <v>2100.6</v>
      </c>
    </row>
    <row r="765" spans="1:7" ht="40.15" customHeight="1" x14ac:dyDescent="0.25">
      <c r="A765" s="496" t="s">
        <v>208</v>
      </c>
      <c r="B765" s="492" t="s">
        <v>299</v>
      </c>
      <c r="C765" s="492" t="s">
        <v>118</v>
      </c>
      <c r="D765" s="492" t="s">
        <v>1403</v>
      </c>
      <c r="E765" s="492" t="s">
        <v>209</v>
      </c>
      <c r="F765" s="489">
        <f>'пр.6.1.ведом.22-23 (2)'!G381</f>
        <v>2100.6</v>
      </c>
      <c r="G765" s="489">
        <f>'пр.6.1.ведом.22-23 (2)'!H381</f>
        <v>2100.6</v>
      </c>
    </row>
    <row r="766" spans="1:7" ht="78" customHeight="1" x14ac:dyDescent="0.25">
      <c r="A766" s="496" t="s">
        <v>331</v>
      </c>
      <c r="B766" s="492" t="s">
        <v>299</v>
      </c>
      <c r="C766" s="492" t="s">
        <v>118</v>
      </c>
      <c r="D766" s="492" t="s">
        <v>1291</v>
      </c>
      <c r="E766" s="492"/>
      <c r="F766" s="497">
        <f>F767</f>
        <v>341.4</v>
      </c>
      <c r="G766" s="497">
        <f>G767</f>
        <v>341.4</v>
      </c>
    </row>
    <row r="767" spans="1:7" ht="98.45" customHeight="1" x14ac:dyDescent="0.25">
      <c r="A767" s="496" t="s">
        <v>127</v>
      </c>
      <c r="B767" s="492" t="s">
        <v>299</v>
      </c>
      <c r="C767" s="492" t="s">
        <v>118</v>
      </c>
      <c r="D767" s="492" t="s">
        <v>1291</v>
      </c>
      <c r="E767" s="492" t="s">
        <v>128</v>
      </c>
      <c r="F767" s="497">
        <f>F768</f>
        <v>341.4</v>
      </c>
      <c r="G767" s="497">
        <f>G768</f>
        <v>341.4</v>
      </c>
    </row>
    <row r="768" spans="1:7" ht="50.25" customHeight="1" x14ac:dyDescent="0.25">
      <c r="A768" s="496" t="s">
        <v>208</v>
      </c>
      <c r="B768" s="492" t="s">
        <v>299</v>
      </c>
      <c r="C768" s="492" t="s">
        <v>118</v>
      </c>
      <c r="D768" s="492" t="s">
        <v>1291</v>
      </c>
      <c r="E768" s="492" t="s">
        <v>209</v>
      </c>
      <c r="F768" s="497">
        <f>'пр.6.1.ведом.22-23 (2)'!G384</f>
        <v>341.4</v>
      </c>
      <c r="G768" s="497">
        <f>'пр.6.1.ведом.22-23 (2)'!H384</f>
        <v>341.4</v>
      </c>
    </row>
    <row r="769" spans="1:7" ht="31.5" x14ac:dyDescent="0.25">
      <c r="A769" s="494" t="s">
        <v>902</v>
      </c>
      <c r="B769" s="495" t="s">
        <v>299</v>
      </c>
      <c r="C769" s="495" t="s">
        <v>118</v>
      </c>
      <c r="D769" s="495" t="s">
        <v>1215</v>
      </c>
      <c r="E769" s="495"/>
      <c r="F769" s="493">
        <f t="shared" ref="F769:G771" si="75">F770</f>
        <v>50</v>
      </c>
      <c r="G769" s="493">
        <f t="shared" si="75"/>
        <v>50</v>
      </c>
    </row>
    <row r="770" spans="1:7" ht="31.5" x14ac:dyDescent="0.25">
      <c r="A770" s="496" t="s">
        <v>821</v>
      </c>
      <c r="B770" s="492" t="s">
        <v>299</v>
      </c>
      <c r="C770" s="492" t="s">
        <v>118</v>
      </c>
      <c r="D770" s="492" t="s">
        <v>1216</v>
      </c>
      <c r="E770" s="492"/>
      <c r="F770" s="497">
        <f t="shared" si="75"/>
        <v>50</v>
      </c>
      <c r="G770" s="497">
        <f t="shared" si="75"/>
        <v>50</v>
      </c>
    </row>
    <row r="771" spans="1:7" ht="31.5" x14ac:dyDescent="0.25">
      <c r="A771" s="496" t="s">
        <v>131</v>
      </c>
      <c r="B771" s="492" t="s">
        <v>299</v>
      </c>
      <c r="C771" s="492" t="s">
        <v>118</v>
      </c>
      <c r="D771" s="492" t="s">
        <v>1216</v>
      </c>
      <c r="E771" s="492" t="s">
        <v>132</v>
      </c>
      <c r="F771" s="497">
        <f t="shared" si="75"/>
        <v>50</v>
      </c>
      <c r="G771" s="497">
        <f t="shared" si="75"/>
        <v>50</v>
      </c>
    </row>
    <row r="772" spans="1:7" ht="47.25" x14ac:dyDescent="0.25">
      <c r="A772" s="496" t="s">
        <v>133</v>
      </c>
      <c r="B772" s="492" t="s">
        <v>299</v>
      </c>
      <c r="C772" s="492" t="s">
        <v>118</v>
      </c>
      <c r="D772" s="492" t="s">
        <v>1216</v>
      </c>
      <c r="E772" s="492" t="s">
        <v>134</v>
      </c>
      <c r="F772" s="497">
        <f>'пр.6.1.ведом.22-23 (2)'!G388</f>
        <v>50</v>
      </c>
      <c r="G772" s="497">
        <f>'пр.6.1.ведом.22-23 (2)'!H388</f>
        <v>50</v>
      </c>
    </row>
    <row r="773" spans="1:7" ht="31.5" x14ac:dyDescent="0.25">
      <c r="A773" s="494" t="s">
        <v>1010</v>
      </c>
      <c r="B773" s="495" t="s">
        <v>299</v>
      </c>
      <c r="C773" s="495" t="s">
        <v>118</v>
      </c>
      <c r="D773" s="495" t="s">
        <v>1217</v>
      </c>
      <c r="E773" s="495"/>
      <c r="F773" s="493">
        <f t="shared" ref="F773:G775" si="76">F774</f>
        <v>68.7</v>
      </c>
      <c r="G773" s="493">
        <f t="shared" si="76"/>
        <v>68.7</v>
      </c>
    </row>
    <row r="774" spans="1:7" ht="47.25" x14ac:dyDescent="0.25">
      <c r="A774" s="496" t="s">
        <v>1484</v>
      </c>
      <c r="B774" s="492" t="s">
        <v>299</v>
      </c>
      <c r="C774" s="492" t="s">
        <v>118</v>
      </c>
      <c r="D774" s="492" t="s">
        <v>1218</v>
      </c>
      <c r="E774" s="492"/>
      <c r="F774" s="497">
        <f t="shared" si="76"/>
        <v>68.7</v>
      </c>
      <c r="G774" s="497">
        <f t="shared" si="76"/>
        <v>68.7</v>
      </c>
    </row>
    <row r="775" spans="1:7" ht="31.5" x14ac:dyDescent="0.25">
      <c r="A775" s="496" t="s">
        <v>131</v>
      </c>
      <c r="B775" s="492" t="s">
        <v>299</v>
      </c>
      <c r="C775" s="492" t="s">
        <v>118</v>
      </c>
      <c r="D775" s="492" t="s">
        <v>1218</v>
      </c>
      <c r="E775" s="492" t="s">
        <v>132</v>
      </c>
      <c r="F775" s="497">
        <f t="shared" si="76"/>
        <v>68.7</v>
      </c>
      <c r="G775" s="497">
        <f t="shared" si="76"/>
        <v>68.7</v>
      </c>
    </row>
    <row r="776" spans="1:7" ht="47.25" x14ac:dyDescent="0.25">
      <c r="A776" s="496" t="s">
        <v>133</v>
      </c>
      <c r="B776" s="492" t="s">
        <v>299</v>
      </c>
      <c r="C776" s="492" t="s">
        <v>118</v>
      </c>
      <c r="D776" s="492" t="s">
        <v>1218</v>
      </c>
      <c r="E776" s="492" t="s">
        <v>134</v>
      </c>
      <c r="F776" s="497">
        <f>'пр.6.1.ведом.22-23 (2)'!G392</f>
        <v>68.7</v>
      </c>
      <c r="G776" s="497">
        <f>'пр.6.1.ведом.22-23 (2)'!H392</f>
        <v>68.7</v>
      </c>
    </row>
    <row r="777" spans="1:7" ht="31.5" x14ac:dyDescent="0.25">
      <c r="A777" s="211" t="s">
        <v>1179</v>
      </c>
      <c r="B777" s="495" t="s">
        <v>299</v>
      </c>
      <c r="C777" s="495" t="s">
        <v>118</v>
      </c>
      <c r="D777" s="495" t="s">
        <v>1311</v>
      </c>
      <c r="E777" s="495"/>
      <c r="F777" s="493">
        <f t="shared" ref="F777:G777" si="77">F778</f>
        <v>300</v>
      </c>
      <c r="G777" s="493">
        <f t="shared" si="77"/>
        <v>1500</v>
      </c>
    </row>
    <row r="778" spans="1:7" ht="63" x14ac:dyDescent="0.25">
      <c r="A778" s="98" t="s">
        <v>1167</v>
      </c>
      <c r="B778" s="492" t="s">
        <v>299</v>
      </c>
      <c r="C778" s="492" t="s">
        <v>118</v>
      </c>
      <c r="D778" s="492" t="s">
        <v>1214</v>
      </c>
      <c r="E778" s="492"/>
      <c r="F778" s="497">
        <f>F779</f>
        <v>300</v>
      </c>
      <c r="G778" s="497">
        <f>G779</f>
        <v>1500</v>
      </c>
    </row>
    <row r="779" spans="1:7" ht="31.5" x14ac:dyDescent="0.25">
      <c r="A779" s="496" t="s">
        <v>131</v>
      </c>
      <c r="B779" s="492" t="s">
        <v>299</v>
      </c>
      <c r="C779" s="492" t="s">
        <v>118</v>
      </c>
      <c r="D779" s="492" t="s">
        <v>1214</v>
      </c>
      <c r="E779" s="492" t="s">
        <v>132</v>
      </c>
      <c r="F779" s="497">
        <f>F780</f>
        <v>300</v>
      </c>
      <c r="G779" s="497">
        <f>G780</f>
        <v>1500</v>
      </c>
    </row>
    <row r="780" spans="1:7" ht="47.25" x14ac:dyDescent="0.25">
      <c r="A780" s="496" t="s">
        <v>133</v>
      </c>
      <c r="B780" s="492" t="s">
        <v>299</v>
      </c>
      <c r="C780" s="492" t="s">
        <v>118</v>
      </c>
      <c r="D780" s="492" t="s">
        <v>1214</v>
      </c>
      <c r="E780" s="492" t="s">
        <v>134</v>
      </c>
      <c r="F780" s="497">
        <f>'пр.6.1.ведом.22-23 (2)'!G396</f>
        <v>300</v>
      </c>
      <c r="G780" s="497">
        <f>'пр.6.1.ведом.22-23 (2)'!H396</f>
        <v>1500</v>
      </c>
    </row>
    <row r="781" spans="1:7" ht="31.5" hidden="1" x14ac:dyDescent="0.25">
      <c r="A781" s="354" t="s">
        <v>1332</v>
      </c>
      <c r="B781" s="495" t="s">
        <v>299</v>
      </c>
      <c r="C781" s="495" t="s">
        <v>118</v>
      </c>
      <c r="D781" s="495"/>
      <c r="E781" s="495"/>
      <c r="F781" s="493">
        <f t="shared" ref="F781:G783" si="78">F782</f>
        <v>0</v>
      </c>
      <c r="G781" s="493">
        <f t="shared" si="78"/>
        <v>0</v>
      </c>
    </row>
    <row r="782" spans="1:7" ht="15.75" hidden="1" x14ac:dyDescent="0.25">
      <c r="A782" s="496"/>
      <c r="B782" s="492" t="s">
        <v>299</v>
      </c>
      <c r="C782" s="492" t="s">
        <v>118</v>
      </c>
      <c r="D782" s="492"/>
      <c r="E782" s="492"/>
      <c r="F782" s="497">
        <f t="shared" si="78"/>
        <v>0</v>
      </c>
      <c r="G782" s="497">
        <f t="shared" si="78"/>
        <v>0</v>
      </c>
    </row>
    <row r="783" spans="1:7" ht="15.75" hidden="1" x14ac:dyDescent="0.25">
      <c r="A783" s="496"/>
      <c r="B783" s="492" t="s">
        <v>299</v>
      </c>
      <c r="C783" s="492" t="s">
        <v>118</v>
      </c>
      <c r="D783" s="492"/>
      <c r="E783" s="492" t="s">
        <v>132</v>
      </c>
      <c r="F783" s="497">
        <f t="shared" si="78"/>
        <v>0</v>
      </c>
      <c r="G783" s="497">
        <f t="shared" si="78"/>
        <v>0</v>
      </c>
    </row>
    <row r="784" spans="1:7" ht="15.75" hidden="1" x14ac:dyDescent="0.25">
      <c r="A784" s="496"/>
      <c r="B784" s="492" t="s">
        <v>299</v>
      </c>
      <c r="C784" s="492" t="s">
        <v>118</v>
      </c>
      <c r="D784" s="492"/>
      <c r="E784" s="492" t="s">
        <v>134</v>
      </c>
      <c r="F784" s="497">
        <f>'пр.6.1.ведом.22-23 (2)'!G400</f>
        <v>0</v>
      </c>
      <c r="G784" s="497">
        <f>'пр.6.1.ведом.22-23 (2)'!H400</f>
        <v>0</v>
      </c>
    </row>
    <row r="785" spans="1:7" ht="63" x14ac:dyDescent="0.25">
      <c r="A785" s="34" t="s">
        <v>1357</v>
      </c>
      <c r="B785" s="495" t="s">
        <v>299</v>
      </c>
      <c r="C785" s="495" t="s">
        <v>118</v>
      </c>
      <c r="D785" s="495" t="s">
        <v>324</v>
      </c>
      <c r="E785" s="495"/>
      <c r="F785" s="388">
        <f t="shared" ref="F785:G788" si="79">F786</f>
        <v>10</v>
      </c>
      <c r="G785" s="388">
        <f t="shared" si="79"/>
        <v>0</v>
      </c>
    </row>
    <row r="786" spans="1:7" ht="63" x14ac:dyDescent="0.25">
      <c r="A786" s="34" t="s">
        <v>1025</v>
      </c>
      <c r="B786" s="495" t="s">
        <v>299</v>
      </c>
      <c r="C786" s="495" t="s">
        <v>118</v>
      </c>
      <c r="D786" s="495" t="s">
        <v>934</v>
      </c>
      <c r="E786" s="495"/>
      <c r="F786" s="488">
        <f t="shared" si="79"/>
        <v>10</v>
      </c>
      <c r="G786" s="488">
        <f t="shared" si="79"/>
        <v>0</v>
      </c>
    </row>
    <row r="787" spans="1:7" ht="47.25" x14ac:dyDescent="0.25">
      <c r="A787" s="31" t="s">
        <v>1079</v>
      </c>
      <c r="B787" s="492" t="s">
        <v>299</v>
      </c>
      <c r="C787" s="492" t="s">
        <v>118</v>
      </c>
      <c r="D787" s="492" t="s">
        <v>1026</v>
      </c>
      <c r="E787" s="492"/>
      <c r="F787" s="489">
        <f t="shared" si="79"/>
        <v>10</v>
      </c>
      <c r="G787" s="489">
        <f t="shared" si="79"/>
        <v>0</v>
      </c>
    </row>
    <row r="788" spans="1:7" ht="31.5" x14ac:dyDescent="0.25">
      <c r="A788" s="496" t="s">
        <v>131</v>
      </c>
      <c r="B788" s="492" t="s">
        <v>299</v>
      </c>
      <c r="C788" s="492" t="s">
        <v>118</v>
      </c>
      <c r="D788" s="492" t="s">
        <v>1026</v>
      </c>
      <c r="E788" s="492" t="s">
        <v>132</v>
      </c>
      <c r="F788" s="489">
        <f t="shared" si="79"/>
        <v>10</v>
      </c>
      <c r="G788" s="489">
        <f t="shared" si="79"/>
        <v>0</v>
      </c>
    </row>
    <row r="789" spans="1:7" ht="47.25" x14ac:dyDescent="0.25">
      <c r="A789" s="496" t="s">
        <v>133</v>
      </c>
      <c r="B789" s="492" t="s">
        <v>299</v>
      </c>
      <c r="C789" s="492" t="s">
        <v>118</v>
      </c>
      <c r="D789" s="492" t="s">
        <v>1026</v>
      </c>
      <c r="E789" s="492" t="s">
        <v>134</v>
      </c>
      <c r="F789" s="489">
        <f>'пр.6.1.ведом.22-23 (2)'!G405</f>
        <v>10</v>
      </c>
      <c r="G789" s="489">
        <f>'пр.6.1.ведом.22-23 (2)'!H405</f>
        <v>0</v>
      </c>
    </row>
    <row r="790" spans="1:7" ht="63" x14ac:dyDescent="0.25">
      <c r="A790" s="500" t="s">
        <v>1352</v>
      </c>
      <c r="B790" s="495" t="s">
        <v>299</v>
      </c>
      <c r="C790" s="495" t="s">
        <v>118</v>
      </c>
      <c r="D790" s="495" t="s">
        <v>705</v>
      </c>
      <c r="E790" s="504"/>
      <c r="F790" s="488">
        <f t="shared" ref="F790:G793" si="80">F791</f>
        <v>878.7</v>
      </c>
      <c r="G790" s="488">
        <f t="shared" si="80"/>
        <v>913.9</v>
      </c>
    </row>
    <row r="791" spans="1:7" ht="63" x14ac:dyDescent="0.25">
      <c r="A791" s="500" t="s">
        <v>890</v>
      </c>
      <c r="B791" s="495" t="s">
        <v>299</v>
      </c>
      <c r="C791" s="495" t="s">
        <v>118</v>
      </c>
      <c r="D791" s="495" t="s">
        <v>888</v>
      </c>
      <c r="E791" s="504"/>
      <c r="F791" s="488">
        <f t="shared" si="80"/>
        <v>878.7</v>
      </c>
      <c r="G791" s="488">
        <f t="shared" si="80"/>
        <v>913.9</v>
      </c>
    </row>
    <row r="792" spans="1:7" ht="47.25" x14ac:dyDescent="0.25">
      <c r="A792" s="98" t="s">
        <v>1022</v>
      </c>
      <c r="B792" s="492" t="s">
        <v>299</v>
      </c>
      <c r="C792" s="492" t="s">
        <v>118</v>
      </c>
      <c r="D792" s="492" t="s">
        <v>889</v>
      </c>
      <c r="E792" s="498"/>
      <c r="F792" s="489">
        <f t="shared" si="80"/>
        <v>878.7</v>
      </c>
      <c r="G792" s="489">
        <f t="shared" si="80"/>
        <v>913.9</v>
      </c>
    </row>
    <row r="793" spans="1:7" ht="31.5" x14ac:dyDescent="0.25">
      <c r="A793" s="496" t="s">
        <v>131</v>
      </c>
      <c r="B793" s="492" t="s">
        <v>299</v>
      </c>
      <c r="C793" s="492" t="s">
        <v>118</v>
      </c>
      <c r="D793" s="492" t="s">
        <v>889</v>
      </c>
      <c r="E793" s="498" t="s">
        <v>132</v>
      </c>
      <c r="F793" s="489">
        <f t="shared" si="80"/>
        <v>878.7</v>
      </c>
      <c r="G793" s="489">
        <f t="shared" si="80"/>
        <v>913.9</v>
      </c>
    </row>
    <row r="794" spans="1:7" ht="47.25" x14ac:dyDescent="0.25">
      <c r="A794" s="496" t="s">
        <v>133</v>
      </c>
      <c r="B794" s="492" t="s">
        <v>299</v>
      </c>
      <c r="C794" s="492" t="s">
        <v>118</v>
      </c>
      <c r="D794" s="492" t="s">
        <v>889</v>
      </c>
      <c r="E794" s="498" t="s">
        <v>134</v>
      </c>
      <c r="F794" s="489">
        <f>'пр.6.1.ведом.22-23 (2)'!G410</f>
        <v>878.7</v>
      </c>
      <c r="G794" s="489">
        <f>'пр.6.1.ведом.22-23 (2)'!H410</f>
        <v>913.9</v>
      </c>
    </row>
    <row r="795" spans="1:7" ht="31.5" x14ac:dyDescent="0.25">
      <c r="A795" s="494" t="s">
        <v>333</v>
      </c>
      <c r="B795" s="495" t="s">
        <v>299</v>
      </c>
      <c r="C795" s="495" t="s">
        <v>150</v>
      </c>
      <c r="D795" s="495"/>
      <c r="E795" s="498"/>
      <c r="F795" s="488">
        <f>F796+F806+F818+F824</f>
        <v>18566.400000000001</v>
      </c>
      <c r="G795" s="488">
        <f>G796+G806+G818+G824</f>
        <v>18595.400000000001</v>
      </c>
    </row>
    <row r="796" spans="1:7" ht="31.5" x14ac:dyDescent="0.25">
      <c r="A796" s="494" t="s">
        <v>917</v>
      </c>
      <c r="B796" s="495" t="s">
        <v>299</v>
      </c>
      <c r="C796" s="495" t="s">
        <v>150</v>
      </c>
      <c r="D796" s="495" t="s">
        <v>858</v>
      </c>
      <c r="E796" s="498"/>
      <c r="F796" s="488">
        <f>F797</f>
        <v>7291.6</v>
      </c>
      <c r="G796" s="488">
        <f>G797</f>
        <v>7291.6</v>
      </c>
    </row>
    <row r="797" spans="1:7" ht="15.75" x14ac:dyDescent="0.25">
      <c r="A797" s="494" t="s">
        <v>918</v>
      </c>
      <c r="B797" s="495" t="s">
        <v>299</v>
      </c>
      <c r="C797" s="495" t="s">
        <v>150</v>
      </c>
      <c r="D797" s="495" t="s">
        <v>859</v>
      </c>
      <c r="E797" s="498"/>
      <c r="F797" s="488">
        <f>F798+F803</f>
        <v>7291.6</v>
      </c>
      <c r="G797" s="488">
        <f>G798+G803</f>
        <v>7291.6</v>
      </c>
    </row>
    <row r="798" spans="1:7" ht="31.5" x14ac:dyDescent="0.25">
      <c r="A798" s="496" t="s">
        <v>897</v>
      </c>
      <c r="B798" s="492" t="s">
        <v>299</v>
      </c>
      <c r="C798" s="492" t="s">
        <v>150</v>
      </c>
      <c r="D798" s="492" t="s">
        <v>860</v>
      </c>
      <c r="E798" s="498"/>
      <c r="F798" s="489">
        <f>F799</f>
        <v>7015.6</v>
      </c>
      <c r="G798" s="489">
        <f>G799</f>
        <v>7015.6</v>
      </c>
    </row>
    <row r="799" spans="1:7" ht="94.5" x14ac:dyDescent="0.25">
      <c r="A799" s="496" t="s">
        <v>127</v>
      </c>
      <c r="B799" s="492" t="s">
        <v>299</v>
      </c>
      <c r="C799" s="492" t="s">
        <v>150</v>
      </c>
      <c r="D799" s="492" t="s">
        <v>860</v>
      </c>
      <c r="E799" s="498" t="s">
        <v>128</v>
      </c>
      <c r="F799" s="489">
        <f>F800</f>
        <v>7015.6</v>
      </c>
      <c r="G799" s="489">
        <f>G800</f>
        <v>7015.6</v>
      </c>
    </row>
    <row r="800" spans="1:7" ht="31.5" x14ac:dyDescent="0.25">
      <c r="A800" s="496" t="s">
        <v>129</v>
      </c>
      <c r="B800" s="492" t="s">
        <v>299</v>
      </c>
      <c r="C800" s="492" t="s">
        <v>150</v>
      </c>
      <c r="D800" s="492" t="s">
        <v>860</v>
      </c>
      <c r="E800" s="499" t="s">
        <v>130</v>
      </c>
      <c r="F800" s="489">
        <f>'пр.6.1.ведом.22-23 (2)'!G416</f>
        <v>7015.6</v>
      </c>
      <c r="G800" s="489">
        <f>'пр.6.1.ведом.22-23 (2)'!H416</f>
        <v>7015.6</v>
      </c>
    </row>
    <row r="801" spans="1:7" ht="31.5" hidden="1" x14ac:dyDescent="0.25">
      <c r="A801" s="496" t="s">
        <v>131</v>
      </c>
      <c r="B801" s="492" t="s">
        <v>299</v>
      </c>
      <c r="C801" s="492" t="s">
        <v>150</v>
      </c>
      <c r="D801" s="492" t="s">
        <v>860</v>
      </c>
      <c r="E801" s="499" t="s">
        <v>132</v>
      </c>
      <c r="F801" s="489">
        <f>'[1]Пр.4 Рд,пр, ЦС,ВР 21'!F800</f>
        <v>0</v>
      </c>
      <c r="G801" s="489">
        <f>'[1]Пр.4 Рд,пр, ЦС,ВР 21'!G800</f>
        <v>0</v>
      </c>
    </row>
    <row r="802" spans="1:7" ht="47.25" hidden="1" x14ac:dyDescent="0.25">
      <c r="A802" s="496" t="s">
        <v>133</v>
      </c>
      <c r="B802" s="492" t="s">
        <v>299</v>
      </c>
      <c r="C802" s="492" t="s">
        <v>150</v>
      </c>
      <c r="D802" s="492" t="s">
        <v>860</v>
      </c>
      <c r="E802" s="499" t="s">
        <v>134</v>
      </c>
      <c r="F802" s="489">
        <f>'[1]Пр.4 Рд,пр, ЦС,ВР 21'!F801</f>
        <v>0</v>
      </c>
      <c r="G802" s="489">
        <f>'[1]Пр.4 Рд,пр, ЦС,ВР 21'!G801</f>
        <v>0</v>
      </c>
    </row>
    <row r="803" spans="1:7" ht="47.25" x14ac:dyDescent="0.25">
      <c r="A803" s="496" t="s">
        <v>839</v>
      </c>
      <c r="B803" s="492" t="s">
        <v>299</v>
      </c>
      <c r="C803" s="492" t="s">
        <v>150</v>
      </c>
      <c r="D803" s="492" t="s">
        <v>862</v>
      </c>
      <c r="E803" s="499"/>
      <c r="F803" s="489">
        <f>F804</f>
        <v>276</v>
      </c>
      <c r="G803" s="489">
        <f>G804</f>
        <v>276</v>
      </c>
    </row>
    <row r="804" spans="1:7" ht="94.5" x14ac:dyDescent="0.25">
      <c r="A804" s="496" t="s">
        <v>127</v>
      </c>
      <c r="B804" s="492" t="s">
        <v>299</v>
      </c>
      <c r="C804" s="492" t="s">
        <v>150</v>
      </c>
      <c r="D804" s="492" t="s">
        <v>862</v>
      </c>
      <c r="E804" s="499" t="s">
        <v>128</v>
      </c>
      <c r="F804" s="489">
        <f>F805</f>
        <v>276</v>
      </c>
      <c r="G804" s="489">
        <f>G805</f>
        <v>276</v>
      </c>
    </row>
    <row r="805" spans="1:7" ht="31.5" x14ac:dyDescent="0.25">
      <c r="A805" s="496" t="s">
        <v>129</v>
      </c>
      <c r="B805" s="492" t="s">
        <v>299</v>
      </c>
      <c r="C805" s="492" t="s">
        <v>150</v>
      </c>
      <c r="D805" s="492" t="s">
        <v>862</v>
      </c>
      <c r="E805" s="499" t="s">
        <v>130</v>
      </c>
      <c r="F805" s="489">
        <f>'пр.6.1.ведом.22-23 (2)'!G421</f>
        <v>276</v>
      </c>
      <c r="G805" s="489">
        <f>'пр.6.1.ведом.22-23 (2)'!H421</f>
        <v>276</v>
      </c>
    </row>
    <row r="806" spans="1:7" ht="15.75" x14ac:dyDescent="0.25">
      <c r="A806" s="494" t="s">
        <v>926</v>
      </c>
      <c r="B806" s="495" t="s">
        <v>299</v>
      </c>
      <c r="C806" s="495" t="s">
        <v>150</v>
      </c>
      <c r="D806" s="495" t="s">
        <v>866</v>
      </c>
      <c r="E806" s="499"/>
      <c r="F806" s="488">
        <f t="shared" ref="F806:G806" si="81">F807</f>
        <v>11014.8</v>
      </c>
      <c r="G806" s="488">
        <f t="shared" si="81"/>
        <v>11014.8</v>
      </c>
    </row>
    <row r="807" spans="1:7" ht="36.75" customHeight="1" x14ac:dyDescent="0.25">
      <c r="A807" s="494" t="s">
        <v>929</v>
      </c>
      <c r="B807" s="495" t="s">
        <v>299</v>
      </c>
      <c r="C807" s="495" t="s">
        <v>150</v>
      </c>
      <c r="D807" s="495" t="s">
        <v>914</v>
      </c>
      <c r="E807" s="499"/>
      <c r="F807" s="488">
        <f>F808+F815</f>
        <v>11014.8</v>
      </c>
      <c r="G807" s="488">
        <f>G808+G815</f>
        <v>11014.8</v>
      </c>
    </row>
    <row r="808" spans="1:7" ht="31.5" x14ac:dyDescent="0.25">
      <c r="A808" s="496" t="s">
        <v>903</v>
      </c>
      <c r="B808" s="492" t="s">
        <v>299</v>
      </c>
      <c r="C808" s="492" t="s">
        <v>150</v>
      </c>
      <c r="D808" s="492" t="s">
        <v>915</v>
      </c>
      <c r="E808" s="499"/>
      <c r="F808" s="489">
        <f>F809+F811+F813</f>
        <v>10804.8</v>
      </c>
      <c r="G808" s="489">
        <f>G809+G811+G813</f>
        <v>10804.8</v>
      </c>
    </row>
    <row r="809" spans="1:7" ht="94.5" x14ac:dyDescent="0.25">
      <c r="A809" s="496" t="s">
        <v>127</v>
      </c>
      <c r="B809" s="492" t="s">
        <v>299</v>
      </c>
      <c r="C809" s="492" t="s">
        <v>150</v>
      </c>
      <c r="D809" s="492" t="s">
        <v>915</v>
      </c>
      <c r="E809" s="499" t="s">
        <v>128</v>
      </c>
      <c r="F809" s="489">
        <f>F810</f>
        <v>8853.7999999999993</v>
      </c>
      <c r="G809" s="489">
        <f>G810</f>
        <v>8853.7999999999993</v>
      </c>
    </row>
    <row r="810" spans="1:7" ht="31.5" x14ac:dyDescent="0.25">
      <c r="A810" s="496" t="s">
        <v>342</v>
      </c>
      <c r="B810" s="492" t="s">
        <v>299</v>
      </c>
      <c r="C810" s="492" t="s">
        <v>150</v>
      </c>
      <c r="D810" s="492" t="s">
        <v>915</v>
      </c>
      <c r="E810" s="499" t="s">
        <v>209</v>
      </c>
      <c r="F810" s="489">
        <f>'пр.6.1.ведом.22-23 (2)'!G426</f>
        <v>8853.7999999999993</v>
      </c>
      <c r="G810" s="489">
        <f>'пр.6.1.ведом.22-23 (2)'!H426</f>
        <v>8853.7999999999993</v>
      </c>
    </row>
    <row r="811" spans="1:7" ht="31.5" x14ac:dyDescent="0.25">
      <c r="A811" s="496" t="s">
        <v>131</v>
      </c>
      <c r="B811" s="492" t="s">
        <v>299</v>
      </c>
      <c r="C811" s="492" t="s">
        <v>150</v>
      </c>
      <c r="D811" s="492" t="s">
        <v>915</v>
      </c>
      <c r="E811" s="499" t="s">
        <v>132</v>
      </c>
      <c r="F811" s="489">
        <f>F812</f>
        <v>1937</v>
      </c>
      <c r="G811" s="489">
        <f>G812</f>
        <v>1937</v>
      </c>
    </row>
    <row r="812" spans="1:7" ht="47.25" x14ac:dyDescent="0.25">
      <c r="A812" s="496" t="s">
        <v>133</v>
      </c>
      <c r="B812" s="492" t="s">
        <v>299</v>
      </c>
      <c r="C812" s="492" t="s">
        <v>150</v>
      </c>
      <c r="D812" s="492" t="s">
        <v>915</v>
      </c>
      <c r="E812" s="499" t="s">
        <v>134</v>
      </c>
      <c r="F812" s="489">
        <f>'пр.6.1.ведом.22-23 (2)'!G428</f>
        <v>1937</v>
      </c>
      <c r="G812" s="489">
        <f>'пр.6.1.ведом.22-23 (2)'!H428</f>
        <v>1937</v>
      </c>
    </row>
    <row r="813" spans="1:7" ht="15.75" x14ac:dyDescent="0.25">
      <c r="A813" s="496" t="s">
        <v>135</v>
      </c>
      <c r="B813" s="492" t="s">
        <v>299</v>
      </c>
      <c r="C813" s="492" t="s">
        <v>150</v>
      </c>
      <c r="D813" s="492" t="s">
        <v>915</v>
      </c>
      <c r="E813" s="499" t="s">
        <v>145</v>
      </c>
      <c r="F813" s="489">
        <f>F814</f>
        <v>14</v>
      </c>
      <c r="G813" s="489">
        <f>G814</f>
        <v>14</v>
      </c>
    </row>
    <row r="814" spans="1:7" ht="15.75" x14ac:dyDescent="0.25">
      <c r="A814" s="496" t="s">
        <v>568</v>
      </c>
      <c r="B814" s="492" t="s">
        <v>299</v>
      </c>
      <c r="C814" s="492" t="s">
        <v>150</v>
      </c>
      <c r="D814" s="492" t="s">
        <v>915</v>
      </c>
      <c r="E814" s="499" t="s">
        <v>138</v>
      </c>
      <c r="F814" s="489">
        <f>'пр.6.1.ведом.22-23 (2)'!G430</f>
        <v>14</v>
      </c>
      <c r="G814" s="489">
        <f>'пр.6.1.ведом.22-23 (2)'!H430</f>
        <v>14</v>
      </c>
    </row>
    <row r="815" spans="1:7" ht="47.25" x14ac:dyDescent="0.25">
      <c r="A815" s="496" t="s">
        <v>839</v>
      </c>
      <c r="B815" s="492" t="s">
        <v>299</v>
      </c>
      <c r="C815" s="492" t="s">
        <v>150</v>
      </c>
      <c r="D815" s="492" t="s">
        <v>916</v>
      </c>
      <c r="E815" s="499"/>
      <c r="F815" s="489">
        <f>F816</f>
        <v>210</v>
      </c>
      <c r="G815" s="489">
        <f>G816</f>
        <v>210</v>
      </c>
    </row>
    <row r="816" spans="1:7" ht="94.5" x14ac:dyDescent="0.25">
      <c r="A816" s="496" t="s">
        <v>127</v>
      </c>
      <c r="B816" s="492" t="s">
        <v>299</v>
      </c>
      <c r="C816" s="492" t="s">
        <v>150</v>
      </c>
      <c r="D816" s="492" t="s">
        <v>916</v>
      </c>
      <c r="E816" s="499" t="s">
        <v>128</v>
      </c>
      <c r="F816" s="489">
        <f>F817</f>
        <v>210</v>
      </c>
      <c r="G816" s="489">
        <f>G817</f>
        <v>210</v>
      </c>
    </row>
    <row r="817" spans="1:9" ht="31.5" x14ac:dyDescent="0.25">
      <c r="A817" s="496" t="s">
        <v>129</v>
      </c>
      <c r="B817" s="492" t="s">
        <v>299</v>
      </c>
      <c r="C817" s="492" t="s">
        <v>150</v>
      </c>
      <c r="D817" s="492" t="s">
        <v>916</v>
      </c>
      <c r="E817" s="499" t="s">
        <v>209</v>
      </c>
      <c r="F817" s="489">
        <f>'пр.6.1.ведом.22-23 (2)'!G433</f>
        <v>210</v>
      </c>
      <c r="G817" s="489">
        <f>'пр.6.1.ведом.22-23 (2)'!H433</f>
        <v>210</v>
      </c>
    </row>
    <row r="818" spans="1:9" ht="50.25" customHeight="1" x14ac:dyDescent="0.25">
      <c r="A818" s="494" t="s">
        <v>1347</v>
      </c>
      <c r="B818" s="495" t="s">
        <v>299</v>
      </c>
      <c r="C818" s="495" t="s">
        <v>150</v>
      </c>
      <c r="D818" s="495" t="s">
        <v>344</v>
      </c>
      <c r="E818" s="499"/>
      <c r="F818" s="488">
        <f>F819</f>
        <v>260</v>
      </c>
      <c r="G818" s="488">
        <f>G819</f>
        <v>285</v>
      </c>
    </row>
    <row r="819" spans="1:9" ht="54" customHeight="1" x14ac:dyDescent="0.25">
      <c r="A819" s="494" t="s">
        <v>1353</v>
      </c>
      <c r="B819" s="495" t="s">
        <v>299</v>
      </c>
      <c r="C819" s="495" t="s">
        <v>150</v>
      </c>
      <c r="D819" s="495" t="s">
        <v>362</v>
      </c>
      <c r="E819" s="495"/>
      <c r="F819" s="493">
        <f t="shared" ref="F819:G820" si="82">F820</f>
        <v>260</v>
      </c>
      <c r="G819" s="493">
        <f t="shared" si="82"/>
        <v>285</v>
      </c>
    </row>
    <row r="820" spans="1:9" ht="31.5" x14ac:dyDescent="0.25">
      <c r="A820" s="494" t="s">
        <v>997</v>
      </c>
      <c r="B820" s="495" t="s">
        <v>299</v>
      </c>
      <c r="C820" s="495" t="s">
        <v>150</v>
      </c>
      <c r="D820" s="495" t="s">
        <v>1221</v>
      </c>
      <c r="E820" s="495"/>
      <c r="F820" s="493">
        <f t="shared" si="82"/>
        <v>260</v>
      </c>
      <c r="G820" s="493">
        <f t="shared" si="82"/>
        <v>285</v>
      </c>
    </row>
    <row r="821" spans="1:9" ht="31.5" x14ac:dyDescent="0.25">
      <c r="A821" s="496" t="s">
        <v>996</v>
      </c>
      <c r="B821" s="492" t="s">
        <v>299</v>
      </c>
      <c r="C821" s="492" t="s">
        <v>150</v>
      </c>
      <c r="D821" s="492" t="s">
        <v>1222</v>
      </c>
      <c r="E821" s="492"/>
      <c r="F821" s="497">
        <f>F822</f>
        <v>260</v>
      </c>
      <c r="G821" s="497">
        <f>G822</f>
        <v>285</v>
      </c>
    </row>
    <row r="822" spans="1:9" ht="31.5" x14ac:dyDescent="0.25">
      <c r="A822" s="496" t="s">
        <v>131</v>
      </c>
      <c r="B822" s="492" t="s">
        <v>299</v>
      </c>
      <c r="C822" s="492" t="s">
        <v>150</v>
      </c>
      <c r="D822" s="492" t="s">
        <v>1222</v>
      </c>
      <c r="E822" s="492" t="s">
        <v>132</v>
      </c>
      <c r="F822" s="497">
        <f>F823</f>
        <v>260</v>
      </c>
      <c r="G822" s="497">
        <f>G823</f>
        <v>285</v>
      </c>
    </row>
    <row r="823" spans="1:9" ht="47.25" x14ac:dyDescent="0.25">
      <c r="A823" s="496" t="s">
        <v>133</v>
      </c>
      <c r="B823" s="492" t="s">
        <v>299</v>
      </c>
      <c r="C823" s="492" t="s">
        <v>150</v>
      </c>
      <c r="D823" s="492" t="s">
        <v>1222</v>
      </c>
      <c r="E823" s="492" t="s">
        <v>134</v>
      </c>
      <c r="F823" s="497">
        <f>'пр.6.1.ведом.22-23 (2)'!G439</f>
        <v>260</v>
      </c>
      <c r="G823" s="497">
        <f>'пр.6.1.ведом.22-23 (2)'!H439</f>
        <v>285</v>
      </c>
    </row>
    <row r="824" spans="1:9" ht="63" x14ac:dyDescent="0.25">
      <c r="A824" s="34" t="s">
        <v>1434</v>
      </c>
      <c r="B824" s="495" t="s">
        <v>299</v>
      </c>
      <c r="C824" s="495" t="s">
        <v>150</v>
      </c>
      <c r="D824" s="495" t="s">
        <v>324</v>
      </c>
      <c r="E824" s="495"/>
      <c r="F824" s="493">
        <f>F826</f>
        <v>0</v>
      </c>
      <c r="G824" s="493">
        <f>G825</f>
        <v>4</v>
      </c>
    </row>
    <row r="825" spans="1:9" ht="63" x14ac:dyDescent="0.25">
      <c r="A825" s="34" t="s">
        <v>1025</v>
      </c>
      <c r="B825" s="495" t="s">
        <v>299</v>
      </c>
      <c r="C825" s="495" t="s">
        <v>150</v>
      </c>
      <c r="D825" s="495" t="s">
        <v>934</v>
      </c>
      <c r="E825" s="495"/>
      <c r="F825" s="493">
        <f>F828</f>
        <v>0</v>
      </c>
      <c r="G825" s="493">
        <f>G826</f>
        <v>4</v>
      </c>
    </row>
    <row r="826" spans="1:9" ht="47.25" x14ac:dyDescent="0.25">
      <c r="A826" s="31" t="s">
        <v>1080</v>
      </c>
      <c r="B826" s="492" t="s">
        <v>299</v>
      </c>
      <c r="C826" s="492" t="s">
        <v>150</v>
      </c>
      <c r="D826" s="492" t="s">
        <v>1026</v>
      </c>
      <c r="E826" s="492"/>
      <c r="F826" s="497">
        <f>F827</f>
        <v>0</v>
      </c>
      <c r="G826" s="497">
        <f>G827</f>
        <v>4</v>
      </c>
    </row>
    <row r="827" spans="1:9" ht="31.5" x14ac:dyDescent="0.25">
      <c r="A827" s="496" t="s">
        <v>131</v>
      </c>
      <c r="B827" s="492" t="s">
        <v>299</v>
      </c>
      <c r="C827" s="492" t="s">
        <v>150</v>
      </c>
      <c r="D827" s="492" t="s">
        <v>1026</v>
      </c>
      <c r="E827" s="492" t="s">
        <v>132</v>
      </c>
      <c r="F827" s="497">
        <f>F828</f>
        <v>0</v>
      </c>
      <c r="G827" s="497">
        <f>G828</f>
        <v>4</v>
      </c>
    </row>
    <row r="828" spans="1:9" ht="47.25" x14ac:dyDescent="0.25">
      <c r="A828" s="496" t="s">
        <v>133</v>
      </c>
      <c r="B828" s="492" t="s">
        <v>299</v>
      </c>
      <c r="C828" s="492" t="s">
        <v>150</v>
      </c>
      <c r="D828" s="492" t="s">
        <v>1026</v>
      </c>
      <c r="E828" s="492" t="s">
        <v>134</v>
      </c>
      <c r="F828" s="497">
        <f>'пр.6.1.ведом.22-23 (2)'!G444</f>
        <v>0</v>
      </c>
      <c r="G828" s="497">
        <f>'пр.6.1.ведом.22-23 (2)'!H444</f>
        <v>4</v>
      </c>
    </row>
    <row r="829" spans="1:9" ht="15.75" x14ac:dyDescent="0.25">
      <c r="A829" s="494" t="s">
        <v>243</v>
      </c>
      <c r="B829" s="495" t="s">
        <v>244</v>
      </c>
      <c r="C829" s="495"/>
      <c r="D829" s="495"/>
      <c r="E829" s="204"/>
      <c r="F829" s="488">
        <f>F830+F836+F872+F866</f>
        <v>18033.41</v>
      </c>
      <c r="G829" s="488">
        <f>G830+G836+G872+G866</f>
        <v>26348.010000000002</v>
      </c>
      <c r="H829" s="487">
        <v>17738.8</v>
      </c>
      <c r="I829" s="22">
        <v>26058.9</v>
      </c>
    </row>
    <row r="830" spans="1:9" ht="15.75" x14ac:dyDescent="0.25">
      <c r="A830" s="494" t="s">
        <v>245</v>
      </c>
      <c r="B830" s="495" t="s">
        <v>244</v>
      </c>
      <c r="C830" s="495" t="s">
        <v>118</v>
      </c>
      <c r="D830" s="495"/>
      <c r="E830" s="495"/>
      <c r="F830" s="488">
        <f t="shared" ref="F830:G832" si="83">F831</f>
        <v>9815.2999999999993</v>
      </c>
      <c r="G830" s="488">
        <f t="shared" si="83"/>
        <v>9815.2999999999993</v>
      </c>
      <c r="H830" s="232">
        <f>H829-F829</f>
        <v>-294.61000000000058</v>
      </c>
      <c r="I830" s="232">
        <f>I829-G829</f>
        <v>-289.11000000000058</v>
      </c>
    </row>
    <row r="831" spans="1:9" ht="15.75" x14ac:dyDescent="0.25">
      <c r="A831" s="494" t="s">
        <v>141</v>
      </c>
      <c r="B831" s="495" t="s">
        <v>244</v>
      </c>
      <c r="C831" s="495" t="s">
        <v>118</v>
      </c>
      <c r="D831" s="495" t="s">
        <v>866</v>
      </c>
      <c r="E831" s="495"/>
      <c r="F831" s="488">
        <f t="shared" si="83"/>
        <v>9815.2999999999993</v>
      </c>
      <c r="G831" s="488">
        <f t="shared" si="83"/>
        <v>9815.2999999999993</v>
      </c>
    </row>
    <row r="832" spans="1:9" ht="31.5" x14ac:dyDescent="0.25">
      <c r="A832" s="494" t="s">
        <v>870</v>
      </c>
      <c r="B832" s="495" t="s">
        <v>244</v>
      </c>
      <c r="C832" s="495" t="s">
        <v>118</v>
      </c>
      <c r="D832" s="495" t="s">
        <v>865</v>
      </c>
      <c r="E832" s="495"/>
      <c r="F832" s="488">
        <f t="shared" si="83"/>
        <v>9815.2999999999993</v>
      </c>
      <c r="G832" s="488">
        <f t="shared" si="83"/>
        <v>9815.2999999999993</v>
      </c>
    </row>
    <row r="833" spans="1:7" ht="15.75" x14ac:dyDescent="0.25">
      <c r="A833" s="496" t="s">
        <v>246</v>
      </c>
      <c r="B833" s="492" t="s">
        <v>244</v>
      </c>
      <c r="C833" s="492" t="s">
        <v>118</v>
      </c>
      <c r="D833" s="492" t="s">
        <v>881</v>
      </c>
      <c r="E833" s="492"/>
      <c r="F833" s="489">
        <f>F834</f>
        <v>9815.2999999999993</v>
      </c>
      <c r="G833" s="489">
        <f>G834</f>
        <v>9815.2999999999993</v>
      </c>
    </row>
    <row r="834" spans="1:7" ht="31.5" x14ac:dyDescent="0.25">
      <c r="A834" s="496" t="s">
        <v>248</v>
      </c>
      <c r="B834" s="492" t="s">
        <v>244</v>
      </c>
      <c r="C834" s="492" t="s">
        <v>118</v>
      </c>
      <c r="D834" s="492" t="s">
        <v>881</v>
      </c>
      <c r="E834" s="492" t="s">
        <v>249</v>
      </c>
      <c r="F834" s="489">
        <f>F835</f>
        <v>9815.2999999999993</v>
      </c>
      <c r="G834" s="489">
        <f>G835</f>
        <v>9815.2999999999993</v>
      </c>
    </row>
    <row r="835" spans="1:7" ht="31.5" x14ac:dyDescent="0.25">
      <c r="A835" s="496" t="s">
        <v>250</v>
      </c>
      <c r="B835" s="492" t="s">
        <v>244</v>
      </c>
      <c r="C835" s="492" t="s">
        <v>118</v>
      </c>
      <c r="D835" s="492" t="s">
        <v>881</v>
      </c>
      <c r="E835" s="492" t="s">
        <v>251</v>
      </c>
      <c r="F835" s="489">
        <f>'пр.6.1.ведом.22-23 (2)'!G224</f>
        <v>9815.2999999999993</v>
      </c>
      <c r="G835" s="489">
        <f>'пр.6.1.ведом.22-23 (2)'!H224</f>
        <v>9815.2999999999993</v>
      </c>
    </row>
    <row r="836" spans="1:7" ht="15.75" x14ac:dyDescent="0.25">
      <c r="A836" s="494" t="s">
        <v>252</v>
      </c>
      <c r="B836" s="495" t="s">
        <v>244</v>
      </c>
      <c r="C836" s="495" t="s">
        <v>215</v>
      </c>
      <c r="D836" s="495"/>
      <c r="E836" s="495"/>
      <c r="F836" s="488">
        <f>F837+F858</f>
        <v>2011.6100000000001</v>
      </c>
      <c r="G836" s="488">
        <f>G837+G858</f>
        <v>2036.1100000000001</v>
      </c>
    </row>
    <row r="837" spans="1:7" ht="50.25" customHeight="1" x14ac:dyDescent="0.25">
      <c r="A837" s="494" t="s">
        <v>1378</v>
      </c>
      <c r="B837" s="495" t="s">
        <v>244</v>
      </c>
      <c r="C837" s="495" t="s">
        <v>215</v>
      </c>
      <c r="D837" s="495" t="s">
        <v>344</v>
      </c>
      <c r="E837" s="495"/>
      <c r="F837" s="488">
        <f>F838+F843</f>
        <v>2001.6100000000001</v>
      </c>
      <c r="G837" s="488">
        <f>G838+G843</f>
        <v>2026.1100000000001</v>
      </c>
    </row>
    <row r="838" spans="1:7" ht="31.5" x14ac:dyDescent="0.25">
      <c r="A838" s="494" t="s">
        <v>352</v>
      </c>
      <c r="B838" s="495" t="s">
        <v>244</v>
      </c>
      <c r="C838" s="495" t="s">
        <v>215</v>
      </c>
      <c r="D838" s="495" t="s">
        <v>353</v>
      </c>
      <c r="E838" s="495"/>
      <c r="F838" s="493">
        <f t="shared" ref="F838:G841" si="84">F839</f>
        <v>294.61</v>
      </c>
      <c r="G838" s="493">
        <f t="shared" si="84"/>
        <v>289.11</v>
      </c>
    </row>
    <row r="839" spans="1:7" ht="31.5" x14ac:dyDescent="0.25">
      <c r="A839" s="494" t="s">
        <v>905</v>
      </c>
      <c r="B839" s="495" t="s">
        <v>244</v>
      </c>
      <c r="C839" s="495" t="s">
        <v>215</v>
      </c>
      <c r="D839" s="495" t="s">
        <v>904</v>
      </c>
      <c r="E839" s="495"/>
      <c r="F839" s="493">
        <f t="shared" si="84"/>
        <v>294.61</v>
      </c>
      <c r="G839" s="493">
        <f t="shared" si="84"/>
        <v>289.11</v>
      </c>
    </row>
    <row r="840" spans="1:7" ht="31.5" x14ac:dyDescent="0.25">
      <c r="A840" s="496" t="s">
        <v>824</v>
      </c>
      <c r="B840" s="492" t="s">
        <v>244</v>
      </c>
      <c r="C840" s="492" t="s">
        <v>215</v>
      </c>
      <c r="D840" s="492" t="s">
        <v>906</v>
      </c>
      <c r="E840" s="492"/>
      <c r="F840" s="497">
        <f t="shared" si="84"/>
        <v>294.61</v>
      </c>
      <c r="G840" s="497">
        <f t="shared" si="84"/>
        <v>289.11</v>
      </c>
    </row>
    <row r="841" spans="1:7" ht="31.5" x14ac:dyDescent="0.25">
      <c r="A841" s="496" t="s">
        <v>248</v>
      </c>
      <c r="B841" s="492" t="s">
        <v>244</v>
      </c>
      <c r="C841" s="492" t="s">
        <v>215</v>
      </c>
      <c r="D841" s="492" t="s">
        <v>906</v>
      </c>
      <c r="E841" s="492" t="s">
        <v>249</v>
      </c>
      <c r="F841" s="497">
        <f>F842</f>
        <v>294.61</v>
      </c>
      <c r="G841" s="497">
        <f t="shared" si="84"/>
        <v>289.11</v>
      </c>
    </row>
    <row r="842" spans="1:7" ht="31.5" x14ac:dyDescent="0.25">
      <c r="A842" s="496" t="s">
        <v>250</v>
      </c>
      <c r="B842" s="492" t="s">
        <v>244</v>
      </c>
      <c r="C842" s="492" t="s">
        <v>215</v>
      </c>
      <c r="D842" s="492" t="s">
        <v>906</v>
      </c>
      <c r="E842" s="492" t="s">
        <v>251</v>
      </c>
      <c r="F842" s="497">
        <f>'пр.6.1.ведом.22-23 (2)'!G452</f>
        <v>294.61</v>
      </c>
      <c r="G842" s="497">
        <f>'пр.6.1.ведом.22-23 (2)'!H452</f>
        <v>289.11</v>
      </c>
    </row>
    <row r="843" spans="1:7" ht="47.25" x14ac:dyDescent="0.25">
      <c r="A843" s="494" t="s">
        <v>355</v>
      </c>
      <c r="B843" s="491">
        <v>10</v>
      </c>
      <c r="C843" s="495" t="s">
        <v>215</v>
      </c>
      <c r="D843" s="495" t="s">
        <v>362</v>
      </c>
      <c r="E843" s="495"/>
      <c r="F843" s="493">
        <f>F845+F848+F854</f>
        <v>1707</v>
      </c>
      <c r="G843" s="493">
        <f>G845+G848+G854</f>
        <v>1737</v>
      </c>
    </row>
    <row r="844" spans="1:7" ht="31.5" x14ac:dyDescent="0.25">
      <c r="A844" s="494" t="s">
        <v>1038</v>
      </c>
      <c r="B844" s="491">
        <v>10</v>
      </c>
      <c r="C844" s="495" t="s">
        <v>215</v>
      </c>
      <c r="D844" s="495" t="s">
        <v>913</v>
      </c>
      <c r="E844" s="495"/>
      <c r="F844" s="493">
        <f t="shared" ref="F844:G846" si="85">F845</f>
        <v>630</v>
      </c>
      <c r="G844" s="493">
        <f t="shared" si="85"/>
        <v>630</v>
      </c>
    </row>
    <row r="845" spans="1:7" ht="47.25" x14ac:dyDescent="0.25">
      <c r="A845" s="98" t="s">
        <v>1039</v>
      </c>
      <c r="B845" s="492" t="s">
        <v>244</v>
      </c>
      <c r="C845" s="492" t="s">
        <v>215</v>
      </c>
      <c r="D845" s="492" t="s">
        <v>1224</v>
      </c>
      <c r="E845" s="492"/>
      <c r="F845" s="497">
        <f t="shared" si="85"/>
        <v>630</v>
      </c>
      <c r="G845" s="497">
        <f t="shared" si="85"/>
        <v>630</v>
      </c>
    </row>
    <row r="846" spans="1:7" ht="31.5" x14ac:dyDescent="0.25">
      <c r="A846" s="496" t="s">
        <v>248</v>
      </c>
      <c r="B846" s="492" t="s">
        <v>244</v>
      </c>
      <c r="C846" s="492" t="s">
        <v>215</v>
      </c>
      <c r="D846" s="492" t="s">
        <v>1224</v>
      </c>
      <c r="E846" s="492" t="s">
        <v>249</v>
      </c>
      <c r="F846" s="497">
        <f t="shared" si="85"/>
        <v>630</v>
      </c>
      <c r="G846" s="497">
        <f t="shared" si="85"/>
        <v>630</v>
      </c>
    </row>
    <row r="847" spans="1:7" ht="31.5" x14ac:dyDescent="0.25">
      <c r="A847" s="496" t="s">
        <v>348</v>
      </c>
      <c r="B847" s="492" t="s">
        <v>244</v>
      </c>
      <c r="C847" s="492" t="s">
        <v>215</v>
      </c>
      <c r="D847" s="492" t="s">
        <v>1224</v>
      </c>
      <c r="E847" s="492" t="s">
        <v>349</v>
      </c>
      <c r="F847" s="497">
        <f>'пр.6.1.ведом.22-23 (2)'!G457</f>
        <v>630</v>
      </c>
      <c r="G847" s="497">
        <f>'пр.6.1.ведом.22-23 (2)'!H457</f>
        <v>630</v>
      </c>
    </row>
    <row r="848" spans="1:7" ht="31.5" x14ac:dyDescent="0.25">
      <c r="A848" s="494" t="s">
        <v>1228</v>
      </c>
      <c r="B848" s="491">
        <v>10</v>
      </c>
      <c r="C848" s="495" t="s">
        <v>215</v>
      </c>
      <c r="D848" s="495" t="s">
        <v>1226</v>
      </c>
      <c r="E848" s="495"/>
      <c r="F848" s="493">
        <f>F849+F852</f>
        <v>657</v>
      </c>
      <c r="G848" s="493">
        <f>G849+G852</f>
        <v>657</v>
      </c>
    </row>
    <row r="849" spans="1:7" ht="31.5" x14ac:dyDescent="0.25">
      <c r="A849" s="496" t="s">
        <v>1225</v>
      </c>
      <c r="B849" s="492" t="s">
        <v>244</v>
      </c>
      <c r="C849" s="492" t="s">
        <v>215</v>
      </c>
      <c r="D849" s="492" t="s">
        <v>1227</v>
      </c>
      <c r="E849" s="492"/>
      <c r="F849" s="497">
        <f>F850</f>
        <v>400</v>
      </c>
      <c r="G849" s="497">
        <f>G850</f>
        <v>400</v>
      </c>
    </row>
    <row r="850" spans="1:7" ht="31.5" x14ac:dyDescent="0.25">
      <c r="A850" s="496" t="s">
        <v>131</v>
      </c>
      <c r="B850" s="492" t="s">
        <v>244</v>
      </c>
      <c r="C850" s="492" t="s">
        <v>215</v>
      </c>
      <c r="D850" s="492" t="s">
        <v>1227</v>
      </c>
      <c r="E850" s="492" t="s">
        <v>132</v>
      </c>
      <c r="F850" s="497">
        <f>F851</f>
        <v>400</v>
      </c>
      <c r="G850" s="497">
        <f>G851</f>
        <v>400</v>
      </c>
    </row>
    <row r="851" spans="1:7" ht="47.25" x14ac:dyDescent="0.25">
      <c r="A851" s="496" t="s">
        <v>133</v>
      </c>
      <c r="B851" s="492" t="s">
        <v>244</v>
      </c>
      <c r="C851" s="492" t="s">
        <v>215</v>
      </c>
      <c r="D851" s="492" t="s">
        <v>1227</v>
      </c>
      <c r="E851" s="492" t="s">
        <v>134</v>
      </c>
      <c r="F851" s="497">
        <f>'пр.6.1.ведом.22-23 (2)'!G461</f>
        <v>400</v>
      </c>
      <c r="G851" s="497">
        <f>'пр.6.1.ведом.22-23 (2)'!H461</f>
        <v>400</v>
      </c>
    </row>
    <row r="852" spans="1:7" ht="31.5" x14ac:dyDescent="0.25">
      <c r="A852" s="496" t="s">
        <v>248</v>
      </c>
      <c r="B852" s="492" t="s">
        <v>244</v>
      </c>
      <c r="C852" s="492" t="s">
        <v>215</v>
      </c>
      <c r="D852" s="492" t="s">
        <v>1227</v>
      </c>
      <c r="E852" s="492" t="s">
        <v>249</v>
      </c>
      <c r="F852" s="497">
        <f>F853</f>
        <v>257</v>
      </c>
      <c r="G852" s="497">
        <f>G853</f>
        <v>257</v>
      </c>
    </row>
    <row r="853" spans="1:7" ht="31.5" x14ac:dyDescent="0.25">
      <c r="A853" s="496" t="s">
        <v>348</v>
      </c>
      <c r="B853" s="492" t="s">
        <v>244</v>
      </c>
      <c r="C853" s="492" t="s">
        <v>215</v>
      </c>
      <c r="D853" s="492" t="s">
        <v>1227</v>
      </c>
      <c r="E853" s="492" t="s">
        <v>349</v>
      </c>
      <c r="F853" s="497">
        <f>'пр.6.1.ведом.22-23 (2)'!G463</f>
        <v>257</v>
      </c>
      <c r="G853" s="497">
        <f>'пр.6.1.ведом.22-23 (2)'!H463</f>
        <v>257</v>
      </c>
    </row>
    <row r="854" spans="1:7" ht="31.5" x14ac:dyDescent="0.25">
      <c r="A854" s="494" t="s">
        <v>997</v>
      </c>
      <c r="B854" s="491">
        <v>10</v>
      </c>
      <c r="C854" s="495" t="s">
        <v>215</v>
      </c>
      <c r="D854" s="495" t="s">
        <v>1221</v>
      </c>
      <c r="E854" s="495"/>
      <c r="F854" s="493">
        <f>F855</f>
        <v>420</v>
      </c>
      <c r="G854" s="493">
        <f t="shared" ref="G854:G856" si="86">G855</f>
        <v>450</v>
      </c>
    </row>
    <row r="855" spans="1:7" ht="22.7" customHeight="1" x14ac:dyDescent="0.25">
      <c r="A855" s="496" t="s">
        <v>1036</v>
      </c>
      <c r="B855" s="492" t="s">
        <v>244</v>
      </c>
      <c r="C855" s="492" t="s">
        <v>215</v>
      </c>
      <c r="D855" s="492" t="s">
        <v>1223</v>
      </c>
      <c r="E855" s="492"/>
      <c r="F855" s="497">
        <f>F856</f>
        <v>420</v>
      </c>
      <c r="G855" s="497">
        <f t="shared" si="86"/>
        <v>450</v>
      </c>
    </row>
    <row r="856" spans="1:7" ht="31.5" x14ac:dyDescent="0.25">
      <c r="A856" s="496" t="s">
        <v>248</v>
      </c>
      <c r="B856" s="492" t="s">
        <v>244</v>
      </c>
      <c r="C856" s="492" t="s">
        <v>215</v>
      </c>
      <c r="D856" s="492" t="s">
        <v>1223</v>
      </c>
      <c r="E856" s="492" t="s">
        <v>249</v>
      </c>
      <c r="F856" s="497">
        <f>F857</f>
        <v>420</v>
      </c>
      <c r="G856" s="497">
        <f t="shared" si="86"/>
        <v>450</v>
      </c>
    </row>
    <row r="857" spans="1:7" ht="31.5" x14ac:dyDescent="0.25">
      <c r="A857" s="496" t="s">
        <v>348</v>
      </c>
      <c r="B857" s="492" t="s">
        <v>244</v>
      </c>
      <c r="C857" s="492" t="s">
        <v>215</v>
      </c>
      <c r="D857" s="492" t="s">
        <v>1223</v>
      </c>
      <c r="E857" s="492" t="s">
        <v>349</v>
      </c>
      <c r="F857" s="497">
        <f>'пр.6.1.ведом.22-23 (2)'!G467</f>
        <v>420</v>
      </c>
      <c r="G857" s="497">
        <f>'пр.6.1.ведом.22-23 (2)'!H467</f>
        <v>450</v>
      </c>
    </row>
    <row r="858" spans="1:7" ht="63" x14ac:dyDescent="0.25">
      <c r="A858" s="494" t="s">
        <v>1346</v>
      </c>
      <c r="B858" s="495" t="s">
        <v>244</v>
      </c>
      <c r="C858" s="495" t="s">
        <v>215</v>
      </c>
      <c r="D858" s="495" t="s">
        <v>254</v>
      </c>
      <c r="E858" s="495"/>
      <c r="F858" s="488">
        <f t="shared" ref="F858:G858" si="87">F859</f>
        <v>10</v>
      </c>
      <c r="G858" s="488">
        <f t="shared" si="87"/>
        <v>10</v>
      </c>
    </row>
    <row r="859" spans="1:7" ht="53.45" customHeight="1" x14ac:dyDescent="0.25">
      <c r="A859" s="494" t="s">
        <v>884</v>
      </c>
      <c r="B859" s="495" t="s">
        <v>244</v>
      </c>
      <c r="C859" s="495" t="s">
        <v>215</v>
      </c>
      <c r="D859" s="495" t="s">
        <v>882</v>
      </c>
      <c r="E859" s="495"/>
      <c r="F859" s="488">
        <f>F860+F863</f>
        <v>10</v>
      </c>
      <c r="G859" s="488">
        <f>G860+G863</f>
        <v>10</v>
      </c>
    </row>
    <row r="860" spans="1:7" ht="31.5" x14ac:dyDescent="0.25">
      <c r="A860" s="496" t="s">
        <v>883</v>
      </c>
      <c r="B860" s="492" t="s">
        <v>244</v>
      </c>
      <c r="C860" s="492" t="s">
        <v>215</v>
      </c>
      <c r="D860" s="492" t="s">
        <v>1188</v>
      </c>
      <c r="E860" s="492"/>
      <c r="F860" s="489">
        <f>F861</f>
        <v>10</v>
      </c>
      <c r="G860" s="489">
        <f>G861</f>
        <v>10</v>
      </c>
    </row>
    <row r="861" spans="1:7" ht="31.5" x14ac:dyDescent="0.25">
      <c r="A861" s="496" t="s">
        <v>248</v>
      </c>
      <c r="B861" s="492" t="s">
        <v>244</v>
      </c>
      <c r="C861" s="492" t="s">
        <v>215</v>
      </c>
      <c r="D861" s="492" t="s">
        <v>1188</v>
      </c>
      <c r="E861" s="492" t="s">
        <v>249</v>
      </c>
      <c r="F861" s="489">
        <f>F862</f>
        <v>10</v>
      </c>
      <c r="G861" s="489">
        <f>G862</f>
        <v>10</v>
      </c>
    </row>
    <row r="862" spans="1:7" ht="31.5" x14ac:dyDescent="0.25">
      <c r="A862" s="496" t="s">
        <v>250</v>
      </c>
      <c r="B862" s="492" t="s">
        <v>244</v>
      </c>
      <c r="C862" s="492" t="s">
        <v>215</v>
      </c>
      <c r="D862" s="492" t="s">
        <v>1188</v>
      </c>
      <c r="E862" s="492" t="s">
        <v>251</v>
      </c>
      <c r="F862" s="489">
        <f>'пр.6.1.ведом.22-23 (2)'!G230</f>
        <v>10</v>
      </c>
      <c r="G862" s="489">
        <f>'пр.6.1.ведом.22-23 (2)'!H230</f>
        <v>10</v>
      </c>
    </row>
    <row r="863" spans="1:7" ht="63" hidden="1" x14ac:dyDescent="0.25">
      <c r="A863" s="496" t="s">
        <v>1176</v>
      </c>
      <c r="B863" s="492" t="s">
        <v>244</v>
      </c>
      <c r="C863" s="492" t="s">
        <v>215</v>
      </c>
      <c r="D863" s="492" t="s">
        <v>1175</v>
      </c>
      <c r="E863" s="492"/>
      <c r="F863" s="497">
        <f>F864</f>
        <v>0</v>
      </c>
      <c r="G863" s="497">
        <f>G864</f>
        <v>0</v>
      </c>
    </row>
    <row r="864" spans="1:7" ht="31.5" hidden="1" x14ac:dyDescent="0.25">
      <c r="A864" s="496" t="s">
        <v>248</v>
      </c>
      <c r="B864" s="492" t="s">
        <v>244</v>
      </c>
      <c r="C864" s="492" t="s">
        <v>215</v>
      </c>
      <c r="D864" s="492" t="s">
        <v>1175</v>
      </c>
      <c r="E864" s="492" t="s">
        <v>249</v>
      </c>
      <c r="F864" s="497">
        <f>F865</f>
        <v>0</v>
      </c>
      <c r="G864" s="497">
        <f>G865</f>
        <v>0</v>
      </c>
    </row>
    <row r="865" spans="1:7" ht="31.5" hidden="1" x14ac:dyDescent="0.25">
      <c r="A865" s="496" t="s">
        <v>250</v>
      </c>
      <c r="B865" s="492" t="s">
        <v>244</v>
      </c>
      <c r="C865" s="492" t="s">
        <v>215</v>
      </c>
      <c r="D865" s="492" t="s">
        <v>1175</v>
      </c>
      <c r="E865" s="492" t="s">
        <v>251</v>
      </c>
      <c r="F865" s="497">
        <f>'пр.6.1.ведом.22-23 (2)'!G233</f>
        <v>0</v>
      </c>
      <c r="G865" s="497">
        <f>'пр.6.1.ведом.22-23 (2)'!H233</f>
        <v>0</v>
      </c>
    </row>
    <row r="866" spans="1:7" ht="15.75" x14ac:dyDescent="0.25">
      <c r="A866" s="494" t="s">
        <v>243</v>
      </c>
      <c r="B866" s="495" t="s">
        <v>244</v>
      </c>
      <c r="C866" s="492"/>
      <c r="D866" s="492"/>
      <c r="E866" s="492"/>
      <c r="F866" s="493">
        <f t="shared" ref="F866:G870" si="88">F867</f>
        <v>2469.1</v>
      </c>
      <c r="G866" s="493">
        <f t="shared" si="88"/>
        <v>10803.2</v>
      </c>
    </row>
    <row r="867" spans="1:7" ht="15.75" x14ac:dyDescent="0.25">
      <c r="A867" s="494" t="s">
        <v>400</v>
      </c>
      <c r="B867" s="495" t="s">
        <v>244</v>
      </c>
      <c r="C867" s="495" t="s">
        <v>150</v>
      </c>
      <c r="D867" s="492"/>
      <c r="E867" s="492"/>
      <c r="F867" s="493">
        <f t="shared" si="88"/>
        <v>2469.1</v>
      </c>
      <c r="G867" s="493">
        <f t="shared" si="88"/>
        <v>10803.2</v>
      </c>
    </row>
    <row r="868" spans="1:7" ht="47.25" x14ac:dyDescent="0.25">
      <c r="A868" s="494" t="s">
        <v>885</v>
      </c>
      <c r="B868" s="495" t="s">
        <v>244</v>
      </c>
      <c r="C868" s="495" t="s">
        <v>150</v>
      </c>
      <c r="D868" s="495" t="s">
        <v>863</v>
      </c>
      <c r="E868" s="492"/>
      <c r="F868" s="493">
        <f t="shared" si="88"/>
        <v>2469.1</v>
      </c>
      <c r="G868" s="493">
        <f t="shared" si="88"/>
        <v>10803.2</v>
      </c>
    </row>
    <row r="869" spans="1:7" ht="47.25" x14ac:dyDescent="0.25">
      <c r="A869" s="496" t="s">
        <v>1171</v>
      </c>
      <c r="B869" s="492" t="s">
        <v>244</v>
      </c>
      <c r="C869" s="492" t="s">
        <v>150</v>
      </c>
      <c r="D869" s="492" t="s">
        <v>1170</v>
      </c>
      <c r="E869" s="492"/>
      <c r="F869" s="497">
        <f t="shared" si="88"/>
        <v>2469.1</v>
      </c>
      <c r="G869" s="497">
        <f t="shared" si="88"/>
        <v>10803.2</v>
      </c>
    </row>
    <row r="870" spans="1:7" ht="31.5" x14ac:dyDescent="0.25">
      <c r="A870" s="496" t="s">
        <v>131</v>
      </c>
      <c r="B870" s="492" t="s">
        <v>244</v>
      </c>
      <c r="C870" s="492" t="s">
        <v>150</v>
      </c>
      <c r="D870" s="492" t="s">
        <v>1170</v>
      </c>
      <c r="E870" s="492" t="s">
        <v>132</v>
      </c>
      <c r="F870" s="497">
        <f t="shared" si="88"/>
        <v>2469.1</v>
      </c>
      <c r="G870" s="497">
        <f t="shared" si="88"/>
        <v>10803.2</v>
      </c>
    </row>
    <row r="871" spans="1:7" ht="47.25" x14ac:dyDescent="0.25">
      <c r="A871" s="496" t="s">
        <v>133</v>
      </c>
      <c r="B871" s="492" t="s">
        <v>244</v>
      </c>
      <c r="C871" s="492" t="s">
        <v>150</v>
      </c>
      <c r="D871" s="492" t="s">
        <v>1170</v>
      </c>
      <c r="E871" s="492" t="s">
        <v>134</v>
      </c>
      <c r="F871" s="497">
        <f>'пр.6.1.ведом.22-23 (2)'!G536</f>
        <v>2469.1</v>
      </c>
      <c r="G871" s="497">
        <f>'пр.6.1.ведом.22-23 (2)'!H536</f>
        <v>10803.2</v>
      </c>
    </row>
    <row r="872" spans="1:7" ht="31.5" x14ac:dyDescent="0.25">
      <c r="A872" s="494" t="s">
        <v>258</v>
      </c>
      <c r="B872" s="495" t="s">
        <v>244</v>
      </c>
      <c r="C872" s="495" t="s">
        <v>120</v>
      </c>
      <c r="D872" s="495"/>
      <c r="E872" s="495"/>
      <c r="F872" s="488">
        <f>F873+F880</f>
        <v>3737.4</v>
      </c>
      <c r="G872" s="488">
        <f>G873+G880</f>
        <v>3693.4</v>
      </c>
    </row>
    <row r="873" spans="1:7" ht="31.5" x14ac:dyDescent="0.25">
      <c r="A873" s="494" t="s">
        <v>917</v>
      </c>
      <c r="B873" s="495" t="s">
        <v>244</v>
      </c>
      <c r="C873" s="495" t="s">
        <v>120</v>
      </c>
      <c r="D873" s="495" t="s">
        <v>858</v>
      </c>
      <c r="E873" s="495"/>
      <c r="F873" s="488">
        <f>F874</f>
        <v>3650.4</v>
      </c>
      <c r="G873" s="488">
        <f>G874</f>
        <v>3606.4</v>
      </c>
    </row>
    <row r="874" spans="1:7" ht="47.25" x14ac:dyDescent="0.25">
      <c r="A874" s="494" t="s">
        <v>885</v>
      </c>
      <c r="B874" s="495" t="s">
        <v>244</v>
      </c>
      <c r="C874" s="495" t="s">
        <v>120</v>
      </c>
      <c r="D874" s="495" t="s">
        <v>863</v>
      </c>
      <c r="E874" s="495"/>
      <c r="F874" s="488">
        <f>F875</f>
        <v>3650.4</v>
      </c>
      <c r="G874" s="488">
        <f>G875</f>
        <v>3606.4</v>
      </c>
    </row>
    <row r="875" spans="1:7" ht="47.25" x14ac:dyDescent="0.25">
      <c r="A875" s="31" t="s">
        <v>259</v>
      </c>
      <c r="B875" s="492" t="s">
        <v>244</v>
      </c>
      <c r="C875" s="492" t="s">
        <v>120</v>
      </c>
      <c r="D875" s="492" t="s">
        <v>925</v>
      </c>
      <c r="E875" s="492"/>
      <c r="F875" s="489">
        <f>F876+F878</f>
        <v>3650.4</v>
      </c>
      <c r="G875" s="489">
        <f>G876+G878</f>
        <v>3606.4</v>
      </c>
    </row>
    <row r="876" spans="1:7" ht="94.5" x14ac:dyDescent="0.25">
      <c r="A876" s="496" t="s">
        <v>127</v>
      </c>
      <c r="B876" s="492" t="s">
        <v>244</v>
      </c>
      <c r="C876" s="492" t="s">
        <v>120</v>
      </c>
      <c r="D876" s="492" t="s">
        <v>925</v>
      </c>
      <c r="E876" s="492" t="s">
        <v>128</v>
      </c>
      <c r="F876" s="489">
        <f>F877</f>
        <v>3249.8</v>
      </c>
      <c r="G876" s="489">
        <f>G877</f>
        <v>3205.8</v>
      </c>
    </row>
    <row r="877" spans="1:7" ht="31.5" x14ac:dyDescent="0.25">
      <c r="A877" s="496" t="s">
        <v>129</v>
      </c>
      <c r="B877" s="492" t="s">
        <v>244</v>
      </c>
      <c r="C877" s="492" t="s">
        <v>120</v>
      </c>
      <c r="D877" s="492" t="s">
        <v>925</v>
      </c>
      <c r="E877" s="492" t="s">
        <v>130</v>
      </c>
      <c r="F877" s="489">
        <f>'пр.6.1.ведом.22-23 (2)'!G239</f>
        <v>3249.8</v>
      </c>
      <c r="G877" s="489">
        <f>'пр.6.1.ведом.22-23 (2)'!H239</f>
        <v>3205.8</v>
      </c>
    </row>
    <row r="878" spans="1:7" ht="31.5" x14ac:dyDescent="0.25">
      <c r="A878" s="496" t="s">
        <v>131</v>
      </c>
      <c r="B878" s="492" t="s">
        <v>244</v>
      </c>
      <c r="C878" s="492" t="s">
        <v>120</v>
      </c>
      <c r="D878" s="492" t="s">
        <v>925</v>
      </c>
      <c r="E878" s="492" t="s">
        <v>132</v>
      </c>
      <c r="F878" s="489">
        <f>F879</f>
        <v>400.6</v>
      </c>
      <c r="G878" s="489">
        <f>G879</f>
        <v>400.6</v>
      </c>
    </row>
    <row r="879" spans="1:7" ht="47.25" x14ac:dyDescent="0.25">
      <c r="A879" s="496" t="s">
        <v>133</v>
      </c>
      <c r="B879" s="492" t="s">
        <v>244</v>
      </c>
      <c r="C879" s="492" t="s">
        <v>120</v>
      </c>
      <c r="D879" s="492" t="s">
        <v>925</v>
      </c>
      <c r="E879" s="492" t="s">
        <v>134</v>
      </c>
      <c r="F879" s="489">
        <f>'пр.6.1.ведом.22-23 (2)'!G241</f>
        <v>400.6</v>
      </c>
      <c r="G879" s="489">
        <f>'пр.6.1.ведом.22-23 (2)'!H241</f>
        <v>400.6</v>
      </c>
    </row>
    <row r="880" spans="1:7" ht="15.75" x14ac:dyDescent="0.25">
      <c r="A880" s="494" t="s">
        <v>141</v>
      </c>
      <c r="B880" s="495" t="s">
        <v>244</v>
      </c>
      <c r="C880" s="495" t="s">
        <v>120</v>
      </c>
      <c r="D880" s="495" t="s">
        <v>866</v>
      </c>
      <c r="E880" s="495"/>
      <c r="F880" s="488">
        <f t="shared" ref="F880:G883" si="89">F881</f>
        <v>87</v>
      </c>
      <c r="G880" s="488">
        <f t="shared" si="89"/>
        <v>87</v>
      </c>
    </row>
    <row r="881" spans="1:7" ht="31.5" x14ac:dyDescent="0.25">
      <c r="A881" s="494" t="s">
        <v>870</v>
      </c>
      <c r="B881" s="495" t="s">
        <v>244</v>
      </c>
      <c r="C881" s="495" t="s">
        <v>120</v>
      </c>
      <c r="D881" s="495" t="s">
        <v>865</v>
      </c>
      <c r="E881" s="495"/>
      <c r="F881" s="488">
        <f t="shared" si="89"/>
        <v>87</v>
      </c>
      <c r="G881" s="488">
        <f t="shared" si="89"/>
        <v>87</v>
      </c>
    </row>
    <row r="882" spans="1:7" ht="15.75" x14ac:dyDescent="0.25">
      <c r="A882" s="496" t="s">
        <v>572</v>
      </c>
      <c r="B882" s="492" t="s">
        <v>244</v>
      </c>
      <c r="C882" s="492" t="s">
        <v>120</v>
      </c>
      <c r="D882" s="492" t="s">
        <v>985</v>
      </c>
      <c r="E882" s="492"/>
      <c r="F882" s="489">
        <f t="shared" si="89"/>
        <v>87</v>
      </c>
      <c r="G882" s="489">
        <f t="shared" si="89"/>
        <v>87</v>
      </c>
    </row>
    <row r="883" spans="1:7" ht="31.5" x14ac:dyDescent="0.25">
      <c r="A883" s="496" t="s">
        <v>131</v>
      </c>
      <c r="B883" s="492" t="s">
        <v>244</v>
      </c>
      <c r="C883" s="492" t="s">
        <v>120</v>
      </c>
      <c r="D883" s="492" t="s">
        <v>985</v>
      </c>
      <c r="E883" s="492" t="s">
        <v>132</v>
      </c>
      <c r="F883" s="489">
        <f t="shared" si="89"/>
        <v>87</v>
      </c>
      <c r="G883" s="489">
        <f t="shared" si="89"/>
        <v>87</v>
      </c>
    </row>
    <row r="884" spans="1:7" ht="47.25" x14ac:dyDescent="0.25">
      <c r="A884" s="496" t="s">
        <v>133</v>
      </c>
      <c r="B884" s="492" t="s">
        <v>244</v>
      </c>
      <c r="C884" s="492" t="s">
        <v>120</v>
      </c>
      <c r="D884" s="492" t="s">
        <v>985</v>
      </c>
      <c r="E884" s="492" t="s">
        <v>134</v>
      </c>
      <c r="F884" s="489">
        <f>'пр.6.1.ведом.22-23 (2)'!G1045</f>
        <v>87</v>
      </c>
      <c r="G884" s="489">
        <f>'пр.6.1.ведом.22-23 (2)'!H1045</f>
        <v>87</v>
      </c>
    </row>
    <row r="885" spans="1:7" ht="15.75" x14ac:dyDescent="0.25">
      <c r="A885" s="500" t="s">
        <v>490</v>
      </c>
      <c r="B885" s="7" t="s">
        <v>491</v>
      </c>
      <c r="C885" s="499"/>
      <c r="D885" s="499"/>
      <c r="E885" s="499"/>
      <c r="F885" s="488">
        <f>F886+F923</f>
        <v>63981.399999999994</v>
      </c>
      <c r="G885" s="488">
        <f>G886+G923</f>
        <v>64012.600000000006</v>
      </c>
    </row>
    <row r="886" spans="1:7" ht="15.75" x14ac:dyDescent="0.25">
      <c r="A886" s="494" t="s">
        <v>492</v>
      </c>
      <c r="B886" s="495" t="s">
        <v>491</v>
      </c>
      <c r="C886" s="495" t="s">
        <v>118</v>
      </c>
      <c r="D886" s="492"/>
      <c r="E886" s="492"/>
      <c r="F886" s="488">
        <f>F887+F918+F913</f>
        <v>50452.2</v>
      </c>
      <c r="G886" s="488">
        <f>G887+G918+G913</f>
        <v>50483.4</v>
      </c>
    </row>
    <row r="887" spans="1:7" ht="47.25" x14ac:dyDescent="0.25">
      <c r="A887" s="494" t="s">
        <v>1369</v>
      </c>
      <c r="B887" s="495" t="s">
        <v>491</v>
      </c>
      <c r="C887" s="495" t="s">
        <v>118</v>
      </c>
      <c r="D887" s="495" t="s">
        <v>482</v>
      </c>
      <c r="E887" s="495"/>
      <c r="F887" s="488">
        <f>F888+F892+F902+F909</f>
        <v>49873.1</v>
      </c>
      <c r="G887" s="488">
        <f>G888+G892+G902+G909</f>
        <v>49873.1</v>
      </c>
    </row>
    <row r="888" spans="1:7" ht="47.25" x14ac:dyDescent="0.25">
      <c r="A888" s="494" t="s">
        <v>937</v>
      </c>
      <c r="B888" s="495" t="s">
        <v>491</v>
      </c>
      <c r="C888" s="495" t="s">
        <v>118</v>
      </c>
      <c r="D888" s="495" t="s">
        <v>1263</v>
      </c>
      <c r="E888" s="495"/>
      <c r="F888" s="488">
        <f t="shared" ref="F888:G890" si="90">F889</f>
        <v>47819.6</v>
      </c>
      <c r="G888" s="488">
        <f t="shared" si="90"/>
        <v>47819.6</v>
      </c>
    </row>
    <row r="889" spans="1:7" ht="47.25" x14ac:dyDescent="0.25">
      <c r="A889" s="496" t="s">
        <v>1293</v>
      </c>
      <c r="B889" s="492" t="s">
        <v>491</v>
      </c>
      <c r="C889" s="492" t="s">
        <v>118</v>
      </c>
      <c r="D889" s="492" t="s">
        <v>1264</v>
      </c>
      <c r="E889" s="492"/>
      <c r="F889" s="489">
        <f t="shared" si="90"/>
        <v>47819.6</v>
      </c>
      <c r="G889" s="489">
        <f t="shared" si="90"/>
        <v>47819.6</v>
      </c>
    </row>
    <row r="890" spans="1:7" ht="47.25" x14ac:dyDescent="0.25">
      <c r="A890" s="496" t="s">
        <v>272</v>
      </c>
      <c r="B890" s="492" t="s">
        <v>491</v>
      </c>
      <c r="C890" s="492" t="s">
        <v>118</v>
      </c>
      <c r="D890" s="492" t="s">
        <v>1264</v>
      </c>
      <c r="E890" s="492" t="s">
        <v>273</v>
      </c>
      <c r="F890" s="489">
        <f t="shared" si="90"/>
        <v>47819.6</v>
      </c>
      <c r="G890" s="489">
        <f t="shared" si="90"/>
        <v>47819.6</v>
      </c>
    </row>
    <row r="891" spans="1:7" ht="15.75" x14ac:dyDescent="0.25">
      <c r="A891" s="496" t="s">
        <v>274</v>
      </c>
      <c r="B891" s="492" t="s">
        <v>491</v>
      </c>
      <c r="C891" s="492" t="s">
        <v>118</v>
      </c>
      <c r="D891" s="492" t="s">
        <v>1264</v>
      </c>
      <c r="E891" s="492" t="s">
        <v>275</v>
      </c>
      <c r="F891" s="489">
        <f>'пр.6.1.ведом.22-23 (2)'!G770</f>
        <v>47819.6</v>
      </c>
      <c r="G891" s="489">
        <f>'пр.6.1.ведом.22-23 (2)'!H770</f>
        <v>47819.6</v>
      </c>
    </row>
    <row r="892" spans="1:7" ht="31.5" x14ac:dyDescent="0.25">
      <c r="A892" s="494" t="s">
        <v>945</v>
      </c>
      <c r="B892" s="495" t="s">
        <v>491</v>
      </c>
      <c r="C892" s="495" t="s">
        <v>118</v>
      </c>
      <c r="D892" s="495" t="s">
        <v>1265</v>
      </c>
      <c r="E892" s="495"/>
      <c r="F892" s="488">
        <f>F893+F896+F899</f>
        <v>36</v>
      </c>
      <c r="G892" s="488">
        <f>G893+G896+G899</f>
        <v>36</v>
      </c>
    </row>
    <row r="893" spans="1:7" ht="47.25" hidden="1" x14ac:dyDescent="0.25">
      <c r="A893" s="496" t="s">
        <v>278</v>
      </c>
      <c r="B893" s="492" t="s">
        <v>491</v>
      </c>
      <c r="C893" s="492" t="s">
        <v>118</v>
      </c>
      <c r="D893" s="492" t="s">
        <v>1323</v>
      </c>
      <c r="E893" s="492"/>
      <c r="F893" s="489">
        <f>'[1]Пр.4 Рд,пр, ЦС,ВР 21'!F888</f>
        <v>0</v>
      </c>
      <c r="G893" s="489">
        <f>'[1]Пр.4 Рд,пр, ЦС,ВР 21'!G888</f>
        <v>0</v>
      </c>
    </row>
    <row r="894" spans="1:7" ht="47.25" hidden="1" x14ac:dyDescent="0.25">
      <c r="A894" s="496" t="s">
        <v>272</v>
      </c>
      <c r="B894" s="492" t="s">
        <v>491</v>
      </c>
      <c r="C894" s="492" t="s">
        <v>118</v>
      </c>
      <c r="D894" s="492" t="s">
        <v>1323</v>
      </c>
      <c r="E894" s="492" t="s">
        <v>273</v>
      </c>
      <c r="F894" s="489">
        <f>'[1]Пр.4 Рд,пр, ЦС,ВР 21'!F889</f>
        <v>0</v>
      </c>
      <c r="G894" s="489">
        <f>'[1]Пр.4 Рд,пр, ЦС,ВР 21'!G889</f>
        <v>0</v>
      </c>
    </row>
    <row r="895" spans="1:7" ht="15.75" hidden="1" x14ac:dyDescent="0.25">
      <c r="A895" s="496" t="s">
        <v>274</v>
      </c>
      <c r="B895" s="492" t="s">
        <v>491</v>
      </c>
      <c r="C895" s="492" t="s">
        <v>118</v>
      </c>
      <c r="D895" s="492" t="s">
        <v>1323</v>
      </c>
      <c r="E895" s="492" t="s">
        <v>275</v>
      </c>
      <c r="F895" s="489">
        <f>'[1]Пр.4 Рд,пр, ЦС,ВР 21'!F890</f>
        <v>0</v>
      </c>
      <c r="G895" s="489">
        <f>'[1]Пр.4 Рд,пр, ЦС,ВР 21'!G890</f>
        <v>0</v>
      </c>
    </row>
    <row r="896" spans="1:7" ht="31.5" hidden="1" x14ac:dyDescent="0.25">
      <c r="A896" s="496" t="s">
        <v>280</v>
      </c>
      <c r="B896" s="492" t="s">
        <v>491</v>
      </c>
      <c r="C896" s="492" t="s">
        <v>118</v>
      </c>
      <c r="D896" s="492" t="s">
        <v>1324</v>
      </c>
      <c r="E896" s="492"/>
      <c r="F896" s="489">
        <f>F897</f>
        <v>0</v>
      </c>
      <c r="G896" s="489">
        <f>G897</f>
        <v>0</v>
      </c>
    </row>
    <row r="897" spans="1:7" ht="47.25" hidden="1" x14ac:dyDescent="0.25">
      <c r="A897" s="496" t="s">
        <v>272</v>
      </c>
      <c r="B897" s="492" t="s">
        <v>491</v>
      </c>
      <c r="C897" s="492" t="s">
        <v>118</v>
      </c>
      <c r="D897" s="492" t="s">
        <v>1324</v>
      </c>
      <c r="E897" s="492" t="s">
        <v>273</v>
      </c>
      <c r="F897" s="489">
        <f>F898</f>
        <v>0</v>
      </c>
      <c r="G897" s="489">
        <f>G898</f>
        <v>0</v>
      </c>
    </row>
    <row r="898" spans="1:7" ht="15.75" hidden="1" x14ac:dyDescent="0.25">
      <c r="A898" s="496" t="s">
        <v>274</v>
      </c>
      <c r="B898" s="492" t="s">
        <v>491</v>
      </c>
      <c r="C898" s="492" t="s">
        <v>118</v>
      </c>
      <c r="D898" s="492" t="s">
        <v>1324</v>
      </c>
      <c r="E898" s="492" t="s">
        <v>275</v>
      </c>
      <c r="F898" s="489">
        <f>'пр.6.1.ведом.22-23 (2)'!G777</f>
        <v>0</v>
      </c>
      <c r="G898" s="489">
        <f>'пр.6.1.ведом.22-23 (2)'!H777</f>
        <v>0</v>
      </c>
    </row>
    <row r="899" spans="1:7" ht="15.75" x14ac:dyDescent="0.25">
      <c r="A899" s="496" t="s">
        <v>830</v>
      </c>
      <c r="B899" s="492" t="s">
        <v>491</v>
      </c>
      <c r="C899" s="492" t="s">
        <v>118</v>
      </c>
      <c r="D899" s="492" t="s">
        <v>1266</v>
      </c>
      <c r="E899" s="492"/>
      <c r="F899" s="489">
        <f>F900</f>
        <v>36</v>
      </c>
      <c r="G899" s="489">
        <f>G900</f>
        <v>36</v>
      </c>
    </row>
    <row r="900" spans="1:7" ht="47.25" x14ac:dyDescent="0.25">
      <c r="A900" s="496" t="s">
        <v>272</v>
      </c>
      <c r="B900" s="492" t="s">
        <v>491</v>
      </c>
      <c r="C900" s="492" t="s">
        <v>118</v>
      </c>
      <c r="D900" s="492" t="s">
        <v>1266</v>
      </c>
      <c r="E900" s="492" t="s">
        <v>273</v>
      </c>
      <c r="F900" s="489">
        <f>F901</f>
        <v>36</v>
      </c>
      <c r="G900" s="489">
        <f>G901</f>
        <v>36</v>
      </c>
    </row>
    <row r="901" spans="1:7" ht="15.75" x14ac:dyDescent="0.25">
      <c r="A901" s="496" t="s">
        <v>274</v>
      </c>
      <c r="B901" s="492" t="s">
        <v>491</v>
      </c>
      <c r="C901" s="492" t="s">
        <v>118</v>
      </c>
      <c r="D901" s="492" t="s">
        <v>1266</v>
      </c>
      <c r="E901" s="492" t="s">
        <v>275</v>
      </c>
      <c r="F901" s="489">
        <f>'пр.6.1.ведом.22-23 (2)'!G781</f>
        <v>36</v>
      </c>
      <c r="G901" s="489">
        <f>'пр.6.1.ведом.22-23 (2)'!H781</f>
        <v>36</v>
      </c>
    </row>
    <row r="902" spans="1:7" ht="47.25" x14ac:dyDescent="0.25">
      <c r="A902" s="494" t="s">
        <v>947</v>
      </c>
      <c r="B902" s="495" t="s">
        <v>491</v>
      </c>
      <c r="C902" s="495" t="s">
        <v>118</v>
      </c>
      <c r="D902" s="495" t="s">
        <v>1267</v>
      </c>
      <c r="E902" s="495"/>
      <c r="F902" s="488">
        <f>F903+F906</f>
        <v>1204</v>
      </c>
      <c r="G902" s="488">
        <f>G903+G906</f>
        <v>1204</v>
      </c>
    </row>
    <row r="903" spans="1:7" ht="31.5" hidden="1" x14ac:dyDescent="0.25">
      <c r="A903" s="496" t="s">
        <v>791</v>
      </c>
      <c r="B903" s="492" t="s">
        <v>491</v>
      </c>
      <c r="C903" s="492" t="s">
        <v>118</v>
      </c>
      <c r="D903" s="492" t="s">
        <v>1305</v>
      </c>
      <c r="E903" s="492"/>
      <c r="F903" s="489">
        <f>'[1]Пр.4 Рд,пр, ЦС,ВР 21'!F898</f>
        <v>0</v>
      </c>
      <c r="G903" s="489">
        <f>'[1]Пр.4 Рд,пр, ЦС,ВР 21'!G898</f>
        <v>0</v>
      </c>
    </row>
    <row r="904" spans="1:7" ht="47.25" hidden="1" x14ac:dyDescent="0.25">
      <c r="A904" s="496" t="s">
        <v>272</v>
      </c>
      <c r="B904" s="492" t="s">
        <v>491</v>
      </c>
      <c r="C904" s="492" t="s">
        <v>118</v>
      </c>
      <c r="D904" s="492" t="s">
        <v>1305</v>
      </c>
      <c r="E904" s="492" t="s">
        <v>273</v>
      </c>
      <c r="F904" s="489">
        <f>'[1]Пр.4 Рд,пр, ЦС,ВР 21'!F899</f>
        <v>0</v>
      </c>
      <c r="G904" s="489">
        <f>'[1]Пр.4 Рд,пр, ЦС,ВР 21'!G899</f>
        <v>0</v>
      </c>
    </row>
    <row r="905" spans="1:7" ht="15.75" hidden="1" x14ac:dyDescent="0.25">
      <c r="A905" s="496" t="s">
        <v>274</v>
      </c>
      <c r="B905" s="492" t="s">
        <v>491</v>
      </c>
      <c r="C905" s="492" t="s">
        <v>118</v>
      </c>
      <c r="D905" s="492" t="s">
        <v>1305</v>
      </c>
      <c r="E905" s="492" t="s">
        <v>275</v>
      </c>
      <c r="F905" s="489">
        <f>'[1]Пр.4 Рд,пр, ЦС,ВР 21'!F900</f>
        <v>0</v>
      </c>
      <c r="G905" s="489">
        <f>'[1]Пр.4 Рд,пр, ЦС,ВР 21'!G900</f>
        <v>0</v>
      </c>
    </row>
    <row r="906" spans="1:7" ht="47.25" x14ac:dyDescent="0.25">
      <c r="A906" s="45" t="s">
        <v>764</v>
      </c>
      <c r="B906" s="492" t="s">
        <v>491</v>
      </c>
      <c r="C906" s="492" t="s">
        <v>118</v>
      </c>
      <c r="D906" s="492" t="s">
        <v>1268</v>
      </c>
      <c r="E906" s="492"/>
      <c r="F906" s="489">
        <f>F907</f>
        <v>1204</v>
      </c>
      <c r="G906" s="489">
        <f>G907</f>
        <v>1204</v>
      </c>
    </row>
    <row r="907" spans="1:7" ht="47.25" x14ac:dyDescent="0.25">
      <c r="A907" s="31" t="s">
        <v>272</v>
      </c>
      <c r="B907" s="492" t="s">
        <v>491</v>
      </c>
      <c r="C907" s="492" t="s">
        <v>118</v>
      </c>
      <c r="D907" s="492" t="s">
        <v>1268</v>
      </c>
      <c r="E907" s="492" t="s">
        <v>273</v>
      </c>
      <c r="F907" s="489">
        <f>F908</f>
        <v>1204</v>
      </c>
      <c r="G907" s="489">
        <f>G908</f>
        <v>1204</v>
      </c>
    </row>
    <row r="908" spans="1:7" ht="15.75" x14ac:dyDescent="0.25">
      <c r="A908" s="31" t="s">
        <v>274</v>
      </c>
      <c r="B908" s="492" t="s">
        <v>491</v>
      </c>
      <c r="C908" s="492" t="s">
        <v>118</v>
      </c>
      <c r="D908" s="492" t="s">
        <v>1268</v>
      </c>
      <c r="E908" s="492" t="s">
        <v>275</v>
      </c>
      <c r="F908" s="489">
        <f>'пр.6.1.ведом.22-23 (2)'!G788</f>
        <v>1204</v>
      </c>
      <c r="G908" s="489">
        <f>'пр.6.1.ведом.22-23 (2)'!H788</f>
        <v>1204</v>
      </c>
    </row>
    <row r="909" spans="1:7" ht="54.75" customHeight="1" x14ac:dyDescent="0.25">
      <c r="A909" s="494" t="s">
        <v>900</v>
      </c>
      <c r="B909" s="495" t="s">
        <v>491</v>
      </c>
      <c r="C909" s="495" t="s">
        <v>118</v>
      </c>
      <c r="D909" s="495" t="s">
        <v>1269</v>
      </c>
      <c r="E909" s="495"/>
      <c r="F909" s="488">
        <f t="shared" ref="F909:G911" si="91">F910</f>
        <v>813.5</v>
      </c>
      <c r="G909" s="488">
        <f t="shared" si="91"/>
        <v>813.5</v>
      </c>
    </row>
    <row r="910" spans="1:7" ht="121.7" customHeight="1" x14ac:dyDescent="0.25">
      <c r="A910" s="31" t="s">
        <v>464</v>
      </c>
      <c r="B910" s="492" t="s">
        <v>491</v>
      </c>
      <c r="C910" s="492" t="s">
        <v>118</v>
      </c>
      <c r="D910" s="492" t="s">
        <v>1402</v>
      </c>
      <c r="E910" s="492"/>
      <c r="F910" s="489">
        <f t="shared" si="91"/>
        <v>813.5</v>
      </c>
      <c r="G910" s="489">
        <f t="shared" si="91"/>
        <v>813.5</v>
      </c>
    </row>
    <row r="911" spans="1:7" ht="47.25" x14ac:dyDescent="0.25">
      <c r="A911" s="496" t="s">
        <v>272</v>
      </c>
      <c r="B911" s="492" t="s">
        <v>491</v>
      </c>
      <c r="C911" s="492" t="s">
        <v>118</v>
      </c>
      <c r="D911" s="492" t="s">
        <v>1402</v>
      </c>
      <c r="E911" s="492" t="s">
        <v>273</v>
      </c>
      <c r="F911" s="489">
        <f t="shared" si="91"/>
        <v>813.5</v>
      </c>
      <c r="G911" s="489">
        <f t="shared" si="91"/>
        <v>813.5</v>
      </c>
    </row>
    <row r="912" spans="1:7" ht="15.75" x14ac:dyDescent="0.25">
      <c r="A912" s="496" t="s">
        <v>274</v>
      </c>
      <c r="B912" s="492" t="s">
        <v>491</v>
      </c>
      <c r="C912" s="492" t="s">
        <v>118</v>
      </c>
      <c r="D912" s="492" t="s">
        <v>1402</v>
      </c>
      <c r="E912" s="492" t="s">
        <v>275</v>
      </c>
      <c r="F912" s="489">
        <f>'пр.6.1.ведом.22-23 (2)'!G792</f>
        <v>813.5</v>
      </c>
      <c r="G912" s="489">
        <f>'пр.6.1.ведом.22-23 (2)'!H792</f>
        <v>813.5</v>
      </c>
    </row>
    <row r="913" spans="1:7" ht="63" x14ac:dyDescent="0.25">
      <c r="A913" s="34" t="s">
        <v>1357</v>
      </c>
      <c r="B913" s="495" t="s">
        <v>491</v>
      </c>
      <c r="C913" s="495" t="s">
        <v>118</v>
      </c>
      <c r="D913" s="495" t="s">
        <v>324</v>
      </c>
      <c r="E913" s="495"/>
      <c r="F913" s="488">
        <f t="shared" ref="F913:G916" si="92">F914</f>
        <v>0</v>
      </c>
      <c r="G913" s="488">
        <f t="shared" si="92"/>
        <v>8</v>
      </c>
    </row>
    <row r="914" spans="1:7" ht="63" x14ac:dyDescent="0.25">
      <c r="A914" s="34" t="s">
        <v>1024</v>
      </c>
      <c r="B914" s="495" t="s">
        <v>491</v>
      </c>
      <c r="C914" s="495" t="s">
        <v>118</v>
      </c>
      <c r="D914" s="495" t="s">
        <v>934</v>
      </c>
      <c r="E914" s="495"/>
      <c r="F914" s="488">
        <f t="shared" si="92"/>
        <v>0</v>
      </c>
      <c r="G914" s="488">
        <f t="shared" si="92"/>
        <v>8</v>
      </c>
    </row>
    <row r="915" spans="1:7" ht="47.25" x14ac:dyDescent="0.25">
      <c r="A915" s="31" t="s">
        <v>1008</v>
      </c>
      <c r="B915" s="492" t="s">
        <v>491</v>
      </c>
      <c r="C915" s="492" t="s">
        <v>118</v>
      </c>
      <c r="D915" s="492" t="s">
        <v>935</v>
      </c>
      <c r="E915" s="492"/>
      <c r="F915" s="489">
        <f t="shared" si="92"/>
        <v>0</v>
      </c>
      <c r="G915" s="489">
        <f t="shared" si="92"/>
        <v>8</v>
      </c>
    </row>
    <row r="916" spans="1:7" ht="47.25" x14ac:dyDescent="0.25">
      <c r="A916" s="31" t="s">
        <v>272</v>
      </c>
      <c r="B916" s="492" t="s">
        <v>491</v>
      </c>
      <c r="C916" s="492" t="s">
        <v>118</v>
      </c>
      <c r="D916" s="492" t="s">
        <v>935</v>
      </c>
      <c r="E916" s="492" t="s">
        <v>273</v>
      </c>
      <c r="F916" s="489">
        <f t="shared" si="92"/>
        <v>0</v>
      </c>
      <c r="G916" s="489">
        <f t="shared" si="92"/>
        <v>8</v>
      </c>
    </row>
    <row r="917" spans="1:7" ht="15.75" x14ac:dyDescent="0.25">
      <c r="A917" s="31" t="s">
        <v>274</v>
      </c>
      <c r="B917" s="492" t="s">
        <v>491</v>
      </c>
      <c r="C917" s="492" t="s">
        <v>118</v>
      </c>
      <c r="D917" s="492" t="s">
        <v>935</v>
      </c>
      <c r="E917" s="492" t="s">
        <v>275</v>
      </c>
      <c r="F917" s="489">
        <f>'пр.6.1.ведом.22-23 (2)'!G797</f>
        <v>0</v>
      </c>
      <c r="G917" s="489">
        <f>'пр.6.1.ведом.22-23 (2)'!H797</f>
        <v>8</v>
      </c>
    </row>
    <row r="918" spans="1:7" ht="48.95" customHeight="1" x14ac:dyDescent="0.25">
      <c r="A918" s="500" t="s">
        <v>1352</v>
      </c>
      <c r="B918" s="495" t="s">
        <v>491</v>
      </c>
      <c r="C918" s="495" t="s">
        <v>118</v>
      </c>
      <c r="D918" s="495" t="s">
        <v>705</v>
      </c>
      <c r="E918" s="504"/>
      <c r="F918" s="488">
        <f t="shared" ref="F918:G921" si="93">F919</f>
        <v>579.1</v>
      </c>
      <c r="G918" s="488">
        <f t="shared" si="93"/>
        <v>602.29999999999995</v>
      </c>
    </row>
    <row r="919" spans="1:7" ht="63" x14ac:dyDescent="0.25">
      <c r="A919" s="500" t="s">
        <v>890</v>
      </c>
      <c r="B919" s="495" t="s">
        <v>491</v>
      </c>
      <c r="C919" s="495" t="s">
        <v>118</v>
      </c>
      <c r="D919" s="495" t="s">
        <v>888</v>
      </c>
      <c r="E919" s="504"/>
      <c r="F919" s="488">
        <f t="shared" si="93"/>
        <v>579.1</v>
      </c>
      <c r="G919" s="488">
        <f t="shared" si="93"/>
        <v>602.29999999999995</v>
      </c>
    </row>
    <row r="920" spans="1:7" ht="47.25" x14ac:dyDescent="0.25">
      <c r="A920" s="98" t="s">
        <v>780</v>
      </c>
      <c r="B920" s="492" t="s">
        <v>491</v>
      </c>
      <c r="C920" s="492" t="s">
        <v>118</v>
      </c>
      <c r="D920" s="492" t="s">
        <v>936</v>
      </c>
      <c r="E920" s="498"/>
      <c r="F920" s="489">
        <f t="shared" si="93"/>
        <v>579.1</v>
      </c>
      <c r="G920" s="489">
        <f t="shared" si="93"/>
        <v>602.29999999999995</v>
      </c>
    </row>
    <row r="921" spans="1:7" ht="47.25" x14ac:dyDescent="0.25">
      <c r="A921" s="29" t="s">
        <v>272</v>
      </c>
      <c r="B921" s="492" t="s">
        <v>491</v>
      </c>
      <c r="C921" s="492" t="s">
        <v>118</v>
      </c>
      <c r="D921" s="492" t="s">
        <v>936</v>
      </c>
      <c r="E921" s="498" t="s">
        <v>273</v>
      </c>
      <c r="F921" s="489">
        <f t="shared" si="93"/>
        <v>579.1</v>
      </c>
      <c r="G921" s="489">
        <f t="shared" si="93"/>
        <v>602.29999999999995</v>
      </c>
    </row>
    <row r="922" spans="1:7" ht="15.75" x14ac:dyDescent="0.25">
      <c r="A922" s="182" t="s">
        <v>274</v>
      </c>
      <c r="B922" s="492" t="s">
        <v>491</v>
      </c>
      <c r="C922" s="492" t="s">
        <v>118</v>
      </c>
      <c r="D922" s="492" t="s">
        <v>936</v>
      </c>
      <c r="E922" s="498" t="s">
        <v>275</v>
      </c>
      <c r="F922" s="489">
        <f>'пр.6.1.ведом.22-23 (2)'!G802</f>
        <v>579.1</v>
      </c>
      <c r="G922" s="489">
        <f>'пр.6.1.ведом.22-23 (2)'!H802</f>
        <v>602.29999999999995</v>
      </c>
    </row>
    <row r="923" spans="1:7" ht="31.5" x14ac:dyDescent="0.25">
      <c r="A923" s="494" t="s">
        <v>500</v>
      </c>
      <c r="B923" s="495" t="s">
        <v>491</v>
      </c>
      <c r="C923" s="495" t="s">
        <v>234</v>
      </c>
      <c r="D923" s="495"/>
      <c r="E923" s="495"/>
      <c r="F923" s="488">
        <f>F924+F932+F944</f>
        <v>13529.2</v>
      </c>
      <c r="G923" s="488">
        <f>G924+G932+G944</f>
        <v>13529.2</v>
      </c>
    </row>
    <row r="924" spans="1:7" ht="31.5" x14ac:dyDescent="0.25">
      <c r="A924" s="494" t="s">
        <v>917</v>
      </c>
      <c r="B924" s="495" t="s">
        <v>491</v>
      </c>
      <c r="C924" s="495" t="s">
        <v>234</v>
      </c>
      <c r="D924" s="495" t="s">
        <v>858</v>
      </c>
      <c r="E924" s="495"/>
      <c r="F924" s="488">
        <f>F925</f>
        <v>5224.5</v>
      </c>
      <c r="G924" s="488">
        <f>G925</f>
        <v>5224.5</v>
      </c>
    </row>
    <row r="925" spans="1:7" ht="15.75" x14ac:dyDescent="0.25">
      <c r="A925" s="494" t="s">
        <v>918</v>
      </c>
      <c r="B925" s="495" t="s">
        <v>491</v>
      </c>
      <c r="C925" s="495" t="s">
        <v>234</v>
      </c>
      <c r="D925" s="495" t="s">
        <v>859</v>
      </c>
      <c r="E925" s="495"/>
      <c r="F925" s="488">
        <f>F926+F929</f>
        <v>5224.5</v>
      </c>
      <c r="G925" s="488">
        <f>G926+G929</f>
        <v>5224.5</v>
      </c>
    </row>
    <row r="926" spans="1:7" ht="31.5" x14ac:dyDescent="0.25">
      <c r="A926" s="496" t="s">
        <v>897</v>
      </c>
      <c r="B926" s="492" t="s">
        <v>491</v>
      </c>
      <c r="C926" s="492" t="s">
        <v>234</v>
      </c>
      <c r="D926" s="492" t="s">
        <v>860</v>
      </c>
      <c r="E926" s="492"/>
      <c r="F926" s="489">
        <f>F927</f>
        <v>4888.5</v>
      </c>
      <c r="G926" s="489">
        <f>G927</f>
        <v>4888.5</v>
      </c>
    </row>
    <row r="927" spans="1:7" ht="94.5" x14ac:dyDescent="0.25">
      <c r="A927" s="496" t="s">
        <v>127</v>
      </c>
      <c r="B927" s="492" t="s">
        <v>491</v>
      </c>
      <c r="C927" s="492" t="s">
        <v>234</v>
      </c>
      <c r="D927" s="492" t="s">
        <v>860</v>
      </c>
      <c r="E927" s="492" t="s">
        <v>128</v>
      </c>
      <c r="F927" s="489">
        <f>F928</f>
        <v>4888.5</v>
      </c>
      <c r="G927" s="489">
        <f>G928</f>
        <v>4888.5</v>
      </c>
    </row>
    <row r="928" spans="1:7" ht="31.5" x14ac:dyDescent="0.25">
      <c r="A928" s="496" t="s">
        <v>129</v>
      </c>
      <c r="B928" s="492" t="s">
        <v>491</v>
      </c>
      <c r="C928" s="492" t="s">
        <v>234</v>
      </c>
      <c r="D928" s="492" t="s">
        <v>860</v>
      </c>
      <c r="E928" s="492" t="s">
        <v>130</v>
      </c>
      <c r="F928" s="489">
        <f>'пр.6.1.ведом.22-23 (2)'!G808</f>
        <v>4888.5</v>
      </c>
      <c r="G928" s="489">
        <f>'пр.6.1.ведом.22-23 (2)'!H808</f>
        <v>4888.5</v>
      </c>
    </row>
    <row r="929" spans="1:7" ht="47.25" x14ac:dyDescent="0.25">
      <c r="A929" s="496" t="s">
        <v>839</v>
      </c>
      <c r="B929" s="492" t="s">
        <v>491</v>
      </c>
      <c r="C929" s="492" t="s">
        <v>234</v>
      </c>
      <c r="D929" s="492" t="s">
        <v>862</v>
      </c>
      <c r="E929" s="492"/>
      <c r="F929" s="489">
        <f>F930</f>
        <v>336</v>
      </c>
      <c r="G929" s="489">
        <f>G930</f>
        <v>336</v>
      </c>
    </row>
    <row r="930" spans="1:7" ht="94.5" x14ac:dyDescent="0.25">
      <c r="A930" s="496" t="s">
        <v>127</v>
      </c>
      <c r="B930" s="492" t="s">
        <v>491</v>
      </c>
      <c r="C930" s="492" t="s">
        <v>234</v>
      </c>
      <c r="D930" s="492" t="s">
        <v>862</v>
      </c>
      <c r="E930" s="492" t="s">
        <v>128</v>
      </c>
      <c r="F930" s="489">
        <f>F931</f>
        <v>336</v>
      </c>
      <c r="G930" s="489">
        <f>G931</f>
        <v>336</v>
      </c>
    </row>
    <row r="931" spans="1:7" ht="31.5" x14ac:dyDescent="0.25">
      <c r="A931" s="496" t="s">
        <v>129</v>
      </c>
      <c r="B931" s="492" t="s">
        <v>491</v>
      </c>
      <c r="C931" s="492" t="s">
        <v>234</v>
      </c>
      <c r="D931" s="492" t="s">
        <v>862</v>
      </c>
      <c r="E931" s="492" t="s">
        <v>130</v>
      </c>
      <c r="F931" s="489">
        <f>'пр.6.1.ведом.22-23 (2)'!G811</f>
        <v>336</v>
      </c>
      <c r="G931" s="489">
        <f>'пр.6.1.ведом.22-23 (2)'!H811</f>
        <v>336</v>
      </c>
    </row>
    <row r="932" spans="1:7" ht="15.75" x14ac:dyDescent="0.25">
      <c r="A932" s="494" t="s">
        <v>141</v>
      </c>
      <c r="B932" s="495" t="s">
        <v>491</v>
      </c>
      <c r="C932" s="495" t="s">
        <v>234</v>
      </c>
      <c r="D932" s="495" t="s">
        <v>866</v>
      </c>
      <c r="E932" s="495"/>
      <c r="F932" s="488">
        <f>F933</f>
        <v>5304.7</v>
      </c>
      <c r="G932" s="488">
        <f>G933</f>
        <v>5304.7</v>
      </c>
    </row>
    <row r="933" spans="1:7" ht="32.65" customHeight="1" x14ac:dyDescent="0.25">
      <c r="A933" s="494" t="s">
        <v>929</v>
      </c>
      <c r="B933" s="495" t="s">
        <v>491</v>
      </c>
      <c r="C933" s="495" t="s">
        <v>234</v>
      </c>
      <c r="D933" s="495" t="s">
        <v>914</v>
      </c>
      <c r="E933" s="495"/>
      <c r="F933" s="488">
        <f>F934+F941</f>
        <v>5304.7</v>
      </c>
      <c r="G933" s="488">
        <f>G934+G941</f>
        <v>5304.7</v>
      </c>
    </row>
    <row r="934" spans="1:7" ht="31.5" x14ac:dyDescent="0.25">
      <c r="A934" s="496" t="s">
        <v>903</v>
      </c>
      <c r="B934" s="492" t="s">
        <v>491</v>
      </c>
      <c r="C934" s="492" t="s">
        <v>234</v>
      </c>
      <c r="D934" s="492" t="s">
        <v>915</v>
      </c>
      <c r="E934" s="492"/>
      <c r="F934" s="489">
        <f>F937+F939+F935</f>
        <v>5089.7</v>
      </c>
      <c r="G934" s="489">
        <f>G937+G939+G935</f>
        <v>5089.7</v>
      </c>
    </row>
    <row r="935" spans="1:7" ht="94.5" x14ac:dyDescent="0.25">
      <c r="A935" s="496" t="s">
        <v>127</v>
      </c>
      <c r="B935" s="492" t="s">
        <v>491</v>
      </c>
      <c r="C935" s="492" t="s">
        <v>234</v>
      </c>
      <c r="D935" s="492" t="s">
        <v>915</v>
      </c>
      <c r="E935" s="492" t="s">
        <v>128</v>
      </c>
      <c r="F935" s="489">
        <f>F936</f>
        <v>4695.3999999999996</v>
      </c>
      <c r="G935" s="489">
        <f>G936</f>
        <v>4695.3999999999996</v>
      </c>
    </row>
    <row r="936" spans="1:7" ht="31.5" x14ac:dyDescent="0.25">
      <c r="A936" s="496" t="s">
        <v>342</v>
      </c>
      <c r="B936" s="492" t="s">
        <v>491</v>
      </c>
      <c r="C936" s="492" t="s">
        <v>234</v>
      </c>
      <c r="D936" s="492" t="s">
        <v>915</v>
      </c>
      <c r="E936" s="492" t="s">
        <v>209</v>
      </c>
      <c r="F936" s="489">
        <f>'пр.6.1.ведом.22-23 (2)'!G816</f>
        <v>4695.3999999999996</v>
      </c>
      <c r="G936" s="489">
        <f>'пр.6.1.ведом.22-23 (2)'!H816</f>
        <v>4695.3999999999996</v>
      </c>
    </row>
    <row r="937" spans="1:7" ht="31.5" x14ac:dyDescent="0.25">
      <c r="A937" s="496" t="s">
        <v>131</v>
      </c>
      <c r="B937" s="492" t="s">
        <v>491</v>
      </c>
      <c r="C937" s="492" t="s">
        <v>234</v>
      </c>
      <c r="D937" s="492" t="s">
        <v>915</v>
      </c>
      <c r="E937" s="492" t="s">
        <v>132</v>
      </c>
      <c r="F937" s="489">
        <f>F938</f>
        <v>343.3</v>
      </c>
      <c r="G937" s="489">
        <f>G938</f>
        <v>343.3</v>
      </c>
    </row>
    <row r="938" spans="1:7" ht="47.25" x14ac:dyDescent="0.25">
      <c r="A938" s="496" t="s">
        <v>133</v>
      </c>
      <c r="B938" s="492" t="s">
        <v>491</v>
      </c>
      <c r="C938" s="492" t="s">
        <v>234</v>
      </c>
      <c r="D938" s="492" t="s">
        <v>915</v>
      </c>
      <c r="E938" s="492" t="s">
        <v>134</v>
      </c>
      <c r="F938" s="489">
        <f>'пр.6.1.ведом.22-23 (2)'!G818</f>
        <v>343.3</v>
      </c>
      <c r="G938" s="489">
        <f>'пр.6.1.ведом.22-23 (2)'!H818</f>
        <v>343.3</v>
      </c>
    </row>
    <row r="939" spans="1:7" ht="15.75" x14ac:dyDescent="0.25">
      <c r="A939" s="496" t="s">
        <v>135</v>
      </c>
      <c r="B939" s="492" t="s">
        <v>491</v>
      </c>
      <c r="C939" s="492" t="s">
        <v>234</v>
      </c>
      <c r="D939" s="492" t="s">
        <v>915</v>
      </c>
      <c r="E939" s="492" t="s">
        <v>145</v>
      </c>
      <c r="F939" s="489">
        <f>F940</f>
        <v>51</v>
      </c>
      <c r="G939" s="489">
        <f>G940</f>
        <v>51</v>
      </c>
    </row>
    <row r="940" spans="1:7" ht="15.75" x14ac:dyDescent="0.25">
      <c r="A940" s="496" t="s">
        <v>568</v>
      </c>
      <c r="B940" s="492" t="s">
        <v>491</v>
      </c>
      <c r="C940" s="492" t="s">
        <v>234</v>
      </c>
      <c r="D940" s="492" t="s">
        <v>915</v>
      </c>
      <c r="E940" s="492" t="s">
        <v>138</v>
      </c>
      <c r="F940" s="489">
        <f>'пр.6.1.ведом.22-23 (2)'!G820</f>
        <v>51</v>
      </c>
      <c r="G940" s="489">
        <f>'пр.6.1.ведом.22-23 (2)'!H820</f>
        <v>51</v>
      </c>
    </row>
    <row r="941" spans="1:7" ht="47.25" x14ac:dyDescent="0.25">
      <c r="A941" s="496" t="s">
        <v>839</v>
      </c>
      <c r="B941" s="492" t="s">
        <v>491</v>
      </c>
      <c r="C941" s="492" t="s">
        <v>234</v>
      </c>
      <c r="D941" s="492" t="s">
        <v>916</v>
      </c>
      <c r="E941" s="492"/>
      <c r="F941" s="489">
        <f>F942</f>
        <v>215</v>
      </c>
      <c r="G941" s="489">
        <f>G942</f>
        <v>215</v>
      </c>
    </row>
    <row r="942" spans="1:7" ht="94.5" x14ac:dyDescent="0.25">
      <c r="A942" s="496" t="s">
        <v>127</v>
      </c>
      <c r="B942" s="492" t="s">
        <v>491</v>
      </c>
      <c r="C942" s="492" t="s">
        <v>234</v>
      </c>
      <c r="D942" s="492" t="s">
        <v>916</v>
      </c>
      <c r="E942" s="492" t="s">
        <v>128</v>
      </c>
      <c r="F942" s="489">
        <f>F943</f>
        <v>215</v>
      </c>
      <c r="G942" s="489">
        <f>G943</f>
        <v>215</v>
      </c>
    </row>
    <row r="943" spans="1:7" ht="31.5" x14ac:dyDescent="0.25">
      <c r="A943" s="496" t="s">
        <v>129</v>
      </c>
      <c r="B943" s="492" t="s">
        <v>491</v>
      </c>
      <c r="C943" s="492" t="s">
        <v>234</v>
      </c>
      <c r="D943" s="492" t="s">
        <v>916</v>
      </c>
      <c r="E943" s="492" t="s">
        <v>130</v>
      </c>
      <c r="F943" s="489">
        <f>'пр.6.1.ведом.22-23 (2)'!G823</f>
        <v>215</v>
      </c>
      <c r="G943" s="489">
        <f>'пр.6.1.ведом.22-23 (2)'!H823</f>
        <v>215</v>
      </c>
    </row>
    <row r="944" spans="1:7" ht="47.25" x14ac:dyDescent="0.25">
      <c r="A944" s="500" t="s">
        <v>1369</v>
      </c>
      <c r="B944" s="495" t="s">
        <v>491</v>
      </c>
      <c r="C944" s="495" t="s">
        <v>234</v>
      </c>
      <c r="D944" s="7" t="s">
        <v>482</v>
      </c>
      <c r="E944" s="495"/>
      <c r="F944" s="488">
        <f>F945</f>
        <v>3000</v>
      </c>
      <c r="G944" s="488">
        <f>G945</f>
        <v>3000</v>
      </c>
    </row>
    <row r="945" spans="1:7" ht="31.5" x14ac:dyDescent="0.25">
      <c r="A945" s="58" t="s">
        <v>951</v>
      </c>
      <c r="B945" s="495" t="s">
        <v>491</v>
      </c>
      <c r="C945" s="495" t="s">
        <v>234</v>
      </c>
      <c r="D945" s="7" t="s">
        <v>1271</v>
      </c>
      <c r="E945" s="495"/>
      <c r="F945" s="488">
        <f t="shared" ref="F945:G945" si="94">F946</f>
        <v>3000</v>
      </c>
      <c r="G945" s="488">
        <f t="shared" si="94"/>
        <v>3000</v>
      </c>
    </row>
    <row r="946" spans="1:7" ht="31.5" x14ac:dyDescent="0.25">
      <c r="A946" s="29" t="s">
        <v>952</v>
      </c>
      <c r="B946" s="492" t="s">
        <v>491</v>
      </c>
      <c r="C946" s="492" t="s">
        <v>234</v>
      </c>
      <c r="D946" s="499" t="s">
        <v>1272</v>
      </c>
      <c r="E946" s="492"/>
      <c r="F946" s="489">
        <f>F947+F949</f>
        <v>3000</v>
      </c>
      <c r="G946" s="489">
        <f>G947+G949</f>
        <v>3000</v>
      </c>
    </row>
    <row r="947" spans="1:7" ht="94.5" x14ac:dyDescent="0.25">
      <c r="A947" s="496" t="s">
        <v>127</v>
      </c>
      <c r="B947" s="492" t="s">
        <v>491</v>
      </c>
      <c r="C947" s="492" t="s">
        <v>234</v>
      </c>
      <c r="D947" s="499" t="s">
        <v>1272</v>
      </c>
      <c r="E947" s="492" t="s">
        <v>128</v>
      </c>
      <c r="F947" s="489">
        <f>F948</f>
        <v>2500</v>
      </c>
      <c r="G947" s="489">
        <f>G948</f>
        <v>2500</v>
      </c>
    </row>
    <row r="948" spans="1:7" ht="31.5" x14ac:dyDescent="0.25">
      <c r="A948" s="496" t="s">
        <v>342</v>
      </c>
      <c r="B948" s="492" t="s">
        <v>491</v>
      </c>
      <c r="C948" s="492" t="s">
        <v>234</v>
      </c>
      <c r="D948" s="499" t="s">
        <v>1272</v>
      </c>
      <c r="E948" s="492" t="s">
        <v>209</v>
      </c>
      <c r="F948" s="489">
        <f>'пр.6.1.ведом.22-23 (2)'!G828</f>
        <v>2500</v>
      </c>
      <c r="G948" s="489">
        <f>'пр.6.1.ведом.22-23 (2)'!H828</f>
        <v>2500</v>
      </c>
    </row>
    <row r="949" spans="1:7" ht="31.5" x14ac:dyDescent="0.25">
      <c r="A949" s="29" t="s">
        <v>131</v>
      </c>
      <c r="B949" s="492" t="s">
        <v>491</v>
      </c>
      <c r="C949" s="492" t="s">
        <v>234</v>
      </c>
      <c r="D949" s="499" t="s">
        <v>1272</v>
      </c>
      <c r="E949" s="492" t="s">
        <v>132</v>
      </c>
      <c r="F949" s="489">
        <f>F950</f>
        <v>500</v>
      </c>
      <c r="G949" s="489">
        <f>G950</f>
        <v>500</v>
      </c>
    </row>
    <row r="950" spans="1:7" ht="47.25" x14ac:dyDescent="0.25">
      <c r="A950" s="29" t="s">
        <v>133</v>
      </c>
      <c r="B950" s="492" t="s">
        <v>491</v>
      </c>
      <c r="C950" s="492" t="s">
        <v>234</v>
      </c>
      <c r="D950" s="499" t="s">
        <v>1272</v>
      </c>
      <c r="E950" s="492" t="s">
        <v>134</v>
      </c>
      <c r="F950" s="489">
        <f>'пр.6.1.ведом.22-23 (2)'!G830</f>
        <v>500</v>
      </c>
      <c r="G950" s="489">
        <f>'пр.6.1.ведом.22-23 (2)'!H830</f>
        <v>500</v>
      </c>
    </row>
    <row r="951" spans="1:7" ht="15.75" x14ac:dyDescent="0.25">
      <c r="A951" s="500" t="s">
        <v>582</v>
      </c>
      <c r="B951" s="7" t="s">
        <v>238</v>
      </c>
      <c r="C951" s="499"/>
      <c r="D951" s="499"/>
      <c r="E951" s="499"/>
      <c r="F951" s="488">
        <f t="shared" ref="F951:G951" si="95">F952</f>
        <v>5873.2</v>
      </c>
      <c r="G951" s="488">
        <f t="shared" si="95"/>
        <v>5876.2</v>
      </c>
    </row>
    <row r="952" spans="1:7" ht="15.75" x14ac:dyDescent="0.25">
      <c r="A952" s="500" t="s">
        <v>583</v>
      </c>
      <c r="B952" s="7" t="s">
        <v>238</v>
      </c>
      <c r="C952" s="7" t="s">
        <v>213</v>
      </c>
      <c r="D952" s="7"/>
      <c r="E952" s="7"/>
      <c r="F952" s="488">
        <f>F953+F965</f>
        <v>5873.2</v>
      </c>
      <c r="G952" s="488">
        <f>G953+G965</f>
        <v>5876.2</v>
      </c>
    </row>
    <row r="953" spans="1:7" ht="47.25" x14ac:dyDescent="0.25">
      <c r="A953" s="494" t="s">
        <v>1351</v>
      </c>
      <c r="B953" s="495" t="s">
        <v>238</v>
      </c>
      <c r="C953" s="495" t="s">
        <v>213</v>
      </c>
      <c r="D953" s="495" t="s">
        <v>267</v>
      </c>
      <c r="E953" s="495"/>
      <c r="F953" s="488">
        <f>F954</f>
        <v>5798.3</v>
      </c>
      <c r="G953" s="488">
        <f>G954</f>
        <v>5798.3</v>
      </c>
    </row>
    <row r="954" spans="1:7" ht="47.25" x14ac:dyDescent="0.25">
      <c r="A954" s="494" t="s">
        <v>1300</v>
      </c>
      <c r="B954" s="495" t="s">
        <v>238</v>
      </c>
      <c r="C954" s="495" t="s">
        <v>213</v>
      </c>
      <c r="D954" s="495" t="s">
        <v>1203</v>
      </c>
      <c r="E954" s="495"/>
      <c r="F954" s="488">
        <f>F955+F962</f>
        <v>5798.3</v>
      </c>
      <c r="G954" s="488">
        <f>G955+G962</f>
        <v>5798.3</v>
      </c>
    </row>
    <row r="955" spans="1:7" ht="31.5" x14ac:dyDescent="0.25">
      <c r="A955" s="496" t="s">
        <v>801</v>
      </c>
      <c r="B955" s="492" t="s">
        <v>238</v>
      </c>
      <c r="C955" s="492" t="s">
        <v>213</v>
      </c>
      <c r="D955" s="492" t="s">
        <v>1204</v>
      </c>
      <c r="E955" s="492"/>
      <c r="F955" s="489">
        <f>F956+F958+F960</f>
        <v>5522.3</v>
      </c>
      <c r="G955" s="489">
        <f>G956+G958+G960</f>
        <v>5522.3</v>
      </c>
    </row>
    <row r="956" spans="1:7" ht="94.5" x14ac:dyDescent="0.25">
      <c r="A956" s="496" t="s">
        <v>127</v>
      </c>
      <c r="B956" s="492" t="s">
        <v>238</v>
      </c>
      <c r="C956" s="492" t="s">
        <v>213</v>
      </c>
      <c r="D956" s="492" t="s">
        <v>1204</v>
      </c>
      <c r="E956" s="492" t="s">
        <v>128</v>
      </c>
      <c r="F956" s="489">
        <f>F957</f>
        <v>4897.2</v>
      </c>
      <c r="G956" s="489">
        <f>G957</f>
        <v>4897.2</v>
      </c>
    </row>
    <row r="957" spans="1:7" ht="31.5" x14ac:dyDescent="0.25">
      <c r="A957" s="496" t="s">
        <v>208</v>
      </c>
      <c r="B957" s="492" t="s">
        <v>238</v>
      </c>
      <c r="C957" s="492" t="s">
        <v>213</v>
      </c>
      <c r="D957" s="492" t="s">
        <v>1204</v>
      </c>
      <c r="E957" s="492" t="s">
        <v>209</v>
      </c>
      <c r="F957" s="489">
        <f>'пр.6.1.ведом.22-23 (2)'!G474</f>
        <v>4897.2</v>
      </c>
      <c r="G957" s="489">
        <f>'пр.6.1.ведом.22-23 (2)'!H474</f>
        <v>4897.2</v>
      </c>
    </row>
    <row r="958" spans="1:7" ht="31.5" x14ac:dyDescent="0.25">
      <c r="A958" s="496" t="s">
        <v>131</v>
      </c>
      <c r="B958" s="492" t="s">
        <v>238</v>
      </c>
      <c r="C958" s="492" t="s">
        <v>213</v>
      </c>
      <c r="D958" s="492" t="s">
        <v>1204</v>
      </c>
      <c r="E958" s="492" t="s">
        <v>132</v>
      </c>
      <c r="F958" s="489">
        <f>F959</f>
        <v>595.1</v>
      </c>
      <c r="G958" s="489">
        <f>G959</f>
        <v>595.1</v>
      </c>
    </row>
    <row r="959" spans="1:7" ht="47.25" x14ac:dyDescent="0.25">
      <c r="A959" s="496" t="s">
        <v>133</v>
      </c>
      <c r="B959" s="492" t="s">
        <v>238</v>
      </c>
      <c r="C959" s="492" t="s">
        <v>213</v>
      </c>
      <c r="D959" s="492" t="s">
        <v>1204</v>
      </c>
      <c r="E959" s="492" t="s">
        <v>134</v>
      </c>
      <c r="F959" s="489">
        <f>'пр.6.1.ведом.22-23 (2)'!G476</f>
        <v>595.1</v>
      </c>
      <c r="G959" s="489">
        <f>'пр.6.1.ведом.22-23 (2)'!H476</f>
        <v>595.1</v>
      </c>
    </row>
    <row r="960" spans="1:7" ht="15.75" x14ac:dyDescent="0.25">
      <c r="A960" s="496" t="s">
        <v>135</v>
      </c>
      <c r="B960" s="492" t="s">
        <v>238</v>
      </c>
      <c r="C960" s="492" t="s">
        <v>213</v>
      </c>
      <c r="D960" s="492" t="s">
        <v>1204</v>
      </c>
      <c r="E960" s="492" t="s">
        <v>145</v>
      </c>
      <c r="F960" s="489">
        <f>F961</f>
        <v>30</v>
      </c>
      <c r="G960" s="489">
        <f>G961</f>
        <v>30</v>
      </c>
    </row>
    <row r="961" spans="1:7" ht="24.75" customHeight="1" x14ac:dyDescent="0.25">
      <c r="A961" s="496" t="s">
        <v>568</v>
      </c>
      <c r="B961" s="492" t="s">
        <v>238</v>
      </c>
      <c r="C961" s="492" t="s">
        <v>213</v>
      </c>
      <c r="D961" s="492" t="s">
        <v>1204</v>
      </c>
      <c r="E961" s="492" t="s">
        <v>138</v>
      </c>
      <c r="F961" s="489">
        <f>'пр.6.1.ведом.22-23 (2)'!G478</f>
        <v>30</v>
      </c>
      <c r="G961" s="489">
        <f>'пр.6.1.ведом.22-23 (2)'!H478</f>
        <v>30</v>
      </c>
    </row>
    <row r="962" spans="1:7" ht="47.25" x14ac:dyDescent="0.25">
      <c r="A962" s="496" t="s">
        <v>839</v>
      </c>
      <c r="B962" s="492" t="s">
        <v>238</v>
      </c>
      <c r="C962" s="492" t="s">
        <v>213</v>
      </c>
      <c r="D962" s="492" t="s">
        <v>1312</v>
      </c>
      <c r="E962" s="492"/>
      <c r="F962" s="489">
        <f>F963</f>
        <v>276</v>
      </c>
      <c r="G962" s="489">
        <f>G963</f>
        <v>276</v>
      </c>
    </row>
    <row r="963" spans="1:7" ht="94.5" x14ac:dyDescent="0.25">
      <c r="A963" s="496" t="s">
        <v>127</v>
      </c>
      <c r="B963" s="492" t="s">
        <v>238</v>
      </c>
      <c r="C963" s="492" t="s">
        <v>213</v>
      </c>
      <c r="D963" s="492" t="s">
        <v>1312</v>
      </c>
      <c r="E963" s="492" t="s">
        <v>128</v>
      </c>
      <c r="F963" s="489">
        <f>F964</f>
        <v>276</v>
      </c>
      <c r="G963" s="489">
        <f>G964</f>
        <v>276</v>
      </c>
    </row>
    <row r="964" spans="1:7" ht="31.5" x14ac:dyDescent="0.25">
      <c r="A964" s="496" t="s">
        <v>129</v>
      </c>
      <c r="B964" s="492" t="s">
        <v>238</v>
      </c>
      <c r="C964" s="492" t="s">
        <v>213</v>
      </c>
      <c r="D964" s="492" t="s">
        <v>1312</v>
      </c>
      <c r="E964" s="492" t="s">
        <v>209</v>
      </c>
      <c r="F964" s="489">
        <f>'пр.6.1.ведом.22-23 (2)'!G482</f>
        <v>276</v>
      </c>
      <c r="G964" s="489">
        <f>'пр.6.1.ведом.22-23 (2)'!H482</f>
        <v>276</v>
      </c>
    </row>
    <row r="965" spans="1:7" ht="63" x14ac:dyDescent="0.25">
      <c r="A965" s="500" t="s">
        <v>1352</v>
      </c>
      <c r="B965" s="495" t="s">
        <v>238</v>
      </c>
      <c r="C965" s="495" t="s">
        <v>213</v>
      </c>
      <c r="D965" s="495" t="s">
        <v>705</v>
      </c>
      <c r="E965" s="504"/>
      <c r="F965" s="488">
        <f t="shared" ref="F965:G968" si="96">F966</f>
        <v>74.900000000000006</v>
      </c>
      <c r="G965" s="488">
        <f t="shared" si="96"/>
        <v>77.900000000000006</v>
      </c>
    </row>
    <row r="966" spans="1:7" ht="53.1" customHeight="1" x14ac:dyDescent="0.25">
      <c r="A966" s="500" t="s">
        <v>890</v>
      </c>
      <c r="B966" s="495" t="s">
        <v>238</v>
      </c>
      <c r="C966" s="495" t="s">
        <v>213</v>
      </c>
      <c r="D966" s="495" t="s">
        <v>888</v>
      </c>
      <c r="E966" s="504"/>
      <c r="F966" s="488">
        <f t="shared" si="96"/>
        <v>74.900000000000006</v>
      </c>
      <c r="G966" s="488">
        <f t="shared" si="96"/>
        <v>77.900000000000006</v>
      </c>
    </row>
    <row r="967" spans="1:7" ht="47.25" x14ac:dyDescent="0.25">
      <c r="A967" s="98" t="s">
        <v>1004</v>
      </c>
      <c r="B967" s="492" t="s">
        <v>238</v>
      </c>
      <c r="C967" s="492" t="s">
        <v>213</v>
      </c>
      <c r="D967" s="492" t="s">
        <v>889</v>
      </c>
      <c r="E967" s="498"/>
      <c r="F967" s="489">
        <f t="shared" si="96"/>
        <v>74.900000000000006</v>
      </c>
      <c r="G967" s="489">
        <f t="shared" si="96"/>
        <v>77.900000000000006</v>
      </c>
    </row>
    <row r="968" spans="1:7" ht="31.5" x14ac:dyDescent="0.25">
      <c r="A968" s="496" t="s">
        <v>131</v>
      </c>
      <c r="B968" s="492" t="s">
        <v>238</v>
      </c>
      <c r="C968" s="492" t="s">
        <v>213</v>
      </c>
      <c r="D968" s="492" t="s">
        <v>889</v>
      </c>
      <c r="E968" s="498" t="s">
        <v>132</v>
      </c>
      <c r="F968" s="489">
        <f t="shared" si="96"/>
        <v>74.900000000000006</v>
      </c>
      <c r="G968" s="489">
        <f t="shared" si="96"/>
        <v>77.900000000000006</v>
      </c>
    </row>
    <row r="969" spans="1:7" ht="47.25" x14ac:dyDescent="0.25">
      <c r="A969" s="496" t="s">
        <v>133</v>
      </c>
      <c r="B969" s="492" t="s">
        <v>238</v>
      </c>
      <c r="C969" s="492" t="s">
        <v>213</v>
      </c>
      <c r="D969" s="492" t="s">
        <v>889</v>
      </c>
      <c r="E969" s="498" t="s">
        <v>134</v>
      </c>
      <c r="F969" s="489">
        <f>'пр.6.1.ведом.22-23 (2)'!G487</f>
        <v>74.900000000000006</v>
      </c>
      <c r="G969" s="489">
        <f>'пр.6.1.ведом.22-23 (2)'!H487</f>
        <v>77.900000000000006</v>
      </c>
    </row>
    <row r="970" spans="1:7" ht="15.75" x14ac:dyDescent="0.25">
      <c r="A970" s="61" t="s">
        <v>587</v>
      </c>
      <c r="B970" s="7"/>
      <c r="C970" s="7"/>
      <c r="D970" s="7"/>
      <c r="E970" s="7"/>
      <c r="F970" s="390">
        <f>F9+F230+F249+F314+F478+F741+F885+F951+F829+F8</f>
        <v>737481.81599999999</v>
      </c>
      <c r="G970" s="390">
        <f>G9+G230+G249+G314+G478+G741+G885+G951+G829+G8</f>
        <v>777267.39999999991</v>
      </c>
    </row>
    <row r="971" spans="1:7" ht="15.75" x14ac:dyDescent="0.25">
      <c r="F971" s="488">
        <f>'пр.6.1.ведом.22-23 (2)'!G1094</f>
        <v>736280.59999999986</v>
      </c>
      <c r="G971" s="488">
        <f>'пр.6.1.ведом.22-23 (2)'!H1094</f>
        <v>777267.39999999991</v>
      </c>
    </row>
    <row r="972" spans="1:7" ht="15.75" x14ac:dyDescent="0.25">
      <c r="F972" s="488">
        <f>F971-F970</f>
        <v>-1201.2160000001313</v>
      </c>
      <c r="G972" s="488">
        <f>G971-G970</f>
        <v>0</v>
      </c>
    </row>
  </sheetData>
  <autoFilter ref="A7:G972"/>
  <mergeCells count="4">
    <mergeCell ref="F1:G1"/>
    <mergeCell ref="F2:G2"/>
    <mergeCell ref="F3:G3"/>
    <mergeCell ref="A5:G5"/>
  </mergeCells>
  <pageMargins left="0.23622047244094491" right="0.23622047244094491" top="0.74803149606299213" bottom="0.74803149606299213" header="0.31496062992125984" footer="0.31496062992125984"/>
  <pageSetup paperSize="9" scale="9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69"/>
  <sheetViews>
    <sheetView view="pageBreakPreview" zoomScaleNormal="100" zoomScaleSheetLayoutView="100" workbookViewId="0">
      <selection activeCell="G170" sqref="G170"/>
    </sheetView>
  </sheetViews>
  <sheetFormatPr defaultColWidth="9.140625" defaultRowHeight="15" x14ac:dyDescent="0.25"/>
  <cols>
    <col min="1" max="1" width="55.140625" style="578" customWidth="1"/>
    <col min="2" max="2" width="5.85546875" style="578" customWidth="1"/>
    <col min="3" max="3" width="5.42578125" style="578" customWidth="1"/>
    <col min="4" max="4" width="15.85546875" style="578" customWidth="1"/>
    <col min="5" max="5" width="7.140625" style="578" customWidth="1"/>
    <col min="6" max="7" width="14.28515625" style="115" customWidth="1"/>
    <col min="8" max="10" width="9.140625" style="578" customWidth="1"/>
    <col min="11" max="11" width="9.85546875" style="578" bestFit="1" customWidth="1"/>
    <col min="12" max="12" width="9.85546875" style="576" bestFit="1" customWidth="1"/>
    <col min="13" max="16384" width="9.140625" style="576"/>
  </cols>
  <sheetData>
    <row r="1" spans="1:12" ht="15.75" x14ac:dyDescent="0.25">
      <c r="A1" s="56"/>
      <c r="B1" s="56"/>
      <c r="C1" s="56"/>
      <c r="E1" s="699"/>
      <c r="F1" s="714" t="s">
        <v>1819</v>
      </c>
      <c r="G1" s="714"/>
    </row>
    <row r="2" spans="1:12" ht="15.75" x14ac:dyDescent="0.25">
      <c r="A2" s="56"/>
      <c r="B2" s="56"/>
      <c r="C2" s="56"/>
      <c r="E2" s="699"/>
      <c r="F2" s="714" t="s">
        <v>0</v>
      </c>
      <c r="G2" s="714"/>
    </row>
    <row r="3" spans="1:12" ht="18.75" customHeight="1" x14ac:dyDescent="0.25">
      <c r="A3" s="56"/>
      <c r="B3" s="56"/>
      <c r="C3" s="56"/>
      <c r="E3" s="699"/>
      <c r="F3" s="714" t="s">
        <v>1809</v>
      </c>
      <c r="G3" s="714"/>
    </row>
    <row r="4" spans="1:12" x14ac:dyDescent="0.25">
      <c r="A4" s="56"/>
      <c r="B4" s="56"/>
      <c r="C4" s="56"/>
      <c r="D4" s="56"/>
      <c r="E4" s="56"/>
    </row>
    <row r="5" spans="1:12" ht="63.75" customHeight="1" x14ac:dyDescent="0.25">
      <c r="A5" s="731" t="s">
        <v>1817</v>
      </c>
      <c r="B5" s="731"/>
      <c r="C5" s="731"/>
      <c r="D5" s="731"/>
      <c r="E5" s="731"/>
      <c r="F5" s="731"/>
      <c r="G5" s="731"/>
    </row>
    <row r="6" spans="1:12" x14ac:dyDescent="0.25">
      <c r="A6" s="56"/>
      <c r="B6" s="56"/>
      <c r="C6" s="56"/>
      <c r="D6" s="56"/>
      <c r="E6" s="56"/>
      <c r="F6" s="275"/>
      <c r="G6" s="275" t="s">
        <v>1</v>
      </c>
    </row>
    <row r="7" spans="1:12" ht="30.2" customHeight="1" x14ac:dyDescent="0.25">
      <c r="A7" s="226" t="s">
        <v>592</v>
      </c>
      <c r="B7" s="227" t="s">
        <v>112</v>
      </c>
      <c r="C7" s="227" t="s">
        <v>113</v>
      </c>
      <c r="D7" s="227" t="s">
        <v>114</v>
      </c>
      <c r="E7" s="227" t="s">
        <v>115</v>
      </c>
      <c r="F7" s="276" t="s">
        <v>1810</v>
      </c>
      <c r="G7" s="276" t="s">
        <v>1818</v>
      </c>
    </row>
    <row r="8" spans="1:12" ht="22.5" customHeight="1" x14ac:dyDescent="0.25">
      <c r="A8" s="308" t="s">
        <v>1411</v>
      </c>
      <c r="B8" s="227"/>
      <c r="C8" s="227"/>
      <c r="D8" s="227"/>
      <c r="E8" s="227"/>
      <c r="F8" s="311">
        <f>'Пр.4.1 ведом.23-24 '!G9</f>
        <v>13679.9</v>
      </c>
      <c r="G8" s="311">
        <f>'Пр.4.1 ведом.23-24 '!H9</f>
        <v>28368.5</v>
      </c>
    </row>
    <row r="9" spans="1:12" ht="15.75" x14ac:dyDescent="0.25">
      <c r="A9" s="572" t="s">
        <v>117</v>
      </c>
      <c r="B9" s="7" t="s">
        <v>118</v>
      </c>
      <c r="C9" s="7"/>
      <c r="D9" s="7"/>
      <c r="E9" s="7"/>
      <c r="F9" s="488">
        <f>F10+F26+F42+F103+F142+F128+F136</f>
        <v>155143.6</v>
      </c>
      <c r="G9" s="488">
        <f>G10+G26+G42+G103+G142+G128+G136</f>
        <v>160978</v>
      </c>
      <c r="H9" s="115"/>
      <c r="K9" s="230">
        <f>F9-F60-'Пр.4 ведом.22'!K1175-'Пр.4 ведом.22'!X1185</f>
        <v>151405.9</v>
      </c>
      <c r="L9" s="232">
        <f>F23+F60+F100+F216-'Пр.4 ведом.22'!K1174-'Пр.4 ведом.22'!X1184</f>
        <v>3738.7</v>
      </c>
    </row>
    <row r="10" spans="1:12" ht="47.25" x14ac:dyDescent="0.25">
      <c r="A10" s="572" t="s">
        <v>575</v>
      </c>
      <c r="B10" s="7" t="s">
        <v>118</v>
      </c>
      <c r="C10" s="7" t="s">
        <v>213</v>
      </c>
      <c r="D10" s="7"/>
      <c r="E10" s="7"/>
      <c r="F10" s="488">
        <f>F11+F21</f>
        <v>5300.4</v>
      </c>
      <c r="G10" s="488">
        <f>G11+G21</f>
        <v>5386.4</v>
      </c>
    </row>
    <row r="11" spans="1:12" ht="31.5" x14ac:dyDescent="0.25">
      <c r="A11" s="494" t="s">
        <v>917</v>
      </c>
      <c r="B11" s="7" t="s">
        <v>118</v>
      </c>
      <c r="C11" s="7" t="s">
        <v>213</v>
      </c>
      <c r="D11" s="7" t="s">
        <v>858</v>
      </c>
      <c r="E11" s="7"/>
      <c r="F11" s="488">
        <f>F12</f>
        <v>5299.9</v>
      </c>
      <c r="G11" s="488">
        <f>G12</f>
        <v>5385.9</v>
      </c>
    </row>
    <row r="12" spans="1:12" ht="15.75" x14ac:dyDescent="0.25">
      <c r="A12" s="494" t="s">
        <v>918</v>
      </c>
      <c r="B12" s="7" t="s">
        <v>118</v>
      </c>
      <c r="C12" s="7" t="s">
        <v>213</v>
      </c>
      <c r="D12" s="7" t="s">
        <v>859</v>
      </c>
      <c r="E12" s="7"/>
      <c r="F12" s="488">
        <f>F13+F18</f>
        <v>5299.9</v>
      </c>
      <c r="G12" s="488">
        <f>G13+G18</f>
        <v>5385.9</v>
      </c>
    </row>
    <row r="13" spans="1:12" ht="31.5" x14ac:dyDescent="0.25">
      <c r="A13" s="29" t="s">
        <v>576</v>
      </c>
      <c r="B13" s="573" t="s">
        <v>118</v>
      </c>
      <c r="C13" s="573" t="s">
        <v>213</v>
      </c>
      <c r="D13" s="573" t="s">
        <v>1330</v>
      </c>
      <c r="E13" s="573"/>
      <c r="F13" s="489">
        <f t="shared" ref="F13:G13" si="0">F14+F16</f>
        <v>5299.9</v>
      </c>
      <c r="G13" s="489">
        <f t="shared" si="0"/>
        <v>5299.9</v>
      </c>
    </row>
    <row r="14" spans="1:12" ht="78.75" x14ac:dyDescent="0.25">
      <c r="A14" s="29" t="s">
        <v>127</v>
      </c>
      <c r="B14" s="573" t="s">
        <v>118</v>
      </c>
      <c r="C14" s="573" t="s">
        <v>213</v>
      </c>
      <c r="D14" s="573" t="s">
        <v>1330</v>
      </c>
      <c r="E14" s="573" t="s">
        <v>128</v>
      </c>
      <c r="F14" s="386">
        <f t="shared" ref="F14:G14" si="1">F15</f>
        <v>5209.8999999999996</v>
      </c>
      <c r="G14" s="386">
        <f t="shared" si="1"/>
        <v>5209.8999999999996</v>
      </c>
    </row>
    <row r="15" spans="1:12" ht="31.5" x14ac:dyDescent="0.25">
      <c r="A15" s="29" t="s">
        <v>129</v>
      </c>
      <c r="B15" s="573" t="s">
        <v>118</v>
      </c>
      <c r="C15" s="573" t="s">
        <v>213</v>
      </c>
      <c r="D15" s="573" t="s">
        <v>1330</v>
      </c>
      <c r="E15" s="573" t="s">
        <v>130</v>
      </c>
      <c r="F15" s="386">
        <f>'Пр.4.1 ведом.23-24 '!G38</f>
        <v>5209.8999999999996</v>
      </c>
      <c r="G15" s="386">
        <f>'Пр.4.1 ведом.23-24 '!H38</f>
        <v>5209.8999999999996</v>
      </c>
    </row>
    <row r="16" spans="1:12" ht="31.5" x14ac:dyDescent="0.25">
      <c r="A16" s="29" t="s">
        <v>131</v>
      </c>
      <c r="B16" s="573" t="s">
        <v>118</v>
      </c>
      <c r="C16" s="573" t="s">
        <v>213</v>
      </c>
      <c r="D16" s="573" t="s">
        <v>1330</v>
      </c>
      <c r="E16" s="573" t="s">
        <v>132</v>
      </c>
      <c r="F16" s="28">
        <f t="shared" ref="F16:G16" si="2">F17</f>
        <v>90</v>
      </c>
      <c r="G16" s="28">
        <f t="shared" si="2"/>
        <v>90</v>
      </c>
    </row>
    <row r="17" spans="1:7" ht="31.5" x14ac:dyDescent="0.25">
      <c r="A17" s="29" t="s">
        <v>133</v>
      </c>
      <c r="B17" s="573" t="s">
        <v>118</v>
      </c>
      <c r="C17" s="573" t="s">
        <v>213</v>
      </c>
      <c r="D17" s="573" t="s">
        <v>1330</v>
      </c>
      <c r="E17" s="573" t="s">
        <v>134</v>
      </c>
      <c r="F17" s="28">
        <f>'Пр.4.1 ведом.23-24 '!G40</f>
        <v>90</v>
      </c>
      <c r="G17" s="28">
        <f>'Пр.4.1 ведом.23-24 '!H40</f>
        <v>90</v>
      </c>
    </row>
    <row r="18" spans="1:7" ht="47.25" x14ac:dyDescent="0.25">
      <c r="A18" s="579" t="s">
        <v>839</v>
      </c>
      <c r="B18" s="573" t="s">
        <v>118</v>
      </c>
      <c r="C18" s="573" t="s">
        <v>213</v>
      </c>
      <c r="D18" s="573" t="s">
        <v>862</v>
      </c>
      <c r="E18" s="573"/>
      <c r="F18" s="28">
        <f>F19</f>
        <v>0</v>
      </c>
      <c r="G18" s="28">
        <f>G19</f>
        <v>86</v>
      </c>
    </row>
    <row r="19" spans="1:7" ht="78.75" x14ac:dyDescent="0.25">
      <c r="A19" s="579" t="s">
        <v>127</v>
      </c>
      <c r="B19" s="573" t="s">
        <v>118</v>
      </c>
      <c r="C19" s="573" t="s">
        <v>213</v>
      </c>
      <c r="D19" s="573" t="s">
        <v>862</v>
      </c>
      <c r="E19" s="573" t="s">
        <v>128</v>
      </c>
      <c r="F19" s="28">
        <f>F20</f>
        <v>0</v>
      </c>
      <c r="G19" s="28">
        <f>G20</f>
        <v>86</v>
      </c>
    </row>
    <row r="20" spans="1:7" ht="31.5" x14ac:dyDescent="0.25">
      <c r="A20" s="579" t="s">
        <v>129</v>
      </c>
      <c r="B20" s="573" t="s">
        <v>118</v>
      </c>
      <c r="C20" s="573" t="s">
        <v>213</v>
      </c>
      <c r="D20" s="573" t="s">
        <v>862</v>
      </c>
      <c r="E20" s="573" t="s">
        <v>130</v>
      </c>
      <c r="F20" s="28">
        <f>'Пр.4.1 ведом.23-24 '!G43</f>
        <v>0</v>
      </c>
      <c r="G20" s="28">
        <f>'Пр.4.1 ведом.23-24 '!H43</f>
        <v>86</v>
      </c>
    </row>
    <row r="21" spans="1:7" ht="47.25" x14ac:dyDescent="0.25">
      <c r="A21" s="494" t="s">
        <v>1338</v>
      </c>
      <c r="B21" s="495" t="s">
        <v>118</v>
      </c>
      <c r="C21" s="7" t="s">
        <v>213</v>
      </c>
      <c r="D21" s="495" t="s">
        <v>162</v>
      </c>
      <c r="E21" s="7"/>
      <c r="F21" s="387">
        <f t="shared" ref="F21:G24" si="3">F22</f>
        <v>0.5</v>
      </c>
      <c r="G21" s="387">
        <f t="shared" si="3"/>
        <v>0.5</v>
      </c>
    </row>
    <row r="22" spans="1:7" ht="63" x14ac:dyDescent="0.25">
      <c r="A22" s="220" t="s">
        <v>843</v>
      </c>
      <c r="B22" s="495" t="s">
        <v>118</v>
      </c>
      <c r="C22" s="7" t="s">
        <v>213</v>
      </c>
      <c r="D22" s="7" t="s">
        <v>850</v>
      </c>
      <c r="E22" s="7"/>
      <c r="F22" s="387">
        <f t="shared" si="3"/>
        <v>0.5</v>
      </c>
      <c r="G22" s="387">
        <f t="shared" si="3"/>
        <v>0.5</v>
      </c>
    </row>
    <row r="23" spans="1:7" ht="47.25" x14ac:dyDescent="0.25">
      <c r="A23" s="31" t="s">
        <v>695</v>
      </c>
      <c r="B23" s="580" t="s">
        <v>118</v>
      </c>
      <c r="C23" s="580" t="s">
        <v>213</v>
      </c>
      <c r="D23" s="573" t="s">
        <v>993</v>
      </c>
      <c r="E23" s="580"/>
      <c r="F23" s="497">
        <f t="shared" si="3"/>
        <v>0.5</v>
      </c>
      <c r="G23" s="497">
        <f t="shared" si="3"/>
        <v>0.5</v>
      </c>
    </row>
    <row r="24" spans="1:7" ht="31.5" x14ac:dyDescent="0.25">
      <c r="A24" s="579" t="s">
        <v>131</v>
      </c>
      <c r="B24" s="580" t="s">
        <v>118</v>
      </c>
      <c r="C24" s="580" t="s">
        <v>213</v>
      </c>
      <c r="D24" s="573" t="s">
        <v>993</v>
      </c>
      <c r="E24" s="580" t="s">
        <v>132</v>
      </c>
      <c r="F24" s="497">
        <f t="shared" si="3"/>
        <v>0.5</v>
      </c>
      <c r="G24" s="497">
        <f t="shared" si="3"/>
        <v>0.5</v>
      </c>
    </row>
    <row r="25" spans="1:7" ht="31.5" x14ac:dyDescent="0.25">
      <c r="A25" s="579" t="s">
        <v>133</v>
      </c>
      <c r="B25" s="580" t="s">
        <v>118</v>
      </c>
      <c r="C25" s="580" t="s">
        <v>213</v>
      </c>
      <c r="D25" s="573" t="s">
        <v>993</v>
      </c>
      <c r="E25" s="580" t="s">
        <v>134</v>
      </c>
      <c r="F25" s="497">
        <f>'Пр.4.1 ведом.23-24 '!G48</f>
        <v>0.5</v>
      </c>
      <c r="G25" s="497">
        <f>'Пр.4.1 ведом.23-24 '!H48</f>
        <v>0.5</v>
      </c>
    </row>
    <row r="26" spans="1:7" ht="63" x14ac:dyDescent="0.25">
      <c r="A26" s="572" t="s">
        <v>578</v>
      </c>
      <c r="B26" s="7" t="s">
        <v>118</v>
      </c>
      <c r="C26" s="7" t="s">
        <v>215</v>
      </c>
      <c r="D26" s="7"/>
      <c r="E26" s="7"/>
      <c r="F26" s="488">
        <f t="shared" ref="F26:G27" si="4">F27</f>
        <v>5970</v>
      </c>
      <c r="G26" s="488">
        <f t="shared" si="4"/>
        <v>5970</v>
      </c>
    </row>
    <row r="27" spans="1:7" ht="31.5" x14ac:dyDescent="0.25">
      <c r="A27" s="494" t="s">
        <v>917</v>
      </c>
      <c r="B27" s="7" t="s">
        <v>118</v>
      </c>
      <c r="C27" s="7" t="s">
        <v>215</v>
      </c>
      <c r="D27" s="7" t="s">
        <v>858</v>
      </c>
      <c r="E27" s="7"/>
      <c r="F27" s="488">
        <f t="shared" si="4"/>
        <v>5970</v>
      </c>
      <c r="G27" s="488">
        <f t="shared" si="4"/>
        <v>5970</v>
      </c>
    </row>
    <row r="28" spans="1:7" ht="31.5" x14ac:dyDescent="0.25">
      <c r="A28" s="494" t="s">
        <v>986</v>
      </c>
      <c r="B28" s="7" t="s">
        <v>118</v>
      </c>
      <c r="C28" s="7" t="s">
        <v>215</v>
      </c>
      <c r="D28" s="7" t="s">
        <v>987</v>
      </c>
      <c r="E28" s="7"/>
      <c r="F28" s="488">
        <f>F34+F39+F29</f>
        <v>5970</v>
      </c>
      <c r="G28" s="488">
        <f>G34+G39+G29</f>
        <v>5970</v>
      </c>
    </row>
    <row r="29" spans="1:7" ht="47.25" x14ac:dyDescent="0.25">
      <c r="A29" s="291" t="s">
        <v>1363</v>
      </c>
      <c r="B29" s="580" t="s">
        <v>118</v>
      </c>
      <c r="C29" s="580" t="s">
        <v>215</v>
      </c>
      <c r="D29" s="580" t="s">
        <v>1401</v>
      </c>
      <c r="E29" s="495"/>
      <c r="F29" s="489">
        <f>F30+F32</f>
        <v>4708.8999999999996</v>
      </c>
      <c r="G29" s="489">
        <f>G30+G32</f>
        <v>4708.8999999999996</v>
      </c>
    </row>
    <row r="30" spans="1:7" ht="78.75" x14ac:dyDescent="0.25">
      <c r="A30" s="579" t="s">
        <v>127</v>
      </c>
      <c r="B30" s="580" t="s">
        <v>118</v>
      </c>
      <c r="C30" s="580" t="s">
        <v>215</v>
      </c>
      <c r="D30" s="580" t="s">
        <v>1401</v>
      </c>
      <c r="E30" s="580" t="s">
        <v>128</v>
      </c>
      <c r="F30" s="489">
        <f>F31</f>
        <v>4615.8999999999996</v>
      </c>
      <c r="G30" s="489">
        <f>G31</f>
        <v>4615.8999999999996</v>
      </c>
    </row>
    <row r="31" spans="1:7" ht="31.5" x14ac:dyDescent="0.25">
      <c r="A31" s="579" t="s">
        <v>129</v>
      </c>
      <c r="B31" s="580" t="s">
        <v>118</v>
      </c>
      <c r="C31" s="580" t="s">
        <v>215</v>
      </c>
      <c r="D31" s="580" t="s">
        <v>1401</v>
      </c>
      <c r="E31" s="580" t="s">
        <v>130</v>
      </c>
      <c r="F31" s="489">
        <f>'Пр.4.1 ведом.23-24 '!G1161</f>
        <v>4615.8999999999996</v>
      </c>
      <c r="G31" s="489">
        <f>'Пр.4.1 ведом.23-24 '!H1161</f>
        <v>4615.8999999999996</v>
      </c>
    </row>
    <row r="32" spans="1:7" ht="31.5" x14ac:dyDescent="0.25">
      <c r="A32" s="579" t="s">
        <v>198</v>
      </c>
      <c r="B32" s="580" t="s">
        <v>118</v>
      </c>
      <c r="C32" s="580" t="s">
        <v>215</v>
      </c>
      <c r="D32" s="580" t="s">
        <v>1401</v>
      </c>
      <c r="E32" s="580" t="s">
        <v>132</v>
      </c>
      <c r="F32" s="489">
        <f>F33</f>
        <v>93</v>
      </c>
      <c r="G32" s="489">
        <f>G33</f>
        <v>93</v>
      </c>
    </row>
    <row r="33" spans="1:8" ht="31.5" x14ac:dyDescent="0.25">
      <c r="A33" s="579" t="s">
        <v>133</v>
      </c>
      <c r="B33" s="580" t="s">
        <v>118</v>
      </c>
      <c r="C33" s="580" t="s">
        <v>215</v>
      </c>
      <c r="D33" s="580" t="s">
        <v>1401</v>
      </c>
      <c r="E33" s="580" t="s">
        <v>134</v>
      </c>
      <c r="F33" s="489">
        <f>'Пр.4.1 ведом.23-24 '!G1163</f>
        <v>93</v>
      </c>
      <c r="G33" s="489">
        <f>'Пр.4.1 ведом.23-24 '!H1163</f>
        <v>93</v>
      </c>
    </row>
    <row r="34" spans="1:8" ht="31.5" x14ac:dyDescent="0.25">
      <c r="A34" s="579" t="s">
        <v>990</v>
      </c>
      <c r="B34" s="573" t="s">
        <v>118</v>
      </c>
      <c r="C34" s="573" t="s">
        <v>215</v>
      </c>
      <c r="D34" s="573" t="s">
        <v>991</v>
      </c>
      <c r="E34" s="573"/>
      <c r="F34" s="489">
        <f t="shared" ref="F34:G34" si="5">F35+F37</f>
        <v>1261.0999999999999</v>
      </c>
      <c r="G34" s="489">
        <f t="shared" si="5"/>
        <v>1261.0999999999999</v>
      </c>
    </row>
    <row r="35" spans="1:8" ht="78.75" x14ac:dyDescent="0.25">
      <c r="A35" s="29" t="s">
        <v>127</v>
      </c>
      <c r="B35" s="573" t="s">
        <v>118</v>
      </c>
      <c r="C35" s="573" t="s">
        <v>215</v>
      </c>
      <c r="D35" s="573" t="s">
        <v>991</v>
      </c>
      <c r="E35" s="573" t="s">
        <v>128</v>
      </c>
      <c r="F35" s="386">
        <f t="shared" ref="F35:G35" si="6">F36</f>
        <v>1261.0999999999999</v>
      </c>
      <c r="G35" s="386">
        <f t="shared" si="6"/>
        <v>1261.0999999999999</v>
      </c>
    </row>
    <row r="36" spans="1:8" ht="31.5" x14ac:dyDescent="0.25">
      <c r="A36" s="29" t="s">
        <v>129</v>
      </c>
      <c r="B36" s="573" t="s">
        <v>118</v>
      </c>
      <c r="C36" s="573" t="s">
        <v>215</v>
      </c>
      <c r="D36" s="573" t="s">
        <v>991</v>
      </c>
      <c r="E36" s="573" t="s">
        <v>130</v>
      </c>
      <c r="F36" s="386">
        <f>'Пр.4.1 ведом.23-24 '!G1166</f>
        <v>1261.0999999999999</v>
      </c>
      <c r="G36" s="386">
        <f>'Пр.4.1 ведом.23-24 '!H1166</f>
        <v>1261.0999999999999</v>
      </c>
    </row>
    <row r="37" spans="1:8" ht="31.5" hidden="1" x14ac:dyDescent="0.25">
      <c r="A37" s="29" t="s">
        <v>131</v>
      </c>
      <c r="B37" s="573" t="s">
        <v>118</v>
      </c>
      <c r="C37" s="573" t="s">
        <v>215</v>
      </c>
      <c r="D37" s="573" t="s">
        <v>991</v>
      </c>
      <c r="E37" s="573" t="s">
        <v>132</v>
      </c>
      <c r="F37" s="489">
        <f t="shared" ref="F37:G37" si="7">F38</f>
        <v>0</v>
      </c>
      <c r="G37" s="489">
        <f t="shared" si="7"/>
        <v>0</v>
      </c>
    </row>
    <row r="38" spans="1:8" ht="31.5" hidden="1" x14ac:dyDescent="0.25">
      <c r="A38" s="29" t="s">
        <v>133</v>
      </c>
      <c r="B38" s="573" t="s">
        <v>118</v>
      </c>
      <c r="C38" s="573" t="s">
        <v>215</v>
      </c>
      <c r="D38" s="573" t="s">
        <v>991</v>
      </c>
      <c r="E38" s="573" t="s">
        <v>134</v>
      </c>
      <c r="F38" s="489">
        <f>'Пр.4 ведом.22'!G1167</f>
        <v>0</v>
      </c>
      <c r="G38" s="489">
        <f>'Пр.4 ведом.22'!H1167</f>
        <v>0</v>
      </c>
    </row>
    <row r="39" spans="1:8" ht="30.2" hidden="1" customHeight="1" x14ac:dyDescent="0.25">
      <c r="A39" s="579" t="s">
        <v>839</v>
      </c>
      <c r="B39" s="573" t="s">
        <v>118</v>
      </c>
      <c r="C39" s="573" t="s">
        <v>215</v>
      </c>
      <c r="D39" s="573" t="s">
        <v>989</v>
      </c>
      <c r="E39" s="573"/>
      <c r="F39" s="28">
        <f>F40</f>
        <v>0</v>
      </c>
      <c r="G39" s="28">
        <f>G40</f>
        <v>0</v>
      </c>
    </row>
    <row r="40" spans="1:8" ht="85.7" hidden="1" customHeight="1" x14ac:dyDescent="0.25">
      <c r="A40" s="579" t="s">
        <v>127</v>
      </c>
      <c r="B40" s="573" t="s">
        <v>118</v>
      </c>
      <c r="C40" s="573" t="s">
        <v>215</v>
      </c>
      <c r="D40" s="573" t="s">
        <v>989</v>
      </c>
      <c r="E40" s="573" t="s">
        <v>128</v>
      </c>
      <c r="F40" s="28">
        <f>F41</f>
        <v>0</v>
      </c>
      <c r="G40" s="28">
        <f>G41</f>
        <v>0</v>
      </c>
    </row>
    <row r="41" spans="1:8" ht="38.25" hidden="1" customHeight="1" x14ac:dyDescent="0.25">
      <c r="A41" s="579" t="s">
        <v>129</v>
      </c>
      <c r="B41" s="573" t="s">
        <v>118</v>
      </c>
      <c r="C41" s="573" t="s">
        <v>215</v>
      </c>
      <c r="D41" s="573" t="s">
        <v>989</v>
      </c>
      <c r="E41" s="573" t="s">
        <v>130</v>
      </c>
      <c r="F41" s="28">
        <f>'Пр.4 ведом.22'!G1170</f>
        <v>0</v>
      </c>
      <c r="G41" s="28">
        <f>'Пр.4 ведом.22'!H1170</f>
        <v>0</v>
      </c>
    </row>
    <row r="42" spans="1:8" ht="70.5" customHeight="1" x14ac:dyDescent="0.25">
      <c r="A42" s="572" t="s">
        <v>149</v>
      </c>
      <c r="B42" s="7" t="s">
        <v>118</v>
      </c>
      <c r="C42" s="7" t="s">
        <v>150</v>
      </c>
      <c r="D42" s="7"/>
      <c r="E42" s="7"/>
      <c r="F42" s="488">
        <f>F43+F85</f>
        <v>63606.600000000006</v>
      </c>
      <c r="G42" s="488">
        <f>G43+G85</f>
        <v>69618.500000000015</v>
      </c>
      <c r="H42" s="115"/>
    </row>
    <row r="43" spans="1:8" ht="31.5" x14ac:dyDescent="0.25">
      <c r="A43" s="494" t="s">
        <v>917</v>
      </c>
      <c r="B43" s="7" t="s">
        <v>118</v>
      </c>
      <c r="C43" s="7" t="s">
        <v>150</v>
      </c>
      <c r="D43" s="7" t="s">
        <v>858</v>
      </c>
      <c r="E43" s="7"/>
      <c r="F43" s="488">
        <f>F44+F60</f>
        <v>63003.100000000006</v>
      </c>
      <c r="G43" s="488">
        <f>G44+G60</f>
        <v>69015.000000000015</v>
      </c>
    </row>
    <row r="44" spans="1:8" ht="15.75" x14ac:dyDescent="0.25">
      <c r="A44" s="494" t="s">
        <v>918</v>
      </c>
      <c r="B44" s="7" t="s">
        <v>118</v>
      </c>
      <c r="C44" s="7" t="s">
        <v>150</v>
      </c>
      <c r="D44" s="7" t="s">
        <v>859</v>
      </c>
      <c r="E44" s="7"/>
      <c r="F44" s="488">
        <f>F45+F54+F57</f>
        <v>59265.400000000009</v>
      </c>
      <c r="G44" s="488">
        <f>G45+G54+G57</f>
        <v>65144.400000000009</v>
      </c>
    </row>
    <row r="45" spans="1:8" ht="31.5" x14ac:dyDescent="0.25">
      <c r="A45" s="29" t="s">
        <v>897</v>
      </c>
      <c r="B45" s="573" t="s">
        <v>118</v>
      </c>
      <c r="C45" s="573" t="s">
        <v>150</v>
      </c>
      <c r="D45" s="573" t="s">
        <v>860</v>
      </c>
      <c r="E45" s="573"/>
      <c r="F45" s="489">
        <f>F46+F48+F52+F50</f>
        <v>54643.900000000009</v>
      </c>
      <c r="G45" s="489">
        <f>G46+G48+G52+G50</f>
        <v>60522.900000000009</v>
      </c>
    </row>
    <row r="46" spans="1:8" ht="78.75" x14ac:dyDescent="0.25">
      <c r="A46" s="29" t="s">
        <v>127</v>
      </c>
      <c r="B46" s="573" t="s">
        <v>118</v>
      </c>
      <c r="C46" s="573" t="s">
        <v>150</v>
      </c>
      <c r="D46" s="573" t="s">
        <v>860</v>
      </c>
      <c r="E46" s="573" t="s">
        <v>128</v>
      </c>
      <c r="F46" s="386">
        <f t="shared" ref="F46:G46" si="8">F47</f>
        <v>51367.600000000006</v>
      </c>
      <c r="G46" s="386">
        <f t="shared" si="8"/>
        <v>57246.600000000006</v>
      </c>
    </row>
    <row r="47" spans="1:8" ht="31.5" x14ac:dyDescent="0.25">
      <c r="A47" s="29" t="s">
        <v>129</v>
      </c>
      <c r="B47" s="573" t="s">
        <v>118</v>
      </c>
      <c r="C47" s="573" t="s">
        <v>150</v>
      </c>
      <c r="D47" s="573" t="s">
        <v>860</v>
      </c>
      <c r="E47" s="573" t="s">
        <v>130</v>
      </c>
      <c r="F47" s="386">
        <f>'Пр.4.1 ведом.23-24 '!G54+'Пр.4.1 ведом.23-24 '!G542</f>
        <v>51367.600000000006</v>
      </c>
      <c r="G47" s="386">
        <f>'Пр.4.1 ведом.23-24 '!H54+'Пр.4.1 ведом.23-24 '!H542</f>
        <v>57246.600000000006</v>
      </c>
    </row>
    <row r="48" spans="1:8" ht="31.5" x14ac:dyDescent="0.25">
      <c r="A48" s="29" t="s">
        <v>131</v>
      </c>
      <c r="B48" s="573" t="s">
        <v>118</v>
      </c>
      <c r="C48" s="573" t="s">
        <v>150</v>
      </c>
      <c r="D48" s="573" t="s">
        <v>860</v>
      </c>
      <c r="E48" s="573" t="s">
        <v>132</v>
      </c>
      <c r="F48" s="489">
        <f t="shared" ref="F48:G48" si="9">F49</f>
        <v>3070.3</v>
      </c>
      <c r="G48" s="489">
        <f t="shared" si="9"/>
        <v>3070.3</v>
      </c>
    </row>
    <row r="49" spans="1:7" ht="31.5" x14ac:dyDescent="0.25">
      <c r="A49" s="29" t="s">
        <v>133</v>
      </c>
      <c r="B49" s="573" t="s">
        <v>118</v>
      </c>
      <c r="C49" s="573" t="s">
        <v>150</v>
      </c>
      <c r="D49" s="573" t="s">
        <v>860</v>
      </c>
      <c r="E49" s="573" t="s">
        <v>134</v>
      </c>
      <c r="F49" s="489">
        <f>'Пр.4.1 ведом.23-24 '!G544+'Пр.4.1 ведом.23-24 '!G56</f>
        <v>3070.3</v>
      </c>
      <c r="G49" s="489">
        <f>'Пр.4.1 ведом.23-24 '!H544+'Пр.4.1 ведом.23-24 '!H56</f>
        <v>3070.3</v>
      </c>
    </row>
    <row r="50" spans="1:7" ht="21.2" hidden="1" customHeight="1" x14ac:dyDescent="0.25">
      <c r="A50" s="579" t="s">
        <v>248</v>
      </c>
      <c r="B50" s="573" t="s">
        <v>118</v>
      </c>
      <c r="C50" s="573" t="s">
        <v>150</v>
      </c>
      <c r="D50" s="573" t="s">
        <v>860</v>
      </c>
      <c r="E50" s="573" t="s">
        <v>249</v>
      </c>
      <c r="F50" s="489">
        <f>F51</f>
        <v>0</v>
      </c>
      <c r="G50" s="489">
        <f>G51</f>
        <v>0</v>
      </c>
    </row>
    <row r="51" spans="1:7" ht="31.5" hidden="1" x14ac:dyDescent="0.25">
      <c r="A51" s="579" t="s">
        <v>250</v>
      </c>
      <c r="B51" s="573" t="s">
        <v>118</v>
      </c>
      <c r="C51" s="573" t="s">
        <v>150</v>
      </c>
      <c r="D51" s="573" t="s">
        <v>860</v>
      </c>
      <c r="E51" s="573" t="s">
        <v>251</v>
      </c>
      <c r="F51" s="489">
        <f>'Пр.4 ведом.22'!G57</f>
        <v>0</v>
      </c>
      <c r="G51" s="489">
        <f>'Пр.4 ведом.22'!H57</f>
        <v>0</v>
      </c>
    </row>
    <row r="52" spans="1:7" ht="15.75" x14ac:dyDescent="0.25">
      <c r="A52" s="29" t="s">
        <v>135</v>
      </c>
      <c r="B52" s="573" t="s">
        <v>118</v>
      </c>
      <c r="C52" s="573" t="s">
        <v>150</v>
      </c>
      <c r="D52" s="573" t="s">
        <v>860</v>
      </c>
      <c r="E52" s="573" t="s">
        <v>145</v>
      </c>
      <c r="F52" s="489">
        <f t="shared" ref="F52:G52" si="10">F53</f>
        <v>206</v>
      </c>
      <c r="G52" s="489">
        <f t="shared" si="10"/>
        <v>206</v>
      </c>
    </row>
    <row r="53" spans="1:7" ht="15.75" x14ac:dyDescent="0.25">
      <c r="A53" s="29" t="s">
        <v>568</v>
      </c>
      <c r="B53" s="573" t="s">
        <v>118</v>
      </c>
      <c r="C53" s="573" t="s">
        <v>150</v>
      </c>
      <c r="D53" s="573" t="s">
        <v>860</v>
      </c>
      <c r="E53" s="573" t="s">
        <v>138</v>
      </c>
      <c r="F53" s="489">
        <f>'Пр.4.1 ведом.23-24 '!G60+'Пр.4.1 ведом.23-24 '!G546</f>
        <v>206</v>
      </c>
      <c r="G53" s="489">
        <f>'Пр.4.1 ведом.23-24 '!H60+'Пр.4.1 ведом.23-24 '!H546</f>
        <v>206</v>
      </c>
    </row>
    <row r="54" spans="1:7" ht="31.5" x14ac:dyDescent="0.25">
      <c r="A54" s="579" t="s">
        <v>153</v>
      </c>
      <c r="B54" s="580" t="s">
        <v>118</v>
      </c>
      <c r="C54" s="580" t="s">
        <v>150</v>
      </c>
      <c r="D54" s="573" t="s">
        <v>861</v>
      </c>
      <c r="E54" s="580"/>
      <c r="F54" s="386">
        <f>F55</f>
        <v>2614.9</v>
      </c>
      <c r="G54" s="386">
        <f>G55</f>
        <v>2614.9</v>
      </c>
    </row>
    <row r="55" spans="1:7" ht="78.75" x14ac:dyDescent="0.25">
      <c r="A55" s="579" t="s">
        <v>127</v>
      </c>
      <c r="B55" s="580" t="s">
        <v>118</v>
      </c>
      <c r="C55" s="580" t="s">
        <v>150</v>
      </c>
      <c r="D55" s="573" t="s">
        <v>861</v>
      </c>
      <c r="E55" s="580" t="s">
        <v>128</v>
      </c>
      <c r="F55" s="386">
        <f>F56</f>
        <v>2614.9</v>
      </c>
      <c r="G55" s="386">
        <f>G56</f>
        <v>2614.9</v>
      </c>
    </row>
    <row r="56" spans="1:7" ht="31.5" x14ac:dyDescent="0.25">
      <c r="A56" s="579" t="s">
        <v>129</v>
      </c>
      <c r="B56" s="580" t="s">
        <v>118</v>
      </c>
      <c r="C56" s="580" t="s">
        <v>150</v>
      </c>
      <c r="D56" s="573" t="s">
        <v>861</v>
      </c>
      <c r="E56" s="580" t="s">
        <v>130</v>
      </c>
      <c r="F56" s="386">
        <f>'Пр.4.1 ведом.23-24 '!G63</f>
        <v>2614.9</v>
      </c>
      <c r="G56" s="386">
        <f>'Пр.4.1 ведом.23-24 '!H63</f>
        <v>2614.9</v>
      </c>
    </row>
    <row r="57" spans="1:7" ht="47.25" x14ac:dyDescent="0.25">
      <c r="A57" s="579" t="s">
        <v>839</v>
      </c>
      <c r="B57" s="573" t="s">
        <v>118</v>
      </c>
      <c r="C57" s="580" t="s">
        <v>150</v>
      </c>
      <c r="D57" s="573" t="s">
        <v>862</v>
      </c>
      <c r="E57" s="573"/>
      <c r="F57" s="28">
        <f>F58</f>
        <v>2006.6</v>
      </c>
      <c r="G57" s="28">
        <f>G58</f>
        <v>2006.6</v>
      </c>
    </row>
    <row r="58" spans="1:7" ht="78.75" x14ac:dyDescent="0.25">
      <c r="A58" s="579" t="s">
        <v>127</v>
      </c>
      <c r="B58" s="573" t="s">
        <v>118</v>
      </c>
      <c r="C58" s="580" t="s">
        <v>150</v>
      </c>
      <c r="D58" s="573" t="s">
        <v>862</v>
      </c>
      <c r="E58" s="573" t="s">
        <v>128</v>
      </c>
      <c r="F58" s="28">
        <f>F59</f>
        <v>2006.6</v>
      </c>
      <c r="G58" s="28">
        <f>G59</f>
        <v>2006.6</v>
      </c>
    </row>
    <row r="59" spans="1:7" ht="31.5" x14ac:dyDescent="0.25">
      <c r="A59" s="579" t="s">
        <v>129</v>
      </c>
      <c r="B59" s="573" t="s">
        <v>118</v>
      </c>
      <c r="C59" s="580" t="s">
        <v>150</v>
      </c>
      <c r="D59" s="573" t="s">
        <v>862</v>
      </c>
      <c r="E59" s="573" t="s">
        <v>130</v>
      </c>
      <c r="F59" s="28">
        <f>'Пр.4.1 ведом.23-24 '!G66+'Пр.4.1 ведом.23-24 '!G549</f>
        <v>2006.6</v>
      </c>
      <c r="G59" s="28">
        <f>'Пр.4.1 ведом.23-24 '!H66+'Пр.4.1 ведом.23-24 '!H549</f>
        <v>2006.6</v>
      </c>
    </row>
    <row r="60" spans="1:7" ht="31.5" x14ac:dyDescent="0.25">
      <c r="A60" s="494" t="s">
        <v>885</v>
      </c>
      <c r="B60" s="7" t="s">
        <v>118</v>
      </c>
      <c r="C60" s="495" t="s">
        <v>150</v>
      </c>
      <c r="D60" s="7" t="s">
        <v>863</v>
      </c>
      <c r="E60" s="7"/>
      <c r="F60" s="488">
        <f>F67+F72+F77+F80</f>
        <v>3737.7</v>
      </c>
      <c r="G60" s="488">
        <f>G67+G72+G77+G80</f>
        <v>3870.6</v>
      </c>
    </row>
    <row r="61" spans="1:7" ht="47.25" hidden="1" x14ac:dyDescent="0.25">
      <c r="A61" s="579" t="s">
        <v>187</v>
      </c>
      <c r="B61" s="573" t="s">
        <v>118</v>
      </c>
      <c r="C61" s="580" t="s">
        <v>150</v>
      </c>
      <c r="D61" s="573" t="s">
        <v>1072</v>
      </c>
      <c r="E61" s="7"/>
      <c r="F61" s="10">
        <f>F62</f>
        <v>0</v>
      </c>
      <c r="G61" s="10">
        <f>G62</f>
        <v>0</v>
      </c>
    </row>
    <row r="62" spans="1:7" ht="31.5" hidden="1" x14ac:dyDescent="0.25">
      <c r="A62" s="579" t="s">
        <v>131</v>
      </c>
      <c r="B62" s="573" t="s">
        <v>118</v>
      </c>
      <c r="C62" s="580" t="s">
        <v>150</v>
      </c>
      <c r="D62" s="573" t="s">
        <v>1072</v>
      </c>
      <c r="E62" s="573" t="s">
        <v>132</v>
      </c>
      <c r="F62" s="10">
        <f t="shared" ref="F62:G62" si="11">F63</f>
        <v>0</v>
      </c>
      <c r="G62" s="10">
        <f t="shared" si="11"/>
        <v>0</v>
      </c>
    </row>
    <row r="63" spans="1:7" ht="31.5" hidden="1" x14ac:dyDescent="0.25">
      <c r="A63" s="579" t="s">
        <v>133</v>
      </c>
      <c r="B63" s="573" t="s">
        <v>118</v>
      </c>
      <c r="C63" s="580" t="s">
        <v>150</v>
      </c>
      <c r="D63" s="573" t="s">
        <v>1072</v>
      </c>
      <c r="E63" s="573" t="s">
        <v>134</v>
      </c>
      <c r="F63" s="10">
        <f>'Пр.4 ведом.22'!G69</f>
        <v>0</v>
      </c>
      <c r="G63" s="10">
        <f>'Пр.4 ведом.22'!H69</f>
        <v>0</v>
      </c>
    </row>
    <row r="64" spans="1:7" ht="47.25" hidden="1" x14ac:dyDescent="0.25">
      <c r="A64" s="31" t="s">
        <v>1174</v>
      </c>
      <c r="B64" s="580" t="s">
        <v>118</v>
      </c>
      <c r="C64" s="580" t="s">
        <v>150</v>
      </c>
      <c r="D64" s="580" t="s">
        <v>1173</v>
      </c>
      <c r="E64" s="580"/>
      <c r="F64" s="497">
        <f>F65</f>
        <v>0</v>
      </c>
      <c r="G64" s="497">
        <f>G65</f>
        <v>0</v>
      </c>
    </row>
    <row r="65" spans="1:7" ht="31.5" hidden="1" x14ac:dyDescent="0.25">
      <c r="A65" s="29" t="s">
        <v>131</v>
      </c>
      <c r="B65" s="580" t="s">
        <v>118</v>
      </c>
      <c r="C65" s="580" t="s">
        <v>150</v>
      </c>
      <c r="D65" s="580" t="s">
        <v>1173</v>
      </c>
      <c r="E65" s="580" t="s">
        <v>132</v>
      </c>
      <c r="F65" s="497">
        <f>F66</f>
        <v>0</v>
      </c>
      <c r="G65" s="497">
        <f>G66</f>
        <v>0</v>
      </c>
    </row>
    <row r="66" spans="1:7" ht="31.5" hidden="1" x14ac:dyDescent="0.25">
      <c r="A66" s="29" t="s">
        <v>133</v>
      </c>
      <c r="B66" s="580" t="s">
        <v>118</v>
      </c>
      <c r="C66" s="580" t="s">
        <v>150</v>
      </c>
      <c r="D66" s="580" t="s">
        <v>1173</v>
      </c>
      <c r="E66" s="580" t="s">
        <v>134</v>
      </c>
      <c r="F66" s="497"/>
      <c r="G66" s="497"/>
    </row>
    <row r="67" spans="1:7" ht="47.25" x14ac:dyDescent="0.25">
      <c r="A67" s="45" t="s">
        <v>189</v>
      </c>
      <c r="B67" s="573" t="s">
        <v>118</v>
      </c>
      <c r="C67" s="580" t="s">
        <v>150</v>
      </c>
      <c r="D67" s="573" t="s">
        <v>920</v>
      </c>
      <c r="E67" s="573"/>
      <c r="F67" s="489">
        <f>F68+F70</f>
        <v>601</v>
      </c>
      <c r="G67" s="489">
        <f>G68+G70</f>
        <v>624.20000000000005</v>
      </c>
    </row>
    <row r="68" spans="1:7" ht="78.75" x14ac:dyDescent="0.25">
      <c r="A68" s="29" t="s">
        <v>127</v>
      </c>
      <c r="B68" s="573" t="s">
        <v>118</v>
      </c>
      <c r="C68" s="580" t="s">
        <v>150</v>
      </c>
      <c r="D68" s="573" t="s">
        <v>920</v>
      </c>
      <c r="E68" s="573" t="s">
        <v>128</v>
      </c>
      <c r="F68" s="489">
        <f t="shared" ref="F68:G68" si="12">F69</f>
        <v>601</v>
      </c>
      <c r="G68" s="489">
        <f t="shared" si="12"/>
        <v>624.20000000000005</v>
      </c>
    </row>
    <row r="69" spans="1:7" ht="31.5" x14ac:dyDescent="0.25">
      <c r="A69" s="29" t="s">
        <v>129</v>
      </c>
      <c r="B69" s="573" t="s">
        <v>118</v>
      </c>
      <c r="C69" s="580" t="s">
        <v>150</v>
      </c>
      <c r="D69" s="573" t="s">
        <v>920</v>
      </c>
      <c r="E69" s="573" t="s">
        <v>130</v>
      </c>
      <c r="F69" s="489">
        <f>'Пр.4.1 ведом.23-24 '!G73</f>
        <v>601</v>
      </c>
      <c r="G69" s="489">
        <f>'Пр.4.1 ведом.23-24 '!H73</f>
        <v>624.20000000000005</v>
      </c>
    </row>
    <row r="70" spans="1:7" ht="31.5" hidden="1" x14ac:dyDescent="0.25">
      <c r="A70" s="579" t="s">
        <v>131</v>
      </c>
      <c r="B70" s="573" t="s">
        <v>118</v>
      </c>
      <c r="C70" s="580" t="s">
        <v>150</v>
      </c>
      <c r="D70" s="573" t="s">
        <v>920</v>
      </c>
      <c r="E70" s="573" t="s">
        <v>132</v>
      </c>
      <c r="F70" s="489">
        <f>F71</f>
        <v>0</v>
      </c>
      <c r="G70" s="489">
        <f>G71</f>
        <v>0</v>
      </c>
    </row>
    <row r="71" spans="1:7" ht="31.5" hidden="1" x14ac:dyDescent="0.25">
      <c r="A71" s="579" t="s">
        <v>133</v>
      </c>
      <c r="B71" s="573" t="s">
        <v>118</v>
      </c>
      <c r="C71" s="580" t="s">
        <v>150</v>
      </c>
      <c r="D71" s="573" t="s">
        <v>920</v>
      </c>
      <c r="E71" s="573" t="s">
        <v>134</v>
      </c>
      <c r="F71" s="489">
        <f>'Пр.4 ведом.22'!G74</f>
        <v>0</v>
      </c>
      <c r="G71" s="489">
        <f>'Пр.4 ведом.22'!H74</f>
        <v>0</v>
      </c>
    </row>
    <row r="72" spans="1:7" ht="47.25" x14ac:dyDescent="0.25">
      <c r="A72" s="45" t="s">
        <v>196</v>
      </c>
      <c r="B72" s="573" t="s">
        <v>118</v>
      </c>
      <c r="C72" s="580" t="s">
        <v>150</v>
      </c>
      <c r="D72" s="573" t="s">
        <v>921</v>
      </c>
      <c r="E72" s="573"/>
      <c r="F72" s="489">
        <f t="shared" ref="F72:G72" si="13">F73+F75</f>
        <v>1477.7</v>
      </c>
      <c r="G72" s="489">
        <f t="shared" si="13"/>
        <v>1536.8000000000002</v>
      </c>
    </row>
    <row r="73" spans="1:7" ht="81.75" customHeight="1" x14ac:dyDescent="0.25">
      <c r="A73" s="29" t="s">
        <v>127</v>
      </c>
      <c r="B73" s="573" t="s">
        <v>118</v>
      </c>
      <c r="C73" s="580" t="s">
        <v>150</v>
      </c>
      <c r="D73" s="573" t="s">
        <v>921</v>
      </c>
      <c r="E73" s="573" t="s">
        <v>128</v>
      </c>
      <c r="F73" s="489">
        <f t="shared" ref="F73:G73" si="14">F74</f>
        <v>1383.2</v>
      </c>
      <c r="G73" s="489">
        <f t="shared" si="14"/>
        <v>1436.9</v>
      </c>
    </row>
    <row r="74" spans="1:7" ht="36" customHeight="1" x14ac:dyDescent="0.25">
      <c r="A74" s="29" t="s">
        <v>129</v>
      </c>
      <c r="B74" s="573" t="s">
        <v>118</v>
      </c>
      <c r="C74" s="580" t="s">
        <v>150</v>
      </c>
      <c r="D74" s="573" t="s">
        <v>921</v>
      </c>
      <c r="E74" s="573" t="s">
        <v>130</v>
      </c>
      <c r="F74" s="489">
        <f>'Пр.4.1 ведом.23-24 '!G78</f>
        <v>1383.2</v>
      </c>
      <c r="G74" s="489">
        <f>'Пр.4.1 ведом.23-24 '!H78</f>
        <v>1436.9</v>
      </c>
    </row>
    <row r="75" spans="1:7" ht="31.5" x14ac:dyDescent="0.25">
      <c r="A75" s="29" t="s">
        <v>131</v>
      </c>
      <c r="B75" s="573" t="s">
        <v>118</v>
      </c>
      <c r="C75" s="580" t="s">
        <v>150</v>
      </c>
      <c r="D75" s="573" t="s">
        <v>921</v>
      </c>
      <c r="E75" s="573" t="s">
        <v>132</v>
      </c>
      <c r="F75" s="489">
        <f t="shared" ref="F75:G75" si="15">F76</f>
        <v>94.5</v>
      </c>
      <c r="G75" s="489">
        <f t="shared" si="15"/>
        <v>99.9</v>
      </c>
    </row>
    <row r="76" spans="1:7" ht="31.5" x14ac:dyDescent="0.25">
      <c r="A76" s="29" t="s">
        <v>133</v>
      </c>
      <c r="B76" s="573" t="s">
        <v>118</v>
      </c>
      <c r="C76" s="580" t="s">
        <v>150</v>
      </c>
      <c r="D76" s="573" t="s">
        <v>921</v>
      </c>
      <c r="E76" s="573" t="s">
        <v>134</v>
      </c>
      <c r="F76" s="489">
        <f>'Пр.4.1 ведом.23-24 '!G80</f>
        <v>94.5</v>
      </c>
      <c r="G76" s="489">
        <f>'Пр.4.1 ведом.23-24 '!H80</f>
        <v>99.9</v>
      </c>
    </row>
    <row r="77" spans="1:7" ht="94.5" x14ac:dyDescent="0.25">
      <c r="A77" s="31" t="s">
        <v>1169</v>
      </c>
      <c r="B77" s="580" t="s">
        <v>118</v>
      </c>
      <c r="C77" s="580" t="s">
        <v>150</v>
      </c>
      <c r="D77" s="580" t="s">
        <v>1168</v>
      </c>
      <c r="E77" s="580"/>
      <c r="F77" s="497">
        <f>F78</f>
        <v>17.3</v>
      </c>
      <c r="G77" s="497">
        <f>G78</f>
        <v>17.899999999999999</v>
      </c>
    </row>
    <row r="78" spans="1:7" ht="78.75" x14ac:dyDescent="0.25">
      <c r="A78" s="579" t="s">
        <v>127</v>
      </c>
      <c r="B78" s="580" t="s">
        <v>118</v>
      </c>
      <c r="C78" s="580" t="s">
        <v>150</v>
      </c>
      <c r="D78" s="580" t="s">
        <v>1168</v>
      </c>
      <c r="E78" s="580" t="s">
        <v>128</v>
      </c>
      <c r="F78" s="497">
        <f>F79</f>
        <v>17.3</v>
      </c>
      <c r="G78" s="497">
        <f>G79</f>
        <v>17.899999999999999</v>
      </c>
    </row>
    <row r="79" spans="1:7" ht="31.5" x14ac:dyDescent="0.25">
      <c r="A79" s="579" t="s">
        <v>129</v>
      </c>
      <c r="B79" s="580" t="s">
        <v>118</v>
      </c>
      <c r="C79" s="580" t="s">
        <v>150</v>
      </c>
      <c r="D79" s="580" t="s">
        <v>1168</v>
      </c>
      <c r="E79" s="580" t="s">
        <v>130</v>
      </c>
      <c r="F79" s="497">
        <f>'Пр.4.1 ведом.23-24 '!G553</f>
        <v>17.3</v>
      </c>
      <c r="G79" s="497">
        <f>'Пр.4.1 ведом.23-24 '!H553</f>
        <v>17.899999999999999</v>
      </c>
    </row>
    <row r="80" spans="1:7" ht="47.25" x14ac:dyDescent="0.25">
      <c r="A80" s="579" t="s">
        <v>1766</v>
      </c>
      <c r="B80" s="573" t="s">
        <v>118</v>
      </c>
      <c r="C80" s="580" t="s">
        <v>150</v>
      </c>
      <c r="D80" s="573" t="s">
        <v>1777</v>
      </c>
      <c r="E80" s="573"/>
      <c r="F80" s="489">
        <f>F81+F83</f>
        <v>1641.6999999999998</v>
      </c>
      <c r="G80" s="489">
        <f>G81+G83</f>
        <v>1691.6999999999998</v>
      </c>
    </row>
    <row r="81" spans="1:7" ht="78.75" x14ac:dyDescent="0.25">
      <c r="A81" s="29" t="s">
        <v>127</v>
      </c>
      <c r="B81" s="573" t="s">
        <v>118</v>
      </c>
      <c r="C81" s="580" t="s">
        <v>150</v>
      </c>
      <c r="D81" s="573" t="s">
        <v>1777</v>
      </c>
      <c r="E81" s="573" t="s">
        <v>128</v>
      </c>
      <c r="F81" s="489">
        <f t="shared" ref="F81:G81" si="16">F82</f>
        <v>1605.6</v>
      </c>
      <c r="G81" s="489">
        <f t="shared" si="16"/>
        <v>1560.6</v>
      </c>
    </row>
    <row r="82" spans="1:7" ht="31.5" x14ac:dyDescent="0.25">
      <c r="A82" s="29" t="s">
        <v>129</v>
      </c>
      <c r="B82" s="573" t="s">
        <v>118</v>
      </c>
      <c r="C82" s="580" t="s">
        <v>150</v>
      </c>
      <c r="D82" s="573" t="s">
        <v>1777</v>
      </c>
      <c r="E82" s="573" t="s">
        <v>130</v>
      </c>
      <c r="F82" s="489">
        <f>'Пр.4.1 ведом.23-24 '!G83</f>
        <v>1605.6</v>
      </c>
      <c r="G82" s="489">
        <f>'Пр.4.1 ведом.23-24 '!H83</f>
        <v>1560.6</v>
      </c>
    </row>
    <row r="83" spans="1:7" ht="31.5" x14ac:dyDescent="0.25">
      <c r="A83" s="579" t="s">
        <v>131</v>
      </c>
      <c r="B83" s="573" t="s">
        <v>118</v>
      </c>
      <c r="C83" s="580" t="s">
        <v>150</v>
      </c>
      <c r="D83" s="573" t="s">
        <v>1777</v>
      </c>
      <c r="E83" s="573" t="s">
        <v>132</v>
      </c>
      <c r="F83" s="489">
        <f>F84</f>
        <v>36.1</v>
      </c>
      <c r="G83" s="489">
        <f>G84</f>
        <v>131.1</v>
      </c>
    </row>
    <row r="84" spans="1:7" ht="31.5" x14ac:dyDescent="0.25">
      <c r="A84" s="579" t="s">
        <v>133</v>
      </c>
      <c r="B84" s="573" t="s">
        <v>118</v>
      </c>
      <c r="C84" s="580" t="s">
        <v>150</v>
      </c>
      <c r="D84" s="573" t="s">
        <v>1777</v>
      </c>
      <c r="E84" s="573" t="s">
        <v>134</v>
      </c>
      <c r="F84" s="489">
        <f>'Пр.4.1 ведом.23-24 '!G85</f>
        <v>36.1</v>
      </c>
      <c r="G84" s="489">
        <f>'Пр.4.1 ведом.23-24 '!H85</f>
        <v>131.1</v>
      </c>
    </row>
    <row r="85" spans="1:7" ht="47.25" x14ac:dyDescent="0.25">
      <c r="A85" s="494" t="s">
        <v>1338</v>
      </c>
      <c r="B85" s="495" t="s">
        <v>118</v>
      </c>
      <c r="C85" s="495" t="s">
        <v>150</v>
      </c>
      <c r="D85" s="495" t="s">
        <v>162</v>
      </c>
      <c r="E85" s="495"/>
      <c r="F85" s="488">
        <f>F86+F90+F99</f>
        <v>603.5</v>
      </c>
      <c r="G85" s="488">
        <f>G86+G90+G99</f>
        <v>603.5</v>
      </c>
    </row>
    <row r="86" spans="1:7" ht="63" x14ac:dyDescent="0.25">
      <c r="A86" s="305" t="s">
        <v>1339</v>
      </c>
      <c r="B86" s="495" t="s">
        <v>118</v>
      </c>
      <c r="C86" s="495" t="s">
        <v>150</v>
      </c>
      <c r="D86" s="7" t="s">
        <v>849</v>
      </c>
      <c r="E86" s="495"/>
      <c r="F86" s="488">
        <f t="shared" ref="F86:G88" si="17">F87</f>
        <v>526</v>
      </c>
      <c r="G86" s="488">
        <f t="shared" si="17"/>
        <v>526</v>
      </c>
    </row>
    <row r="87" spans="1:7" ht="47.25" x14ac:dyDescent="0.25">
      <c r="A87" s="29" t="s">
        <v>1308</v>
      </c>
      <c r="B87" s="580" t="s">
        <v>118</v>
      </c>
      <c r="C87" s="580" t="s">
        <v>150</v>
      </c>
      <c r="D87" s="573" t="s">
        <v>841</v>
      </c>
      <c r="E87" s="580"/>
      <c r="F87" s="489">
        <f t="shared" si="17"/>
        <v>526</v>
      </c>
      <c r="G87" s="489">
        <f t="shared" si="17"/>
        <v>526</v>
      </c>
    </row>
    <row r="88" spans="1:7" ht="31.5" x14ac:dyDescent="0.25">
      <c r="A88" s="579" t="s">
        <v>131</v>
      </c>
      <c r="B88" s="580" t="s">
        <v>118</v>
      </c>
      <c r="C88" s="580" t="s">
        <v>150</v>
      </c>
      <c r="D88" s="573" t="s">
        <v>841</v>
      </c>
      <c r="E88" s="580" t="s">
        <v>132</v>
      </c>
      <c r="F88" s="489">
        <f t="shared" si="17"/>
        <v>526</v>
      </c>
      <c r="G88" s="489">
        <f t="shared" si="17"/>
        <v>526</v>
      </c>
    </row>
    <row r="89" spans="1:7" ht="31.5" x14ac:dyDescent="0.25">
      <c r="A89" s="579" t="s">
        <v>133</v>
      </c>
      <c r="B89" s="580" t="s">
        <v>118</v>
      </c>
      <c r="C89" s="580" t="s">
        <v>150</v>
      </c>
      <c r="D89" s="573" t="s">
        <v>841</v>
      </c>
      <c r="E89" s="580" t="s">
        <v>134</v>
      </c>
      <c r="F89" s="489">
        <f>'Пр.4.1 ведом.23-24 '!G90</f>
        <v>526</v>
      </c>
      <c r="G89" s="489">
        <f>'Пр.4.1 ведом.23-24 '!H90</f>
        <v>526</v>
      </c>
    </row>
    <row r="90" spans="1:7" ht="63" x14ac:dyDescent="0.25">
      <c r="A90" s="220" t="s">
        <v>843</v>
      </c>
      <c r="B90" s="495" t="s">
        <v>118</v>
      </c>
      <c r="C90" s="495" t="s">
        <v>150</v>
      </c>
      <c r="D90" s="7" t="s">
        <v>850</v>
      </c>
      <c r="E90" s="495"/>
      <c r="F90" s="488">
        <f>F91+F96</f>
        <v>77</v>
      </c>
      <c r="G90" s="488">
        <f>G91+G96</f>
        <v>77</v>
      </c>
    </row>
    <row r="91" spans="1:7" ht="47.25" x14ac:dyDescent="0.25">
      <c r="A91" s="174" t="s">
        <v>165</v>
      </c>
      <c r="B91" s="580" t="s">
        <v>118</v>
      </c>
      <c r="C91" s="580" t="s">
        <v>150</v>
      </c>
      <c r="D91" s="573" t="s">
        <v>842</v>
      </c>
      <c r="E91" s="580"/>
      <c r="F91" s="489">
        <f>F92+F94</f>
        <v>77</v>
      </c>
      <c r="G91" s="489">
        <f>G92+G94</f>
        <v>77</v>
      </c>
    </row>
    <row r="92" spans="1:7" ht="78.75" x14ac:dyDescent="0.25">
      <c r="A92" s="579" t="s">
        <v>127</v>
      </c>
      <c r="B92" s="580" t="s">
        <v>118</v>
      </c>
      <c r="C92" s="580" t="s">
        <v>150</v>
      </c>
      <c r="D92" s="573" t="s">
        <v>842</v>
      </c>
      <c r="E92" s="580" t="s">
        <v>128</v>
      </c>
      <c r="F92" s="489">
        <f>F93</f>
        <v>37.200000000000003</v>
      </c>
      <c r="G92" s="489">
        <f>G93</f>
        <v>37.200000000000003</v>
      </c>
    </row>
    <row r="93" spans="1:7" ht="31.5" x14ac:dyDescent="0.25">
      <c r="A93" s="579" t="s">
        <v>129</v>
      </c>
      <c r="B93" s="580" t="s">
        <v>118</v>
      </c>
      <c r="C93" s="580" t="s">
        <v>150</v>
      </c>
      <c r="D93" s="573" t="s">
        <v>842</v>
      </c>
      <c r="E93" s="580" t="s">
        <v>130</v>
      </c>
      <c r="F93" s="489">
        <f>'Пр.4.1 ведом.23-24 '!G94</f>
        <v>37.200000000000003</v>
      </c>
      <c r="G93" s="489">
        <f>'Пр.4.1 ведом.23-24 '!H94</f>
        <v>37.200000000000003</v>
      </c>
    </row>
    <row r="94" spans="1:7" ht="31.5" x14ac:dyDescent="0.25">
      <c r="A94" s="579" t="s">
        <v>131</v>
      </c>
      <c r="B94" s="580" t="s">
        <v>118</v>
      </c>
      <c r="C94" s="580" t="s">
        <v>150</v>
      </c>
      <c r="D94" s="573" t="s">
        <v>842</v>
      </c>
      <c r="E94" s="580" t="s">
        <v>132</v>
      </c>
      <c r="F94" s="489">
        <f>F95</f>
        <v>39.799999999999997</v>
      </c>
      <c r="G94" s="489">
        <f>G95</f>
        <v>39.799999999999997</v>
      </c>
    </row>
    <row r="95" spans="1:7" ht="31.5" x14ac:dyDescent="0.25">
      <c r="A95" s="579" t="s">
        <v>133</v>
      </c>
      <c r="B95" s="580" t="s">
        <v>118</v>
      </c>
      <c r="C95" s="580" t="s">
        <v>150</v>
      </c>
      <c r="D95" s="573" t="s">
        <v>842</v>
      </c>
      <c r="E95" s="580" t="s">
        <v>134</v>
      </c>
      <c r="F95" s="489">
        <f>'Пр.4.1 ведом.23-24 '!G96</f>
        <v>39.799999999999997</v>
      </c>
      <c r="G95" s="489">
        <f>'Пр.4.1 ведом.23-24 '!H96</f>
        <v>39.799999999999997</v>
      </c>
    </row>
    <row r="96" spans="1:7" ht="47.25" hidden="1" x14ac:dyDescent="0.25">
      <c r="A96" s="31" t="s">
        <v>1094</v>
      </c>
      <c r="B96" s="580" t="s">
        <v>118</v>
      </c>
      <c r="C96" s="580" t="s">
        <v>150</v>
      </c>
      <c r="D96" s="573" t="s">
        <v>993</v>
      </c>
      <c r="E96" s="580"/>
      <c r="F96" s="497">
        <f>F97</f>
        <v>0</v>
      </c>
      <c r="G96" s="497">
        <f>G97</f>
        <v>0</v>
      </c>
    </row>
    <row r="97" spans="1:7" ht="31.5" hidden="1" x14ac:dyDescent="0.25">
      <c r="A97" s="579" t="s">
        <v>131</v>
      </c>
      <c r="B97" s="580" t="s">
        <v>118</v>
      </c>
      <c r="C97" s="580" t="s">
        <v>150</v>
      </c>
      <c r="D97" s="573" t="s">
        <v>993</v>
      </c>
      <c r="E97" s="580" t="s">
        <v>132</v>
      </c>
      <c r="F97" s="497">
        <f>F98</f>
        <v>0</v>
      </c>
      <c r="G97" s="497">
        <f>G98</f>
        <v>0</v>
      </c>
    </row>
    <row r="98" spans="1:7" ht="31.5" hidden="1" x14ac:dyDescent="0.25">
      <c r="A98" s="579" t="s">
        <v>133</v>
      </c>
      <c r="B98" s="580" t="s">
        <v>118</v>
      </c>
      <c r="C98" s="580" t="s">
        <v>150</v>
      </c>
      <c r="D98" s="573" t="s">
        <v>993</v>
      </c>
      <c r="E98" s="580" t="s">
        <v>134</v>
      </c>
      <c r="F98" s="497"/>
      <c r="G98" s="497"/>
    </row>
    <row r="99" spans="1:7" ht="63" x14ac:dyDescent="0.25">
      <c r="A99" s="221" t="s">
        <v>1003</v>
      </c>
      <c r="B99" s="495" t="s">
        <v>118</v>
      </c>
      <c r="C99" s="495" t="s">
        <v>150</v>
      </c>
      <c r="D99" s="7" t="s">
        <v>851</v>
      </c>
      <c r="E99" s="495"/>
      <c r="F99" s="488">
        <f t="shared" ref="F99:G101" si="18">F100</f>
        <v>0.5</v>
      </c>
      <c r="G99" s="488">
        <f t="shared" si="18"/>
        <v>0.5</v>
      </c>
    </row>
    <row r="100" spans="1:7" ht="47.25" x14ac:dyDescent="0.25">
      <c r="A100" s="33" t="s">
        <v>191</v>
      </c>
      <c r="B100" s="580" t="s">
        <v>118</v>
      </c>
      <c r="C100" s="580" t="s">
        <v>150</v>
      </c>
      <c r="D100" s="573" t="s">
        <v>844</v>
      </c>
      <c r="E100" s="580"/>
      <c r="F100" s="489">
        <f t="shared" si="18"/>
        <v>0.5</v>
      </c>
      <c r="G100" s="489">
        <f t="shared" si="18"/>
        <v>0.5</v>
      </c>
    </row>
    <row r="101" spans="1:7" ht="31.5" x14ac:dyDescent="0.25">
      <c r="A101" s="579" t="s">
        <v>131</v>
      </c>
      <c r="B101" s="580" t="s">
        <v>118</v>
      </c>
      <c r="C101" s="580" t="s">
        <v>150</v>
      </c>
      <c r="D101" s="573" t="s">
        <v>844</v>
      </c>
      <c r="E101" s="580" t="s">
        <v>132</v>
      </c>
      <c r="F101" s="489">
        <f t="shared" si="18"/>
        <v>0.5</v>
      </c>
      <c r="G101" s="489">
        <f t="shared" si="18"/>
        <v>0.5</v>
      </c>
    </row>
    <row r="102" spans="1:7" ht="31.5" x14ac:dyDescent="0.25">
      <c r="A102" s="579" t="s">
        <v>133</v>
      </c>
      <c r="B102" s="580" t="s">
        <v>118</v>
      </c>
      <c r="C102" s="580" t="s">
        <v>150</v>
      </c>
      <c r="D102" s="573" t="s">
        <v>844</v>
      </c>
      <c r="E102" s="580" t="s">
        <v>134</v>
      </c>
      <c r="F102" s="489">
        <f>'Пр.4.1 ведом.23-24 '!G103</f>
        <v>0.5</v>
      </c>
      <c r="G102" s="489">
        <f>'Пр.4.1 ведом.23-24 '!H103</f>
        <v>0.5</v>
      </c>
    </row>
    <row r="103" spans="1:7" ht="47.25" x14ac:dyDescent="0.25">
      <c r="A103" s="572" t="s">
        <v>119</v>
      </c>
      <c r="B103" s="7" t="s">
        <v>118</v>
      </c>
      <c r="C103" s="7" t="s">
        <v>120</v>
      </c>
      <c r="D103" s="7"/>
      <c r="E103" s="7"/>
      <c r="F103" s="488">
        <f t="shared" ref="F103:G103" si="19">F104</f>
        <v>18932.8</v>
      </c>
      <c r="G103" s="488">
        <f t="shared" si="19"/>
        <v>18846.8</v>
      </c>
    </row>
    <row r="104" spans="1:7" ht="34.9" customHeight="1" x14ac:dyDescent="0.25">
      <c r="A104" s="494" t="s">
        <v>917</v>
      </c>
      <c r="B104" s="7" t="s">
        <v>118</v>
      </c>
      <c r="C104" s="7" t="s">
        <v>120</v>
      </c>
      <c r="D104" s="7" t="s">
        <v>858</v>
      </c>
      <c r="E104" s="7"/>
      <c r="F104" s="488">
        <f>F105+F116</f>
        <v>18932.8</v>
      </c>
      <c r="G104" s="488">
        <f>G105+G116</f>
        <v>18846.8</v>
      </c>
    </row>
    <row r="105" spans="1:7" ht="15.75" x14ac:dyDescent="0.25">
      <c r="A105" s="494" t="s">
        <v>918</v>
      </c>
      <c r="B105" s="7" t="s">
        <v>118</v>
      </c>
      <c r="C105" s="7" t="s">
        <v>120</v>
      </c>
      <c r="D105" s="7" t="s">
        <v>859</v>
      </c>
      <c r="E105" s="7"/>
      <c r="F105" s="488">
        <f>F106+F113</f>
        <v>15973.4</v>
      </c>
      <c r="G105" s="488">
        <f>G106+G113</f>
        <v>15887.4</v>
      </c>
    </row>
    <row r="106" spans="1:7" ht="37.5" customHeight="1" x14ac:dyDescent="0.25">
      <c r="A106" s="29" t="s">
        <v>897</v>
      </c>
      <c r="B106" s="573" t="s">
        <v>118</v>
      </c>
      <c r="C106" s="573" t="s">
        <v>120</v>
      </c>
      <c r="D106" s="573" t="s">
        <v>860</v>
      </c>
      <c r="E106" s="573"/>
      <c r="F106" s="489">
        <f t="shared" ref="F106:G106" si="20">F107+F109+F111</f>
        <v>15437.4</v>
      </c>
      <c r="G106" s="489">
        <f t="shared" si="20"/>
        <v>15437.4</v>
      </c>
    </row>
    <row r="107" spans="1:7" ht="78.75" x14ac:dyDescent="0.25">
      <c r="A107" s="29" t="s">
        <v>127</v>
      </c>
      <c r="B107" s="573" t="s">
        <v>118</v>
      </c>
      <c r="C107" s="573" t="s">
        <v>120</v>
      </c>
      <c r="D107" s="573" t="s">
        <v>860</v>
      </c>
      <c r="E107" s="573" t="s">
        <v>128</v>
      </c>
      <c r="F107" s="489">
        <f t="shared" ref="F107:G107" si="21">F108</f>
        <v>14439.9</v>
      </c>
      <c r="G107" s="489">
        <f t="shared" si="21"/>
        <v>14439.9</v>
      </c>
    </row>
    <row r="108" spans="1:7" ht="31.5" x14ac:dyDescent="0.25">
      <c r="A108" s="29" t="s">
        <v>129</v>
      </c>
      <c r="B108" s="573" t="s">
        <v>118</v>
      </c>
      <c r="C108" s="573" t="s">
        <v>120</v>
      </c>
      <c r="D108" s="573" t="s">
        <v>860</v>
      </c>
      <c r="E108" s="573" t="s">
        <v>130</v>
      </c>
      <c r="F108" s="386">
        <f>'Пр.4.1 ведом.23-24 '!G17+'Пр.4.1 ведом.23-24 '!G109</f>
        <v>14439.9</v>
      </c>
      <c r="G108" s="386">
        <f>'Пр.4.1 ведом.23-24 '!H17+'Пр.4.1 ведом.23-24 '!H109</f>
        <v>14439.9</v>
      </c>
    </row>
    <row r="109" spans="1:7" ht="31.5" x14ac:dyDescent="0.25">
      <c r="A109" s="29" t="s">
        <v>131</v>
      </c>
      <c r="B109" s="573" t="s">
        <v>118</v>
      </c>
      <c r="C109" s="573" t="s">
        <v>120</v>
      </c>
      <c r="D109" s="573" t="s">
        <v>860</v>
      </c>
      <c r="E109" s="573" t="s">
        <v>132</v>
      </c>
      <c r="F109" s="489">
        <f t="shared" ref="F109:G109" si="22">F110</f>
        <v>969.5</v>
      </c>
      <c r="G109" s="489">
        <f t="shared" si="22"/>
        <v>969.5</v>
      </c>
    </row>
    <row r="110" spans="1:7" ht="31.5" x14ac:dyDescent="0.25">
      <c r="A110" s="29" t="s">
        <v>133</v>
      </c>
      <c r="B110" s="573" t="s">
        <v>118</v>
      </c>
      <c r="C110" s="573" t="s">
        <v>120</v>
      </c>
      <c r="D110" s="573" t="s">
        <v>860</v>
      </c>
      <c r="E110" s="573" t="s">
        <v>134</v>
      </c>
      <c r="F110" s="489">
        <f>'Пр.4.1 ведом.23-24 '!G19</f>
        <v>969.5</v>
      </c>
      <c r="G110" s="489">
        <f>'Пр.4.1 ведом.23-24 '!H19</f>
        <v>969.5</v>
      </c>
    </row>
    <row r="111" spans="1:7" ht="15.75" x14ac:dyDescent="0.25">
      <c r="A111" s="29" t="s">
        <v>135</v>
      </c>
      <c r="B111" s="573" t="s">
        <v>118</v>
      </c>
      <c r="C111" s="573" t="s">
        <v>120</v>
      </c>
      <c r="D111" s="573" t="s">
        <v>860</v>
      </c>
      <c r="E111" s="573" t="s">
        <v>145</v>
      </c>
      <c r="F111" s="489">
        <f t="shared" ref="F111:G111" si="23">F112</f>
        <v>28</v>
      </c>
      <c r="G111" s="489">
        <f t="shared" si="23"/>
        <v>28</v>
      </c>
    </row>
    <row r="112" spans="1:7" ht="15.75" x14ac:dyDescent="0.25">
      <c r="A112" s="29" t="s">
        <v>568</v>
      </c>
      <c r="B112" s="573" t="s">
        <v>118</v>
      </c>
      <c r="C112" s="573" t="s">
        <v>120</v>
      </c>
      <c r="D112" s="573" t="s">
        <v>860</v>
      </c>
      <c r="E112" s="573" t="s">
        <v>138</v>
      </c>
      <c r="F112" s="489">
        <f>'Пр.4.1 ведом.23-24 '!G21</f>
        <v>28</v>
      </c>
      <c r="G112" s="489">
        <f>'Пр.4.1 ведом.23-24 '!H21</f>
        <v>28</v>
      </c>
    </row>
    <row r="113" spans="1:7" ht="54" customHeight="1" x14ac:dyDescent="0.25">
      <c r="A113" s="579" t="s">
        <v>839</v>
      </c>
      <c r="B113" s="580" t="s">
        <v>118</v>
      </c>
      <c r="C113" s="580" t="s">
        <v>120</v>
      </c>
      <c r="D113" s="580" t="s">
        <v>862</v>
      </c>
      <c r="E113" s="580"/>
      <c r="F113" s="489">
        <f>F114</f>
        <v>536</v>
      </c>
      <c r="G113" s="489">
        <f>G114</f>
        <v>450</v>
      </c>
    </row>
    <row r="114" spans="1:7" ht="80.45" customHeight="1" x14ac:dyDescent="0.25">
      <c r="A114" s="579" t="s">
        <v>127</v>
      </c>
      <c r="B114" s="580" t="s">
        <v>118</v>
      </c>
      <c r="C114" s="580" t="s">
        <v>120</v>
      </c>
      <c r="D114" s="580" t="s">
        <v>862</v>
      </c>
      <c r="E114" s="580" t="s">
        <v>128</v>
      </c>
      <c r="F114" s="489">
        <f>F115</f>
        <v>536</v>
      </c>
      <c r="G114" s="489">
        <f>G115</f>
        <v>450</v>
      </c>
    </row>
    <row r="115" spans="1:7" ht="36" customHeight="1" x14ac:dyDescent="0.25">
      <c r="A115" s="579" t="s">
        <v>129</v>
      </c>
      <c r="B115" s="580" t="s">
        <v>118</v>
      </c>
      <c r="C115" s="580" t="s">
        <v>120</v>
      </c>
      <c r="D115" s="580" t="s">
        <v>862</v>
      </c>
      <c r="E115" s="580" t="s">
        <v>130</v>
      </c>
      <c r="F115" s="489">
        <f>'Пр.4.1 ведом.23-24 '!G24+'Пр.4.1 ведом.23-24 '!G112</f>
        <v>536</v>
      </c>
      <c r="G115" s="489">
        <f>'Пр.4.1 ведом.23-24 '!H24+'Пр.4.1 ведом.23-24 '!H112</f>
        <v>450</v>
      </c>
    </row>
    <row r="116" spans="1:7" ht="31.5" x14ac:dyDescent="0.25">
      <c r="A116" s="494" t="s">
        <v>1705</v>
      </c>
      <c r="B116" s="7" t="s">
        <v>118</v>
      </c>
      <c r="C116" s="7" t="s">
        <v>120</v>
      </c>
      <c r="D116" s="7" t="s">
        <v>1706</v>
      </c>
      <c r="E116" s="7"/>
      <c r="F116" s="488">
        <f>F117+F122+F125</f>
        <v>2959.4</v>
      </c>
      <c r="G116" s="488">
        <f>G117+G122+G125</f>
        <v>2959.4</v>
      </c>
    </row>
    <row r="117" spans="1:7" ht="31.5" x14ac:dyDescent="0.25">
      <c r="A117" s="579" t="s">
        <v>897</v>
      </c>
      <c r="B117" s="580" t="s">
        <v>118</v>
      </c>
      <c r="C117" s="580" t="s">
        <v>120</v>
      </c>
      <c r="D117" s="580" t="s">
        <v>1709</v>
      </c>
      <c r="E117" s="580"/>
      <c r="F117" s="489">
        <f>F119+F120</f>
        <v>723.6</v>
      </c>
      <c r="G117" s="489">
        <f>G119+G120</f>
        <v>723.6</v>
      </c>
    </row>
    <row r="118" spans="1:7" ht="78.75" x14ac:dyDescent="0.25">
      <c r="A118" s="579" t="s">
        <v>127</v>
      </c>
      <c r="B118" s="580" t="s">
        <v>118</v>
      </c>
      <c r="C118" s="580" t="s">
        <v>120</v>
      </c>
      <c r="D118" s="580" t="s">
        <v>1709</v>
      </c>
      <c r="E118" s="580" t="s">
        <v>128</v>
      </c>
      <c r="F118" s="489">
        <f>F119</f>
        <v>630.6</v>
      </c>
      <c r="G118" s="489">
        <f>G119</f>
        <v>630.6</v>
      </c>
    </row>
    <row r="119" spans="1:7" ht="31.5" x14ac:dyDescent="0.25">
      <c r="A119" s="579" t="s">
        <v>129</v>
      </c>
      <c r="B119" s="580" t="s">
        <v>118</v>
      </c>
      <c r="C119" s="580" t="s">
        <v>120</v>
      </c>
      <c r="D119" s="580" t="s">
        <v>1709</v>
      </c>
      <c r="E119" s="580" t="s">
        <v>130</v>
      </c>
      <c r="F119" s="489">
        <f>'Пр.4.1 ведом.23-24 '!G526</f>
        <v>630.6</v>
      </c>
      <c r="G119" s="489">
        <f>'Пр.4.1 ведом.23-24 '!H526</f>
        <v>630.6</v>
      </c>
    </row>
    <row r="120" spans="1:7" ht="31.5" x14ac:dyDescent="0.25">
      <c r="A120" s="579" t="s">
        <v>198</v>
      </c>
      <c r="B120" s="580" t="s">
        <v>118</v>
      </c>
      <c r="C120" s="580" t="s">
        <v>120</v>
      </c>
      <c r="D120" s="580" t="s">
        <v>1709</v>
      </c>
      <c r="E120" s="580" t="s">
        <v>132</v>
      </c>
      <c r="F120" s="489">
        <f>F121</f>
        <v>93</v>
      </c>
      <c r="G120" s="489">
        <f>G121</f>
        <v>93</v>
      </c>
    </row>
    <row r="121" spans="1:7" ht="31.5" x14ac:dyDescent="0.25">
      <c r="A121" s="579" t="s">
        <v>133</v>
      </c>
      <c r="B121" s="580" t="s">
        <v>118</v>
      </c>
      <c r="C121" s="580" t="s">
        <v>120</v>
      </c>
      <c r="D121" s="580" t="s">
        <v>1709</v>
      </c>
      <c r="E121" s="580" t="s">
        <v>134</v>
      </c>
      <c r="F121" s="489">
        <f>'Пр.4.1 ведом.23-24 '!G528</f>
        <v>93</v>
      </c>
      <c r="G121" s="489">
        <f>'Пр.4.1 ведом.23-24 '!H528</f>
        <v>93</v>
      </c>
    </row>
    <row r="122" spans="1:7" ht="47.25" x14ac:dyDescent="0.25">
      <c r="A122" s="579" t="s">
        <v>1707</v>
      </c>
      <c r="B122" s="580" t="s">
        <v>118</v>
      </c>
      <c r="C122" s="580" t="s">
        <v>120</v>
      </c>
      <c r="D122" s="580" t="s">
        <v>1708</v>
      </c>
      <c r="E122" s="580"/>
      <c r="F122" s="489">
        <f>F123</f>
        <v>2235.8000000000002</v>
      </c>
      <c r="G122" s="489">
        <f>G123</f>
        <v>2235.8000000000002</v>
      </c>
    </row>
    <row r="123" spans="1:7" ht="78.75" x14ac:dyDescent="0.25">
      <c r="A123" s="579" t="s">
        <v>127</v>
      </c>
      <c r="B123" s="580" t="s">
        <v>118</v>
      </c>
      <c r="C123" s="580" t="s">
        <v>120</v>
      </c>
      <c r="D123" s="580" t="s">
        <v>1708</v>
      </c>
      <c r="E123" s="580" t="s">
        <v>128</v>
      </c>
      <c r="F123" s="489">
        <f>F124</f>
        <v>2235.8000000000002</v>
      </c>
      <c r="G123" s="489">
        <f>G124</f>
        <v>2235.8000000000002</v>
      </c>
    </row>
    <row r="124" spans="1:7" ht="31.5" x14ac:dyDescent="0.25">
      <c r="A124" s="579" t="s">
        <v>129</v>
      </c>
      <c r="B124" s="580" t="s">
        <v>118</v>
      </c>
      <c r="C124" s="580" t="s">
        <v>120</v>
      </c>
      <c r="D124" s="580" t="s">
        <v>1708</v>
      </c>
      <c r="E124" s="580" t="s">
        <v>130</v>
      </c>
      <c r="F124" s="489">
        <f>'Пр.4.1 ведом.23-24 '!G531</f>
        <v>2235.8000000000002</v>
      </c>
      <c r="G124" s="489">
        <f>'Пр.4.1 ведом.23-24 '!H531</f>
        <v>2235.8000000000002</v>
      </c>
    </row>
    <row r="125" spans="1:7" ht="47.25" hidden="1" x14ac:dyDescent="0.25">
      <c r="A125" s="579" t="s">
        <v>839</v>
      </c>
      <c r="B125" s="580" t="s">
        <v>118</v>
      </c>
      <c r="C125" s="580" t="s">
        <v>120</v>
      </c>
      <c r="D125" s="580" t="s">
        <v>1778</v>
      </c>
      <c r="E125" s="580"/>
      <c r="F125" s="489">
        <f>F126</f>
        <v>0</v>
      </c>
      <c r="G125" s="489">
        <f>G126</f>
        <v>0</v>
      </c>
    </row>
    <row r="126" spans="1:7" ht="78.75" hidden="1" x14ac:dyDescent="0.25">
      <c r="A126" s="579" t="s">
        <v>127</v>
      </c>
      <c r="B126" s="580" t="s">
        <v>118</v>
      </c>
      <c r="C126" s="580" t="s">
        <v>120</v>
      </c>
      <c r="D126" s="580" t="s">
        <v>1778</v>
      </c>
      <c r="E126" s="580" t="s">
        <v>128</v>
      </c>
      <c r="F126" s="489">
        <f>F127</f>
        <v>0</v>
      </c>
      <c r="G126" s="489">
        <f>G127</f>
        <v>0</v>
      </c>
    </row>
    <row r="127" spans="1:7" ht="36" hidden="1" customHeight="1" x14ac:dyDescent="0.25">
      <c r="A127" s="579" t="s">
        <v>129</v>
      </c>
      <c r="B127" s="580" t="s">
        <v>118</v>
      </c>
      <c r="C127" s="580" t="s">
        <v>120</v>
      </c>
      <c r="D127" s="580" t="s">
        <v>1778</v>
      </c>
      <c r="E127" s="580" t="s">
        <v>130</v>
      </c>
      <c r="F127" s="489">
        <f>'Пр.4 ведом.22'!G533</f>
        <v>0</v>
      </c>
      <c r="G127" s="489">
        <f>'Пр.4 ведом.22'!H533</f>
        <v>0</v>
      </c>
    </row>
    <row r="128" spans="1:7" ht="20.25" hidden="1" customHeight="1" x14ac:dyDescent="0.25">
      <c r="A128" s="494" t="s">
        <v>1147</v>
      </c>
      <c r="B128" s="495" t="s">
        <v>118</v>
      </c>
      <c r="C128" s="495" t="s">
        <v>264</v>
      </c>
      <c r="D128" s="495"/>
      <c r="E128" s="580"/>
      <c r="F128" s="493">
        <f t="shared" ref="F128:G130" si="24">F129</f>
        <v>0</v>
      </c>
      <c r="G128" s="493">
        <f t="shared" si="24"/>
        <v>0</v>
      </c>
    </row>
    <row r="129" spans="1:10" ht="23.25" hidden="1" customHeight="1" x14ac:dyDescent="0.25">
      <c r="A129" s="494" t="s">
        <v>141</v>
      </c>
      <c r="B129" s="495" t="s">
        <v>118</v>
      </c>
      <c r="C129" s="495" t="s">
        <v>264</v>
      </c>
      <c r="D129" s="495" t="s">
        <v>866</v>
      </c>
      <c r="E129" s="580"/>
      <c r="F129" s="493">
        <f t="shared" si="24"/>
        <v>0</v>
      </c>
      <c r="G129" s="493">
        <f t="shared" si="24"/>
        <v>0</v>
      </c>
    </row>
    <row r="130" spans="1:10" ht="36" hidden="1" customHeight="1" x14ac:dyDescent="0.25">
      <c r="A130" s="494" t="s">
        <v>870</v>
      </c>
      <c r="B130" s="495" t="s">
        <v>118</v>
      </c>
      <c r="C130" s="495" t="s">
        <v>264</v>
      </c>
      <c r="D130" s="495" t="s">
        <v>865</v>
      </c>
      <c r="E130" s="580"/>
      <c r="F130" s="493">
        <f t="shared" si="24"/>
        <v>0</v>
      </c>
      <c r="G130" s="493">
        <f t="shared" si="24"/>
        <v>0</v>
      </c>
    </row>
    <row r="131" spans="1:10" ht="24" hidden="1" customHeight="1" x14ac:dyDescent="0.25">
      <c r="A131" s="45" t="s">
        <v>199</v>
      </c>
      <c r="B131" s="580" t="s">
        <v>118</v>
      </c>
      <c r="C131" s="580" t="s">
        <v>264</v>
      </c>
      <c r="D131" s="580" t="s">
        <v>1146</v>
      </c>
      <c r="E131" s="580"/>
      <c r="F131" s="497">
        <f>F132+F134</f>
        <v>0</v>
      </c>
      <c r="G131" s="497">
        <f>G132+G134</f>
        <v>0</v>
      </c>
    </row>
    <row r="132" spans="1:10" ht="78.75" hidden="1" customHeight="1" x14ac:dyDescent="0.25">
      <c r="A132" s="579" t="s">
        <v>127</v>
      </c>
      <c r="B132" s="580" t="s">
        <v>118</v>
      </c>
      <c r="C132" s="580" t="s">
        <v>264</v>
      </c>
      <c r="D132" s="580" t="s">
        <v>1146</v>
      </c>
      <c r="E132" s="580" t="s">
        <v>128</v>
      </c>
      <c r="F132" s="497">
        <f>F133</f>
        <v>0</v>
      </c>
      <c r="G132" s="497">
        <f>G133</f>
        <v>0</v>
      </c>
    </row>
    <row r="133" spans="1:10" ht="36" hidden="1" customHeight="1" x14ac:dyDescent="0.25">
      <c r="A133" s="579" t="s">
        <v>129</v>
      </c>
      <c r="B133" s="580" t="s">
        <v>118</v>
      </c>
      <c r="C133" s="580" t="s">
        <v>264</v>
      </c>
      <c r="D133" s="580" t="s">
        <v>1146</v>
      </c>
      <c r="E133" s="580" t="s">
        <v>130</v>
      </c>
      <c r="F133" s="497">
        <f>'Пр.4 ведом.22'!G117</f>
        <v>0</v>
      </c>
      <c r="G133" s="497">
        <f>'Пр.4 ведом.22'!H117</f>
        <v>0</v>
      </c>
    </row>
    <row r="134" spans="1:10" ht="36" hidden="1" customHeight="1" x14ac:dyDescent="0.25">
      <c r="A134" s="579" t="s">
        <v>198</v>
      </c>
      <c r="B134" s="580" t="s">
        <v>118</v>
      </c>
      <c r="C134" s="580" t="s">
        <v>264</v>
      </c>
      <c r="D134" s="580" t="s">
        <v>1146</v>
      </c>
      <c r="E134" s="580" t="s">
        <v>132</v>
      </c>
      <c r="F134" s="497">
        <f>F135</f>
        <v>0</v>
      </c>
      <c r="G134" s="497">
        <f>G135</f>
        <v>0</v>
      </c>
    </row>
    <row r="135" spans="1:10" ht="36" hidden="1" customHeight="1" x14ac:dyDescent="0.25">
      <c r="A135" s="579" t="s">
        <v>133</v>
      </c>
      <c r="B135" s="580" t="s">
        <v>118</v>
      </c>
      <c r="C135" s="580" t="s">
        <v>264</v>
      </c>
      <c r="D135" s="580" t="s">
        <v>1146</v>
      </c>
      <c r="E135" s="580" t="s">
        <v>134</v>
      </c>
      <c r="F135" s="497">
        <f>'Пр.4 ведом.22'!G119</f>
        <v>0</v>
      </c>
      <c r="G135" s="497">
        <f>'Пр.4 ведом.22'!H119</f>
        <v>0</v>
      </c>
    </row>
    <row r="136" spans="1:10" ht="22.7" customHeight="1" x14ac:dyDescent="0.25">
      <c r="A136" s="494" t="s">
        <v>1400</v>
      </c>
      <c r="B136" s="495" t="s">
        <v>118</v>
      </c>
      <c r="C136" s="495" t="s">
        <v>491</v>
      </c>
      <c r="D136" s="495"/>
      <c r="E136" s="495"/>
      <c r="F136" s="493">
        <f>F137</f>
        <v>50</v>
      </c>
      <c r="G136" s="493">
        <f>G137</f>
        <v>50</v>
      </c>
    </row>
    <row r="137" spans="1:10" ht="18.399999999999999" customHeight="1" x14ac:dyDescent="0.25">
      <c r="A137" s="494" t="s">
        <v>141</v>
      </c>
      <c r="B137" s="495" t="s">
        <v>118</v>
      </c>
      <c r="C137" s="495" t="s">
        <v>491</v>
      </c>
      <c r="D137" s="495" t="s">
        <v>866</v>
      </c>
      <c r="E137" s="495"/>
      <c r="F137" s="493">
        <f t="shared" ref="F137:G139" si="25">F138</f>
        <v>50</v>
      </c>
      <c r="G137" s="493">
        <f t="shared" si="25"/>
        <v>50</v>
      </c>
    </row>
    <row r="138" spans="1:10" ht="36" customHeight="1" x14ac:dyDescent="0.25">
      <c r="A138" s="494" t="s">
        <v>870</v>
      </c>
      <c r="B138" s="495" t="s">
        <v>118</v>
      </c>
      <c r="C138" s="495" t="s">
        <v>491</v>
      </c>
      <c r="D138" s="495" t="s">
        <v>865</v>
      </c>
      <c r="E138" s="495"/>
      <c r="F138" s="493">
        <f t="shared" si="25"/>
        <v>50</v>
      </c>
      <c r="G138" s="493">
        <f t="shared" si="25"/>
        <v>50</v>
      </c>
    </row>
    <row r="139" spans="1:10" ht="16.350000000000001" customHeight="1" x14ac:dyDescent="0.25">
      <c r="A139" s="579" t="s">
        <v>1137</v>
      </c>
      <c r="B139" s="580" t="s">
        <v>118</v>
      </c>
      <c r="C139" s="580" t="s">
        <v>491</v>
      </c>
      <c r="D139" s="580" t="s">
        <v>1138</v>
      </c>
      <c r="E139" s="580"/>
      <c r="F139" s="497">
        <f t="shared" si="25"/>
        <v>50</v>
      </c>
      <c r="G139" s="497">
        <f t="shared" si="25"/>
        <v>50</v>
      </c>
    </row>
    <row r="140" spans="1:10" ht="23.85" customHeight="1" x14ac:dyDescent="0.25">
      <c r="A140" s="579" t="s">
        <v>135</v>
      </c>
      <c r="B140" s="580" t="s">
        <v>118</v>
      </c>
      <c r="C140" s="580" t="s">
        <v>491</v>
      </c>
      <c r="D140" s="580" t="s">
        <v>1138</v>
      </c>
      <c r="E140" s="580" t="s">
        <v>145</v>
      </c>
      <c r="F140" s="497">
        <f>F141</f>
        <v>50</v>
      </c>
      <c r="G140" s="497">
        <f>G141</f>
        <v>50</v>
      </c>
    </row>
    <row r="141" spans="1:10" ht="19.7" customHeight="1" x14ac:dyDescent="0.25">
      <c r="A141" s="579" t="s">
        <v>1137</v>
      </c>
      <c r="B141" s="580" t="s">
        <v>118</v>
      </c>
      <c r="C141" s="580" t="s">
        <v>491</v>
      </c>
      <c r="D141" s="580" t="s">
        <v>1138</v>
      </c>
      <c r="E141" s="580" t="s">
        <v>1139</v>
      </c>
      <c r="F141" s="497">
        <f>'Пр.4.1 ведом.23-24 '!G30</f>
        <v>50</v>
      </c>
      <c r="G141" s="497">
        <f>'Пр.4.1 ведом.23-24 '!H30</f>
        <v>50</v>
      </c>
    </row>
    <row r="142" spans="1:10" ht="15.75" x14ac:dyDescent="0.25">
      <c r="A142" s="572" t="s">
        <v>139</v>
      </c>
      <c r="B142" s="7" t="s">
        <v>118</v>
      </c>
      <c r="C142" s="7" t="s">
        <v>140</v>
      </c>
      <c r="D142" s="7"/>
      <c r="E142" s="7"/>
      <c r="F142" s="488">
        <f>F143+F173+F189+F206+F215+F220+F225+F185</f>
        <v>61283.799999999996</v>
      </c>
      <c r="G142" s="488">
        <f>G143+G173+G189+G206+G215+G220+G225+G185</f>
        <v>61106.299999999996</v>
      </c>
      <c r="H142" s="115"/>
      <c r="J142" s="115"/>
    </row>
    <row r="143" spans="1:10" ht="15.75" x14ac:dyDescent="0.25">
      <c r="A143" s="494" t="s">
        <v>141</v>
      </c>
      <c r="B143" s="495" t="s">
        <v>118</v>
      </c>
      <c r="C143" s="495" t="s">
        <v>140</v>
      </c>
      <c r="D143" s="495" t="s">
        <v>866</v>
      </c>
      <c r="E143" s="495"/>
      <c r="F143" s="488">
        <f>F144+F155+F164</f>
        <v>60312.899999999994</v>
      </c>
      <c r="G143" s="488">
        <f>G144+G155+G164</f>
        <v>60135.399999999994</v>
      </c>
      <c r="H143" s="115"/>
      <c r="J143" s="115"/>
    </row>
    <row r="144" spans="1:10" ht="15.75" x14ac:dyDescent="0.25">
      <c r="A144" s="494" t="s">
        <v>954</v>
      </c>
      <c r="B144" s="495" t="s">
        <v>118</v>
      </c>
      <c r="C144" s="495" t="s">
        <v>140</v>
      </c>
      <c r="D144" s="495" t="s">
        <v>953</v>
      </c>
      <c r="E144" s="495"/>
      <c r="F144" s="388">
        <f>F148+F145</f>
        <v>48202.6</v>
      </c>
      <c r="G144" s="388">
        <f>G148+G145</f>
        <v>48025.1</v>
      </c>
      <c r="H144" s="115"/>
      <c r="J144" s="115"/>
    </row>
    <row r="145" spans="1:10" ht="47.25" x14ac:dyDescent="0.25">
      <c r="A145" s="579" t="s">
        <v>839</v>
      </c>
      <c r="B145" s="580" t="s">
        <v>118</v>
      </c>
      <c r="C145" s="580" t="s">
        <v>140</v>
      </c>
      <c r="D145" s="580" t="s">
        <v>956</v>
      </c>
      <c r="E145" s="580"/>
      <c r="F145" s="489">
        <f>F146</f>
        <v>1118</v>
      </c>
      <c r="G145" s="489">
        <f>G146</f>
        <v>1118</v>
      </c>
      <c r="H145" s="115"/>
      <c r="J145" s="115"/>
    </row>
    <row r="146" spans="1:10" ht="78.75" x14ac:dyDescent="0.25">
      <c r="A146" s="579" t="s">
        <v>127</v>
      </c>
      <c r="B146" s="580" t="s">
        <v>118</v>
      </c>
      <c r="C146" s="580" t="s">
        <v>140</v>
      </c>
      <c r="D146" s="580" t="s">
        <v>956</v>
      </c>
      <c r="E146" s="580" t="s">
        <v>128</v>
      </c>
      <c r="F146" s="489">
        <f>F147</f>
        <v>1118</v>
      </c>
      <c r="G146" s="489">
        <f>G147</f>
        <v>1118</v>
      </c>
      <c r="H146" s="115"/>
      <c r="J146" s="115"/>
    </row>
    <row r="147" spans="1:10" ht="15.75" x14ac:dyDescent="0.25">
      <c r="A147" s="579" t="s">
        <v>208</v>
      </c>
      <c r="B147" s="580" t="s">
        <v>118</v>
      </c>
      <c r="C147" s="580" t="s">
        <v>140</v>
      </c>
      <c r="D147" s="580" t="s">
        <v>956</v>
      </c>
      <c r="E147" s="580" t="s">
        <v>209</v>
      </c>
      <c r="F147" s="489">
        <f>'Пр.4.1 ведом.23-24 '!G919</f>
        <v>1118</v>
      </c>
      <c r="G147" s="489">
        <f>'Пр.4.1 ведом.23-24 '!H919</f>
        <v>1118</v>
      </c>
      <c r="H147" s="115"/>
      <c r="J147" s="115"/>
    </row>
    <row r="148" spans="1:10" ht="15.75" x14ac:dyDescent="0.25">
      <c r="A148" s="579" t="s">
        <v>801</v>
      </c>
      <c r="B148" s="580" t="s">
        <v>118</v>
      </c>
      <c r="C148" s="580" t="s">
        <v>140</v>
      </c>
      <c r="D148" s="580" t="s">
        <v>955</v>
      </c>
      <c r="E148" s="580"/>
      <c r="F148" s="386">
        <f t="shared" ref="F148:G148" si="26">F149+F151+F153</f>
        <v>47084.6</v>
      </c>
      <c r="G148" s="386">
        <f t="shared" si="26"/>
        <v>46907.1</v>
      </c>
      <c r="H148" s="115"/>
      <c r="J148" s="115"/>
    </row>
    <row r="149" spans="1:10" ht="78.75" x14ac:dyDescent="0.25">
      <c r="A149" s="579" t="s">
        <v>127</v>
      </c>
      <c r="B149" s="580" t="s">
        <v>118</v>
      </c>
      <c r="C149" s="580" t="s">
        <v>140</v>
      </c>
      <c r="D149" s="580" t="s">
        <v>955</v>
      </c>
      <c r="E149" s="580" t="s">
        <v>128</v>
      </c>
      <c r="F149" s="386">
        <f t="shared" ref="F149:G149" si="27">F150</f>
        <v>37603.599999999999</v>
      </c>
      <c r="G149" s="386">
        <f t="shared" si="27"/>
        <v>37603.599999999999</v>
      </c>
      <c r="H149" s="115"/>
      <c r="J149" s="115"/>
    </row>
    <row r="150" spans="1:10" ht="31.5" customHeight="1" x14ac:dyDescent="0.25">
      <c r="A150" s="579" t="s">
        <v>129</v>
      </c>
      <c r="B150" s="580" t="s">
        <v>118</v>
      </c>
      <c r="C150" s="580" t="s">
        <v>140</v>
      </c>
      <c r="D150" s="580" t="s">
        <v>955</v>
      </c>
      <c r="E150" s="580" t="s">
        <v>130</v>
      </c>
      <c r="F150" s="386">
        <f>'Пр.4.1 ведом.23-24 '!G922</f>
        <v>37603.599999999999</v>
      </c>
      <c r="G150" s="386">
        <f>'Пр.4.1 ведом.23-24 '!H922</f>
        <v>37603.599999999999</v>
      </c>
      <c r="H150" s="115"/>
      <c r="J150" s="115"/>
    </row>
    <row r="151" spans="1:10" ht="31.5" x14ac:dyDescent="0.25">
      <c r="A151" s="579" t="s">
        <v>131</v>
      </c>
      <c r="B151" s="580" t="s">
        <v>118</v>
      </c>
      <c r="C151" s="580" t="s">
        <v>140</v>
      </c>
      <c r="D151" s="580" t="s">
        <v>955</v>
      </c>
      <c r="E151" s="580" t="s">
        <v>132</v>
      </c>
      <c r="F151" s="386">
        <f t="shared" ref="F151:G151" si="28">F152</f>
        <v>9059.9999999999982</v>
      </c>
      <c r="G151" s="386">
        <f t="shared" si="28"/>
        <v>8882.4999999999982</v>
      </c>
      <c r="H151" s="115"/>
      <c r="J151" s="115"/>
    </row>
    <row r="152" spans="1:10" ht="31.5" x14ac:dyDescent="0.25">
      <c r="A152" s="579" t="s">
        <v>133</v>
      </c>
      <c r="B152" s="580" t="s">
        <v>118</v>
      </c>
      <c r="C152" s="580" t="s">
        <v>140</v>
      </c>
      <c r="D152" s="580" t="s">
        <v>955</v>
      </c>
      <c r="E152" s="580" t="s">
        <v>134</v>
      </c>
      <c r="F152" s="386">
        <f>'Пр.4.1 ведом.23-24 '!G924</f>
        <v>9059.9999999999982</v>
      </c>
      <c r="G152" s="386">
        <f>'Пр.4.1 ведом.23-24 '!H924</f>
        <v>8882.4999999999982</v>
      </c>
      <c r="H152" s="115"/>
      <c r="J152" s="115"/>
    </row>
    <row r="153" spans="1:10" ht="15.75" x14ac:dyDescent="0.25">
      <c r="A153" s="579" t="s">
        <v>135</v>
      </c>
      <c r="B153" s="580" t="s">
        <v>118</v>
      </c>
      <c r="C153" s="580" t="s">
        <v>140</v>
      </c>
      <c r="D153" s="580" t="s">
        <v>955</v>
      </c>
      <c r="E153" s="580" t="s">
        <v>145</v>
      </c>
      <c r="F153" s="386">
        <f t="shared" ref="F153:G153" si="29">F154</f>
        <v>421</v>
      </c>
      <c r="G153" s="386">
        <f t="shared" si="29"/>
        <v>421</v>
      </c>
      <c r="H153" s="115"/>
      <c r="J153" s="115"/>
    </row>
    <row r="154" spans="1:10" ht="15.75" x14ac:dyDescent="0.25">
      <c r="A154" s="579" t="s">
        <v>704</v>
      </c>
      <c r="B154" s="580" t="s">
        <v>118</v>
      </c>
      <c r="C154" s="580" t="s">
        <v>140</v>
      </c>
      <c r="D154" s="580" t="s">
        <v>955</v>
      </c>
      <c r="E154" s="580" t="s">
        <v>138</v>
      </c>
      <c r="F154" s="386">
        <f>'Пр.4.1 ведом.23-24 '!G926</f>
        <v>421</v>
      </c>
      <c r="G154" s="386">
        <f>'Пр.4.1 ведом.23-24 '!H926</f>
        <v>421</v>
      </c>
      <c r="H154" s="115"/>
      <c r="J154" s="115"/>
    </row>
    <row r="155" spans="1:10" ht="31.5" x14ac:dyDescent="0.25">
      <c r="A155" s="494" t="s">
        <v>870</v>
      </c>
      <c r="B155" s="495" t="s">
        <v>118</v>
      </c>
      <c r="C155" s="495" t="s">
        <v>140</v>
      </c>
      <c r="D155" s="495" t="s">
        <v>865</v>
      </c>
      <c r="E155" s="495"/>
      <c r="F155" s="488">
        <f>F156+F161</f>
        <v>5928.7</v>
      </c>
      <c r="G155" s="488">
        <f>G156+G161</f>
        <v>5928.7</v>
      </c>
      <c r="H155" s="115"/>
      <c r="J155" s="115"/>
    </row>
    <row r="156" spans="1:10" ht="47.25" x14ac:dyDescent="0.25">
      <c r="A156" s="579" t="s">
        <v>388</v>
      </c>
      <c r="B156" s="580" t="s">
        <v>118</v>
      </c>
      <c r="C156" s="580" t="s">
        <v>140</v>
      </c>
      <c r="D156" s="580" t="s">
        <v>1011</v>
      </c>
      <c r="E156" s="580"/>
      <c r="F156" s="489">
        <f>F157+F159</f>
        <v>5928.7</v>
      </c>
      <c r="G156" s="489">
        <f>G157+G159</f>
        <v>5928.7</v>
      </c>
      <c r="H156" s="115"/>
      <c r="J156" s="115"/>
    </row>
    <row r="157" spans="1:10" ht="31.5" x14ac:dyDescent="0.25">
      <c r="A157" s="579" t="s">
        <v>131</v>
      </c>
      <c r="B157" s="580" t="s">
        <v>118</v>
      </c>
      <c r="C157" s="580" t="s">
        <v>140</v>
      </c>
      <c r="D157" s="580" t="s">
        <v>1011</v>
      </c>
      <c r="E157" s="580" t="s">
        <v>132</v>
      </c>
      <c r="F157" s="489">
        <f>F158</f>
        <v>5928.7</v>
      </c>
      <c r="G157" s="489">
        <f>G158</f>
        <v>5928.7</v>
      </c>
      <c r="H157" s="115"/>
      <c r="J157" s="115"/>
    </row>
    <row r="158" spans="1:10" ht="31.5" x14ac:dyDescent="0.25">
      <c r="A158" s="579" t="s">
        <v>133</v>
      </c>
      <c r="B158" s="580" t="s">
        <v>118</v>
      </c>
      <c r="C158" s="580" t="s">
        <v>140</v>
      </c>
      <c r="D158" s="580" t="s">
        <v>1011</v>
      </c>
      <c r="E158" s="580" t="s">
        <v>134</v>
      </c>
      <c r="F158" s="489">
        <f>'Пр.4.1 ведом.23-24 '!G559</f>
        <v>5928.7</v>
      </c>
      <c r="G158" s="489">
        <f>'Пр.4.1 ведом.23-24 '!H559</f>
        <v>5928.7</v>
      </c>
      <c r="H158" s="115"/>
      <c r="J158" s="115"/>
    </row>
    <row r="159" spans="1:10" ht="15.75" hidden="1" x14ac:dyDescent="0.25">
      <c r="A159" s="579" t="s">
        <v>135</v>
      </c>
      <c r="B159" s="580" t="s">
        <v>118</v>
      </c>
      <c r="C159" s="580" t="s">
        <v>140</v>
      </c>
      <c r="D159" s="580" t="s">
        <v>1011</v>
      </c>
      <c r="E159" s="580" t="s">
        <v>145</v>
      </c>
      <c r="F159" s="489">
        <f>F160</f>
        <v>0</v>
      </c>
      <c r="G159" s="489">
        <f>G160</f>
        <v>0</v>
      </c>
      <c r="H159" s="115"/>
      <c r="J159" s="115"/>
    </row>
    <row r="160" spans="1:10" ht="47.25" hidden="1" x14ac:dyDescent="0.25">
      <c r="A160" s="579" t="s">
        <v>836</v>
      </c>
      <c r="B160" s="580" t="s">
        <v>118</v>
      </c>
      <c r="C160" s="580" t="s">
        <v>140</v>
      </c>
      <c r="D160" s="580" t="s">
        <v>1011</v>
      </c>
      <c r="E160" s="580" t="s">
        <v>147</v>
      </c>
      <c r="F160" s="489">
        <f>'Пр.4 ведом.22'!G560</f>
        <v>0</v>
      </c>
      <c r="G160" s="489">
        <f>'Пр.4 ведом.22'!H560</f>
        <v>0</v>
      </c>
      <c r="H160" s="115"/>
      <c r="J160" s="115"/>
    </row>
    <row r="161" spans="1:10" ht="31.5" hidden="1" x14ac:dyDescent="0.25">
      <c r="A161" s="579" t="s">
        <v>931</v>
      </c>
      <c r="B161" s="580" t="s">
        <v>118</v>
      </c>
      <c r="C161" s="580" t="s">
        <v>140</v>
      </c>
      <c r="D161" s="580" t="s">
        <v>1012</v>
      </c>
      <c r="E161" s="580"/>
      <c r="F161" s="489">
        <f>F162</f>
        <v>0</v>
      </c>
      <c r="G161" s="489">
        <f>G162</f>
        <v>0</v>
      </c>
      <c r="H161" s="115"/>
      <c r="J161" s="115"/>
    </row>
    <row r="162" spans="1:10" ht="31.5" hidden="1" x14ac:dyDescent="0.25">
      <c r="A162" s="579" t="s">
        <v>131</v>
      </c>
      <c r="B162" s="580" t="s">
        <v>118</v>
      </c>
      <c r="C162" s="580" t="s">
        <v>140</v>
      </c>
      <c r="D162" s="580" t="s">
        <v>1012</v>
      </c>
      <c r="E162" s="580" t="s">
        <v>132</v>
      </c>
      <c r="F162" s="489">
        <f>F163</f>
        <v>0</v>
      </c>
      <c r="G162" s="489">
        <f>G163</f>
        <v>0</v>
      </c>
      <c r="H162" s="115"/>
      <c r="J162" s="115"/>
    </row>
    <row r="163" spans="1:10" ht="31.5" hidden="1" x14ac:dyDescent="0.25">
      <c r="A163" s="579" t="s">
        <v>133</v>
      </c>
      <c r="B163" s="580" t="s">
        <v>118</v>
      </c>
      <c r="C163" s="580" t="s">
        <v>140</v>
      </c>
      <c r="D163" s="580" t="s">
        <v>1012</v>
      </c>
      <c r="E163" s="580" t="s">
        <v>134</v>
      </c>
      <c r="F163" s="489">
        <f>'Пр.4 ведом.22'!G563</f>
        <v>0</v>
      </c>
      <c r="G163" s="489">
        <f>'Пр.4 ведом.22'!H563</f>
        <v>0</v>
      </c>
      <c r="H163" s="115"/>
      <c r="J163" s="115"/>
    </row>
    <row r="164" spans="1:10" ht="31.5" x14ac:dyDescent="0.25">
      <c r="A164" s="494" t="s">
        <v>922</v>
      </c>
      <c r="B164" s="495" t="s">
        <v>118</v>
      </c>
      <c r="C164" s="495" t="s">
        <v>140</v>
      </c>
      <c r="D164" s="495" t="s">
        <v>867</v>
      </c>
      <c r="E164" s="495"/>
      <c r="F164" s="488">
        <f>F165+F170</f>
        <v>6181.6</v>
      </c>
      <c r="G164" s="488">
        <f>G165+G170</f>
        <v>6181.6</v>
      </c>
      <c r="H164" s="115"/>
      <c r="J164" s="115"/>
    </row>
    <row r="165" spans="1:10" ht="31.5" x14ac:dyDescent="0.25">
      <c r="A165" s="579" t="s">
        <v>928</v>
      </c>
      <c r="B165" s="580" t="s">
        <v>118</v>
      </c>
      <c r="C165" s="580" t="s">
        <v>140</v>
      </c>
      <c r="D165" s="580" t="s">
        <v>868</v>
      </c>
      <c r="E165" s="580"/>
      <c r="F165" s="489">
        <f>F166+F168</f>
        <v>6052.6</v>
      </c>
      <c r="G165" s="489">
        <f>G166+G168</f>
        <v>6052.6</v>
      </c>
      <c r="H165" s="115"/>
      <c r="J165" s="115"/>
    </row>
    <row r="166" spans="1:10" ht="78.75" x14ac:dyDescent="0.25">
      <c r="A166" s="579" t="s">
        <v>127</v>
      </c>
      <c r="B166" s="580" t="s">
        <v>118</v>
      </c>
      <c r="C166" s="580" t="s">
        <v>140</v>
      </c>
      <c r="D166" s="580" t="s">
        <v>868</v>
      </c>
      <c r="E166" s="580" t="s">
        <v>128</v>
      </c>
      <c r="F166" s="489">
        <f>F167</f>
        <v>4703.3</v>
      </c>
      <c r="G166" s="489">
        <f>G167</f>
        <v>4703.3</v>
      </c>
      <c r="H166" s="115"/>
      <c r="J166" s="115"/>
    </row>
    <row r="167" spans="1:10" ht="31.5" x14ac:dyDescent="0.25">
      <c r="A167" s="579" t="s">
        <v>129</v>
      </c>
      <c r="B167" s="580" t="s">
        <v>118</v>
      </c>
      <c r="C167" s="580" t="s">
        <v>140</v>
      </c>
      <c r="D167" s="580" t="s">
        <v>868</v>
      </c>
      <c r="E167" s="580" t="s">
        <v>130</v>
      </c>
      <c r="F167" s="489">
        <f>'Пр.4.1 ведом.23-24 '!G130</f>
        <v>4703.3</v>
      </c>
      <c r="G167" s="489">
        <f>'Пр.4.1 ведом.23-24 '!H130</f>
        <v>4703.3</v>
      </c>
      <c r="H167" s="115"/>
      <c r="J167" s="115"/>
    </row>
    <row r="168" spans="1:10" ht="31.5" x14ac:dyDescent="0.25">
      <c r="A168" s="579" t="s">
        <v>198</v>
      </c>
      <c r="B168" s="580" t="s">
        <v>118</v>
      </c>
      <c r="C168" s="580" t="s">
        <v>140</v>
      </c>
      <c r="D168" s="580" t="s">
        <v>868</v>
      </c>
      <c r="E168" s="580" t="s">
        <v>132</v>
      </c>
      <c r="F168" s="489">
        <f>F169</f>
        <v>1349.3</v>
      </c>
      <c r="G168" s="489">
        <f>G169</f>
        <v>1349.3</v>
      </c>
      <c r="H168" s="115"/>
      <c r="J168" s="115"/>
    </row>
    <row r="169" spans="1:10" ht="31.5" x14ac:dyDescent="0.25">
      <c r="A169" s="579" t="s">
        <v>133</v>
      </c>
      <c r="B169" s="580" t="s">
        <v>118</v>
      </c>
      <c r="C169" s="580" t="s">
        <v>140</v>
      </c>
      <c r="D169" s="580" t="s">
        <v>868</v>
      </c>
      <c r="E169" s="580" t="s">
        <v>134</v>
      </c>
      <c r="F169" s="489">
        <f>'Пр.4.1 ведом.23-24 '!G132</f>
        <v>1349.3</v>
      </c>
      <c r="G169" s="489">
        <f>'Пр.4.1 ведом.23-24 '!H132</f>
        <v>1349.3</v>
      </c>
      <c r="H169" s="115"/>
      <c r="J169" s="115"/>
    </row>
    <row r="170" spans="1:10" ht="47.25" x14ac:dyDescent="0.25">
      <c r="A170" s="579" t="s">
        <v>839</v>
      </c>
      <c r="B170" s="580" t="s">
        <v>118</v>
      </c>
      <c r="C170" s="580" t="s">
        <v>140</v>
      </c>
      <c r="D170" s="580" t="s">
        <v>869</v>
      </c>
      <c r="E170" s="580"/>
      <c r="F170" s="489">
        <f>F171</f>
        <v>129</v>
      </c>
      <c r="G170" s="489">
        <f>G171</f>
        <v>129</v>
      </c>
      <c r="H170" s="115"/>
      <c r="J170" s="115"/>
    </row>
    <row r="171" spans="1:10" ht="78.75" x14ac:dyDescent="0.25">
      <c r="A171" s="579" t="s">
        <v>127</v>
      </c>
      <c r="B171" s="580" t="s">
        <v>118</v>
      </c>
      <c r="C171" s="580" t="s">
        <v>140</v>
      </c>
      <c r="D171" s="580" t="s">
        <v>869</v>
      </c>
      <c r="E171" s="580" t="s">
        <v>128</v>
      </c>
      <c r="F171" s="489">
        <f>F172</f>
        <v>129</v>
      </c>
      <c r="G171" s="489">
        <f>G172</f>
        <v>129</v>
      </c>
      <c r="H171" s="115"/>
      <c r="J171" s="115"/>
    </row>
    <row r="172" spans="1:10" ht="31.5" x14ac:dyDescent="0.25">
      <c r="A172" s="579" t="s">
        <v>129</v>
      </c>
      <c r="B172" s="580" t="s">
        <v>118</v>
      </c>
      <c r="C172" s="580" t="s">
        <v>140</v>
      </c>
      <c r="D172" s="580" t="s">
        <v>869</v>
      </c>
      <c r="E172" s="580" t="s">
        <v>130</v>
      </c>
      <c r="F172" s="489">
        <f>'Пр.4.1 ведом.23-24 '!G135</f>
        <v>129</v>
      </c>
      <c r="G172" s="489">
        <f>'Пр.4.1 ведом.23-24 '!H135</f>
        <v>129</v>
      </c>
      <c r="H172" s="115"/>
      <c r="J172" s="115"/>
    </row>
    <row r="173" spans="1:10" ht="47.25" x14ac:dyDescent="0.25">
      <c r="A173" s="494" t="s">
        <v>1372</v>
      </c>
      <c r="B173" s="7" t="s">
        <v>118</v>
      </c>
      <c r="C173" s="7" t="s">
        <v>140</v>
      </c>
      <c r="D173" s="7" t="s">
        <v>344</v>
      </c>
      <c r="E173" s="7"/>
      <c r="F173" s="488">
        <f>F174</f>
        <v>655.9</v>
      </c>
      <c r="G173" s="488">
        <f>G174</f>
        <v>655.9</v>
      </c>
    </row>
    <row r="174" spans="1:10" ht="78.75" x14ac:dyDescent="0.25">
      <c r="A174" s="572" t="s">
        <v>1348</v>
      </c>
      <c r="B174" s="7" t="s">
        <v>118</v>
      </c>
      <c r="C174" s="7" t="s">
        <v>140</v>
      </c>
      <c r="D174" s="7" t="s">
        <v>359</v>
      </c>
      <c r="E174" s="7"/>
      <c r="F174" s="488">
        <f>F175</f>
        <v>655.9</v>
      </c>
      <c r="G174" s="488">
        <f>G175</f>
        <v>655.9</v>
      </c>
    </row>
    <row r="175" spans="1:10" ht="63" x14ac:dyDescent="0.25">
      <c r="A175" s="250" t="s">
        <v>1044</v>
      </c>
      <c r="B175" s="7" t="s">
        <v>118</v>
      </c>
      <c r="C175" s="7" t="s">
        <v>140</v>
      </c>
      <c r="D175" s="7" t="s">
        <v>909</v>
      </c>
      <c r="E175" s="7"/>
      <c r="F175" s="488">
        <f>F176+F179+F182</f>
        <v>655.9</v>
      </c>
      <c r="G175" s="488">
        <f>G176+G179+G182</f>
        <v>655.9</v>
      </c>
    </row>
    <row r="176" spans="1:10" ht="31.5" x14ac:dyDescent="0.25">
      <c r="A176" s="98" t="s">
        <v>1095</v>
      </c>
      <c r="B176" s="573" t="s">
        <v>118</v>
      </c>
      <c r="C176" s="573" t="s">
        <v>140</v>
      </c>
      <c r="D176" s="573" t="s">
        <v>1198</v>
      </c>
      <c r="E176" s="573"/>
      <c r="F176" s="489">
        <f t="shared" ref="F176:G177" si="30">F177</f>
        <v>447.3</v>
      </c>
      <c r="G176" s="489">
        <f t="shared" si="30"/>
        <v>447.3</v>
      </c>
    </row>
    <row r="177" spans="1:7" ht="31.5" x14ac:dyDescent="0.25">
      <c r="A177" s="29" t="s">
        <v>131</v>
      </c>
      <c r="B177" s="573" t="s">
        <v>118</v>
      </c>
      <c r="C177" s="573" t="s">
        <v>140</v>
      </c>
      <c r="D177" s="573" t="s">
        <v>1198</v>
      </c>
      <c r="E177" s="573" t="s">
        <v>132</v>
      </c>
      <c r="F177" s="489">
        <f t="shared" si="30"/>
        <v>447.3</v>
      </c>
      <c r="G177" s="489">
        <f t="shared" si="30"/>
        <v>447.3</v>
      </c>
    </row>
    <row r="178" spans="1:7" ht="31.5" x14ac:dyDescent="0.25">
      <c r="A178" s="29" t="s">
        <v>133</v>
      </c>
      <c r="B178" s="573" t="s">
        <v>118</v>
      </c>
      <c r="C178" s="573" t="s">
        <v>140</v>
      </c>
      <c r="D178" s="573" t="s">
        <v>1198</v>
      </c>
      <c r="E178" s="573" t="s">
        <v>134</v>
      </c>
      <c r="F178" s="489">
        <f>'Пр.4.1 ведом.23-24 '!G249</f>
        <v>447.3</v>
      </c>
      <c r="G178" s="489">
        <f>'Пр.4.1 ведом.23-24 '!H249</f>
        <v>447.3</v>
      </c>
    </row>
    <row r="179" spans="1:7" ht="31.5" x14ac:dyDescent="0.25">
      <c r="A179" s="45" t="s">
        <v>1622</v>
      </c>
      <c r="B179" s="573" t="s">
        <v>118</v>
      </c>
      <c r="C179" s="573" t="s">
        <v>140</v>
      </c>
      <c r="D179" s="573" t="s">
        <v>1656</v>
      </c>
      <c r="E179" s="573"/>
      <c r="F179" s="489">
        <f>F180</f>
        <v>208.6</v>
      </c>
      <c r="G179" s="489">
        <f>G180</f>
        <v>208.6</v>
      </c>
    </row>
    <row r="180" spans="1:7" ht="31.5" x14ac:dyDescent="0.25">
      <c r="A180" s="29" t="s">
        <v>131</v>
      </c>
      <c r="B180" s="573" t="s">
        <v>118</v>
      </c>
      <c r="C180" s="573" t="s">
        <v>140</v>
      </c>
      <c r="D180" s="573" t="s">
        <v>1656</v>
      </c>
      <c r="E180" s="573" t="s">
        <v>132</v>
      </c>
      <c r="F180" s="489">
        <f>F181</f>
        <v>208.6</v>
      </c>
      <c r="G180" s="489">
        <f>G181</f>
        <v>208.6</v>
      </c>
    </row>
    <row r="181" spans="1:7" ht="31.5" x14ac:dyDescent="0.25">
      <c r="A181" s="29" t="s">
        <v>133</v>
      </c>
      <c r="B181" s="573" t="s">
        <v>118</v>
      </c>
      <c r="C181" s="573" t="s">
        <v>140</v>
      </c>
      <c r="D181" s="573" t="s">
        <v>1656</v>
      </c>
      <c r="E181" s="573" t="s">
        <v>134</v>
      </c>
      <c r="F181" s="489">
        <f>'Пр.4.1 ведом.23-24 '!G252</f>
        <v>208.6</v>
      </c>
      <c r="G181" s="489">
        <f>'Пр.4.1 ведом.23-24 '!H252</f>
        <v>208.6</v>
      </c>
    </row>
    <row r="182" spans="1:7" ht="31.5" hidden="1" x14ac:dyDescent="0.25">
      <c r="A182" s="29" t="s">
        <v>1750</v>
      </c>
      <c r="B182" s="573" t="s">
        <v>118</v>
      </c>
      <c r="C182" s="573" t="s">
        <v>140</v>
      </c>
      <c r="D182" s="9" t="s">
        <v>1751</v>
      </c>
      <c r="E182" s="573"/>
      <c r="F182" s="489">
        <f>F183</f>
        <v>0</v>
      </c>
      <c r="G182" s="489">
        <f>G183</f>
        <v>0</v>
      </c>
    </row>
    <row r="183" spans="1:7" ht="31.5" hidden="1" x14ac:dyDescent="0.25">
      <c r="A183" s="29" t="s">
        <v>131</v>
      </c>
      <c r="B183" s="573" t="s">
        <v>118</v>
      </c>
      <c r="C183" s="573" t="s">
        <v>140</v>
      </c>
      <c r="D183" s="9" t="s">
        <v>1751</v>
      </c>
      <c r="E183" s="573" t="s">
        <v>132</v>
      </c>
      <c r="F183" s="489">
        <f>F184</f>
        <v>0</v>
      </c>
      <c r="G183" s="489">
        <f>G184</f>
        <v>0</v>
      </c>
    </row>
    <row r="184" spans="1:7" ht="31.5" hidden="1" x14ac:dyDescent="0.25">
      <c r="A184" s="29" t="s">
        <v>133</v>
      </c>
      <c r="B184" s="573" t="s">
        <v>118</v>
      </c>
      <c r="C184" s="573" t="s">
        <v>140</v>
      </c>
      <c r="D184" s="9" t="s">
        <v>1751</v>
      </c>
      <c r="E184" s="573" t="s">
        <v>134</v>
      </c>
      <c r="F184" s="489">
        <v>0</v>
      </c>
      <c r="G184" s="489">
        <v>0</v>
      </c>
    </row>
    <row r="185" spans="1:7" ht="47.25" x14ac:dyDescent="0.25">
      <c r="A185" s="494" t="s">
        <v>1357</v>
      </c>
      <c r="B185" s="495" t="s">
        <v>118</v>
      </c>
      <c r="C185" s="495" t="s">
        <v>140</v>
      </c>
      <c r="D185" s="495" t="s">
        <v>324</v>
      </c>
      <c r="E185" s="495"/>
      <c r="F185" s="488">
        <f t="shared" ref="F185:G187" si="31">F186</f>
        <v>12</v>
      </c>
      <c r="G185" s="488">
        <f t="shared" si="31"/>
        <v>12</v>
      </c>
    </row>
    <row r="186" spans="1:7" ht="47.25" x14ac:dyDescent="0.25">
      <c r="A186" s="579" t="s">
        <v>1080</v>
      </c>
      <c r="B186" s="580" t="s">
        <v>118</v>
      </c>
      <c r="C186" s="580" t="s">
        <v>140</v>
      </c>
      <c r="D186" s="580" t="s">
        <v>1026</v>
      </c>
      <c r="E186" s="580"/>
      <c r="F186" s="489">
        <f t="shared" si="31"/>
        <v>12</v>
      </c>
      <c r="G186" s="489">
        <f t="shared" si="31"/>
        <v>12</v>
      </c>
    </row>
    <row r="187" spans="1:7" ht="31.5" x14ac:dyDescent="0.25">
      <c r="A187" s="579" t="s">
        <v>198</v>
      </c>
      <c r="B187" s="580" t="s">
        <v>118</v>
      </c>
      <c r="C187" s="580" t="s">
        <v>140</v>
      </c>
      <c r="D187" s="580" t="s">
        <v>1026</v>
      </c>
      <c r="E187" s="580" t="s">
        <v>132</v>
      </c>
      <c r="F187" s="489">
        <f t="shared" si="31"/>
        <v>12</v>
      </c>
      <c r="G187" s="489">
        <f t="shared" si="31"/>
        <v>12</v>
      </c>
    </row>
    <row r="188" spans="1:7" ht="31.5" x14ac:dyDescent="0.25">
      <c r="A188" s="579" t="s">
        <v>133</v>
      </c>
      <c r="B188" s="580" t="s">
        <v>118</v>
      </c>
      <c r="C188" s="580" t="s">
        <v>140</v>
      </c>
      <c r="D188" s="580" t="s">
        <v>1026</v>
      </c>
      <c r="E188" s="580" t="s">
        <v>134</v>
      </c>
      <c r="F188" s="489">
        <f>'Пр.4.1 ведом.23-24 '!G139</f>
        <v>12</v>
      </c>
      <c r="G188" s="489">
        <f>'Пр.4.1 ведом.23-24 '!H139</f>
        <v>12</v>
      </c>
    </row>
    <row r="189" spans="1:7" ht="47.25" x14ac:dyDescent="0.25">
      <c r="A189" s="494" t="s">
        <v>1349</v>
      </c>
      <c r="B189" s="495" t="s">
        <v>118</v>
      </c>
      <c r="C189" s="495" t="s">
        <v>140</v>
      </c>
      <c r="D189" s="495" t="s">
        <v>335</v>
      </c>
      <c r="E189" s="495"/>
      <c r="F189" s="59">
        <f>F190</f>
        <v>120</v>
      </c>
      <c r="G189" s="59">
        <f>G190</f>
        <v>120</v>
      </c>
    </row>
    <row r="190" spans="1:7" ht="31.5" x14ac:dyDescent="0.25">
      <c r="A190" s="494" t="s">
        <v>1049</v>
      </c>
      <c r="B190" s="495" t="s">
        <v>118</v>
      </c>
      <c r="C190" s="495" t="s">
        <v>140</v>
      </c>
      <c r="D190" s="495" t="s">
        <v>1050</v>
      </c>
      <c r="E190" s="495"/>
      <c r="F190" s="59">
        <f>F191+F194+F197+F200+F203</f>
        <v>120</v>
      </c>
      <c r="G190" s="59">
        <f>G191+G194+G197+G200+G203</f>
        <v>120</v>
      </c>
    </row>
    <row r="191" spans="1:7" ht="31.5" x14ac:dyDescent="0.25">
      <c r="A191" s="97" t="s">
        <v>336</v>
      </c>
      <c r="B191" s="580" t="s">
        <v>118</v>
      </c>
      <c r="C191" s="580" t="s">
        <v>140</v>
      </c>
      <c r="D191" s="580" t="s">
        <v>1051</v>
      </c>
      <c r="E191" s="580"/>
      <c r="F191" s="10">
        <f t="shared" ref="F191:G191" si="32">F192</f>
        <v>100</v>
      </c>
      <c r="G191" s="10">
        <f t="shared" si="32"/>
        <v>100</v>
      </c>
    </row>
    <row r="192" spans="1:7" ht="31.5" x14ac:dyDescent="0.25">
      <c r="A192" s="579" t="s">
        <v>131</v>
      </c>
      <c r="B192" s="580" t="s">
        <v>118</v>
      </c>
      <c r="C192" s="580" t="s">
        <v>140</v>
      </c>
      <c r="D192" s="580" t="s">
        <v>1051</v>
      </c>
      <c r="E192" s="580" t="s">
        <v>132</v>
      </c>
      <c r="F192" s="10">
        <f>F193</f>
        <v>100</v>
      </c>
      <c r="G192" s="10">
        <f>G193</f>
        <v>100</v>
      </c>
    </row>
    <row r="193" spans="1:7" ht="31.5" x14ac:dyDescent="0.25">
      <c r="A193" s="579" t="s">
        <v>133</v>
      </c>
      <c r="B193" s="580" t="s">
        <v>118</v>
      </c>
      <c r="C193" s="580" t="s">
        <v>140</v>
      </c>
      <c r="D193" s="580" t="s">
        <v>1051</v>
      </c>
      <c r="E193" s="580" t="s">
        <v>134</v>
      </c>
      <c r="F193" s="10">
        <f>'Пр.4.1 ведом.23-24 '!G593+'Пр.4.1 ведом.23-24 '!G828+'Пр.4.1 ведом.23-24 '!G260</f>
        <v>100</v>
      </c>
      <c r="G193" s="10">
        <f>'Пр.4.1 ведом.23-24 '!H593+'Пр.4.1 ведом.23-24 '!H828</f>
        <v>100</v>
      </c>
    </row>
    <row r="194" spans="1:7" ht="31.5" x14ac:dyDescent="0.25">
      <c r="A194" s="579" t="s">
        <v>338</v>
      </c>
      <c r="B194" s="580" t="s">
        <v>118</v>
      </c>
      <c r="C194" s="580" t="s">
        <v>140</v>
      </c>
      <c r="D194" s="580" t="s">
        <v>1052</v>
      </c>
      <c r="E194" s="580"/>
      <c r="F194" s="10">
        <f>F195</f>
        <v>20</v>
      </c>
      <c r="G194" s="10">
        <f>G195</f>
        <v>20</v>
      </c>
    </row>
    <row r="195" spans="1:7" ht="31.5" x14ac:dyDescent="0.25">
      <c r="A195" s="579" t="s">
        <v>131</v>
      </c>
      <c r="B195" s="580" t="s">
        <v>118</v>
      </c>
      <c r="C195" s="580" t="s">
        <v>140</v>
      </c>
      <c r="D195" s="580" t="s">
        <v>1052</v>
      </c>
      <c r="E195" s="580" t="s">
        <v>132</v>
      </c>
      <c r="F195" s="10">
        <f>F196</f>
        <v>20</v>
      </c>
      <c r="G195" s="10">
        <f>G196</f>
        <v>20</v>
      </c>
    </row>
    <row r="196" spans="1:7" ht="39.200000000000003" customHeight="1" x14ac:dyDescent="0.25">
      <c r="A196" s="579" t="s">
        <v>133</v>
      </c>
      <c r="B196" s="580" t="s">
        <v>118</v>
      </c>
      <c r="C196" s="580" t="s">
        <v>140</v>
      </c>
      <c r="D196" s="580" t="s">
        <v>1052</v>
      </c>
      <c r="E196" s="580" t="s">
        <v>134</v>
      </c>
      <c r="F196" s="10">
        <f>'Пр.4.1 ведом.23-24 '!G263</f>
        <v>20</v>
      </c>
      <c r="G196" s="10">
        <f>'Пр.4.1 ведом.23-24 '!H263</f>
        <v>20</v>
      </c>
    </row>
    <row r="197" spans="1:7" ht="47.25" hidden="1" x14ac:dyDescent="0.25">
      <c r="A197" s="31" t="s">
        <v>771</v>
      </c>
      <c r="B197" s="580" t="s">
        <v>118</v>
      </c>
      <c r="C197" s="580" t="s">
        <v>140</v>
      </c>
      <c r="D197" s="580" t="s">
        <v>1053</v>
      </c>
      <c r="E197" s="580"/>
      <c r="F197" s="10">
        <f t="shared" ref="F197:G197" si="33">F198</f>
        <v>0</v>
      </c>
      <c r="G197" s="10">
        <f t="shared" si="33"/>
        <v>0</v>
      </c>
    </row>
    <row r="198" spans="1:7" ht="31.5" hidden="1" x14ac:dyDescent="0.25">
      <c r="A198" s="579" t="s">
        <v>131</v>
      </c>
      <c r="B198" s="580" t="s">
        <v>118</v>
      </c>
      <c r="C198" s="580" t="s">
        <v>140</v>
      </c>
      <c r="D198" s="580" t="s">
        <v>1053</v>
      </c>
      <c r="E198" s="580" t="s">
        <v>132</v>
      </c>
      <c r="F198" s="10">
        <f>F199</f>
        <v>0</v>
      </c>
      <c r="G198" s="10">
        <f>G199</f>
        <v>0</v>
      </c>
    </row>
    <row r="199" spans="1:7" ht="31.5" hidden="1" x14ac:dyDescent="0.25">
      <c r="A199" s="579" t="s">
        <v>133</v>
      </c>
      <c r="B199" s="580" t="s">
        <v>118</v>
      </c>
      <c r="C199" s="580" t="s">
        <v>140</v>
      </c>
      <c r="D199" s="580" t="s">
        <v>1053</v>
      </c>
      <c r="E199" s="580" t="s">
        <v>134</v>
      </c>
      <c r="F199" s="10">
        <f>'Пр.4 ведом.22'!G265</f>
        <v>0</v>
      </c>
      <c r="G199" s="10">
        <f>'Пр.4 ведом.22'!H265</f>
        <v>0</v>
      </c>
    </row>
    <row r="200" spans="1:7" ht="15.75" hidden="1" x14ac:dyDescent="0.25">
      <c r="A200" s="579" t="s">
        <v>994</v>
      </c>
      <c r="B200" s="580" t="s">
        <v>118</v>
      </c>
      <c r="C200" s="580" t="s">
        <v>140</v>
      </c>
      <c r="D200" s="580" t="s">
        <v>1054</v>
      </c>
      <c r="E200" s="580"/>
      <c r="F200" s="10">
        <f t="shared" ref="F200:G200" si="34">F201</f>
        <v>0</v>
      </c>
      <c r="G200" s="10">
        <f t="shared" si="34"/>
        <v>0</v>
      </c>
    </row>
    <row r="201" spans="1:7" ht="31.5" hidden="1" x14ac:dyDescent="0.25">
      <c r="A201" s="579" t="s">
        <v>131</v>
      </c>
      <c r="B201" s="580" t="s">
        <v>118</v>
      </c>
      <c r="C201" s="580" t="s">
        <v>140</v>
      </c>
      <c r="D201" s="580" t="s">
        <v>1054</v>
      </c>
      <c r="E201" s="580" t="s">
        <v>132</v>
      </c>
      <c r="F201" s="10">
        <f>F202</f>
        <v>0</v>
      </c>
      <c r="G201" s="10">
        <f>G202</f>
        <v>0</v>
      </c>
    </row>
    <row r="202" spans="1:7" ht="31.5" hidden="1" x14ac:dyDescent="0.25">
      <c r="A202" s="579" t="s">
        <v>133</v>
      </c>
      <c r="B202" s="580" t="s">
        <v>118</v>
      </c>
      <c r="C202" s="580" t="s">
        <v>140</v>
      </c>
      <c r="D202" s="580" t="s">
        <v>1054</v>
      </c>
      <c r="E202" s="580" t="s">
        <v>134</v>
      </c>
      <c r="F202" s="10">
        <f>'Пр.4 ведом.22'!G268</f>
        <v>0</v>
      </c>
      <c r="G202" s="10">
        <f>'Пр.4 ведом.22'!H268</f>
        <v>0</v>
      </c>
    </row>
    <row r="203" spans="1:7" ht="31.5" hidden="1" x14ac:dyDescent="0.25">
      <c r="A203" s="31" t="s">
        <v>772</v>
      </c>
      <c r="B203" s="580" t="s">
        <v>118</v>
      </c>
      <c r="C203" s="580" t="s">
        <v>140</v>
      </c>
      <c r="D203" s="580" t="s">
        <v>1055</v>
      </c>
      <c r="E203" s="580"/>
      <c r="F203" s="10">
        <f>F204</f>
        <v>0</v>
      </c>
      <c r="G203" s="10">
        <f>G204</f>
        <v>0</v>
      </c>
    </row>
    <row r="204" spans="1:7" ht="31.5" hidden="1" x14ac:dyDescent="0.25">
      <c r="A204" s="579" t="s">
        <v>131</v>
      </c>
      <c r="B204" s="580" t="s">
        <v>118</v>
      </c>
      <c r="C204" s="580" t="s">
        <v>140</v>
      </c>
      <c r="D204" s="580" t="s">
        <v>1055</v>
      </c>
      <c r="E204" s="580" t="s">
        <v>132</v>
      </c>
      <c r="F204" s="10">
        <f>F205</f>
        <v>0</v>
      </c>
      <c r="G204" s="10">
        <f>G205</f>
        <v>0</v>
      </c>
    </row>
    <row r="205" spans="1:7" ht="31.5" hidden="1" x14ac:dyDescent="0.25">
      <c r="A205" s="579" t="s">
        <v>133</v>
      </c>
      <c r="B205" s="580" t="s">
        <v>118</v>
      </c>
      <c r="C205" s="580" t="s">
        <v>140</v>
      </c>
      <c r="D205" s="580" t="s">
        <v>1055</v>
      </c>
      <c r="E205" s="580" t="s">
        <v>134</v>
      </c>
      <c r="F205" s="10">
        <f>'Пр.4 ведом.22'!G271</f>
        <v>0</v>
      </c>
      <c r="G205" s="10">
        <f>'Пр.4 ведом.22'!H271</f>
        <v>0</v>
      </c>
    </row>
    <row r="206" spans="1:7" ht="47.25" x14ac:dyDescent="0.25">
      <c r="A206" s="572" t="s">
        <v>1352</v>
      </c>
      <c r="B206" s="8" t="s">
        <v>118</v>
      </c>
      <c r="C206" s="8" t="s">
        <v>140</v>
      </c>
      <c r="D206" s="495" t="s">
        <v>705</v>
      </c>
      <c r="E206" s="504"/>
      <c r="F206" s="59">
        <f>F207+F211</f>
        <v>58</v>
      </c>
      <c r="G206" s="59">
        <f>G207+G211</f>
        <v>58</v>
      </c>
    </row>
    <row r="207" spans="1:7" ht="47.25" x14ac:dyDescent="0.25">
      <c r="A207" s="571" t="s">
        <v>846</v>
      </c>
      <c r="B207" s="495" t="s">
        <v>118</v>
      </c>
      <c r="C207" s="495" t="s">
        <v>140</v>
      </c>
      <c r="D207" s="495" t="s">
        <v>852</v>
      </c>
      <c r="E207" s="495"/>
      <c r="F207" s="59">
        <f>F208</f>
        <v>43</v>
      </c>
      <c r="G207" s="59">
        <f>G208</f>
        <v>43</v>
      </c>
    </row>
    <row r="208" spans="1:7" ht="39.75" customHeight="1" x14ac:dyDescent="0.25">
      <c r="A208" s="98" t="s">
        <v>776</v>
      </c>
      <c r="B208" s="580" t="s">
        <v>118</v>
      </c>
      <c r="C208" s="580" t="s">
        <v>140</v>
      </c>
      <c r="D208" s="580" t="s">
        <v>847</v>
      </c>
      <c r="E208" s="580"/>
      <c r="F208" s="10">
        <f t="shared" ref="F208:G209" si="35">F209</f>
        <v>43</v>
      </c>
      <c r="G208" s="10">
        <f t="shared" si="35"/>
        <v>43</v>
      </c>
    </row>
    <row r="209" spans="1:7" ht="31.5" x14ac:dyDescent="0.25">
      <c r="A209" s="579" t="s">
        <v>131</v>
      </c>
      <c r="B209" s="580" t="s">
        <v>118</v>
      </c>
      <c r="C209" s="580" t="s">
        <v>140</v>
      </c>
      <c r="D209" s="580" t="s">
        <v>847</v>
      </c>
      <c r="E209" s="580" t="s">
        <v>132</v>
      </c>
      <c r="F209" s="10">
        <f t="shared" si="35"/>
        <v>43</v>
      </c>
      <c r="G209" s="10">
        <f t="shared" si="35"/>
        <v>43</v>
      </c>
    </row>
    <row r="210" spans="1:7" ht="31.5" x14ac:dyDescent="0.25">
      <c r="A210" s="579" t="s">
        <v>133</v>
      </c>
      <c r="B210" s="580" t="s">
        <v>118</v>
      </c>
      <c r="C210" s="580" t="s">
        <v>140</v>
      </c>
      <c r="D210" s="580" t="s">
        <v>847</v>
      </c>
      <c r="E210" s="580" t="s">
        <v>134</v>
      </c>
      <c r="F210" s="10">
        <f>'Пр.4.1 ведом.23-24 '!G277+'Пр.4.1 ведом.23-24 '!G144</f>
        <v>43</v>
      </c>
      <c r="G210" s="10">
        <f>'Пр.4.1 ведом.23-24 '!H277+'Пр.4.1 ведом.23-24 '!H144</f>
        <v>43</v>
      </c>
    </row>
    <row r="211" spans="1:7" ht="31.5" x14ac:dyDescent="0.25">
      <c r="A211" s="503" t="s">
        <v>1023</v>
      </c>
      <c r="B211" s="495" t="s">
        <v>118</v>
      </c>
      <c r="C211" s="495" t="s">
        <v>140</v>
      </c>
      <c r="D211" s="495" t="s">
        <v>853</v>
      </c>
      <c r="E211" s="504"/>
      <c r="F211" s="59">
        <f>F212</f>
        <v>15</v>
      </c>
      <c r="G211" s="59">
        <f>G212</f>
        <v>15</v>
      </c>
    </row>
    <row r="212" spans="1:7" ht="33" customHeight="1" x14ac:dyDescent="0.25">
      <c r="A212" s="98" t="s">
        <v>777</v>
      </c>
      <c r="B212" s="580" t="s">
        <v>118</v>
      </c>
      <c r="C212" s="580" t="s">
        <v>140</v>
      </c>
      <c r="D212" s="580" t="s">
        <v>848</v>
      </c>
      <c r="E212" s="498"/>
      <c r="F212" s="10">
        <f t="shared" ref="F212:G213" si="36">F213</f>
        <v>15</v>
      </c>
      <c r="G212" s="10">
        <f t="shared" si="36"/>
        <v>15</v>
      </c>
    </row>
    <row r="213" spans="1:7" ht="31.7" customHeight="1" x14ac:dyDescent="0.25">
      <c r="A213" s="579" t="s">
        <v>131</v>
      </c>
      <c r="B213" s="580" t="s">
        <v>118</v>
      </c>
      <c r="C213" s="580" t="s">
        <v>140</v>
      </c>
      <c r="D213" s="580" t="s">
        <v>848</v>
      </c>
      <c r="E213" s="498" t="s">
        <v>132</v>
      </c>
      <c r="F213" s="10">
        <f t="shared" si="36"/>
        <v>15</v>
      </c>
      <c r="G213" s="10">
        <f t="shared" si="36"/>
        <v>15</v>
      </c>
    </row>
    <row r="214" spans="1:7" ht="40.700000000000003" customHeight="1" x14ac:dyDescent="0.25">
      <c r="A214" s="579" t="s">
        <v>133</v>
      </c>
      <c r="B214" s="580" t="s">
        <v>118</v>
      </c>
      <c r="C214" s="580" t="s">
        <v>140</v>
      </c>
      <c r="D214" s="580" t="s">
        <v>848</v>
      </c>
      <c r="E214" s="498" t="s">
        <v>134</v>
      </c>
      <c r="F214" s="10">
        <f>'Пр.4.1 ведом.23-24 '!G148</f>
        <v>15</v>
      </c>
      <c r="G214" s="10">
        <f>'Пр.4.1 ведом.23-24 '!H148</f>
        <v>15</v>
      </c>
    </row>
    <row r="215" spans="1:7" ht="63" hidden="1" x14ac:dyDescent="0.25">
      <c r="A215" s="217" t="s">
        <v>1529</v>
      </c>
      <c r="B215" s="495" t="s">
        <v>118</v>
      </c>
      <c r="C215" s="495" t="s">
        <v>140</v>
      </c>
      <c r="D215" s="495" t="s">
        <v>782</v>
      </c>
      <c r="E215" s="504"/>
      <c r="F215" s="59">
        <f>F217</f>
        <v>0</v>
      </c>
      <c r="G215" s="59">
        <f>G217</f>
        <v>0</v>
      </c>
    </row>
    <row r="216" spans="1:7" ht="31.5" hidden="1" x14ac:dyDescent="0.25">
      <c r="A216" s="494" t="s">
        <v>930</v>
      </c>
      <c r="B216" s="495" t="s">
        <v>118</v>
      </c>
      <c r="C216" s="495" t="s">
        <v>140</v>
      </c>
      <c r="D216" s="495" t="s">
        <v>1020</v>
      </c>
      <c r="E216" s="504"/>
      <c r="F216" s="59">
        <f t="shared" ref="F216:G218" si="37">F217</f>
        <v>0</v>
      </c>
      <c r="G216" s="59">
        <f t="shared" si="37"/>
        <v>0</v>
      </c>
    </row>
    <row r="217" spans="1:7" ht="31.5" hidden="1" x14ac:dyDescent="0.25">
      <c r="A217" s="182" t="s">
        <v>790</v>
      </c>
      <c r="B217" s="580" t="s">
        <v>118</v>
      </c>
      <c r="C217" s="580" t="s">
        <v>140</v>
      </c>
      <c r="D217" s="580" t="s">
        <v>1021</v>
      </c>
      <c r="E217" s="498"/>
      <c r="F217" s="10">
        <f t="shared" si="37"/>
        <v>0</v>
      </c>
      <c r="G217" s="10">
        <f t="shared" si="37"/>
        <v>0</v>
      </c>
    </row>
    <row r="218" spans="1:7" ht="31.5" hidden="1" x14ac:dyDescent="0.25">
      <c r="A218" s="182" t="s">
        <v>131</v>
      </c>
      <c r="B218" s="580" t="s">
        <v>118</v>
      </c>
      <c r="C218" s="580" t="s">
        <v>140</v>
      </c>
      <c r="D218" s="580" t="s">
        <v>1021</v>
      </c>
      <c r="E218" s="498" t="s">
        <v>132</v>
      </c>
      <c r="F218" s="10">
        <f t="shared" si="37"/>
        <v>0</v>
      </c>
      <c r="G218" s="10">
        <f t="shared" si="37"/>
        <v>0</v>
      </c>
    </row>
    <row r="219" spans="1:7" ht="31.5" hidden="1" x14ac:dyDescent="0.25">
      <c r="A219" s="182" t="s">
        <v>133</v>
      </c>
      <c r="B219" s="580" t="s">
        <v>118</v>
      </c>
      <c r="C219" s="580" t="s">
        <v>140</v>
      </c>
      <c r="D219" s="580" t="s">
        <v>1021</v>
      </c>
      <c r="E219" s="498" t="s">
        <v>134</v>
      </c>
      <c r="F219" s="10">
        <f>'Пр.4 ведом.22'!G568</f>
        <v>0</v>
      </c>
      <c r="G219" s="10">
        <f>'Пр.4 ведом.22'!H568</f>
        <v>0</v>
      </c>
    </row>
    <row r="220" spans="1:7" ht="78.75" x14ac:dyDescent="0.25">
      <c r="A220" s="572" t="s">
        <v>1373</v>
      </c>
      <c r="B220" s="8" t="s">
        <v>118</v>
      </c>
      <c r="C220" s="8" t="s">
        <v>140</v>
      </c>
      <c r="D220" s="646" t="s">
        <v>817</v>
      </c>
      <c r="E220" s="8"/>
      <c r="F220" s="59">
        <f t="shared" ref="F220:G223" si="38">F221</f>
        <v>45</v>
      </c>
      <c r="G220" s="59">
        <f t="shared" si="38"/>
        <v>45</v>
      </c>
    </row>
    <row r="221" spans="1:7" ht="47.25" x14ac:dyDescent="0.25">
      <c r="A221" s="213" t="s">
        <v>854</v>
      </c>
      <c r="B221" s="8" t="s">
        <v>118</v>
      </c>
      <c r="C221" s="8" t="s">
        <v>140</v>
      </c>
      <c r="D221" s="194" t="s">
        <v>1075</v>
      </c>
      <c r="E221" s="8"/>
      <c r="F221" s="59">
        <f t="shared" si="38"/>
        <v>45</v>
      </c>
      <c r="G221" s="59">
        <f t="shared" si="38"/>
        <v>45</v>
      </c>
    </row>
    <row r="222" spans="1:7" ht="31.5" x14ac:dyDescent="0.25">
      <c r="A222" s="97" t="s">
        <v>171</v>
      </c>
      <c r="B222" s="9" t="s">
        <v>118</v>
      </c>
      <c r="C222" s="9" t="s">
        <v>140</v>
      </c>
      <c r="D222" s="5" t="s">
        <v>855</v>
      </c>
      <c r="E222" s="9"/>
      <c r="F222" s="10">
        <f t="shared" si="38"/>
        <v>45</v>
      </c>
      <c r="G222" s="10">
        <f t="shared" si="38"/>
        <v>45</v>
      </c>
    </row>
    <row r="223" spans="1:7" ht="31.5" x14ac:dyDescent="0.25">
      <c r="A223" s="579" t="s">
        <v>131</v>
      </c>
      <c r="B223" s="9" t="s">
        <v>118</v>
      </c>
      <c r="C223" s="9" t="s">
        <v>140</v>
      </c>
      <c r="D223" s="5" t="s">
        <v>855</v>
      </c>
      <c r="E223" s="9" t="s">
        <v>132</v>
      </c>
      <c r="F223" s="10">
        <f t="shared" si="38"/>
        <v>45</v>
      </c>
      <c r="G223" s="10">
        <f t="shared" si="38"/>
        <v>45</v>
      </c>
    </row>
    <row r="224" spans="1:7" ht="31.5" x14ac:dyDescent="0.25">
      <c r="A224" s="579" t="s">
        <v>133</v>
      </c>
      <c r="B224" s="9" t="s">
        <v>118</v>
      </c>
      <c r="C224" s="9" t="s">
        <v>140</v>
      </c>
      <c r="D224" s="5" t="s">
        <v>855</v>
      </c>
      <c r="E224" s="9" t="s">
        <v>134</v>
      </c>
      <c r="F224" s="10">
        <f>'Пр.4.1 ведом.23-24 '!G153</f>
        <v>45</v>
      </c>
      <c r="G224" s="10">
        <f>'Пр.4.1 ведом.23-24 '!H153</f>
        <v>45</v>
      </c>
    </row>
    <row r="225" spans="1:10" ht="63" x14ac:dyDescent="0.25">
      <c r="A225" s="572" t="s">
        <v>1374</v>
      </c>
      <c r="B225" s="8" t="s">
        <v>118</v>
      </c>
      <c r="C225" s="8" t="s">
        <v>140</v>
      </c>
      <c r="D225" s="194" t="s">
        <v>818</v>
      </c>
      <c r="E225" s="8"/>
      <c r="F225" s="488">
        <f>F226</f>
        <v>80</v>
      </c>
      <c r="G225" s="488">
        <f>G226</f>
        <v>80</v>
      </c>
    </row>
    <row r="226" spans="1:10" ht="31.5" x14ac:dyDescent="0.25">
      <c r="A226" s="58" t="s">
        <v>856</v>
      </c>
      <c r="B226" s="8" t="s">
        <v>118</v>
      </c>
      <c r="C226" s="8" t="s">
        <v>140</v>
      </c>
      <c r="D226" s="194" t="s">
        <v>864</v>
      </c>
      <c r="E226" s="8"/>
      <c r="F226" s="488">
        <f t="shared" ref="F226:G227" si="39">F227</f>
        <v>80</v>
      </c>
      <c r="G226" s="488">
        <f t="shared" si="39"/>
        <v>80</v>
      </c>
    </row>
    <row r="227" spans="1:10" ht="15.75" x14ac:dyDescent="0.25">
      <c r="A227" s="45" t="s">
        <v>822</v>
      </c>
      <c r="B227" s="9" t="s">
        <v>118</v>
      </c>
      <c r="C227" s="9" t="s">
        <v>140</v>
      </c>
      <c r="D227" s="5" t="s">
        <v>857</v>
      </c>
      <c r="E227" s="9"/>
      <c r="F227" s="386">
        <f t="shared" si="39"/>
        <v>80</v>
      </c>
      <c r="G227" s="386">
        <f t="shared" si="39"/>
        <v>80</v>
      </c>
    </row>
    <row r="228" spans="1:10" ht="39.75" customHeight="1" x14ac:dyDescent="0.25">
      <c r="A228" s="579" t="s">
        <v>131</v>
      </c>
      <c r="B228" s="9" t="s">
        <v>118</v>
      </c>
      <c r="C228" s="9" t="s">
        <v>140</v>
      </c>
      <c r="D228" s="5" t="s">
        <v>857</v>
      </c>
      <c r="E228" s="9" t="s">
        <v>132</v>
      </c>
      <c r="F228" s="386">
        <f>F229</f>
        <v>80</v>
      </c>
      <c r="G228" s="386">
        <f>G229</f>
        <v>80</v>
      </c>
    </row>
    <row r="229" spans="1:10" ht="31.5" x14ac:dyDescent="0.25">
      <c r="A229" s="579" t="s">
        <v>133</v>
      </c>
      <c r="B229" s="9" t="s">
        <v>118</v>
      </c>
      <c r="C229" s="9" t="s">
        <v>140</v>
      </c>
      <c r="D229" s="5" t="s">
        <v>857</v>
      </c>
      <c r="E229" s="9" t="s">
        <v>134</v>
      </c>
      <c r="F229" s="489">
        <f>'Пр.4.1 ведом.23-24 '!G158</f>
        <v>80</v>
      </c>
      <c r="G229" s="489">
        <f>'Пр.4.1 ведом.23-24 '!H158</f>
        <v>80</v>
      </c>
    </row>
    <row r="230" spans="1:10" ht="15.75" hidden="1" x14ac:dyDescent="0.25">
      <c r="A230" s="494" t="s">
        <v>212</v>
      </c>
      <c r="B230" s="495" t="s">
        <v>213</v>
      </c>
      <c r="C230" s="495"/>
      <c r="D230" s="495"/>
      <c r="E230" s="495"/>
      <c r="F230" s="488">
        <f t="shared" ref="F230:G235" si="40">F231</f>
        <v>0</v>
      </c>
      <c r="G230" s="488">
        <f t="shared" si="40"/>
        <v>0</v>
      </c>
    </row>
    <row r="231" spans="1:10" ht="19.5" hidden="1" customHeight="1" x14ac:dyDescent="0.25">
      <c r="A231" s="494" t="s">
        <v>218</v>
      </c>
      <c r="B231" s="495" t="s">
        <v>213</v>
      </c>
      <c r="C231" s="495" t="s">
        <v>219</v>
      </c>
      <c r="D231" s="495"/>
      <c r="E231" s="495"/>
      <c r="F231" s="488">
        <f t="shared" si="40"/>
        <v>0</v>
      </c>
      <c r="G231" s="488">
        <f t="shared" si="40"/>
        <v>0</v>
      </c>
    </row>
    <row r="232" spans="1:10" ht="15.75" hidden="1" x14ac:dyDescent="0.25">
      <c r="A232" s="494" t="s">
        <v>141</v>
      </c>
      <c r="B232" s="495" t="s">
        <v>213</v>
      </c>
      <c r="C232" s="495" t="s">
        <v>219</v>
      </c>
      <c r="D232" s="495" t="s">
        <v>866</v>
      </c>
      <c r="E232" s="495"/>
      <c r="F232" s="488">
        <f t="shared" si="40"/>
        <v>0</v>
      </c>
      <c r="G232" s="488">
        <f t="shared" si="40"/>
        <v>0</v>
      </c>
    </row>
    <row r="233" spans="1:10" ht="31.5" hidden="1" x14ac:dyDescent="0.25">
      <c r="A233" s="494" t="s">
        <v>870</v>
      </c>
      <c r="B233" s="495" t="s">
        <v>213</v>
      </c>
      <c r="C233" s="495" t="s">
        <v>219</v>
      </c>
      <c r="D233" s="495" t="s">
        <v>865</v>
      </c>
      <c r="E233" s="495"/>
      <c r="F233" s="488">
        <f t="shared" si="40"/>
        <v>0</v>
      </c>
      <c r="G233" s="488">
        <f t="shared" si="40"/>
        <v>0</v>
      </c>
    </row>
    <row r="234" spans="1:10" ht="15.75" hidden="1" x14ac:dyDescent="0.25">
      <c r="A234" s="579" t="s">
        <v>220</v>
      </c>
      <c r="B234" s="580" t="s">
        <v>213</v>
      </c>
      <c r="C234" s="580" t="s">
        <v>219</v>
      </c>
      <c r="D234" s="580" t="s">
        <v>871</v>
      </c>
      <c r="E234" s="580"/>
      <c r="F234" s="489">
        <f t="shared" si="40"/>
        <v>0</v>
      </c>
      <c r="G234" s="489">
        <f t="shared" si="40"/>
        <v>0</v>
      </c>
    </row>
    <row r="235" spans="1:10" ht="31.5" hidden="1" x14ac:dyDescent="0.25">
      <c r="A235" s="579" t="s">
        <v>198</v>
      </c>
      <c r="B235" s="580" t="s">
        <v>213</v>
      </c>
      <c r="C235" s="580" t="s">
        <v>219</v>
      </c>
      <c r="D235" s="580" t="s">
        <v>871</v>
      </c>
      <c r="E235" s="580" t="s">
        <v>132</v>
      </c>
      <c r="F235" s="489">
        <f t="shared" si="40"/>
        <v>0</v>
      </c>
      <c r="G235" s="489">
        <f t="shared" si="40"/>
        <v>0</v>
      </c>
    </row>
    <row r="236" spans="1:10" ht="31.5" hidden="1" x14ac:dyDescent="0.25">
      <c r="A236" s="579" t="s">
        <v>133</v>
      </c>
      <c r="B236" s="580" t="s">
        <v>213</v>
      </c>
      <c r="C236" s="580" t="s">
        <v>219</v>
      </c>
      <c r="D236" s="580" t="s">
        <v>871</v>
      </c>
      <c r="E236" s="580" t="s">
        <v>134</v>
      </c>
      <c r="F236" s="489">
        <f>'Пр.4 ведом.22'!G164</f>
        <v>0</v>
      </c>
      <c r="G236" s="489">
        <f>'Пр.4 ведом.22'!H164</f>
        <v>0</v>
      </c>
    </row>
    <row r="237" spans="1:10" ht="31.5" x14ac:dyDescent="0.25">
      <c r="A237" s="494" t="s">
        <v>222</v>
      </c>
      <c r="B237" s="495" t="s">
        <v>215</v>
      </c>
      <c r="C237" s="495"/>
      <c r="D237" s="495"/>
      <c r="E237" s="495"/>
      <c r="F237" s="488">
        <f t="shared" ref="F237:G237" si="41">F238</f>
        <v>8129.4</v>
      </c>
      <c r="G237" s="488">
        <f t="shared" si="41"/>
        <v>8292.4</v>
      </c>
    </row>
    <row r="238" spans="1:10" ht="47.25" x14ac:dyDescent="0.25">
      <c r="A238" s="494" t="s">
        <v>1345</v>
      </c>
      <c r="B238" s="495" t="s">
        <v>215</v>
      </c>
      <c r="C238" s="495" t="s">
        <v>244</v>
      </c>
      <c r="D238" s="580"/>
      <c r="E238" s="580"/>
      <c r="F238" s="488">
        <f>F239+F257</f>
        <v>8129.4</v>
      </c>
      <c r="G238" s="488">
        <f>G239+G257</f>
        <v>8292.4</v>
      </c>
      <c r="H238" s="115"/>
      <c r="I238" s="115"/>
      <c r="J238" s="115"/>
    </row>
    <row r="239" spans="1:10" ht="15.75" x14ac:dyDescent="0.25">
      <c r="A239" s="494" t="s">
        <v>141</v>
      </c>
      <c r="B239" s="495" t="s">
        <v>215</v>
      </c>
      <c r="C239" s="495" t="s">
        <v>244</v>
      </c>
      <c r="D239" s="495" t="s">
        <v>866</v>
      </c>
      <c r="E239" s="495"/>
      <c r="F239" s="488">
        <f>F240+F247</f>
        <v>8129.4</v>
      </c>
      <c r="G239" s="488">
        <f>G240+G247</f>
        <v>8292.4</v>
      </c>
    </row>
    <row r="240" spans="1:10" ht="31.5" x14ac:dyDescent="0.25">
      <c r="A240" s="494" t="s">
        <v>870</v>
      </c>
      <c r="B240" s="495" t="s">
        <v>215</v>
      </c>
      <c r="C240" s="495" t="s">
        <v>244</v>
      </c>
      <c r="D240" s="495" t="s">
        <v>865</v>
      </c>
      <c r="E240" s="495"/>
      <c r="F240" s="488">
        <f>F241+F244</f>
        <v>1589</v>
      </c>
      <c r="G240" s="488">
        <f>G241+G244</f>
        <v>1589</v>
      </c>
    </row>
    <row r="241" spans="1:8" ht="47.25" x14ac:dyDescent="0.25">
      <c r="A241" s="579" t="s">
        <v>224</v>
      </c>
      <c r="B241" s="580" t="s">
        <v>215</v>
      </c>
      <c r="C241" s="580" t="s">
        <v>244</v>
      </c>
      <c r="D241" s="580" t="s">
        <v>875</v>
      </c>
      <c r="E241" s="580"/>
      <c r="F241" s="489">
        <f t="shared" ref="F241:G242" si="42">F242</f>
        <v>1285</v>
      </c>
      <c r="G241" s="489">
        <f t="shared" si="42"/>
        <v>1285</v>
      </c>
    </row>
    <row r="242" spans="1:8" ht="31.5" x14ac:dyDescent="0.25">
      <c r="A242" s="579" t="s">
        <v>198</v>
      </c>
      <c r="B242" s="580" t="s">
        <v>215</v>
      </c>
      <c r="C242" s="580" t="s">
        <v>244</v>
      </c>
      <c r="D242" s="580" t="s">
        <v>875</v>
      </c>
      <c r="E242" s="580" t="s">
        <v>132</v>
      </c>
      <c r="F242" s="489">
        <f t="shared" si="42"/>
        <v>1285</v>
      </c>
      <c r="G242" s="489">
        <f t="shared" si="42"/>
        <v>1285</v>
      </c>
    </row>
    <row r="243" spans="1:8" ht="31.5" x14ac:dyDescent="0.25">
      <c r="A243" s="579" t="s">
        <v>133</v>
      </c>
      <c r="B243" s="580" t="s">
        <v>215</v>
      </c>
      <c r="C243" s="580" t="s">
        <v>244</v>
      </c>
      <c r="D243" s="580" t="s">
        <v>875</v>
      </c>
      <c r="E243" s="580" t="s">
        <v>134</v>
      </c>
      <c r="F243" s="389">
        <f>'Пр.4.1 ведом.23-24 '!G172</f>
        <v>1285</v>
      </c>
      <c r="G243" s="389">
        <f>'Пр.4.1 ведом.23-24 '!H172</f>
        <v>1285</v>
      </c>
    </row>
    <row r="244" spans="1:8" ht="15.75" x14ac:dyDescent="0.25">
      <c r="A244" s="579" t="s">
        <v>230</v>
      </c>
      <c r="B244" s="580" t="s">
        <v>215</v>
      </c>
      <c r="C244" s="580" t="s">
        <v>244</v>
      </c>
      <c r="D244" s="580" t="s">
        <v>876</v>
      </c>
      <c r="E244" s="580"/>
      <c r="F244" s="389">
        <f t="shared" ref="F244:G245" si="43">F245</f>
        <v>304</v>
      </c>
      <c r="G244" s="389">
        <f t="shared" si="43"/>
        <v>304</v>
      </c>
    </row>
    <row r="245" spans="1:8" ht="31.5" x14ac:dyDescent="0.25">
      <c r="A245" s="579" t="s">
        <v>198</v>
      </c>
      <c r="B245" s="580" t="s">
        <v>215</v>
      </c>
      <c r="C245" s="580" t="s">
        <v>244</v>
      </c>
      <c r="D245" s="580" t="s">
        <v>876</v>
      </c>
      <c r="E245" s="580" t="s">
        <v>132</v>
      </c>
      <c r="F245" s="389">
        <f t="shared" si="43"/>
        <v>304</v>
      </c>
      <c r="G245" s="389">
        <f t="shared" si="43"/>
        <v>304</v>
      </c>
    </row>
    <row r="246" spans="1:8" ht="31.5" x14ac:dyDescent="0.25">
      <c r="A246" s="579" t="s">
        <v>133</v>
      </c>
      <c r="B246" s="580" t="s">
        <v>215</v>
      </c>
      <c r="C246" s="580" t="s">
        <v>244</v>
      </c>
      <c r="D246" s="580" t="s">
        <v>876</v>
      </c>
      <c r="E246" s="580" t="s">
        <v>134</v>
      </c>
      <c r="F246" s="389">
        <f>'Пр.4.1 ведом.23-24 '!G175+'Пр.4.1 ведом.23-24 '!G933</f>
        <v>304</v>
      </c>
      <c r="G246" s="389">
        <f>'Пр.4.1 ведом.23-24 '!H175+'Пр.4.1 ведом.23-24 '!H933</f>
        <v>304</v>
      </c>
      <c r="H246" s="389"/>
    </row>
    <row r="247" spans="1:8" ht="31.5" x14ac:dyDescent="0.25">
      <c r="A247" s="494" t="s">
        <v>923</v>
      </c>
      <c r="B247" s="495" t="s">
        <v>215</v>
      </c>
      <c r="C247" s="495" t="s">
        <v>244</v>
      </c>
      <c r="D247" s="495" t="s">
        <v>872</v>
      </c>
      <c r="E247" s="495"/>
      <c r="F247" s="488">
        <f>F248+F253</f>
        <v>6540.4</v>
      </c>
      <c r="G247" s="488">
        <f>G248+G253</f>
        <v>6703.4</v>
      </c>
    </row>
    <row r="248" spans="1:8" ht="31.5" x14ac:dyDescent="0.25">
      <c r="A248" s="579" t="s">
        <v>927</v>
      </c>
      <c r="B248" s="580" t="s">
        <v>215</v>
      </c>
      <c r="C248" s="580" t="s">
        <v>244</v>
      </c>
      <c r="D248" s="580" t="s">
        <v>873</v>
      </c>
      <c r="E248" s="580"/>
      <c r="F248" s="386">
        <f>F249+F251</f>
        <v>6282.4</v>
      </c>
      <c r="G248" s="386">
        <f>G249+G251</f>
        <v>6445.4</v>
      </c>
    </row>
    <row r="249" spans="1:8" ht="78.75" x14ac:dyDescent="0.25">
      <c r="A249" s="579" t="s">
        <v>127</v>
      </c>
      <c r="B249" s="580" t="s">
        <v>215</v>
      </c>
      <c r="C249" s="580" t="s">
        <v>244</v>
      </c>
      <c r="D249" s="580" t="s">
        <v>873</v>
      </c>
      <c r="E249" s="580" t="s">
        <v>128</v>
      </c>
      <c r="F249" s="386">
        <f>F250</f>
        <v>6119.4</v>
      </c>
      <c r="G249" s="386">
        <f>G250</f>
        <v>6119.4</v>
      </c>
    </row>
    <row r="250" spans="1:8" ht="15.75" x14ac:dyDescent="0.25">
      <c r="A250" s="579" t="s">
        <v>208</v>
      </c>
      <c r="B250" s="580" t="s">
        <v>215</v>
      </c>
      <c r="C250" s="580" t="s">
        <v>244</v>
      </c>
      <c r="D250" s="580" t="s">
        <v>873</v>
      </c>
      <c r="E250" s="580" t="s">
        <v>209</v>
      </c>
      <c r="F250" s="489">
        <f>'Пр.4.1 ведом.23-24 '!G179</f>
        <v>6119.4</v>
      </c>
      <c r="G250" s="489">
        <f>'Пр.4.1 ведом.23-24 '!H179</f>
        <v>6119.4</v>
      </c>
    </row>
    <row r="251" spans="1:8" ht="31.5" x14ac:dyDescent="0.25">
      <c r="A251" s="579" t="s">
        <v>198</v>
      </c>
      <c r="B251" s="580" t="s">
        <v>215</v>
      </c>
      <c r="C251" s="580" t="s">
        <v>244</v>
      </c>
      <c r="D251" s="580" t="s">
        <v>873</v>
      </c>
      <c r="E251" s="580" t="s">
        <v>132</v>
      </c>
      <c r="F251" s="489">
        <f>'Пр.4 ведом.22'!G180</f>
        <v>163</v>
      </c>
      <c r="G251" s="489">
        <f>G252</f>
        <v>326</v>
      </c>
    </row>
    <row r="252" spans="1:8" ht="31.5" x14ac:dyDescent="0.25">
      <c r="A252" s="579" t="s">
        <v>133</v>
      </c>
      <c r="B252" s="580" t="s">
        <v>215</v>
      </c>
      <c r="C252" s="580" t="s">
        <v>244</v>
      </c>
      <c r="D252" s="580" t="s">
        <v>873</v>
      </c>
      <c r="E252" s="580" t="s">
        <v>134</v>
      </c>
      <c r="F252" s="489">
        <f>'Пр.4.1 ведом.23-24 '!G181</f>
        <v>326</v>
      </c>
      <c r="G252" s="489">
        <f>'Пр.4.1 ведом.23-24 '!H181</f>
        <v>326</v>
      </c>
    </row>
    <row r="253" spans="1:8" ht="47.25" x14ac:dyDescent="0.25">
      <c r="A253" s="579" t="s">
        <v>839</v>
      </c>
      <c r="B253" s="580" t="s">
        <v>215</v>
      </c>
      <c r="C253" s="580" t="s">
        <v>244</v>
      </c>
      <c r="D253" s="580" t="s">
        <v>874</v>
      </c>
      <c r="E253" s="580"/>
      <c r="F253" s="489">
        <f t="shared" ref="F253:G253" si="44">F254</f>
        <v>258</v>
      </c>
      <c r="G253" s="489">
        <f t="shared" si="44"/>
        <v>258</v>
      </c>
    </row>
    <row r="254" spans="1:8" ht="78.75" x14ac:dyDescent="0.25">
      <c r="A254" s="579" t="s">
        <v>127</v>
      </c>
      <c r="B254" s="580" t="s">
        <v>215</v>
      </c>
      <c r="C254" s="580" t="s">
        <v>244</v>
      </c>
      <c r="D254" s="580" t="s">
        <v>874</v>
      </c>
      <c r="E254" s="580" t="s">
        <v>128</v>
      </c>
      <c r="F254" s="489">
        <f>F255</f>
        <v>258</v>
      </c>
      <c r="G254" s="489">
        <f>G255</f>
        <v>258</v>
      </c>
    </row>
    <row r="255" spans="1:8" ht="31.5" x14ac:dyDescent="0.25">
      <c r="A255" s="579" t="s">
        <v>129</v>
      </c>
      <c r="B255" s="580" t="s">
        <v>215</v>
      </c>
      <c r="C255" s="580" t="s">
        <v>244</v>
      </c>
      <c r="D255" s="580" t="s">
        <v>874</v>
      </c>
      <c r="E255" s="580" t="s">
        <v>130</v>
      </c>
      <c r="F255" s="489">
        <f>'Пр.4.1 ведом.23-24 '!G184</f>
        <v>258</v>
      </c>
      <c r="G255" s="489">
        <f>'Пр.4.1 ведом.23-24 '!H184</f>
        <v>258</v>
      </c>
    </row>
    <row r="256" spans="1:8" ht="47.25" hidden="1" x14ac:dyDescent="0.25">
      <c r="A256" s="572" t="s">
        <v>1352</v>
      </c>
      <c r="B256" s="8" t="s">
        <v>118</v>
      </c>
      <c r="C256" s="8" t="s">
        <v>140</v>
      </c>
      <c r="D256" s="495" t="s">
        <v>705</v>
      </c>
      <c r="E256" s="580"/>
      <c r="F256" s="488">
        <f>F257</f>
        <v>0</v>
      </c>
      <c r="G256" s="488">
        <f>G257</f>
        <v>0</v>
      </c>
    </row>
    <row r="257" spans="1:12" ht="31.5" hidden="1" x14ac:dyDescent="0.25">
      <c r="A257" s="494" t="s">
        <v>1624</v>
      </c>
      <c r="B257" s="495" t="s">
        <v>215</v>
      </c>
      <c r="C257" s="495" t="s">
        <v>244</v>
      </c>
      <c r="D257" s="495" t="s">
        <v>1625</v>
      </c>
      <c r="E257" s="504"/>
      <c r="F257" s="488">
        <f>F258+F261</f>
        <v>0</v>
      </c>
      <c r="G257" s="488">
        <f>G258+G261</f>
        <v>0</v>
      </c>
    </row>
    <row r="258" spans="1:12" ht="15.75" hidden="1" x14ac:dyDescent="0.25">
      <c r="A258" s="579" t="s">
        <v>230</v>
      </c>
      <c r="B258" s="580" t="s">
        <v>215</v>
      </c>
      <c r="C258" s="580" t="s">
        <v>244</v>
      </c>
      <c r="D258" s="580" t="s">
        <v>1626</v>
      </c>
      <c r="E258" s="498"/>
      <c r="F258" s="489">
        <f>F259</f>
        <v>0</v>
      </c>
      <c r="G258" s="489">
        <f>G259</f>
        <v>0</v>
      </c>
    </row>
    <row r="259" spans="1:12" ht="31.5" hidden="1" x14ac:dyDescent="0.25">
      <c r="A259" s="579" t="s">
        <v>131</v>
      </c>
      <c r="B259" s="580" t="s">
        <v>215</v>
      </c>
      <c r="C259" s="580" t="s">
        <v>244</v>
      </c>
      <c r="D259" s="580" t="s">
        <v>1626</v>
      </c>
      <c r="E259" s="498" t="s">
        <v>132</v>
      </c>
      <c r="F259" s="489">
        <f>F260</f>
        <v>0</v>
      </c>
      <c r="G259" s="489">
        <f>G260</f>
        <v>0</v>
      </c>
    </row>
    <row r="260" spans="1:12" ht="31.5" hidden="1" x14ac:dyDescent="0.25">
      <c r="A260" s="579" t="s">
        <v>133</v>
      </c>
      <c r="B260" s="580" t="s">
        <v>215</v>
      </c>
      <c r="C260" s="580" t="s">
        <v>244</v>
      </c>
      <c r="D260" s="580" t="s">
        <v>1626</v>
      </c>
      <c r="E260" s="498" t="s">
        <v>134</v>
      </c>
      <c r="F260" s="489">
        <f>'Пр.4 ведом.22'!G188</f>
        <v>0</v>
      </c>
      <c r="G260" s="489">
        <f>'Пр.4 ведом.22'!H188</f>
        <v>0</v>
      </c>
    </row>
    <row r="261" spans="1:12" ht="47.25" hidden="1" x14ac:dyDescent="0.25">
      <c r="A261" s="579" t="s">
        <v>1659</v>
      </c>
      <c r="B261" s="580" t="s">
        <v>215</v>
      </c>
      <c r="C261" s="580" t="s">
        <v>244</v>
      </c>
      <c r="D261" s="580" t="s">
        <v>1660</v>
      </c>
      <c r="E261" s="498"/>
      <c r="F261" s="489">
        <f>F262</f>
        <v>0</v>
      </c>
      <c r="G261" s="489">
        <f>G262</f>
        <v>0</v>
      </c>
    </row>
    <row r="262" spans="1:12" ht="31.5" hidden="1" x14ac:dyDescent="0.25">
      <c r="A262" s="579" t="s">
        <v>248</v>
      </c>
      <c r="B262" s="580" t="s">
        <v>215</v>
      </c>
      <c r="C262" s="580" t="s">
        <v>244</v>
      </c>
      <c r="D262" s="580" t="s">
        <v>1660</v>
      </c>
      <c r="E262" s="498" t="s">
        <v>249</v>
      </c>
      <c r="F262" s="489">
        <f>F263</f>
        <v>0</v>
      </c>
      <c r="G262" s="489">
        <f>G263</f>
        <v>0</v>
      </c>
    </row>
    <row r="263" spans="1:12" ht="31.5" hidden="1" x14ac:dyDescent="0.25">
      <c r="A263" s="579" t="s">
        <v>250</v>
      </c>
      <c r="B263" s="580" t="s">
        <v>215</v>
      </c>
      <c r="C263" s="580" t="s">
        <v>244</v>
      </c>
      <c r="D263" s="580" t="s">
        <v>1660</v>
      </c>
      <c r="E263" s="498" t="s">
        <v>251</v>
      </c>
      <c r="F263" s="489">
        <f>'Пр.4 ведом.22'!G194</f>
        <v>0</v>
      </c>
      <c r="G263" s="489">
        <f>'Пр.4 ведом.22'!H194</f>
        <v>0</v>
      </c>
    </row>
    <row r="264" spans="1:12" ht="15.75" x14ac:dyDescent="0.25">
      <c r="A264" s="494" t="s">
        <v>232</v>
      </c>
      <c r="B264" s="495" t="s">
        <v>150</v>
      </c>
      <c r="C264" s="495"/>
      <c r="D264" s="495"/>
      <c r="E264" s="580"/>
      <c r="F264" s="488">
        <f>F275+F281+F295+F265</f>
        <v>7269.2</v>
      </c>
      <c r="G264" s="488">
        <f>G275+G281+G295+G265</f>
        <v>7459.9</v>
      </c>
      <c r="K264" s="115">
        <f>F264-F297-'Пр.4 ведом.22'!U1185-'Пр.4 ведом.22'!W1185-'Пр.4 ведом.22'!Z1185</f>
        <v>6940.7</v>
      </c>
      <c r="L264" s="22">
        <f>F297+F310+F323-'Пр.4 ведом.22'!U1184-'Пр.4 ведом.22'!Z1184-'Пр.4 ведом.22'!W1184+F268</f>
        <v>962.5</v>
      </c>
    </row>
    <row r="265" spans="1:12" ht="15.75" x14ac:dyDescent="0.25">
      <c r="A265" s="494" t="s">
        <v>233</v>
      </c>
      <c r="B265" s="495" t="s">
        <v>150</v>
      </c>
      <c r="C265" s="495" t="s">
        <v>234</v>
      </c>
      <c r="D265" s="495"/>
      <c r="E265" s="580"/>
      <c r="F265" s="488">
        <f>F266</f>
        <v>274</v>
      </c>
      <c r="G265" s="488">
        <f>G266</f>
        <v>274</v>
      </c>
    </row>
    <row r="266" spans="1:12" ht="31.7" customHeight="1" x14ac:dyDescent="0.25">
      <c r="A266" s="34" t="s">
        <v>1375</v>
      </c>
      <c r="B266" s="495" t="s">
        <v>150</v>
      </c>
      <c r="C266" s="495" t="s">
        <v>234</v>
      </c>
      <c r="D266" s="194" t="s">
        <v>182</v>
      </c>
      <c r="E266" s="504"/>
      <c r="F266" s="488">
        <f>F267+F271</f>
        <v>274</v>
      </c>
      <c r="G266" s="488">
        <f>G267+G271</f>
        <v>274</v>
      </c>
    </row>
    <row r="267" spans="1:12" ht="31.5" x14ac:dyDescent="0.25">
      <c r="A267" s="34" t="s">
        <v>1006</v>
      </c>
      <c r="B267" s="495" t="s">
        <v>150</v>
      </c>
      <c r="C267" s="495" t="s">
        <v>234</v>
      </c>
      <c r="D267" s="251" t="s">
        <v>877</v>
      </c>
      <c r="E267" s="504"/>
      <c r="F267" s="488">
        <f t="shared" ref="F267:G269" si="45">F268</f>
        <v>274</v>
      </c>
      <c r="G267" s="488">
        <f t="shared" si="45"/>
        <v>274</v>
      </c>
    </row>
    <row r="268" spans="1:12" ht="31.5" x14ac:dyDescent="0.25">
      <c r="A268" s="579" t="s">
        <v>235</v>
      </c>
      <c r="B268" s="580" t="s">
        <v>150</v>
      </c>
      <c r="C268" s="580" t="s">
        <v>234</v>
      </c>
      <c r="D268" s="580" t="s">
        <v>898</v>
      </c>
      <c r="E268" s="498"/>
      <c r="F268" s="489">
        <f t="shared" si="45"/>
        <v>274</v>
      </c>
      <c r="G268" s="489">
        <f t="shared" si="45"/>
        <v>274</v>
      </c>
    </row>
    <row r="269" spans="1:12" ht="15.75" x14ac:dyDescent="0.25">
      <c r="A269" s="29" t="s">
        <v>135</v>
      </c>
      <c r="B269" s="580" t="s">
        <v>150</v>
      </c>
      <c r="C269" s="580" t="s">
        <v>234</v>
      </c>
      <c r="D269" s="580" t="s">
        <v>898</v>
      </c>
      <c r="E269" s="498" t="s">
        <v>145</v>
      </c>
      <c r="F269" s="489">
        <f t="shared" si="45"/>
        <v>274</v>
      </c>
      <c r="G269" s="489">
        <f t="shared" si="45"/>
        <v>274</v>
      </c>
    </row>
    <row r="270" spans="1:12" ht="47.25" x14ac:dyDescent="0.25">
      <c r="A270" s="29" t="s">
        <v>184</v>
      </c>
      <c r="B270" s="580" t="s">
        <v>150</v>
      </c>
      <c r="C270" s="580" t="s">
        <v>234</v>
      </c>
      <c r="D270" s="580" t="s">
        <v>898</v>
      </c>
      <c r="E270" s="498" t="s">
        <v>160</v>
      </c>
      <c r="F270" s="489">
        <f>'Пр.4.1 ведом.23-24 '!G202</f>
        <v>274</v>
      </c>
      <c r="G270" s="489">
        <f>'Пр.4.1 ведом.23-24 '!H202</f>
        <v>274</v>
      </c>
    </row>
    <row r="271" spans="1:12" ht="47.25" hidden="1" x14ac:dyDescent="0.25">
      <c r="A271" s="214" t="s">
        <v>1007</v>
      </c>
      <c r="B271" s="495" t="s">
        <v>150</v>
      </c>
      <c r="C271" s="495" t="s">
        <v>234</v>
      </c>
      <c r="D271" s="194" t="s">
        <v>879</v>
      </c>
      <c r="E271" s="504"/>
      <c r="F271" s="488">
        <f t="shared" ref="F271:G273" si="46">F272</f>
        <v>0</v>
      </c>
      <c r="G271" s="488">
        <f t="shared" si="46"/>
        <v>0</v>
      </c>
    </row>
    <row r="272" spans="1:12" ht="15.75" hidden="1" x14ac:dyDescent="0.25">
      <c r="A272" s="579" t="s">
        <v>878</v>
      </c>
      <c r="B272" s="580" t="s">
        <v>150</v>
      </c>
      <c r="C272" s="580" t="s">
        <v>234</v>
      </c>
      <c r="D272" s="5" t="s">
        <v>899</v>
      </c>
      <c r="E272" s="498"/>
      <c r="F272" s="489">
        <f t="shared" si="46"/>
        <v>0</v>
      </c>
      <c r="G272" s="489">
        <f t="shared" si="46"/>
        <v>0</v>
      </c>
    </row>
    <row r="273" spans="1:7" ht="15.75" hidden="1" x14ac:dyDescent="0.25">
      <c r="A273" s="29" t="s">
        <v>135</v>
      </c>
      <c r="B273" s="580" t="s">
        <v>150</v>
      </c>
      <c r="C273" s="580" t="s">
        <v>234</v>
      </c>
      <c r="D273" s="5" t="s">
        <v>899</v>
      </c>
      <c r="E273" s="498" t="s">
        <v>145</v>
      </c>
      <c r="F273" s="489">
        <f t="shared" si="46"/>
        <v>0</v>
      </c>
      <c r="G273" s="489">
        <f t="shared" si="46"/>
        <v>0</v>
      </c>
    </row>
    <row r="274" spans="1:7" ht="47.25" hidden="1" x14ac:dyDescent="0.25">
      <c r="A274" s="29" t="s">
        <v>184</v>
      </c>
      <c r="B274" s="580" t="s">
        <v>150</v>
      </c>
      <c r="C274" s="580" t="s">
        <v>234</v>
      </c>
      <c r="D274" s="5" t="s">
        <v>899</v>
      </c>
      <c r="E274" s="498" t="s">
        <v>160</v>
      </c>
      <c r="F274" s="489">
        <f>'Пр.4 ведом.22'!G205</f>
        <v>0</v>
      </c>
      <c r="G274" s="489">
        <f>'Пр.4 ведом.22'!H205</f>
        <v>0</v>
      </c>
    </row>
    <row r="275" spans="1:7" ht="15.75" x14ac:dyDescent="0.25">
      <c r="A275" s="494" t="s">
        <v>505</v>
      </c>
      <c r="B275" s="495" t="s">
        <v>150</v>
      </c>
      <c r="C275" s="495" t="s">
        <v>299</v>
      </c>
      <c r="D275" s="495"/>
      <c r="E275" s="495"/>
      <c r="F275" s="488">
        <f t="shared" ref="F275:G279" si="47">F276</f>
        <v>3258</v>
      </c>
      <c r="G275" s="488">
        <f t="shared" si="47"/>
        <v>3258</v>
      </c>
    </row>
    <row r="276" spans="1:7" ht="15.75" x14ac:dyDescent="0.25">
      <c r="A276" s="494" t="s">
        <v>141</v>
      </c>
      <c r="B276" s="495" t="s">
        <v>150</v>
      </c>
      <c r="C276" s="495" t="s">
        <v>299</v>
      </c>
      <c r="D276" s="495" t="s">
        <v>866</v>
      </c>
      <c r="E276" s="495"/>
      <c r="F276" s="488">
        <f t="shared" si="47"/>
        <v>3258</v>
      </c>
      <c r="G276" s="488">
        <f t="shared" si="47"/>
        <v>3258</v>
      </c>
    </row>
    <row r="277" spans="1:7" ht="31.5" x14ac:dyDescent="0.25">
      <c r="A277" s="494" t="s">
        <v>870</v>
      </c>
      <c r="B277" s="495" t="s">
        <v>150</v>
      </c>
      <c r="C277" s="495" t="s">
        <v>299</v>
      </c>
      <c r="D277" s="495" t="s">
        <v>865</v>
      </c>
      <c r="E277" s="495"/>
      <c r="F277" s="488">
        <f t="shared" si="47"/>
        <v>3258</v>
      </c>
      <c r="G277" s="488">
        <f t="shared" si="47"/>
        <v>3258</v>
      </c>
    </row>
    <row r="278" spans="1:7" ht="17.45" customHeight="1" x14ac:dyDescent="0.25">
      <c r="A278" s="579" t="s">
        <v>506</v>
      </c>
      <c r="B278" s="580" t="s">
        <v>150</v>
      </c>
      <c r="C278" s="580" t="s">
        <v>299</v>
      </c>
      <c r="D278" s="580" t="s">
        <v>957</v>
      </c>
      <c r="E278" s="580"/>
      <c r="F278" s="489">
        <f t="shared" si="47"/>
        <v>3258</v>
      </c>
      <c r="G278" s="489">
        <f t="shared" si="47"/>
        <v>3258</v>
      </c>
    </row>
    <row r="279" spans="1:7" ht="34.5" customHeight="1" x14ac:dyDescent="0.25">
      <c r="A279" s="579" t="s">
        <v>131</v>
      </c>
      <c r="B279" s="580" t="s">
        <v>150</v>
      </c>
      <c r="C279" s="580" t="s">
        <v>299</v>
      </c>
      <c r="D279" s="580" t="s">
        <v>957</v>
      </c>
      <c r="E279" s="580" t="s">
        <v>132</v>
      </c>
      <c r="F279" s="489">
        <f t="shared" si="47"/>
        <v>3258</v>
      </c>
      <c r="G279" s="489">
        <f t="shared" si="47"/>
        <v>3258</v>
      </c>
    </row>
    <row r="280" spans="1:7" ht="38.25" customHeight="1" x14ac:dyDescent="0.25">
      <c r="A280" s="579" t="s">
        <v>133</v>
      </c>
      <c r="B280" s="580" t="s">
        <v>150</v>
      </c>
      <c r="C280" s="580" t="s">
        <v>299</v>
      </c>
      <c r="D280" s="580" t="s">
        <v>957</v>
      </c>
      <c r="E280" s="580" t="s">
        <v>134</v>
      </c>
      <c r="F280" s="386">
        <f>'Пр.4.1 ведом.23-24 '!G940</f>
        <v>3258</v>
      </c>
      <c r="G280" s="386">
        <f>'Пр.4.1 ведом.23-24 '!H940</f>
        <v>3258</v>
      </c>
    </row>
    <row r="281" spans="1:7" ht="15.75" x14ac:dyDescent="0.25">
      <c r="A281" s="494" t="s">
        <v>508</v>
      </c>
      <c r="B281" s="495" t="s">
        <v>150</v>
      </c>
      <c r="C281" s="495" t="s">
        <v>219</v>
      </c>
      <c r="D281" s="580"/>
      <c r="E281" s="495"/>
      <c r="F281" s="488">
        <f t="shared" ref="F281:G281" si="48">F282</f>
        <v>3048.7</v>
      </c>
      <c r="G281" s="488">
        <f t="shared" si="48"/>
        <v>3226.2</v>
      </c>
    </row>
    <row r="282" spans="1:7" ht="47.25" x14ac:dyDescent="0.25">
      <c r="A282" s="34" t="s">
        <v>1370</v>
      </c>
      <c r="B282" s="495" t="s">
        <v>150</v>
      </c>
      <c r="C282" s="495" t="s">
        <v>219</v>
      </c>
      <c r="D282" s="495" t="s">
        <v>510</v>
      </c>
      <c r="E282" s="495"/>
      <c r="F282" s="59">
        <f>F283+F287</f>
        <v>3048.7</v>
      </c>
      <c r="G282" s="59">
        <f>G283+G287</f>
        <v>3226.2</v>
      </c>
    </row>
    <row r="283" spans="1:7" ht="31.5" hidden="1" x14ac:dyDescent="0.25">
      <c r="A283" s="34" t="s">
        <v>999</v>
      </c>
      <c r="B283" s="495" t="s">
        <v>150</v>
      </c>
      <c r="C283" s="495" t="s">
        <v>219</v>
      </c>
      <c r="D283" s="7" t="s">
        <v>958</v>
      </c>
      <c r="E283" s="495"/>
      <c r="F283" s="59">
        <f t="shared" ref="F283:G285" si="49">F284</f>
        <v>0</v>
      </c>
      <c r="G283" s="59">
        <f t="shared" si="49"/>
        <v>0</v>
      </c>
    </row>
    <row r="284" spans="1:7" ht="15.75" hidden="1" x14ac:dyDescent="0.25">
      <c r="A284" s="29" t="s">
        <v>1001</v>
      </c>
      <c r="B284" s="580" t="s">
        <v>150</v>
      </c>
      <c r="C284" s="580" t="s">
        <v>219</v>
      </c>
      <c r="D284" s="573" t="s">
        <v>1000</v>
      </c>
      <c r="E284" s="580"/>
      <c r="F284" s="10">
        <f t="shared" si="49"/>
        <v>0</v>
      </c>
      <c r="G284" s="10">
        <f t="shared" si="49"/>
        <v>0</v>
      </c>
    </row>
    <row r="285" spans="1:7" ht="31.5" hidden="1" x14ac:dyDescent="0.25">
      <c r="A285" s="579" t="s">
        <v>131</v>
      </c>
      <c r="B285" s="580" t="s">
        <v>150</v>
      </c>
      <c r="C285" s="580" t="s">
        <v>219</v>
      </c>
      <c r="D285" s="573" t="s">
        <v>1000</v>
      </c>
      <c r="E285" s="580" t="s">
        <v>132</v>
      </c>
      <c r="F285" s="386">
        <f t="shared" si="49"/>
        <v>0</v>
      </c>
      <c r="G285" s="386">
        <f t="shared" si="49"/>
        <v>0</v>
      </c>
    </row>
    <row r="286" spans="1:7" ht="31.5" hidden="1" x14ac:dyDescent="0.25">
      <c r="A286" s="579" t="s">
        <v>133</v>
      </c>
      <c r="B286" s="580" t="s">
        <v>150</v>
      </c>
      <c r="C286" s="580" t="s">
        <v>219</v>
      </c>
      <c r="D286" s="573" t="s">
        <v>1000</v>
      </c>
      <c r="E286" s="580" t="s">
        <v>134</v>
      </c>
      <c r="F286" s="386">
        <f>'Пр.4 ведом.22'!G945</f>
        <v>0</v>
      </c>
      <c r="G286" s="386">
        <f>'Пр.4 ведом.22'!H945</f>
        <v>0</v>
      </c>
    </row>
    <row r="287" spans="1:7" ht="31.5" x14ac:dyDescent="0.25">
      <c r="A287" s="34" t="s">
        <v>1060</v>
      </c>
      <c r="B287" s="495" t="s">
        <v>150</v>
      </c>
      <c r="C287" s="495" t="s">
        <v>219</v>
      </c>
      <c r="D287" s="495" t="s">
        <v>959</v>
      </c>
      <c r="E287" s="495"/>
      <c r="F287" s="388">
        <f>F288</f>
        <v>3048.7</v>
      </c>
      <c r="G287" s="388">
        <f>G288</f>
        <v>3226.2</v>
      </c>
    </row>
    <row r="288" spans="1:7" ht="15.75" x14ac:dyDescent="0.25">
      <c r="A288" s="29" t="s">
        <v>511</v>
      </c>
      <c r="B288" s="580" t="s">
        <v>150</v>
      </c>
      <c r="C288" s="580" t="s">
        <v>219</v>
      </c>
      <c r="D288" s="573" t="s">
        <v>1002</v>
      </c>
      <c r="E288" s="580"/>
      <c r="F288" s="386">
        <f>F291+F293+F289</f>
        <v>3048.7</v>
      </c>
      <c r="G288" s="386">
        <f>G291+G293+G289</f>
        <v>3226.2</v>
      </c>
    </row>
    <row r="289" spans="1:7" ht="78.75" x14ac:dyDescent="0.25">
      <c r="A289" s="579" t="s">
        <v>127</v>
      </c>
      <c r="B289" s="580" t="s">
        <v>150</v>
      </c>
      <c r="C289" s="580" t="s">
        <v>219</v>
      </c>
      <c r="D289" s="573" t="s">
        <v>1002</v>
      </c>
      <c r="E289" s="580" t="s">
        <v>128</v>
      </c>
      <c r="F289" s="386">
        <f>F290</f>
        <v>1907.4</v>
      </c>
      <c r="G289" s="386">
        <f>G290</f>
        <v>2062</v>
      </c>
    </row>
    <row r="290" spans="1:7" ht="15.75" x14ac:dyDescent="0.25">
      <c r="A290" s="579" t="s">
        <v>208</v>
      </c>
      <c r="B290" s="580" t="s">
        <v>150</v>
      </c>
      <c r="C290" s="580" t="s">
        <v>219</v>
      </c>
      <c r="D290" s="573" t="s">
        <v>1002</v>
      </c>
      <c r="E290" s="580" t="s">
        <v>209</v>
      </c>
      <c r="F290" s="386">
        <f>'Пр.4.1 ведом.23-24 '!G950</f>
        <v>1907.4</v>
      </c>
      <c r="G290" s="386">
        <f>'Пр.4.1 ведом.23-24 '!H950</f>
        <v>2062</v>
      </c>
    </row>
    <row r="291" spans="1:7" ht="31.5" x14ac:dyDescent="0.25">
      <c r="A291" s="579" t="s">
        <v>131</v>
      </c>
      <c r="B291" s="580" t="s">
        <v>150</v>
      </c>
      <c r="C291" s="580" t="s">
        <v>219</v>
      </c>
      <c r="D291" s="573" t="s">
        <v>1002</v>
      </c>
      <c r="E291" s="580" t="s">
        <v>132</v>
      </c>
      <c r="F291" s="386">
        <f>F292</f>
        <v>1141.3</v>
      </c>
      <c r="G291" s="386">
        <f>G292</f>
        <v>1164.2</v>
      </c>
    </row>
    <row r="292" spans="1:7" ht="35.450000000000003" customHeight="1" x14ac:dyDescent="0.25">
      <c r="A292" s="579" t="s">
        <v>133</v>
      </c>
      <c r="B292" s="580" t="s">
        <v>150</v>
      </c>
      <c r="C292" s="580" t="s">
        <v>219</v>
      </c>
      <c r="D292" s="573" t="s">
        <v>1002</v>
      </c>
      <c r="E292" s="580" t="s">
        <v>134</v>
      </c>
      <c r="F292" s="386">
        <f>'Пр.4.1 ведом.23-24 '!G952</f>
        <v>1141.3</v>
      </c>
      <c r="G292" s="386">
        <f>'Пр.4.1 ведом.23-24 '!H952</f>
        <v>1164.2</v>
      </c>
    </row>
    <row r="293" spans="1:7" ht="15.75" hidden="1" x14ac:dyDescent="0.25">
      <c r="A293" s="579" t="s">
        <v>135</v>
      </c>
      <c r="B293" s="580" t="s">
        <v>150</v>
      </c>
      <c r="C293" s="580" t="s">
        <v>219</v>
      </c>
      <c r="D293" s="573" t="s">
        <v>1002</v>
      </c>
      <c r="E293" s="580" t="s">
        <v>145</v>
      </c>
      <c r="F293" s="386">
        <f>F294</f>
        <v>0</v>
      </c>
      <c r="G293" s="386">
        <f>G294</f>
        <v>0</v>
      </c>
    </row>
    <row r="294" spans="1:7" ht="15.75" hidden="1" x14ac:dyDescent="0.25">
      <c r="A294" s="579" t="s">
        <v>568</v>
      </c>
      <c r="B294" s="580" t="s">
        <v>150</v>
      </c>
      <c r="C294" s="580" t="s">
        <v>219</v>
      </c>
      <c r="D294" s="573" t="s">
        <v>1002</v>
      </c>
      <c r="E294" s="580" t="s">
        <v>138</v>
      </c>
      <c r="F294" s="386">
        <f>'Пр.4 ведом.22'!G953</f>
        <v>0</v>
      </c>
      <c r="G294" s="386">
        <f>'Пр.4 ведом.22'!H953</f>
        <v>0</v>
      </c>
    </row>
    <row r="295" spans="1:7" ht="41.45" customHeight="1" x14ac:dyDescent="0.25">
      <c r="A295" s="494" t="s">
        <v>237</v>
      </c>
      <c r="B295" s="495" t="s">
        <v>150</v>
      </c>
      <c r="C295" s="495" t="s">
        <v>238</v>
      </c>
      <c r="D295" s="495"/>
      <c r="E295" s="495"/>
      <c r="F295" s="59">
        <f>F296+F303+F321</f>
        <v>688.5</v>
      </c>
      <c r="G295" s="59">
        <f>G296+G303+G321</f>
        <v>701.7</v>
      </c>
    </row>
    <row r="296" spans="1:7" ht="31.5" x14ac:dyDescent="0.25">
      <c r="A296" s="494" t="s">
        <v>917</v>
      </c>
      <c r="B296" s="495" t="s">
        <v>150</v>
      </c>
      <c r="C296" s="495" t="s">
        <v>238</v>
      </c>
      <c r="D296" s="495" t="s">
        <v>858</v>
      </c>
      <c r="E296" s="495"/>
      <c r="F296" s="59">
        <f>F297</f>
        <v>328.5</v>
      </c>
      <c r="G296" s="59">
        <f>G297</f>
        <v>341.7</v>
      </c>
    </row>
    <row r="297" spans="1:7" ht="31.5" x14ac:dyDescent="0.25">
      <c r="A297" s="494" t="s">
        <v>885</v>
      </c>
      <c r="B297" s="495" t="s">
        <v>150</v>
      </c>
      <c r="C297" s="495" t="s">
        <v>238</v>
      </c>
      <c r="D297" s="495" t="s">
        <v>863</v>
      </c>
      <c r="E297" s="495"/>
      <c r="F297" s="59">
        <f>F298</f>
        <v>328.5</v>
      </c>
      <c r="G297" s="59">
        <f>G298</f>
        <v>341.7</v>
      </c>
    </row>
    <row r="298" spans="1:7" ht="63" x14ac:dyDescent="0.25">
      <c r="A298" s="31" t="s">
        <v>241</v>
      </c>
      <c r="B298" s="580" t="s">
        <v>150</v>
      </c>
      <c r="C298" s="580" t="s">
        <v>238</v>
      </c>
      <c r="D298" s="580" t="s">
        <v>924</v>
      </c>
      <c r="E298" s="580"/>
      <c r="F298" s="10">
        <f>F299+F301</f>
        <v>328.5</v>
      </c>
      <c r="G298" s="10">
        <f>G299+G301</f>
        <v>341.7</v>
      </c>
    </row>
    <row r="299" spans="1:7" ht="78.75" x14ac:dyDescent="0.25">
      <c r="A299" s="579" t="s">
        <v>127</v>
      </c>
      <c r="B299" s="580" t="s">
        <v>150</v>
      </c>
      <c r="C299" s="580" t="s">
        <v>238</v>
      </c>
      <c r="D299" s="580" t="s">
        <v>924</v>
      </c>
      <c r="E299" s="580" t="s">
        <v>128</v>
      </c>
      <c r="F299" s="10">
        <f>F300</f>
        <v>298.5</v>
      </c>
      <c r="G299" s="10">
        <f>G300</f>
        <v>310.39999999999998</v>
      </c>
    </row>
    <row r="300" spans="1:7" ht="32.25" customHeight="1" x14ac:dyDescent="0.25">
      <c r="A300" s="579" t="s">
        <v>129</v>
      </c>
      <c r="B300" s="580" t="s">
        <v>150</v>
      </c>
      <c r="C300" s="580" t="s">
        <v>238</v>
      </c>
      <c r="D300" s="580" t="s">
        <v>924</v>
      </c>
      <c r="E300" s="580" t="s">
        <v>130</v>
      </c>
      <c r="F300" s="10">
        <f>'Пр.4.1 ведом.23-24 '!G212</f>
        <v>298.5</v>
      </c>
      <c r="G300" s="10">
        <f>'Пр.4.1 ведом.23-24 '!H212</f>
        <v>310.39999999999998</v>
      </c>
    </row>
    <row r="301" spans="1:7" ht="31.5" x14ac:dyDescent="0.25">
      <c r="A301" s="579" t="s">
        <v>131</v>
      </c>
      <c r="B301" s="580" t="s">
        <v>150</v>
      </c>
      <c r="C301" s="580" t="s">
        <v>238</v>
      </c>
      <c r="D301" s="580" t="s">
        <v>924</v>
      </c>
      <c r="E301" s="580" t="s">
        <v>132</v>
      </c>
      <c r="F301" s="10">
        <f>F302</f>
        <v>30</v>
      </c>
      <c r="G301" s="10">
        <f>G302</f>
        <v>31.3</v>
      </c>
    </row>
    <row r="302" spans="1:7" ht="31.5" x14ac:dyDescent="0.25">
      <c r="A302" s="579" t="s">
        <v>133</v>
      </c>
      <c r="B302" s="580" t="s">
        <v>150</v>
      </c>
      <c r="C302" s="580" t="s">
        <v>238</v>
      </c>
      <c r="D302" s="580" t="s">
        <v>924</v>
      </c>
      <c r="E302" s="580" t="s">
        <v>134</v>
      </c>
      <c r="F302" s="10">
        <f>'Пр.4.1 ведом.23-24 '!G214</f>
        <v>30</v>
      </c>
      <c r="G302" s="10">
        <f>'Пр.4.1 ведом.23-24 '!H214</f>
        <v>31.3</v>
      </c>
    </row>
    <row r="303" spans="1:7" ht="47.25" x14ac:dyDescent="0.25">
      <c r="A303" s="494" t="s">
        <v>1197</v>
      </c>
      <c r="B303" s="495" t="s">
        <v>150</v>
      </c>
      <c r="C303" s="495" t="s">
        <v>238</v>
      </c>
      <c r="D303" s="495" t="s">
        <v>344</v>
      </c>
      <c r="E303" s="504"/>
      <c r="F303" s="59">
        <f>F304</f>
        <v>210</v>
      </c>
      <c r="G303" s="59">
        <f>G304</f>
        <v>210</v>
      </c>
    </row>
    <row r="304" spans="1:7" ht="63" x14ac:dyDescent="0.25">
      <c r="A304" s="494" t="s">
        <v>367</v>
      </c>
      <c r="B304" s="495" t="s">
        <v>150</v>
      </c>
      <c r="C304" s="495" t="s">
        <v>238</v>
      </c>
      <c r="D304" s="495" t="s">
        <v>356</v>
      </c>
      <c r="E304" s="495"/>
      <c r="F304" s="59">
        <f>F305+F309+F313+F317</f>
        <v>210</v>
      </c>
      <c r="G304" s="59">
        <f>G305+G309+G313+G317</f>
        <v>210</v>
      </c>
    </row>
    <row r="305" spans="1:7" ht="47.25" hidden="1" x14ac:dyDescent="0.25">
      <c r="A305" s="215" t="s">
        <v>1042</v>
      </c>
      <c r="B305" s="495" t="s">
        <v>150</v>
      </c>
      <c r="C305" s="495" t="s">
        <v>238</v>
      </c>
      <c r="D305" s="495" t="s">
        <v>907</v>
      </c>
      <c r="E305" s="495"/>
      <c r="F305" s="59">
        <f t="shared" ref="F305:G307" si="50">F306</f>
        <v>0</v>
      </c>
      <c r="G305" s="59">
        <f t="shared" si="50"/>
        <v>0</v>
      </c>
    </row>
    <row r="306" spans="1:7" ht="47.25" hidden="1" x14ac:dyDescent="0.25">
      <c r="A306" s="579" t="s">
        <v>375</v>
      </c>
      <c r="B306" s="580" t="s">
        <v>150</v>
      </c>
      <c r="C306" s="580" t="s">
        <v>238</v>
      </c>
      <c r="D306" s="580" t="s">
        <v>1316</v>
      </c>
      <c r="E306" s="580"/>
      <c r="F306" s="10">
        <f t="shared" si="50"/>
        <v>0</v>
      </c>
      <c r="G306" s="10">
        <f t="shared" si="50"/>
        <v>0</v>
      </c>
    </row>
    <row r="307" spans="1:7" ht="21.2" hidden="1" customHeight="1" x14ac:dyDescent="0.25">
      <c r="A307" s="579" t="s">
        <v>248</v>
      </c>
      <c r="B307" s="580" t="s">
        <v>150</v>
      </c>
      <c r="C307" s="580" t="s">
        <v>238</v>
      </c>
      <c r="D307" s="580" t="s">
        <v>1316</v>
      </c>
      <c r="E307" s="580" t="s">
        <v>249</v>
      </c>
      <c r="F307" s="10">
        <f t="shared" si="50"/>
        <v>0</v>
      </c>
      <c r="G307" s="10">
        <f t="shared" si="50"/>
        <v>0</v>
      </c>
    </row>
    <row r="308" spans="1:7" ht="31.5" hidden="1" x14ac:dyDescent="0.25">
      <c r="A308" s="579" t="s">
        <v>250</v>
      </c>
      <c r="B308" s="580" t="s">
        <v>150</v>
      </c>
      <c r="C308" s="580" t="s">
        <v>238</v>
      </c>
      <c r="D308" s="580" t="s">
        <v>1316</v>
      </c>
      <c r="E308" s="580" t="s">
        <v>251</v>
      </c>
      <c r="F308" s="10">
        <f>'Пр.4 ведом.22'!G284</f>
        <v>0</v>
      </c>
      <c r="G308" s="10">
        <f>'Пр.4 ведом.22'!H284</f>
        <v>0</v>
      </c>
    </row>
    <row r="309" spans="1:7" ht="31.5" x14ac:dyDescent="0.25">
      <c r="A309" s="494" t="s">
        <v>1041</v>
      </c>
      <c r="B309" s="495" t="s">
        <v>150</v>
      </c>
      <c r="C309" s="495" t="s">
        <v>238</v>
      </c>
      <c r="D309" s="495" t="s">
        <v>1199</v>
      </c>
      <c r="E309" s="495"/>
      <c r="F309" s="59">
        <f>F310</f>
        <v>210</v>
      </c>
      <c r="G309" s="59">
        <f>G310</f>
        <v>210</v>
      </c>
    </row>
    <row r="310" spans="1:7" ht="110.25" x14ac:dyDescent="0.25">
      <c r="A310" s="579" t="s">
        <v>373</v>
      </c>
      <c r="B310" s="580" t="s">
        <v>150</v>
      </c>
      <c r="C310" s="580" t="s">
        <v>238</v>
      </c>
      <c r="D310" s="580" t="s">
        <v>1200</v>
      </c>
      <c r="E310" s="580"/>
      <c r="F310" s="10">
        <f>F311</f>
        <v>210</v>
      </c>
      <c r="G310" s="10">
        <f>G311</f>
        <v>210</v>
      </c>
    </row>
    <row r="311" spans="1:7" ht="31.5" x14ac:dyDescent="0.25">
      <c r="A311" s="579" t="s">
        <v>272</v>
      </c>
      <c r="B311" s="580" t="s">
        <v>150</v>
      </c>
      <c r="C311" s="580" t="s">
        <v>238</v>
      </c>
      <c r="D311" s="580" t="s">
        <v>1200</v>
      </c>
      <c r="E311" s="580" t="s">
        <v>273</v>
      </c>
      <c r="F311" s="10">
        <f>'Пр.4.1 ведом.23-24 '!G289</f>
        <v>210</v>
      </c>
      <c r="G311" s="10">
        <f>G312</f>
        <v>210</v>
      </c>
    </row>
    <row r="312" spans="1:7" ht="63" x14ac:dyDescent="0.25">
      <c r="A312" s="579" t="s">
        <v>1089</v>
      </c>
      <c r="B312" s="580" t="s">
        <v>150</v>
      </c>
      <c r="C312" s="580" t="s">
        <v>238</v>
      </c>
      <c r="D312" s="580" t="s">
        <v>1200</v>
      </c>
      <c r="E312" s="580" t="s">
        <v>372</v>
      </c>
      <c r="F312" s="10">
        <f>'Пр.4.1 ведом.23-24 '!G289</f>
        <v>210</v>
      </c>
      <c r="G312" s="10">
        <f>'Пр.4.1 ведом.23-24 '!H289</f>
        <v>210</v>
      </c>
    </row>
    <row r="313" spans="1:7" ht="31.5" hidden="1" x14ac:dyDescent="0.25">
      <c r="A313" s="494" t="s">
        <v>995</v>
      </c>
      <c r="B313" s="495" t="s">
        <v>150</v>
      </c>
      <c r="C313" s="495" t="s">
        <v>238</v>
      </c>
      <c r="D313" s="495" t="s">
        <v>1309</v>
      </c>
      <c r="E313" s="495"/>
      <c r="F313" s="59">
        <f t="shared" ref="F313:G315" si="51">F314</f>
        <v>0</v>
      </c>
      <c r="G313" s="59">
        <f t="shared" si="51"/>
        <v>0</v>
      </c>
    </row>
    <row r="314" spans="1:7" ht="31.5" hidden="1" x14ac:dyDescent="0.25">
      <c r="A314" s="252" t="s">
        <v>1043</v>
      </c>
      <c r="B314" s="580" t="s">
        <v>150</v>
      </c>
      <c r="C314" s="580" t="s">
        <v>238</v>
      </c>
      <c r="D314" s="580" t="s">
        <v>1310</v>
      </c>
      <c r="E314" s="580"/>
      <c r="F314" s="10">
        <f t="shared" si="51"/>
        <v>0</v>
      </c>
      <c r="G314" s="10">
        <f t="shared" si="51"/>
        <v>0</v>
      </c>
    </row>
    <row r="315" spans="1:7" ht="31.5" hidden="1" x14ac:dyDescent="0.25">
      <c r="A315" s="579" t="s">
        <v>131</v>
      </c>
      <c r="B315" s="580" t="s">
        <v>150</v>
      </c>
      <c r="C315" s="580" t="s">
        <v>238</v>
      </c>
      <c r="D315" s="580" t="s">
        <v>1310</v>
      </c>
      <c r="E315" s="580" t="s">
        <v>132</v>
      </c>
      <c r="F315" s="10">
        <f t="shared" si="51"/>
        <v>0</v>
      </c>
      <c r="G315" s="10">
        <f t="shared" si="51"/>
        <v>0</v>
      </c>
    </row>
    <row r="316" spans="1:7" ht="31.5" hidden="1" x14ac:dyDescent="0.25">
      <c r="A316" s="579" t="s">
        <v>133</v>
      </c>
      <c r="B316" s="580" t="s">
        <v>150</v>
      </c>
      <c r="C316" s="580" t="s">
        <v>238</v>
      </c>
      <c r="D316" s="580" t="s">
        <v>1310</v>
      </c>
      <c r="E316" s="580" t="s">
        <v>134</v>
      </c>
      <c r="F316" s="10">
        <f>'Пр.4 ведом.22'!G292</f>
        <v>0</v>
      </c>
      <c r="G316" s="10">
        <f>'Пр.4 ведом.22'!H292</f>
        <v>0</v>
      </c>
    </row>
    <row r="317" spans="1:7" ht="31.5" hidden="1" x14ac:dyDescent="0.25">
      <c r="A317" s="503" t="s">
        <v>1102</v>
      </c>
      <c r="B317" s="495" t="s">
        <v>150</v>
      </c>
      <c r="C317" s="495" t="s">
        <v>238</v>
      </c>
      <c r="D317" s="495" t="s">
        <v>1201</v>
      </c>
      <c r="E317" s="495"/>
      <c r="F317" s="493">
        <f t="shared" ref="F317:G319" si="52">F318</f>
        <v>0</v>
      </c>
      <c r="G317" s="493">
        <f t="shared" si="52"/>
        <v>0</v>
      </c>
    </row>
    <row r="318" spans="1:7" ht="31.5" hidden="1" x14ac:dyDescent="0.25">
      <c r="A318" s="231" t="s">
        <v>1103</v>
      </c>
      <c r="B318" s="580" t="s">
        <v>150</v>
      </c>
      <c r="C318" s="580" t="s">
        <v>238</v>
      </c>
      <c r="D318" s="580" t="s">
        <v>1202</v>
      </c>
      <c r="E318" s="580"/>
      <c r="F318" s="497">
        <f t="shared" si="52"/>
        <v>0</v>
      </c>
      <c r="G318" s="497">
        <f t="shared" si="52"/>
        <v>0</v>
      </c>
    </row>
    <row r="319" spans="1:7" ht="31.5" hidden="1" x14ac:dyDescent="0.25">
      <c r="A319" s="579" t="s">
        <v>131</v>
      </c>
      <c r="B319" s="580" t="s">
        <v>150</v>
      </c>
      <c r="C319" s="580" t="s">
        <v>238</v>
      </c>
      <c r="D319" s="580" t="s">
        <v>1202</v>
      </c>
      <c r="E319" s="580" t="s">
        <v>132</v>
      </c>
      <c r="F319" s="497">
        <f t="shared" si="52"/>
        <v>0</v>
      </c>
      <c r="G319" s="497">
        <f t="shared" si="52"/>
        <v>0</v>
      </c>
    </row>
    <row r="320" spans="1:7" ht="31.5" hidden="1" x14ac:dyDescent="0.25">
      <c r="A320" s="579" t="s">
        <v>133</v>
      </c>
      <c r="B320" s="580" t="s">
        <v>150</v>
      </c>
      <c r="C320" s="580" t="s">
        <v>238</v>
      </c>
      <c r="D320" s="580" t="s">
        <v>1202</v>
      </c>
      <c r="E320" s="580" t="s">
        <v>134</v>
      </c>
      <c r="F320" s="497">
        <f>'Пр.4 ведом.22'!G296</f>
        <v>0</v>
      </c>
      <c r="G320" s="497">
        <f>'Пр.4 ведом.22'!H296</f>
        <v>0</v>
      </c>
    </row>
    <row r="321" spans="1:12" ht="47.25" x14ac:dyDescent="0.25">
      <c r="A321" s="494" t="s">
        <v>1336</v>
      </c>
      <c r="B321" s="495" t="s">
        <v>150</v>
      </c>
      <c r="C321" s="495" t="s">
        <v>238</v>
      </c>
      <c r="D321" s="495" t="s">
        <v>156</v>
      </c>
      <c r="E321" s="495"/>
      <c r="F321" s="59">
        <f t="shared" ref="F321:G324" si="53">F322</f>
        <v>150</v>
      </c>
      <c r="G321" s="59">
        <f t="shared" si="53"/>
        <v>150</v>
      </c>
    </row>
    <row r="322" spans="1:12" ht="47.25" x14ac:dyDescent="0.25">
      <c r="A322" s="494" t="s">
        <v>1064</v>
      </c>
      <c r="B322" s="495" t="s">
        <v>150</v>
      </c>
      <c r="C322" s="495" t="s">
        <v>238</v>
      </c>
      <c r="D322" s="495" t="s">
        <v>1061</v>
      </c>
      <c r="E322" s="495"/>
      <c r="F322" s="59">
        <f t="shared" si="53"/>
        <v>150</v>
      </c>
      <c r="G322" s="59">
        <f t="shared" si="53"/>
        <v>150</v>
      </c>
    </row>
    <row r="323" spans="1:12" ht="31.5" x14ac:dyDescent="0.25">
      <c r="A323" s="579" t="s">
        <v>1065</v>
      </c>
      <c r="B323" s="580" t="s">
        <v>150</v>
      </c>
      <c r="C323" s="580" t="s">
        <v>238</v>
      </c>
      <c r="D323" s="580" t="s">
        <v>1062</v>
      </c>
      <c r="E323" s="580"/>
      <c r="F323" s="10">
        <f t="shared" si="53"/>
        <v>150</v>
      </c>
      <c r="G323" s="10">
        <f t="shared" si="53"/>
        <v>150</v>
      </c>
    </row>
    <row r="324" spans="1:12" ht="15.75" x14ac:dyDescent="0.25">
      <c r="A324" s="579" t="s">
        <v>135</v>
      </c>
      <c r="B324" s="580" t="s">
        <v>150</v>
      </c>
      <c r="C324" s="580" t="s">
        <v>238</v>
      </c>
      <c r="D324" s="580" t="s">
        <v>1062</v>
      </c>
      <c r="E324" s="580" t="s">
        <v>145</v>
      </c>
      <c r="F324" s="10">
        <f t="shared" si="53"/>
        <v>150</v>
      </c>
      <c r="G324" s="10">
        <f t="shared" si="53"/>
        <v>150</v>
      </c>
    </row>
    <row r="325" spans="1:12" ht="47.25" x14ac:dyDescent="0.25">
      <c r="A325" s="579" t="s">
        <v>184</v>
      </c>
      <c r="B325" s="580" t="s">
        <v>150</v>
      </c>
      <c r="C325" s="580" t="s">
        <v>238</v>
      </c>
      <c r="D325" s="580" t="s">
        <v>1062</v>
      </c>
      <c r="E325" s="580" t="s">
        <v>160</v>
      </c>
      <c r="F325" s="10">
        <f>'Пр.4.1 ведом.23-24 '!G219</f>
        <v>150</v>
      </c>
      <c r="G325" s="10">
        <f>'Пр.4.1 ведом.23-24 '!H219</f>
        <v>150</v>
      </c>
    </row>
    <row r="326" spans="1:12" ht="15.75" x14ac:dyDescent="0.25">
      <c r="A326" s="494" t="s">
        <v>390</v>
      </c>
      <c r="B326" s="495" t="s">
        <v>234</v>
      </c>
      <c r="C326" s="495"/>
      <c r="D326" s="495"/>
      <c r="E326" s="495"/>
      <c r="F326" s="488">
        <f>F327++F344+F409+F471</f>
        <v>61958.439999999995</v>
      </c>
      <c r="G326" s="488">
        <f>G327++G344+G409+G471</f>
        <v>54762.939999999995</v>
      </c>
      <c r="H326" s="115">
        <f>G326-F326</f>
        <v>-7195.5</v>
      </c>
      <c r="K326" s="230">
        <f>F326-F447-'Пр.4 ведом.22'!J1175-'Пр.4 ведом.22'!P1175</f>
        <v>59812.639999999992</v>
      </c>
      <c r="L326" s="232">
        <f>F447+F464-'Пр.4 ведом.22'!J1174-'Пр.4 ведом.22'!P1174</f>
        <v>2645.8</v>
      </c>
    </row>
    <row r="327" spans="1:12" ht="15.75" x14ac:dyDescent="0.25">
      <c r="A327" s="494" t="s">
        <v>391</v>
      </c>
      <c r="B327" s="495" t="s">
        <v>234</v>
      </c>
      <c r="C327" s="495" t="s">
        <v>118</v>
      </c>
      <c r="D327" s="495"/>
      <c r="E327" s="495"/>
      <c r="F327" s="488">
        <f t="shared" ref="F327:G328" si="54">F328</f>
        <v>13526.3</v>
      </c>
      <c r="G327" s="488">
        <f t="shared" si="54"/>
        <v>6330.7999999999993</v>
      </c>
      <c r="H327" s="115"/>
      <c r="I327" s="115"/>
      <c r="L327" s="22"/>
    </row>
    <row r="328" spans="1:12" ht="15.75" x14ac:dyDescent="0.25">
      <c r="A328" s="494" t="s">
        <v>141</v>
      </c>
      <c r="B328" s="495" t="s">
        <v>234</v>
      </c>
      <c r="C328" s="495" t="s">
        <v>118</v>
      </c>
      <c r="D328" s="495" t="s">
        <v>866</v>
      </c>
      <c r="E328" s="495"/>
      <c r="F328" s="488">
        <f t="shared" si="54"/>
        <v>13526.3</v>
      </c>
      <c r="G328" s="488">
        <f t="shared" si="54"/>
        <v>6330.7999999999993</v>
      </c>
    </row>
    <row r="329" spans="1:12" ht="31.5" x14ac:dyDescent="0.25">
      <c r="A329" s="494" t="s">
        <v>870</v>
      </c>
      <c r="B329" s="495" t="s">
        <v>234</v>
      </c>
      <c r="C329" s="495" t="s">
        <v>118</v>
      </c>
      <c r="D329" s="495" t="s">
        <v>865</v>
      </c>
      <c r="E329" s="495"/>
      <c r="F329" s="488">
        <f>F330+F335+F338+F341</f>
        <v>13526.3</v>
      </c>
      <c r="G329" s="488">
        <f>G330+G335+G338+G341</f>
        <v>6330.7999999999993</v>
      </c>
    </row>
    <row r="330" spans="1:12" ht="15.75" hidden="1" x14ac:dyDescent="0.25">
      <c r="A330" s="579" t="s">
        <v>515</v>
      </c>
      <c r="B330" s="580" t="s">
        <v>774</v>
      </c>
      <c r="C330" s="580" t="s">
        <v>118</v>
      </c>
      <c r="D330" s="580" t="s">
        <v>960</v>
      </c>
      <c r="E330" s="495"/>
      <c r="F330" s="489">
        <f t="shared" ref="F330:G330" si="55">F331+F333</f>
        <v>0</v>
      </c>
      <c r="G330" s="489">
        <f t="shared" si="55"/>
        <v>0</v>
      </c>
    </row>
    <row r="331" spans="1:12" ht="31.5" hidden="1" x14ac:dyDescent="0.25">
      <c r="A331" s="579" t="s">
        <v>131</v>
      </c>
      <c r="B331" s="580" t="s">
        <v>234</v>
      </c>
      <c r="C331" s="580" t="s">
        <v>118</v>
      </c>
      <c r="D331" s="580" t="s">
        <v>960</v>
      </c>
      <c r="E331" s="580" t="s">
        <v>132</v>
      </c>
      <c r="F331" s="489">
        <f t="shared" ref="F331:G331" si="56">F332</f>
        <v>0</v>
      </c>
      <c r="G331" s="489">
        <f t="shared" si="56"/>
        <v>0</v>
      </c>
    </row>
    <row r="332" spans="1:12" ht="31.5" hidden="1" x14ac:dyDescent="0.25">
      <c r="A332" s="579" t="s">
        <v>133</v>
      </c>
      <c r="B332" s="580" t="s">
        <v>234</v>
      </c>
      <c r="C332" s="580" t="s">
        <v>118</v>
      </c>
      <c r="D332" s="580" t="s">
        <v>960</v>
      </c>
      <c r="E332" s="580" t="s">
        <v>134</v>
      </c>
      <c r="F332" s="489">
        <f>'Пр.4 ведом.22'!G960</f>
        <v>0</v>
      </c>
      <c r="G332" s="489">
        <f>'Пр.4 ведом.22'!H960</f>
        <v>0</v>
      </c>
    </row>
    <row r="333" spans="1:12" ht="15.75" hidden="1" x14ac:dyDescent="0.25">
      <c r="A333" s="579" t="s">
        <v>135</v>
      </c>
      <c r="B333" s="580" t="s">
        <v>234</v>
      </c>
      <c r="C333" s="580" t="s">
        <v>118</v>
      </c>
      <c r="D333" s="580" t="s">
        <v>960</v>
      </c>
      <c r="E333" s="580" t="s">
        <v>145</v>
      </c>
      <c r="F333" s="489">
        <f t="shared" ref="F333:G333" si="57">F334</f>
        <v>0</v>
      </c>
      <c r="G333" s="489">
        <f t="shared" si="57"/>
        <v>0</v>
      </c>
    </row>
    <row r="334" spans="1:12" ht="47.25" hidden="1" x14ac:dyDescent="0.25">
      <c r="A334" s="579" t="s">
        <v>184</v>
      </c>
      <c r="B334" s="580" t="s">
        <v>234</v>
      </c>
      <c r="C334" s="580" t="s">
        <v>118</v>
      </c>
      <c r="D334" s="580" t="s">
        <v>960</v>
      </c>
      <c r="E334" s="580" t="s">
        <v>160</v>
      </c>
      <c r="F334" s="489">
        <f>'Пр.4 ведом.22'!G962</f>
        <v>0</v>
      </c>
      <c r="G334" s="489">
        <f>'Пр.4 ведом.22'!H962</f>
        <v>0</v>
      </c>
    </row>
    <row r="335" spans="1:12" ht="31.5" x14ac:dyDescent="0.25">
      <c r="A335" s="29" t="s">
        <v>398</v>
      </c>
      <c r="B335" s="580" t="s">
        <v>234</v>
      </c>
      <c r="C335" s="580" t="s">
        <v>118</v>
      </c>
      <c r="D335" s="580" t="s">
        <v>961</v>
      </c>
      <c r="E335" s="495"/>
      <c r="F335" s="489">
        <f t="shared" ref="F335:G336" si="58">F336</f>
        <v>5190.7999999999993</v>
      </c>
      <c r="G335" s="489">
        <f t="shared" si="58"/>
        <v>5190.7999999999993</v>
      </c>
    </row>
    <row r="336" spans="1:12" ht="31.5" x14ac:dyDescent="0.25">
      <c r="A336" s="579" t="s">
        <v>131</v>
      </c>
      <c r="B336" s="580" t="s">
        <v>234</v>
      </c>
      <c r="C336" s="580" t="s">
        <v>118</v>
      </c>
      <c r="D336" s="580" t="s">
        <v>961</v>
      </c>
      <c r="E336" s="580" t="s">
        <v>132</v>
      </c>
      <c r="F336" s="489">
        <f t="shared" si="58"/>
        <v>5190.7999999999993</v>
      </c>
      <c r="G336" s="489">
        <f t="shared" si="58"/>
        <v>5190.7999999999993</v>
      </c>
    </row>
    <row r="337" spans="1:8" ht="31.5" x14ac:dyDescent="0.25">
      <c r="A337" s="579" t="s">
        <v>133</v>
      </c>
      <c r="B337" s="580" t="s">
        <v>234</v>
      </c>
      <c r="C337" s="580" t="s">
        <v>118</v>
      </c>
      <c r="D337" s="580" t="s">
        <v>961</v>
      </c>
      <c r="E337" s="580" t="s">
        <v>134</v>
      </c>
      <c r="F337" s="489">
        <f>'Пр.4.1 ведом.23-24 '!G576+'Пр.4.1 ведом.23-24 '!G966</f>
        <v>5190.7999999999993</v>
      </c>
      <c r="G337" s="489">
        <f>'Пр.4.1 ведом.23-24 '!H576+'Пр.4.1 ведом.23-24 '!H966</f>
        <v>5190.7999999999993</v>
      </c>
    </row>
    <row r="338" spans="1:8" ht="31.5" x14ac:dyDescent="0.25">
      <c r="A338" s="29" t="s">
        <v>932</v>
      </c>
      <c r="B338" s="580" t="s">
        <v>234</v>
      </c>
      <c r="C338" s="580" t="s">
        <v>118</v>
      </c>
      <c r="D338" s="580" t="s">
        <v>962</v>
      </c>
      <c r="E338" s="495"/>
      <c r="F338" s="489">
        <f>F339</f>
        <v>1140</v>
      </c>
      <c r="G338" s="489">
        <f>G339</f>
        <v>1140</v>
      </c>
    </row>
    <row r="339" spans="1:8" ht="31.5" x14ac:dyDescent="0.25">
      <c r="A339" s="579" t="s">
        <v>131</v>
      </c>
      <c r="B339" s="580" t="s">
        <v>234</v>
      </c>
      <c r="C339" s="580" t="s">
        <v>118</v>
      </c>
      <c r="D339" s="580" t="s">
        <v>962</v>
      </c>
      <c r="E339" s="580" t="s">
        <v>132</v>
      </c>
      <c r="F339" s="489">
        <f>F340</f>
        <v>1140</v>
      </c>
      <c r="G339" s="489">
        <f>G340</f>
        <v>1140</v>
      </c>
    </row>
    <row r="340" spans="1:8" ht="31.5" x14ac:dyDescent="0.25">
      <c r="A340" s="579" t="s">
        <v>133</v>
      </c>
      <c r="B340" s="580" t="s">
        <v>234</v>
      </c>
      <c r="C340" s="580" t="s">
        <v>118</v>
      </c>
      <c r="D340" s="580" t="s">
        <v>962</v>
      </c>
      <c r="E340" s="580" t="s">
        <v>134</v>
      </c>
      <c r="F340" s="489">
        <f>'Пр.4.1 ведом.23-24 '!G969</f>
        <v>1140</v>
      </c>
      <c r="G340" s="489">
        <f>'Пр.4.1 ведом.23-24 '!H969</f>
        <v>1140</v>
      </c>
    </row>
    <row r="341" spans="1:8" ht="31.5" x14ac:dyDescent="0.25">
      <c r="A341" s="579" t="s">
        <v>1612</v>
      </c>
      <c r="B341" s="580" t="s">
        <v>234</v>
      </c>
      <c r="C341" s="580" t="s">
        <v>118</v>
      </c>
      <c r="D341" s="580" t="s">
        <v>1613</v>
      </c>
      <c r="E341" s="580"/>
      <c r="F341" s="489">
        <f>F342</f>
        <v>7195.5</v>
      </c>
      <c r="G341" s="489">
        <f>G342</f>
        <v>0</v>
      </c>
    </row>
    <row r="342" spans="1:8" ht="31.5" x14ac:dyDescent="0.25">
      <c r="A342" s="579" t="s">
        <v>131</v>
      </c>
      <c r="B342" s="580" t="s">
        <v>234</v>
      </c>
      <c r="C342" s="580" t="s">
        <v>118</v>
      </c>
      <c r="D342" s="580" t="s">
        <v>1613</v>
      </c>
      <c r="E342" s="580" t="s">
        <v>132</v>
      </c>
      <c r="F342" s="489">
        <f>F343</f>
        <v>7195.5</v>
      </c>
      <c r="G342" s="489">
        <f>G343</f>
        <v>0</v>
      </c>
    </row>
    <row r="343" spans="1:8" ht="31.5" x14ac:dyDescent="0.25">
      <c r="A343" s="579" t="s">
        <v>133</v>
      </c>
      <c r="B343" s="580" t="s">
        <v>234</v>
      </c>
      <c r="C343" s="580" t="s">
        <v>118</v>
      </c>
      <c r="D343" s="580" t="s">
        <v>1613</v>
      </c>
      <c r="E343" s="580" t="s">
        <v>134</v>
      </c>
      <c r="F343" s="489">
        <f>'Пр.4.1 ведом.23-24 '!G972</f>
        <v>7195.5</v>
      </c>
      <c r="G343" s="489">
        <f>'Пр.4.1 ведом.23-24 '!H972</f>
        <v>0</v>
      </c>
    </row>
    <row r="344" spans="1:8" ht="15.75" x14ac:dyDescent="0.25">
      <c r="A344" s="494" t="s">
        <v>517</v>
      </c>
      <c r="B344" s="495" t="s">
        <v>234</v>
      </c>
      <c r="C344" s="495" t="s">
        <v>213</v>
      </c>
      <c r="D344" s="495"/>
      <c r="E344" s="495"/>
      <c r="F344" s="488">
        <f>F375+F345+F404</f>
        <v>8419.9199999999983</v>
      </c>
      <c r="G344" s="488">
        <f>G375+G345+G404</f>
        <v>8419.9199999999983</v>
      </c>
      <c r="H344" s="115"/>
    </row>
    <row r="345" spans="1:8" ht="15.75" x14ac:dyDescent="0.25">
      <c r="A345" s="494" t="s">
        <v>141</v>
      </c>
      <c r="B345" s="495" t="s">
        <v>234</v>
      </c>
      <c r="C345" s="495" t="s">
        <v>213</v>
      </c>
      <c r="D345" s="495" t="s">
        <v>866</v>
      </c>
      <c r="E345" s="495"/>
      <c r="F345" s="488">
        <f>F346+F358</f>
        <v>7515.9199999999992</v>
      </c>
      <c r="G345" s="488">
        <f>G346+G358</f>
        <v>7515.9199999999992</v>
      </c>
    </row>
    <row r="346" spans="1:8" ht="33" customHeight="1" x14ac:dyDescent="0.25">
      <c r="A346" s="494" t="s">
        <v>870</v>
      </c>
      <c r="B346" s="495" t="s">
        <v>234</v>
      </c>
      <c r="C346" s="495" t="s">
        <v>213</v>
      </c>
      <c r="D346" s="495" t="s">
        <v>865</v>
      </c>
      <c r="E346" s="495"/>
      <c r="F346" s="488">
        <f>F347+F353</f>
        <v>7515.9199999999992</v>
      </c>
      <c r="G346" s="488">
        <f>G347+G353</f>
        <v>7515.9199999999992</v>
      </c>
    </row>
    <row r="347" spans="1:8" ht="17.45" hidden="1" customHeight="1" x14ac:dyDescent="0.25">
      <c r="A347" s="35" t="s">
        <v>537</v>
      </c>
      <c r="B347" s="580" t="s">
        <v>234</v>
      </c>
      <c r="C347" s="580" t="s">
        <v>213</v>
      </c>
      <c r="D347" s="580" t="s">
        <v>979</v>
      </c>
      <c r="E347" s="580"/>
      <c r="F347" s="489">
        <f>F348+F350</f>
        <v>0</v>
      </c>
      <c r="G347" s="489">
        <f>G348+G350</f>
        <v>0</v>
      </c>
    </row>
    <row r="348" spans="1:8" ht="35.450000000000003" hidden="1" customHeight="1" x14ac:dyDescent="0.25">
      <c r="A348" s="579" t="s">
        <v>131</v>
      </c>
      <c r="B348" s="580" t="s">
        <v>234</v>
      </c>
      <c r="C348" s="580" t="s">
        <v>213</v>
      </c>
      <c r="D348" s="580" t="s">
        <v>979</v>
      </c>
      <c r="E348" s="580" t="s">
        <v>132</v>
      </c>
      <c r="F348" s="489">
        <f>F349</f>
        <v>0</v>
      </c>
      <c r="G348" s="489">
        <f>G349</f>
        <v>0</v>
      </c>
    </row>
    <row r="349" spans="1:8" ht="31.5" hidden="1" x14ac:dyDescent="0.25">
      <c r="A349" s="579" t="s">
        <v>133</v>
      </c>
      <c r="B349" s="580" t="s">
        <v>234</v>
      </c>
      <c r="C349" s="580" t="s">
        <v>213</v>
      </c>
      <c r="D349" s="580" t="s">
        <v>979</v>
      </c>
      <c r="E349" s="580" t="s">
        <v>134</v>
      </c>
      <c r="F349" s="489">
        <f>'Пр.4 ведом.22'!G977</f>
        <v>0</v>
      </c>
      <c r="G349" s="489">
        <f>'Пр.4 ведом.22'!H977</f>
        <v>0</v>
      </c>
    </row>
    <row r="350" spans="1:8" ht="15.75" hidden="1" x14ac:dyDescent="0.25">
      <c r="A350" s="579" t="s">
        <v>135</v>
      </c>
      <c r="B350" s="580" t="s">
        <v>234</v>
      </c>
      <c r="C350" s="580" t="s">
        <v>213</v>
      </c>
      <c r="D350" s="580" t="s">
        <v>979</v>
      </c>
      <c r="E350" s="580" t="s">
        <v>145</v>
      </c>
      <c r="F350" s="489">
        <f>F351+F352</f>
        <v>0</v>
      </c>
      <c r="G350" s="489">
        <f>G351+G352</f>
        <v>0</v>
      </c>
    </row>
    <row r="351" spans="1:8" ht="47.25" hidden="1" x14ac:dyDescent="0.25">
      <c r="A351" s="579" t="s">
        <v>184</v>
      </c>
      <c r="B351" s="580" t="s">
        <v>234</v>
      </c>
      <c r="C351" s="580" t="s">
        <v>213</v>
      </c>
      <c r="D351" s="580" t="s">
        <v>979</v>
      </c>
      <c r="E351" s="580" t="s">
        <v>160</v>
      </c>
      <c r="F351" s="489">
        <f>'Пр.4 ведом.22'!G979</f>
        <v>0</v>
      </c>
      <c r="G351" s="489">
        <f>'Пр.4 ведом.22'!H979</f>
        <v>0</v>
      </c>
    </row>
    <row r="352" spans="1:8" ht="15.75" hidden="1" x14ac:dyDescent="0.25">
      <c r="A352" s="579" t="s">
        <v>1191</v>
      </c>
      <c r="B352" s="580" t="s">
        <v>234</v>
      </c>
      <c r="C352" s="580" t="s">
        <v>213</v>
      </c>
      <c r="D352" s="580" t="s">
        <v>979</v>
      </c>
      <c r="E352" s="580" t="s">
        <v>147</v>
      </c>
      <c r="F352" s="489">
        <f>'Пр.4 ведом.22'!G980</f>
        <v>0</v>
      </c>
      <c r="G352" s="489">
        <f>'Пр.4 ведом.22'!H980</f>
        <v>0</v>
      </c>
    </row>
    <row r="353" spans="1:12" ht="31.5" x14ac:dyDescent="0.25">
      <c r="A353" s="29" t="s">
        <v>932</v>
      </c>
      <c r="B353" s="580" t="s">
        <v>234</v>
      </c>
      <c r="C353" s="580" t="s">
        <v>213</v>
      </c>
      <c r="D353" s="580" t="s">
        <v>962</v>
      </c>
      <c r="E353" s="580"/>
      <c r="F353" s="489">
        <f>F354+F356</f>
        <v>7515.9199999999992</v>
      </c>
      <c r="G353" s="489">
        <f>G354+G356</f>
        <v>7515.9199999999992</v>
      </c>
    </row>
    <row r="354" spans="1:12" s="578" customFormat="1" ht="31.5" x14ac:dyDescent="0.25">
      <c r="A354" s="579" t="s">
        <v>131</v>
      </c>
      <c r="B354" s="580" t="s">
        <v>234</v>
      </c>
      <c r="C354" s="580" t="s">
        <v>213</v>
      </c>
      <c r="D354" s="580" t="s">
        <v>962</v>
      </c>
      <c r="E354" s="580" t="s">
        <v>132</v>
      </c>
      <c r="F354" s="489">
        <f t="shared" ref="F354:G354" si="59">F355</f>
        <v>7515.9199999999992</v>
      </c>
      <c r="G354" s="489">
        <f t="shared" si="59"/>
        <v>7515.9199999999992</v>
      </c>
      <c r="L354" s="576"/>
    </row>
    <row r="355" spans="1:12" s="578" customFormat="1" ht="31.5" x14ac:dyDescent="0.25">
      <c r="A355" s="579" t="s">
        <v>133</v>
      </c>
      <c r="B355" s="580" t="s">
        <v>234</v>
      </c>
      <c r="C355" s="580" t="s">
        <v>213</v>
      </c>
      <c r="D355" s="580" t="s">
        <v>962</v>
      </c>
      <c r="E355" s="580" t="s">
        <v>134</v>
      </c>
      <c r="F355" s="489">
        <f>'Пр.4.1 ведом.23-24 '!G984</f>
        <v>7515.9199999999992</v>
      </c>
      <c r="G355" s="489">
        <f>'Пр.4.1 ведом.23-24 '!H984</f>
        <v>7515.9199999999992</v>
      </c>
      <c r="L355" s="576"/>
    </row>
    <row r="356" spans="1:12" s="578" customFormat="1" ht="15.75" x14ac:dyDescent="0.25">
      <c r="A356" s="579" t="s">
        <v>135</v>
      </c>
      <c r="B356" s="580" t="s">
        <v>234</v>
      </c>
      <c r="C356" s="580" t="s">
        <v>213</v>
      </c>
      <c r="D356" s="580" t="s">
        <v>962</v>
      </c>
      <c r="E356" s="580" t="s">
        <v>145</v>
      </c>
      <c r="F356" s="489">
        <f>F357</f>
        <v>0</v>
      </c>
      <c r="G356" s="489">
        <f>G357</f>
        <v>0</v>
      </c>
      <c r="L356" s="576"/>
    </row>
    <row r="357" spans="1:12" s="578" customFormat="1" ht="15.75" x14ac:dyDescent="0.25">
      <c r="A357" s="579" t="s">
        <v>146</v>
      </c>
      <c r="B357" s="580" t="s">
        <v>234</v>
      </c>
      <c r="C357" s="580" t="s">
        <v>213</v>
      </c>
      <c r="D357" s="580" t="s">
        <v>962</v>
      </c>
      <c r="E357" s="580" t="s">
        <v>147</v>
      </c>
      <c r="F357" s="489">
        <f>'Пр.4 ведом.22'!G985</f>
        <v>0</v>
      </c>
      <c r="G357" s="489">
        <f>'Пр.4 ведом.22'!H985</f>
        <v>0</v>
      </c>
      <c r="L357" s="576"/>
    </row>
    <row r="358" spans="1:12" s="578" customFormat="1" ht="47.25" hidden="1" x14ac:dyDescent="0.25">
      <c r="A358" s="494" t="s">
        <v>1013</v>
      </c>
      <c r="B358" s="495" t="s">
        <v>234</v>
      </c>
      <c r="C358" s="495" t="s">
        <v>213</v>
      </c>
      <c r="D358" s="495" t="s">
        <v>980</v>
      </c>
      <c r="E358" s="495"/>
      <c r="F358" s="488">
        <f>F359+F364+F367+F372</f>
        <v>0</v>
      </c>
      <c r="G358" s="488">
        <f>G359+G364+G367+G372</f>
        <v>0</v>
      </c>
      <c r="L358" s="576"/>
    </row>
    <row r="359" spans="1:12" s="578" customFormat="1" ht="47.25" hidden="1" x14ac:dyDescent="0.25">
      <c r="A359" s="579" t="s">
        <v>827</v>
      </c>
      <c r="B359" s="580" t="s">
        <v>234</v>
      </c>
      <c r="C359" s="580" t="s">
        <v>213</v>
      </c>
      <c r="D359" s="580" t="s">
        <v>981</v>
      </c>
      <c r="E359" s="580"/>
      <c r="F359" s="489">
        <f>F360+F362</f>
        <v>0</v>
      </c>
      <c r="G359" s="489">
        <f>G360+G362</f>
        <v>0</v>
      </c>
      <c r="L359" s="576"/>
    </row>
    <row r="360" spans="1:12" s="578" customFormat="1" ht="31.5" hidden="1" x14ac:dyDescent="0.25">
      <c r="A360" s="579" t="s">
        <v>131</v>
      </c>
      <c r="B360" s="580" t="s">
        <v>234</v>
      </c>
      <c r="C360" s="580" t="s">
        <v>213</v>
      </c>
      <c r="D360" s="580" t="s">
        <v>981</v>
      </c>
      <c r="E360" s="580" t="s">
        <v>132</v>
      </c>
      <c r="F360" s="489">
        <f>F361</f>
        <v>0</v>
      </c>
      <c r="G360" s="489">
        <f>G361</f>
        <v>0</v>
      </c>
      <c r="L360" s="576"/>
    </row>
    <row r="361" spans="1:12" s="578" customFormat="1" ht="31.5" hidden="1" x14ac:dyDescent="0.25">
      <c r="A361" s="579" t="s">
        <v>133</v>
      </c>
      <c r="B361" s="580" t="s">
        <v>234</v>
      </c>
      <c r="C361" s="580" t="s">
        <v>213</v>
      </c>
      <c r="D361" s="580" t="s">
        <v>981</v>
      </c>
      <c r="E361" s="580" t="s">
        <v>134</v>
      </c>
      <c r="F361" s="489">
        <f>'Пр.4 ведом.22'!G989</f>
        <v>0</v>
      </c>
      <c r="G361" s="489">
        <f>'Пр.4 ведом.22'!H989</f>
        <v>0</v>
      </c>
      <c r="L361" s="576"/>
    </row>
    <row r="362" spans="1:12" s="578" customFormat="1" ht="15.75" hidden="1" x14ac:dyDescent="0.25">
      <c r="A362" s="579" t="s">
        <v>135</v>
      </c>
      <c r="B362" s="580" t="s">
        <v>234</v>
      </c>
      <c r="C362" s="580" t="s">
        <v>213</v>
      </c>
      <c r="D362" s="580" t="s">
        <v>981</v>
      </c>
      <c r="E362" s="580" t="s">
        <v>837</v>
      </c>
      <c r="F362" s="489">
        <f>F363</f>
        <v>0</v>
      </c>
      <c r="G362" s="489">
        <f>G363</f>
        <v>0</v>
      </c>
      <c r="L362" s="576"/>
    </row>
    <row r="363" spans="1:12" s="578" customFormat="1" ht="15.75" hidden="1" x14ac:dyDescent="0.25">
      <c r="A363" s="579" t="s">
        <v>568</v>
      </c>
      <c r="B363" s="580" t="s">
        <v>234</v>
      </c>
      <c r="C363" s="580" t="s">
        <v>213</v>
      </c>
      <c r="D363" s="580" t="s">
        <v>981</v>
      </c>
      <c r="E363" s="580" t="s">
        <v>1067</v>
      </c>
      <c r="F363" s="489">
        <f>'Пр.4 ведом.22'!G991</f>
        <v>0</v>
      </c>
      <c r="G363" s="489">
        <f>'Пр.4 ведом.22'!H991</f>
        <v>0</v>
      </c>
      <c r="L363" s="576"/>
    </row>
    <row r="364" spans="1:12" s="578" customFormat="1" ht="49.7" hidden="1" customHeight="1" x14ac:dyDescent="0.25">
      <c r="A364" s="579" t="s">
        <v>793</v>
      </c>
      <c r="B364" s="580" t="s">
        <v>234</v>
      </c>
      <c r="C364" s="580" t="s">
        <v>213</v>
      </c>
      <c r="D364" s="580" t="s">
        <v>982</v>
      </c>
      <c r="E364" s="580"/>
      <c r="F364" s="489">
        <f>F365</f>
        <v>0</v>
      </c>
      <c r="G364" s="489">
        <f>G365</f>
        <v>0</v>
      </c>
      <c r="L364" s="576"/>
    </row>
    <row r="365" spans="1:12" s="578" customFormat="1" ht="31.5" hidden="1" x14ac:dyDescent="0.25">
      <c r="A365" s="579" t="s">
        <v>131</v>
      </c>
      <c r="B365" s="580" t="s">
        <v>234</v>
      </c>
      <c r="C365" s="580" t="s">
        <v>213</v>
      </c>
      <c r="D365" s="580" t="s">
        <v>982</v>
      </c>
      <c r="E365" s="580" t="s">
        <v>132</v>
      </c>
      <c r="F365" s="489">
        <f>F366</f>
        <v>0</v>
      </c>
      <c r="G365" s="489">
        <f>G366</f>
        <v>0</v>
      </c>
      <c r="L365" s="576"/>
    </row>
    <row r="366" spans="1:12" s="578" customFormat="1" ht="31.5" hidden="1" x14ac:dyDescent="0.25">
      <c r="A366" s="579" t="s">
        <v>133</v>
      </c>
      <c r="B366" s="580" t="s">
        <v>234</v>
      </c>
      <c r="C366" s="580" t="s">
        <v>213</v>
      </c>
      <c r="D366" s="580" t="s">
        <v>982</v>
      </c>
      <c r="E366" s="580" t="s">
        <v>134</v>
      </c>
      <c r="F366" s="489">
        <f>'Пр.4 ведом.22'!G994</f>
        <v>0</v>
      </c>
      <c r="G366" s="489">
        <f>'Пр.4 ведом.22'!H994</f>
        <v>0</v>
      </c>
      <c r="L366" s="576"/>
    </row>
    <row r="367" spans="1:12" s="578" customFormat="1" ht="47.25" hidden="1" x14ac:dyDescent="0.25">
      <c r="A367" s="97" t="s">
        <v>833</v>
      </c>
      <c r="B367" s="580" t="s">
        <v>234</v>
      </c>
      <c r="C367" s="580" t="s">
        <v>213</v>
      </c>
      <c r="D367" s="580" t="s">
        <v>983</v>
      </c>
      <c r="E367" s="580"/>
      <c r="F367" s="489">
        <f>F368+F370</f>
        <v>0</v>
      </c>
      <c r="G367" s="489">
        <f>G368+G370</f>
        <v>0</v>
      </c>
      <c r="L367" s="576"/>
    </row>
    <row r="368" spans="1:12" s="578" customFormat="1" ht="31.5" hidden="1" x14ac:dyDescent="0.25">
      <c r="A368" s="579" t="s">
        <v>838</v>
      </c>
      <c r="B368" s="580" t="s">
        <v>234</v>
      </c>
      <c r="C368" s="580" t="s">
        <v>213</v>
      </c>
      <c r="D368" s="580" t="s">
        <v>983</v>
      </c>
      <c r="E368" s="580" t="s">
        <v>837</v>
      </c>
      <c r="F368" s="489">
        <f>F369</f>
        <v>0</v>
      </c>
      <c r="G368" s="489">
        <f>G369</f>
        <v>0</v>
      </c>
      <c r="L368" s="576"/>
    </row>
    <row r="369" spans="1:12" s="578" customFormat="1" ht="31.7" hidden="1" customHeight="1" x14ac:dyDescent="0.25">
      <c r="A369" s="579" t="s">
        <v>1048</v>
      </c>
      <c r="B369" s="580" t="s">
        <v>234</v>
      </c>
      <c r="C369" s="580" t="s">
        <v>213</v>
      </c>
      <c r="D369" s="580" t="s">
        <v>983</v>
      </c>
      <c r="E369" s="580" t="s">
        <v>1067</v>
      </c>
      <c r="F369" s="489">
        <f>'Пр.4 ведом.22'!G997</f>
        <v>0</v>
      </c>
      <c r="G369" s="489">
        <f>'Пр.4 ведом.22'!H997</f>
        <v>0</v>
      </c>
      <c r="L369" s="576"/>
    </row>
    <row r="370" spans="1:12" s="578" customFormat="1" ht="21.2" hidden="1" customHeight="1" x14ac:dyDescent="0.25">
      <c r="A370" s="579" t="s">
        <v>135</v>
      </c>
      <c r="B370" s="580" t="s">
        <v>234</v>
      </c>
      <c r="C370" s="580" t="s">
        <v>213</v>
      </c>
      <c r="D370" s="580" t="s">
        <v>983</v>
      </c>
      <c r="E370" s="580" t="s">
        <v>145</v>
      </c>
      <c r="F370" s="489">
        <f>F371</f>
        <v>0</v>
      </c>
      <c r="G370" s="489">
        <f>G371</f>
        <v>0</v>
      </c>
      <c r="L370" s="576"/>
    </row>
    <row r="371" spans="1:12" s="578" customFormat="1" ht="21.75" hidden="1" customHeight="1" x14ac:dyDescent="0.25">
      <c r="A371" s="579" t="s">
        <v>704</v>
      </c>
      <c r="B371" s="580" t="s">
        <v>234</v>
      </c>
      <c r="C371" s="580" t="s">
        <v>213</v>
      </c>
      <c r="D371" s="580" t="s">
        <v>983</v>
      </c>
      <c r="E371" s="580" t="s">
        <v>138</v>
      </c>
      <c r="F371" s="489">
        <f>'Пр.4 ведом.22'!G999</f>
        <v>0</v>
      </c>
      <c r="G371" s="489">
        <f>'Пр.4 ведом.22'!H999</f>
        <v>0</v>
      </c>
      <c r="L371" s="576"/>
    </row>
    <row r="372" spans="1:12" s="578" customFormat="1" ht="31.5" hidden="1" x14ac:dyDescent="0.25">
      <c r="A372" s="579" t="s">
        <v>1068</v>
      </c>
      <c r="B372" s="580" t="s">
        <v>234</v>
      </c>
      <c r="C372" s="580" t="s">
        <v>213</v>
      </c>
      <c r="D372" s="580" t="s">
        <v>1069</v>
      </c>
      <c r="E372" s="580"/>
      <c r="F372" s="489">
        <f t="shared" ref="F372:G373" si="60">F373</f>
        <v>0</v>
      </c>
      <c r="G372" s="489">
        <f t="shared" si="60"/>
        <v>0</v>
      </c>
      <c r="L372" s="576"/>
    </row>
    <row r="373" spans="1:12" s="578" customFormat="1" ht="31.5" hidden="1" x14ac:dyDescent="0.25">
      <c r="A373" s="579" t="s">
        <v>131</v>
      </c>
      <c r="B373" s="580" t="s">
        <v>234</v>
      </c>
      <c r="C373" s="580" t="s">
        <v>213</v>
      </c>
      <c r="D373" s="580" t="s">
        <v>1069</v>
      </c>
      <c r="E373" s="580" t="s">
        <v>132</v>
      </c>
      <c r="F373" s="489">
        <f t="shared" si="60"/>
        <v>0</v>
      </c>
      <c r="G373" s="489">
        <f t="shared" si="60"/>
        <v>0</v>
      </c>
      <c r="L373" s="576"/>
    </row>
    <row r="374" spans="1:12" s="578" customFormat="1" ht="31.5" hidden="1" x14ac:dyDescent="0.25">
      <c r="A374" s="579" t="s">
        <v>133</v>
      </c>
      <c r="B374" s="580" t="s">
        <v>234</v>
      </c>
      <c r="C374" s="580" t="s">
        <v>213</v>
      </c>
      <c r="D374" s="580" t="s">
        <v>1069</v>
      </c>
      <c r="E374" s="580" t="s">
        <v>134</v>
      </c>
      <c r="F374" s="489">
        <f>'Пр.4 ведом.22'!G1002</f>
        <v>0</v>
      </c>
      <c r="G374" s="489">
        <f>'Пр.4 ведом.22'!H1002</f>
        <v>0</v>
      </c>
      <c r="L374" s="576"/>
    </row>
    <row r="375" spans="1:12" s="578" customFormat="1" ht="63" x14ac:dyDescent="0.25">
      <c r="A375" s="494" t="s">
        <v>1526</v>
      </c>
      <c r="B375" s="495" t="s">
        <v>234</v>
      </c>
      <c r="C375" s="495" t="s">
        <v>213</v>
      </c>
      <c r="D375" s="495" t="s">
        <v>518</v>
      </c>
      <c r="E375" s="495"/>
      <c r="F375" s="488">
        <f>F376+F380+F384+F388+F392+F396+F400</f>
        <v>700</v>
      </c>
      <c r="G375" s="488">
        <f>G376+G380+G384+G388+G392+G396+G400</f>
        <v>700</v>
      </c>
      <c r="L375" s="576"/>
    </row>
    <row r="376" spans="1:12" s="578" customFormat="1" ht="31.5" x14ac:dyDescent="0.25">
      <c r="A376" s="494" t="s">
        <v>963</v>
      </c>
      <c r="B376" s="495" t="s">
        <v>234</v>
      </c>
      <c r="C376" s="495" t="s">
        <v>213</v>
      </c>
      <c r="D376" s="495" t="s">
        <v>965</v>
      </c>
      <c r="E376" s="495"/>
      <c r="F376" s="488">
        <f>F377</f>
        <v>700</v>
      </c>
      <c r="G376" s="488">
        <f>G377</f>
        <v>700</v>
      </c>
      <c r="L376" s="576"/>
    </row>
    <row r="377" spans="1:12" s="578" customFormat="1" ht="15.75" x14ac:dyDescent="0.25">
      <c r="A377" s="45" t="s">
        <v>964</v>
      </c>
      <c r="B377" s="573" t="s">
        <v>234</v>
      </c>
      <c r="C377" s="573" t="s">
        <v>213</v>
      </c>
      <c r="D377" s="580" t="s">
        <v>966</v>
      </c>
      <c r="E377" s="573"/>
      <c r="F377" s="489">
        <f t="shared" ref="F377:G378" si="61">F378</f>
        <v>700</v>
      </c>
      <c r="G377" s="489">
        <f t="shared" si="61"/>
        <v>700</v>
      </c>
      <c r="L377" s="576"/>
    </row>
    <row r="378" spans="1:12" s="578" customFormat="1" ht="31.5" x14ac:dyDescent="0.25">
      <c r="A378" s="31" t="s">
        <v>131</v>
      </c>
      <c r="B378" s="573" t="s">
        <v>234</v>
      </c>
      <c r="C378" s="573" t="s">
        <v>213</v>
      </c>
      <c r="D378" s="580" t="s">
        <v>966</v>
      </c>
      <c r="E378" s="573" t="s">
        <v>132</v>
      </c>
      <c r="F378" s="489">
        <f t="shared" si="61"/>
        <v>700</v>
      </c>
      <c r="G378" s="489">
        <f t="shared" si="61"/>
        <v>700</v>
      </c>
      <c r="L378" s="576"/>
    </row>
    <row r="379" spans="1:12" s="578" customFormat="1" ht="31.5" x14ac:dyDescent="0.25">
      <c r="A379" s="31" t="s">
        <v>133</v>
      </c>
      <c r="B379" s="573" t="s">
        <v>234</v>
      </c>
      <c r="C379" s="573" t="s">
        <v>213</v>
      </c>
      <c r="D379" s="580" t="s">
        <v>966</v>
      </c>
      <c r="E379" s="573" t="s">
        <v>134</v>
      </c>
      <c r="F379" s="489">
        <f>'Пр.4.1 ведом.23-24 '!G1008</f>
        <v>700</v>
      </c>
      <c r="G379" s="489">
        <f>'Пр.4.1 ведом.23-24 '!H1008</f>
        <v>700</v>
      </c>
      <c r="L379" s="576"/>
    </row>
    <row r="380" spans="1:12" s="578" customFormat="1" ht="31.5" hidden="1" x14ac:dyDescent="0.25">
      <c r="A380" s="34" t="s">
        <v>967</v>
      </c>
      <c r="B380" s="7" t="s">
        <v>234</v>
      </c>
      <c r="C380" s="7" t="s">
        <v>213</v>
      </c>
      <c r="D380" s="495" t="s">
        <v>968</v>
      </c>
      <c r="E380" s="7"/>
      <c r="F380" s="488">
        <f t="shared" ref="F380:G382" si="62">F381</f>
        <v>0</v>
      </c>
      <c r="G380" s="488">
        <f t="shared" si="62"/>
        <v>0</v>
      </c>
      <c r="L380" s="576"/>
    </row>
    <row r="381" spans="1:12" s="578" customFormat="1" ht="15.75" hidden="1" x14ac:dyDescent="0.25">
      <c r="A381" s="45" t="s">
        <v>523</v>
      </c>
      <c r="B381" s="573" t="s">
        <v>234</v>
      </c>
      <c r="C381" s="573" t="s">
        <v>213</v>
      </c>
      <c r="D381" s="580" t="s">
        <v>971</v>
      </c>
      <c r="E381" s="573"/>
      <c r="F381" s="489">
        <f t="shared" si="62"/>
        <v>0</v>
      </c>
      <c r="G381" s="489">
        <f t="shared" si="62"/>
        <v>0</v>
      </c>
      <c r="L381" s="576"/>
    </row>
    <row r="382" spans="1:12" s="578" customFormat="1" ht="31.5" hidden="1" x14ac:dyDescent="0.25">
      <c r="A382" s="31" t="s">
        <v>131</v>
      </c>
      <c r="B382" s="573" t="s">
        <v>234</v>
      </c>
      <c r="C382" s="573" t="s">
        <v>213</v>
      </c>
      <c r="D382" s="580" t="s">
        <v>971</v>
      </c>
      <c r="E382" s="573" t="s">
        <v>132</v>
      </c>
      <c r="F382" s="489">
        <f t="shared" si="62"/>
        <v>0</v>
      </c>
      <c r="G382" s="489">
        <f t="shared" si="62"/>
        <v>0</v>
      </c>
      <c r="L382" s="576"/>
    </row>
    <row r="383" spans="1:12" s="578" customFormat="1" ht="31.5" hidden="1" x14ac:dyDescent="0.25">
      <c r="A383" s="31" t="s">
        <v>133</v>
      </c>
      <c r="B383" s="573" t="s">
        <v>234</v>
      </c>
      <c r="C383" s="573" t="s">
        <v>213</v>
      </c>
      <c r="D383" s="580" t="s">
        <v>971</v>
      </c>
      <c r="E383" s="573" t="s">
        <v>134</v>
      </c>
      <c r="F383" s="489">
        <f>'Пр.4.1 ведом.23-24 '!G1012</f>
        <v>0</v>
      </c>
      <c r="G383" s="489">
        <f>'Пр.4.1 ведом.23-24 '!H1012</f>
        <v>0</v>
      </c>
      <c r="L383" s="576"/>
    </row>
    <row r="384" spans="1:12" s="578" customFormat="1" ht="31.5" hidden="1" x14ac:dyDescent="0.25">
      <c r="A384" s="58" t="s">
        <v>969</v>
      </c>
      <c r="B384" s="7" t="s">
        <v>234</v>
      </c>
      <c r="C384" s="7" t="s">
        <v>213</v>
      </c>
      <c r="D384" s="495" t="s">
        <v>970</v>
      </c>
      <c r="E384" s="7"/>
      <c r="F384" s="488">
        <f t="shared" ref="F384:G386" si="63">F385</f>
        <v>0</v>
      </c>
      <c r="G384" s="488">
        <f t="shared" si="63"/>
        <v>0</v>
      </c>
      <c r="L384" s="576"/>
    </row>
    <row r="385" spans="1:12" s="578" customFormat="1" ht="15.75" hidden="1" x14ac:dyDescent="0.25">
      <c r="A385" s="45" t="s">
        <v>525</v>
      </c>
      <c r="B385" s="573" t="s">
        <v>234</v>
      </c>
      <c r="C385" s="573" t="s">
        <v>213</v>
      </c>
      <c r="D385" s="580" t="s">
        <v>972</v>
      </c>
      <c r="E385" s="573"/>
      <c r="F385" s="489">
        <f t="shared" si="63"/>
        <v>0</v>
      </c>
      <c r="G385" s="489">
        <f t="shared" si="63"/>
        <v>0</v>
      </c>
      <c r="L385" s="576"/>
    </row>
    <row r="386" spans="1:12" s="578" customFormat="1" ht="31.5" hidden="1" x14ac:dyDescent="0.25">
      <c r="A386" s="31" t="s">
        <v>131</v>
      </c>
      <c r="B386" s="573" t="s">
        <v>234</v>
      </c>
      <c r="C386" s="573" t="s">
        <v>213</v>
      </c>
      <c r="D386" s="580" t="s">
        <v>972</v>
      </c>
      <c r="E386" s="573" t="s">
        <v>132</v>
      </c>
      <c r="F386" s="489">
        <f t="shared" si="63"/>
        <v>0</v>
      </c>
      <c r="G386" s="489">
        <f t="shared" si="63"/>
        <v>0</v>
      </c>
      <c r="L386" s="576"/>
    </row>
    <row r="387" spans="1:12" s="578" customFormat="1" ht="31.5" hidden="1" x14ac:dyDescent="0.25">
      <c r="A387" s="31" t="s">
        <v>133</v>
      </c>
      <c r="B387" s="573" t="s">
        <v>234</v>
      </c>
      <c r="C387" s="573" t="s">
        <v>213</v>
      </c>
      <c r="D387" s="580" t="s">
        <v>972</v>
      </c>
      <c r="E387" s="573" t="s">
        <v>134</v>
      </c>
      <c r="F387" s="489">
        <f>'Пр.4.1 ведом.23-24 '!G1016</f>
        <v>0</v>
      </c>
      <c r="G387" s="489">
        <f>'Пр.4.1 ведом.23-24 '!H1016</f>
        <v>0</v>
      </c>
      <c r="L387" s="576"/>
    </row>
    <row r="388" spans="1:12" s="578" customFormat="1" ht="31.5" hidden="1" x14ac:dyDescent="0.25">
      <c r="A388" s="58" t="s">
        <v>973</v>
      </c>
      <c r="B388" s="7" t="s">
        <v>234</v>
      </c>
      <c r="C388" s="7" t="s">
        <v>213</v>
      </c>
      <c r="D388" s="495" t="s">
        <v>974</v>
      </c>
      <c r="E388" s="7"/>
      <c r="F388" s="488">
        <f t="shared" ref="F388:G390" si="64">F389</f>
        <v>0</v>
      </c>
      <c r="G388" s="488">
        <f t="shared" si="64"/>
        <v>0</v>
      </c>
      <c r="L388" s="576"/>
    </row>
    <row r="389" spans="1:12" s="578" customFormat="1" ht="15.75" hidden="1" x14ac:dyDescent="0.25">
      <c r="A389" s="45" t="s">
        <v>527</v>
      </c>
      <c r="B389" s="573" t="s">
        <v>234</v>
      </c>
      <c r="C389" s="573" t="s">
        <v>213</v>
      </c>
      <c r="D389" s="580" t="s">
        <v>975</v>
      </c>
      <c r="E389" s="573"/>
      <c r="F389" s="489">
        <f t="shared" si="64"/>
        <v>0</v>
      </c>
      <c r="G389" s="489">
        <f t="shared" si="64"/>
        <v>0</v>
      </c>
      <c r="L389" s="576"/>
    </row>
    <row r="390" spans="1:12" s="578" customFormat="1" ht="31.5" hidden="1" x14ac:dyDescent="0.25">
      <c r="A390" s="31" t="s">
        <v>131</v>
      </c>
      <c r="B390" s="573" t="s">
        <v>234</v>
      </c>
      <c r="C390" s="573" t="s">
        <v>213</v>
      </c>
      <c r="D390" s="580" t="s">
        <v>975</v>
      </c>
      <c r="E390" s="573" t="s">
        <v>132</v>
      </c>
      <c r="F390" s="489">
        <f t="shared" si="64"/>
        <v>0</v>
      </c>
      <c r="G390" s="489">
        <f t="shared" si="64"/>
        <v>0</v>
      </c>
      <c r="L390" s="576"/>
    </row>
    <row r="391" spans="1:12" s="578" customFormat="1" ht="31.5" hidden="1" x14ac:dyDescent="0.25">
      <c r="A391" s="31" t="s">
        <v>133</v>
      </c>
      <c r="B391" s="573" t="s">
        <v>234</v>
      </c>
      <c r="C391" s="573" t="s">
        <v>213</v>
      </c>
      <c r="D391" s="580" t="s">
        <v>975</v>
      </c>
      <c r="E391" s="573" t="s">
        <v>134</v>
      </c>
      <c r="F391" s="489">
        <f>'Пр.4.1 ведом.23-24 '!G1020</f>
        <v>0</v>
      </c>
      <c r="G391" s="489">
        <f>'Пр.4.1 ведом.23-24 '!H1020</f>
        <v>0</v>
      </c>
      <c r="L391" s="576"/>
    </row>
    <row r="392" spans="1:12" s="578" customFormat="1" ht="31.5" hidden="1" x14ac:dyDescent="0.25">
      <c r="A392" s="34" t="s">
        <v>1014</v>
      </c>
      <c r="B392" s="7" t="s">
        <v>234</v>
      </c>
      <c r="C392" s="7" t="s">
        <v>213</v>
      </c>
      <c r="D392" s="495" t="s">
        <v>1015</v>
      </c>
      <c r="E392" s="7"/>
      <c r="F392" s="488">
        <f t="shared" ref="F392:G394" si="65">F393</f>
        <v>0</v>
      </c>
      <c r="G392" s="488">
        <f t="shared" si="65"/>
        <v>0</v>
      </c>
      <c r="L392" s="576"/>
    </row>
    <row r="393" spans="1:12" s="578" customFormat="1" ht="18" hidden="1" customHeight="1" x14ac:dyDescent="0.25">
      <c r="A393" s="45" t="s">
        <v>529</v>
      </c>
      <c r="B393" s="573" t="s">
        <v>234</v>
      </c>
      <c r="C393" s="573" t="s">
        <v>213</v>
      </c>
      <c r="D393" s="580" t="s">
        <v>1018</v>
      </c>
      <c r="E393" s="573"/>
      <c r="F393" s="489">
        <f t="shared" si="65"/>
        <v>0</v>
      </c>
      <c r="G393" s="489">
        <f t="shared" si="65"/>
        <v>0</v>
      </c>
      <c r="L393" s="576"/>
    </row>
    <row r="394" spans="1:12" s="578" customFormat="1" ht="31.5" hidden="1" x14ac:dyDescent="0.25">
      <c r="A394" s="31" t="s">
        <v>131</v>
      </c>
      <c r="B394" s="573" t="s">
        <v>234</v>
      </c>
      <c r="C394" s="573" t="s">
        <v>213</v>
      </c>
      <c r="D394" s="580" t="s">
        <v>1018</v>
      </c>
      <c r="E394" s="573" t="s">
        <v>132</v>
      </c>
      <c r="F394" s="489">
        <f t="shared" si="65"/>
        <v>0</v>
      </c>
      <c r="G394" s="489">
        <f t="shared" si="65"/>
        <v>0</v>
      </c>
      <c r="L394" s="576"/>
    </row>
    <row r="395" spans="1:12" s="578" customFormat="1" ht="31.5" hidden="1" x14ac:dyDescent="0.25">
      <c r="A395" s="31" t="s">
        <v>133</v>
      </c>
      <c r="B395" s="573" t="s">
        <v>234</v>
      </c>
      <c r="C395" s="573" t="s">
        <v>213</v>
      </c>
      <c r="D395" s="580" t="s">
        <v>1018</v>
      </c>
      <c r="E395" s="573" t="s">
        <v>134</v>
      </c>
      <c r="F395" s="489">
        <f>'Пр.4.1 ведом.23-24 '!G1024</f>
        <v>0</v>
      </c>
      <c r="G395" s="489">
        <f>'Пр.4.1 ведом.23-24 '!H1024</f>
        <v>0</v>
      </c>
      <c r="L395" s="576"/>
    </row>
    <row r="396" spans="1:12" s="578" customFormat="1" ht="31.5" hidden="1" x14ac:dyDescent="0.25">
      <c r="A396" s="220" t="s">
        <v>1016</v>
      </c>
      <c r="B396" s="7" t="s">
        <v>234</v>
      </c>
      <c r="C396" s="7" t="s">
        <v>213</v>
      </c>
      <c r="D396" s="495" t="s">
        <v>1017</v>
      </c>
      <c r="E396" s="7"/>
      <c r="F396" s="488">
        <f t="shared" ref="F396:G398" si="66">F397</f>
        <v>0</v>
      </c>
      <c r="G396" s="488">
        <f t="shared" si="66"/>
        <v>0</v>
      </c>
      <c r="L396" s="576"/>
    </row>
    <row r="397" spans="1:12" s="578" customFormat="1" ht="31.5" hidden="1" x14ac:dyDescent="0.25">
      <c r="A397" s="174" t="s">
        <v>531</v>
      </c>
      <c r="B397" s="573" t="s">
        <v>234</v>
      </c>
      <c r="C397" s="573" t="s">
        <v>213</v>
      </c>
      <c r="D397" s="580" t="s">
        <v>1019</v>
      </c>
      <c r="E397" s="573"/>
      <c r="F397" s="489">
        <f t="shared" si="66"/>
        <v>0</v>
      </c>
      <c r="G397" s="489">
        <f t="shared" si="66"/>
        <v>0</v>
      </c>
      <c r="L397" s="576"/>
    </row>
    <row r="398" spans="1:12" s="578" customFormat="1" ht="31.5" hidden="1" x14ac:dyDescent="0.25">
      <c r="A398" s="31" t="s">
        <v>131</v>
      </c>
      <c r="B398" s="573" t="s">
        <v>234</v>
      </c>
      <c r="C398" s="573" t="s">
        <v>213</v>
      </c>
      <c r="D398" s="580" t="s">
        <v>1019</v>
      </c>
      <c r="E398" s="573" t="s">
        <v>132</v>
      </c>
      <c r="F398" s="489">
        <f t="shared" si="66"/>
        <v>0</v>
      </c>
      <c r="G398" s="489">
        <f t="shared" si="66"/>
        <v>0</v>
      </c>
      <c r="L398" s="576"/>
    </row>
    <row r="399" spans="1:12" s="578" customFormat="1" ht="31.5" hidden="1" x14ac:dyDescent="0.25">
      <c r="A399" s="31" t="s">
        <v>133</v>
      </c>
      <c r="B399" s="573" t="s">
        <v>234</v>
      </c>
      <c r="C399" s="573" t="s">
        <v>213</v>
      </c>
      <c r="D399" s="580" t="s">
        <v>1019</v>
      </c>
      <c r="E399" s="573" t="s">
        <v>134</v>
      </c>
      <c r="F399" s="489">
        <f>'Пр.4.1 ведом.23-24 '!G1028</f>
        <v>0</v>
      </c>
      <c r="G399" s="489">
        <f>'Пр.4.1 ведом.23-24 '!H1028</f>
        <v>0</v>
      </c>
      <c r="L399" s="576"/>
    </row>
    <row r="400" spans="1:12" s="578" customFormat="1" ht="31.5" hidden="1" x14ac:dyDescent="0.25">
      <c r="A400" s="220" t="s">
        <v>977</v>
      </c>
      <c r="B400" s="7" t="s">
        <v>234</v>
      </c>
      <c r="C400" s="7" t="s">
        <v>213</v>
      </c>
      <c r="D400" s="495" t="s">
        <v>978</v>
      </c>
      <c r="E400" s="7"/>
      <c r="F400" s="488">
        <f t="shared" ref="F400:G402" si="67">F401</f>
        <v>0</v>
      </c>
      <c r="G400" s="488">
        <f t="shared" si="67"/>
        <v>0</v>
      </c>
      <c r="L400" s="576"/>
    </row>
    <row r="401" spans="1:12" s="578" customFormat="1" ht="15.75" hidden="1" x14ac:dyDescent="0.25">
      <c r="A401" s="174" t="s">
        <v>533</v>
      </c>
      <c r="B401" s="573" t="s">
        <v>234</v>
      </c>
      <c r="C401" s="573" t="s">
        <v>213</v>
      </c>
      <c r="D401" s="580" t="s">
        <v>976</v>
      </c>
      <c r="E401" s="573"/>
      <c r="F401" s="489">
        <f t="shared" si="67"/>
        <v>0</v>
      </c>
      <c r="G401" s="489">
        <f t="shared" si="67"/>
        <v>0</v>
      </c>
      <c r="L401" s="576"/>
    </row>
    <row r="402" spans="1:12" ht="31.5" hidden="1" x14ac:dyDescent="0.25">
      <c r="A402" s="579" t="s">
        <v>131</v>
      </c>
      <c r="B402" s="573" t="s">
        <v>234</v>
      </c>
      <c r="C402" s="573" t="s">
        <v>213</v>
      </c>
      <c r="D402" s="580" t="s">
        <v>976</v>
      </c>
      <c r="E402" s="573" t="s">
        <v>132</v>
      </c>
      <c r="F402" s="489">
        <f t="shared" si="67"/>
        <v>0</v>
      </c>
      <c r="G402" s="489">
        <f t="shared" si="67"/>
        <v>0</v>
      </c>
    </row>
    <row r="403" spans="1:12" ht="31.5" hidden="1" x14ac:dyDescent="0.25">
      <c r="A403" s="579" t="s">
        <v>133</v>
      </c>
      <c r="B403" s="573" t="s">
        <v>234</v>
      </c>
      <c r="C403" s="573" t="s">
        <v>213</v>
      </c>
      <c r="D403" s="580" t="s">
        <v>976</v>
      </c>
      <c r="E403" s="573" t="s">
        <v>134</v>
      </c>
      <c r="F403" s="489">
        <f>'Пр.4.1 ведом.23-24 '!G1032</f>
        <v>0</v>
      </c>
      <c r="G403" s="489">
        <f>'Пр.4.1 ведом.23-24 '!H1032</f>
        <v>0</v>
      </c>
    </row>
    <row r="404" spans="1:12" ht="47.25" x14ac:dyDescent="0.25">
      <c r="A404" s="494" t="s">
        <v>1528</v>
      </c>
      <c r="B404" s="7" t="s">
        <v>234</v>
      </c>
      <c r="C404" s="7" t="s">
        <v>213</v>
      </c>
      <c r="D404" s="495" t="s">
        <v>1141</v>
      </c>
      <c r="E404" s="7"/>
      <c r="F404" s="488">
        <f t="shared" ref="F404:G407" si="68">F405</f>
        <v>204</v>
      </c>
      <c r="G404" s="488">
        <f t="shared" si="68"/>
        <v>204</v>
      </c>
    </row>
    <row r="405" spans="1:12" ht="31.5" x14ac:dyDescent="0.25">
      <c r="A405" s="494" t="s">
        <v>1142</v>
      </c>
      <c r="B405" s="7" t="s">
        <v>234</v>
      </c>
      <c r="C405" s="7" t="s">
        <v>213</v>
      </c>
      <c r="D405" s="495" t="s">
        <v>1143</v>
      </c>
      <c r="E405" s="7"/>
      <c r="F405" s="488">
        <f t="shared" si="68"/>
        <v>204</v>
      </c>
      <c r="G405" s="488">
        <f t="shared" si="68"/>
        <v>204</v>
      </c>
    </row>
    <row r="406" spans="1:12" ht="15.75" x14ac:dyDescent="0.25">
      <c r="A406" s="579" t="s">
        <v>537</v>
      </c>
      <c r="B406" s="573" t="s">
        <v>234</v>
      </c>
      <c r="C406" s="573" t="s">
        <v>213</v>
      </c>
      <c r="D406" s="580" t="s">
        <v>1144</v>
      </c>
      <c r="E406" s="573"/>
      <c r="F406" s="489">
        <f t="shared" si="68"/>
        <v>204</v>
      </c>
      <c r="G406" s="489">
        <f t="shared" si="68"/>
        <v>204</v>
      </c>
    </row>
    <row r="407" spans="1:12" ht="31.5" x14ac:dyDescent="0.25">
      <c r="A407" s="579" t="s">
        <v>131</v>
      </c>
      <c r="B407" s="573" t="s">
        <v>234</v>
      </c>
      <c r="C407" s="573" t="s">
        <v>213</v>
      </c>
      <c r="D407" s="580" t="s">
        <v>1144</v>
      </c>
      <c r="E407" s="573" t="s">
        <v>132</v>
      </c>
      <c r="F407" s="489">
        <f t="shared" si="68"/>
        <v>204</v>
      </c>
      <c r="G407" s="489">
        <f t="shared" si="68"/>
        <v>204</v>
      </c>
    </row>
    <row r="408" spans="1:12" ht="31.5" x14ac:dyDescent="0.25">
      <c r="A408" s="579" t="s">
        <v>133</v>
      </c>
      <c r="B408" s="573" t="s">
        <v>234</v>
      </c>
      <c r="C408" s="573" t="s">
        <v>213</v>
      </c>
      <c r="D408" s="580" t="s">
        <v>1144</v>
      </c>
      <c r="E408" s="573" t="s">
        <v>134</v>
      </c>
      <c r="F408" s="489">
        <f>'Пр.4.1 ведом.23-24 '!G1037</f>
        <v>204</v>
      </c>
      <c r="G408" s="489">
        <f>'Пр.4.1 ведом.23-24 '!H1037</f>
        <v>204</v>
      </c>
    </row>
    <row r="409" spans="1:12" ht="15.75" x14ac:dyDescent="0.25">
      <c r="A409" s="572" t="s">
        <v>541</v>
      </c>
      <c r="B409" s="7" t="s">
        <v>234</v>
      </c>
      <c r="C409" s="7" t="s">
        <v>215</v>
      </c>
      <c r="D409" s="7"/>
      <c r="E409" s="7"/>
      <c r="F409" s="488">
        <f>F410+F415+F462</f>
        <v>9635.7199999999993</v>
      </c>
      <c r="G409" s="488">
        <f>G410+G415+G462</f>
        <v>9635.7199999999993</v>
      </c>
      <c r="H409" s="115"/>
    </row>
    <row r="410" spans="1:12" ht="15.75" x14ac:dyDescent="0.25">
      <c r="A410" s="494" t="s">
        <v>141</v>
      </c>
      <c r="B410" s="495" t="s">
        <v>234</v>
      </c>
      <c r="C410" s="495" t="s">
        <v>215</v>
      </c>
      <c r="D410" s="495" t="s">
        <v>866</v>
      </c>
      <c r="E410" s="495"/>
      <c r="F410" s="488">
        <f t="shared" ref="F410:G413" si="69">F411</f>
        <v>390</v>
      </c>
      <c r="G410" s="488">
        <f t="shared" si="69"/>
        <v>390</v>
      </c>
      <c r="H410" s="115"/>
    </row>
    <row r="411" spans="1:12" ht="31.5" x14ac:dyDescent="0.25">
      <c r="A411" s="494" t="s">
        <v>870</v>
      </c>
      <c r="B411" s="495" t="s">
        <v>234</v>
      </c>
      <c r="C411" s="495" t="s">
        <v>215</v>
      </c>
      <c r="D411" s="495" t="s">
        <v>865</v>
      </c>
      <c r="E411" s="495"/>
      <c r="F411" s="488">
        <f t="shared" si="69"/>
        <v>390</v>
      </c>
      <c r="G411" s="488">
        <f t="shared" si="69"/>
        <v>390</v>
      </c>
      <c r="H411" s="115"/>
    </row>
    <row r="412" spans="1:12" ht="15.75" x14ac:dyDescent="0.25">
      <c r="A412" s="579" t="s">
        <v>564</v>
      </c>
      <c r="B412" s="580" t="s">
        <v>234</v>
      </c>
      <c r="C412" s="580" t="s">
        <v>215</v>
      </c>
      <c r="D412" s="580" t="s">
        <v>1074</v>
      </c>
      <c r="E412" s="580"/>
      <c r="F412" s="489">
        <f t="shared" si="69"/>
        <v>390</v>
      </c>
      <c r="G412" s="489">
        <f t="shared" si="69"/>
        <v>390</v>
      </c>
      <c r="H412" s="115"/>
    </row>
    <row r="413" spans="1:12" ht="31.5" x14ac:dyDescent="0.25">
      <c r="A413" s="579" t="s">
        <v>131</v>
      </c>
      <c r="B413" s="580" t="s">
        <v>234</v>
      </c>
      <c r="C413" s="580" t="s">
        <v>215</v>
      </c>
      <c r="D413" s="580" t="s">
        <v>1074</v>
      </c>
      <c r="E413" s="580" t="s">
        <v>132</v>
      </c>
      <c r="F413" s="489">
        <f t="shared" si="69"/>
        <v>390</v>
      </c>
      <c r="G413" s="489">
        <f t="shared" si="69"/>
        <v>390</v>
      </c>
      <c r="H413" s="115"/>
    </row>
    <row r="414" spans="1:12" ht="31.5" x14ac:dyDescent="0.25">
      <c r="A414" s="579" t="s">
        <v>133</v>
      </c>
      <c r="B414" s="580" t="s">
        <v>234</v>
      </c>
      <c r="C414" s="580" t="s">
        <v>215</v>
      </c>
      <c r="D414" s="580" t="s">
        <v>1074</v>
      </c>
      <c r="E414" s="580" t="s">
        <v>134</v>
      </c>
      <c r="F414" s="489">
        <f>'Пр.4.1 ведом.23-24 '!G1043</f>
        <v>390</v>
      </c>
      <c r="G414" s="489">
        <f>'Пр.4.1 ведом.23-24 '!H1043</f>
        <v>390</v>
      </c>
      <c r="H414" s="115"/>
    </row>
    <row r="415" spans="1:12" ht="39.4" customHeight="1" x14ac:dyDescent="0.25">
      <c r="A415" s="494" t="s">
        <v>1362</v>
      </c>
      <c r="B415" s="7" t="s">
        <v>234</v>
      </c>
      <c r="C415" s="7" t="s">
        <v>215</v>
      </c>
      <c r="D415" s="7" t="s">
        <v>543</v>
      </c>
      <c r="E415" s="7"/>
      <c r="F415" s="488">
        <f>F416+F420+F447+F454+F458</f>
        <v>8745.7199999999993</v>
      </c>
      <c r="G415" s="488">
        <f>G416+G420+G447+G454+G458</f>
        <v>8745.7199999999993</v>
      </c>
    </row>
    <row r="416" spans="1:12" ht="47.25" hidden="1" x14ac:dyDescent="0.25">
      <c r="A416" s="494" t="s">
        <v>1430</v>
      </c>
      <c r="B416" s="495" t="s">
        <v>234</v>
      </c>
      <c r="C416" s="495" t="s">
        <v>215</v>
      </c>
      <c r="D416" s="495" t="s">
        <v>1273</v>
      </c>
      <c r="E416" s="495"/>
      <c r="F416" s="488">
        <f t="shared" ref="F416:G418" si="70">F417</f>
        <v>0</v>
      </c>
      <c r="G416" s="488">
        <f t="shared" si="70"/>
        <v>0</v>
      </c>
    </row>
    <row r="417" spans="1:7" ht="31.5" hidden="1" x14ac:dyDescent="0.25">
      <c r="A417" s="327" t="s">
        <v>1431</v>
      </c>
      <c r="B417" s="580" t="s">
        <v>234</v>
      </c>
      <c r="C417" s="580" t="s">
        <v>215</v>
      </c>
      <c r="D417" s="580" t="s">
        <v>1419</v>
      </c>
      <c r="E417" s="580"/>
      <c r="F417" s="497">
        <f t="shared" si="70"/>
        <v>0</v>
      </c>
      <c r="G417" s="497">
        <f t="shared" si="70"/>
        <v>0</v>
      </c>
    </row>
    <row r="418" spans="1:7" ht="31.5" hidden="1" x14ac:dyDescent="0.25">
      <c r="A418" s="579" t="s">
        <v>131</v>
      </c>
      <c r="B418" s="580" t="s">
        <v>234</v>
      </c>
      <c r="C418" s="580" t="s">
        <v>215</v>
      </c>
      <c r="D418" s="580" t="s">
        <v>1419</v>
      </c>
      <c r="E418" s="580" t="s">
        <v>132</v>
      </c>
      <c r="F418" s="497">
        <f t="shared" si="70"/>
        <v>0</v>
      </c>
      <c r="G418" s="497">
        <f t="shared" si="70"/>
        <v>0</v>
      </c>
    </row>
    <row r="419" spans="1:7" ht="31.5" hidden="1" x14ac:dyDescent="0.25">
      <c r="A419" s="579" t="s">
        <v>133</v>
      </c>
      <c r="B419" s="580" t="s">
        <v>234</v>
      </c>
      <c r="C419" s="580" t="s">
        <v>215</v>
      </c>
      <c r="D419" s="580" t="s">
        <v>1419</v>
      </c>
      <c r="E419" s="580" t="s">
        <v>134</v>
      </c>
      <c r="F419" s="497">
        <f>'Пр.4 ведом.22'!G1047</f>
        <v>0</v>
      </c>
      <c r="G419" s="497">
        <f>'Пр.4 ведом.22'!H1047</f>
        <v>0</v>
      </c>
    </row>
    <row r="420" spans="1:7" ht="31.5" x14ac:dyDescent="0.25">
      <c r="A420" s="494" t="s">
        <v>1433</v>
      </c>
      <c r="B420" s="495" t="s">
        <v>234</v>
      </c>
      <c r="C420" s="495" t="s">
        <v>215</v>
      </c>
      <c r="D420" s="495" t="s">
        <v>1274</v>
      </c>
      <c r="E420" s="495"/>
      <c r="F420" s="488">
        <f>F421+F424+F430+F433+F436+F441+F444</f>
        <v>2248.02</v>
      </c>
      <c r="G420" s="488">
        <f>G421+G424+G430+G433+G436+G441+G444</f>
        <v>2248.02</v>
      </c>
    </row>
    <row r="421" spans="1:7" ht="24" customHeight="1" x14ac:dyDescent="0.25">
      <c r="A421" s="579" t="s">
        <v>546</v>
      </c>
      <c r="B421" s="580" t="s">
        <v>234</v>
      </c>
      <c r="C421" s="580" t="s">
        <v>215</v>
      </c>
      <c r="D421" s="580" t="s">
        <v>1429</v>
      </c>
      <c r="E421" s="580"/>
      <c r="F421" s="489">
        <f t="shared" ref="F421:G422" si="71">F422</f>
        <v>365</v>
      </c>
      <c r="G421" s="489">
        <f t="shared" si="71"/>
        <v>365</v>
      </c>
    </row>
    <row r="422" spans="1:7" ht="31.5" x14ac:dyDescent="0.25">
      <c r="A422" s="579" t="s">
        <v>131</v>
      </c>
      <c r="B422" s="580" t="s">
        <v>234</v>
      </c>
      <c r="C422" s="580" t="s">
        <v>215</v>
      </c>
      <c r="D422" s="580" t="s">
        <v>1429</v>
      </c>
      <c r="E422" s="580" t="s">
        <v>132</v>
      </c>
      <c r="F422" s="489">
        <f t="shared" si="71"/>
        <v>365</v>
      </c>
      <c r="G422" s="489">
        <f t="shared" si="71"/>
        <v>365</v>
      </c>
    </row>
    <row r="423" spans="1:7" ht="31.5" x14ac:dyDescent="0.25">
      <c r="A423" s="579" t="s">
        <v>133</v>
      </c>
      <c r="B423" s="580" t="s">
        <v>234</v>
      </c>
      <c r="C423" s="580" t="s">
        <v>215</v>
      </c>
      <c r="D423" s="580" t="s">
        <v>1429</v>
      </c>
      <c r="E423" s="580" t="s">
        <v>134</v>
      </c>
      <c r="F423" s="489">
        <f>'Пр.4.1 ведом.23-24 '!G1052</f>
        <v>365</v>
      </c>
      <c r="G423" s="489">
        <f>'Пр.4.1 ведом.23-24 '!H1052</f>
        <v>365</v>
      </c>
    </row>
    <row r="424" spans="1:7" ht="15.75" x14ac:dyDescent="0.25">
      <c r="A424" s="579" t="s">
        <v>548</v>
      </c>
      <c r="B424" s="580" t="s">
        <v>234</v>
      </c>
      <c r="C424" s="580" t="s">
        <v>215</v>
      </c>
      <c r="D424" s="580" t="s">
        <v>1418</v>
      </c>
      <c r="E424" s="580"/>
      <c r="F424" s="489">
        <f>F425+F427</f>
        <v>1408.02</v>
      </c>
      <c r="G424" s="489">
        <f>G425+G427</f>
        <v>1408.02</v>
      </c>
    </row>
    <row r="425" spans="1:7" ht="31.5" x14ac:dyDescent="0.25">
      <c r="A425" s="579" t="s">
        <v>131</v>
      </c>
      <c r="B425" s="580" t="s">
        <v>234</v>
      </c>
      <c r="C425" s="580" t="s">
        <v>215</v>
      </c>
      <c r="D425" s="580" t="s">
        <v>1418</v>
      </c>
      <c r="E425" s="580" t="s">
        <v>132</v>
      </c>
      <c r="F425" s="489">
        <f t="shared" ref="F425:G425" si="72">F426</f>
        <v>1408.02</v>
      </c>
      <c r="G425" s="489">
        <f t="shared" si="72"/>
        <v>1408.02</v>
      </c>
    </row>
    <row r="426" spans="1:7" ht="31.5" x14ac:dyDescent="0.25">
      <c r="A426" s="579" t="s">
        <v>133</v>
      </c>
      <c r="B426" s="580" t="s">
        <v>234</v>
      </c>
      <c r="C426" s="580" t="s">
        <v>215</v>
      </c>
      <c r="D426" s="580" t="s">
        <v>1418</v>
      </c>
      <c r="E426" s="580" t="s">
        <v>134</v>
      </c>
      <c r="F426" s="489">
        <f>'Пр.4.1 ведом.23-24 '!G1055</f>
        <v>1408.02</v>
      </c>
      <c r="G426" s="489">
        <f>'Пр.4.1 ведом.23-24 '!H1055</f>
        <v>1408.02</v>
      </c>
    </row>
    <row r="427" spans="1:7" ht="15.75" hidden="1" x14ac:dyDescent="0.25">
      <c r="A427" s="29" t="s">
        <v>135</v>
      </c>
      <c r="B427" s="580" t="s">
        <v>234</v>
      </c>
      <c r="C427" s="580" t="s">
        <v>215</v>
      </c>
      <c r="D427" s="580" t="s">
        <v>1418</v>
      </c>
      <c r="E427" s="580" t="s">
        <v>145</v>
      </c>
      <c r="F427" s="489">
        <f>F429+F428</f>
        <v>0</v>
      </c>
      <c r="G427" s="489">
        <f>G429+G428</f>
        <v>0</v>
      </c>
    </row>
    <row r="428" spans="1:7" ht="47.25" hidden="1" x14ac:dyDescent="0.25">
      <c r="A428" s="579" t="s">
        <v>836</v>
      </c>
      <c r="B428" s="580" t="s">
        <v>234</v>
      </c>
      <c r="C428" s="580" t="s">
        <v>215</v>
      </c>
      <c r="D428" s="580" t="s">
        <v>1418</v>
      </c>
      <c r="E428" s="580" t="s">
        <v>147</v>
      </c>
      <c r="F428" s="489">
        <f>'Пр.4 ведом.22'!G1056</f>
        <v>0</v>
      </c>
      <c r="G428" s="489">
        <f>'Пр.4 ведом.22'!H1056</f>
        <v>0</v>
      </c>
    </row>
    <row r="429" spans="1:7" ht="15.75" hidden="1" x14ac:dyDescent="0.25">
      <c r="A429" s="29" t="s">
        <v>568</v>
      </c>
      <c r="B429" s="580" t="s">
        <v>234</v>
      </c>
      <c r="C429" s="580" t="s">
        <v>215</v>
      </c>
      <c r="D429" s="580" t="s">
        <v>1418</v>
      </c>
      <c r="E429" s="580" t="s">
        <v>138</v>
      </c>
      <c r="F429" s="489">
        <f>'Пр.4 ведом.22'!G1057</f>
        <v>0</v>
      </c>
      <c r="G429" s="489">
        <f>'Пр.4 ведом.22'!H1057</f>
        <v>0</v>
      </c>
    </row>
    <row r="430" spans="1:7" ht="15.75" hidden="1" x14ac:dyDescent="0.25">
      <c r="A430" s="579" t="s">
        <v>550</v>
      </c>
      <c r="B430" s="580" t="s">
        <v>234</v>
      </c>
      <c r="C430" s="580" t="s">
        <v>215</v>
      </c>
      <c r="D430" s="580" t="s">
        <v>1298</v>
      </c>
      <c r="E430" s="580"/>
      <c r="F430" s="489">
        <f t="shared" ref="F430:G431" si="73">F431</f>
        <v>0</v>
      </c>
      <c r="G430" s="489">
        <f t="shared" si="73"/>
        <v>0</v>
      </c>
    </row>
    <row r="431" spans="1:7" ht="31.5" hidden="1" x14ac:dyDescent="0.25">
      <c r="A431" s="579" t="s">
        <v>131</v>
      </c>
      <c r="B431" s="580" t="s">
        <v>234</v>
      </c>
      <c r="C431" s="580" t="s">
        <v>215</v>
      </c>
      <c r="D431" s="580" t="s">
        <v>1298</v>
      </c>
      <c r="E431" s="580" t="s">
        <v>132</v>
      </c>
      <c r="F431" s="489">
        <f t="shared" si="73"/>
        <v>0</v>
      </c>
      <c r="G431" s="489">
        <f t="shared" si="73"/>
        <v>0</v>
      </c>
    </row>
    <row r="432" spans="1:7" ht="31.5" hidden="1" x14ac:dyDescent="0.25">
      <c r="A432" s="579" t="s">
        <v>133</v>
      </c>
      <c r="B432" s="580" t="s">
        <v>234</v>
      </c>
      <c r="C432" s="580" t="s">
        <v>215</v>
      </c>
      <c r="D432" s="580" t="s">
        <v>1298</v>
      </c>
      <c r="E432" s="580" t="s">
        <v>134</v>
      </c>
      <c r="F432" s="489">
        <f>'Пр.4 ведом.22'!G1060</f>
        <v>0</v>
      </c>
      <c r="G432" s="489">
        <f>'Пр.4 ведом.22'!H1060</f>
        <v>0</v>
      </c>
    </row>
    <row r="433" spans="1:7" ht="15.75" x14ac:dyDescent="0.25">
      <c r="A433" s="579" t="s">
        <v>555</v>
      </c>
      <c r="B433" s="580" t="s">
        <v>234</v>
      </c>
      <c r="C433" s="580" t="s">
        <v>215</v>
      </c>
      <c r="D433" s="580" t="s">
        <v>1275</v>
      </c>
      <c r="E433" s="580"/>
      <c r="F433" s="489">
        <f t="shared" ref="F433:G434" si="74">F434</f>
        <v>50</v>
      </c>
      <c r="G433" s="489">
        <f t="shared" si="74"/>
        <v>50</v>
      </c>
    </row>
    <row r="434" spans="1:7" ht="31.5" x14ac:dyDescent="0.25">
      <c r="A434" s="579" t="s">
        <v>131</v>
      </c>
      <c r="B434" s="580" t="s">
        <v>234</v>
      </c>
      <c r="C434" s="580" t="s">
        <v>215</v>
      </c>
      <c r="D434" s="580" t="s">
        <v>1275</v>
      </c>
      <c r="E434" s="580" t="s">
        <v>132</v>
      </c>
      <c r="F434" s="489">
        <f t="shared" si="74"/>
        <v>50</v>
      </c>
      <c r="G434" s="489">
        <f t="shared" si="74"/>
        <v>50</v>
      </c>
    </row>
    <row r="435" spans="1:7" ht="31.5" x14ac:dyDescent="0.25">
      <c r="A435" s="579" t="s">
        <v>133</v>
      </c>
      <c r="B435" s="580" t="s">
        <v>234</v>
      </c>
      <c r="C435" s="580" t="s">
        <v>215</v>
      </c>
      <c r="D435" s="580" t="s">
        <v>1275</v>
      </c>
      <c r="E435" s="580" t="s">
        <v>134</v>
      </c>
      <c r="F435" s="489">
        <f>'Пр.4.1 ведом.23-24 '!G1064</f>
        <v>50</v>
      </c>
      <c r="G435" s="489">
        <f>'Пр.4.1 ведом.23-24 '!H1064</f>
        <v>50</v>
      </c>
    </row>
    <row r="436" spans="1:7" ht="31.5" x14ac:dyDescent="0.25">
      <c r="A436" s="325" t="s">
        <v>1432</v>
      </c>
      <c r="B436" s="580" t="s">
        <v>234</v>
      </c>
      <c r="C436" s="580" t="s">
        <v>215</v>
      </c>
      <c r="D436" s="580" t="s">
        <v>1276</v>
      </c>
      <c r="E436" s="580"/>
      <c r="F436" s="489">
        <f>F437+F439</f>
        <v>375</v>
      </c>
      <c r="G436" s="489">
        <f>G437+G439</f>
        <v>375</v>
      </c>
    </row>
    <row r="437" spans="1:7" ht="31.5" x14ac:dyDescent="0.25">
      <c r="A437" s="579" t="s">
        <v>131</v>
      </c>
      <c r="B437" s="580" t="s">
        <v>234</v>
      </c>
      <c r="C437" s="580" t="s">
        <v>215</v>
      </c>
      <c r="D437" s="580" t="s">
        <v>1276</v>
      </c>
      <c r="E437" s="580" t="s">
        <v>132</v>
      </c>
      <c r="F437" s="489">
        <f t="shared" ref="F437:G437" si="75">F438</f>
        <v>375</v>
      </c>
      <c r="G437" s="489">
        <f t="shared" si="75"/>
        <v>375</v>
      </c>
    </row>
    <row r="438" spans="1:7" ht="31.5" x14ac:dyDescent="0.25">
      <c r="A438" s="579" t="s">
        <v>133</v>
      </c>
      <c r="B438" s="580" t="s">
        <v>234</v>
      </c>
      <c r="C438" s="580" t="s">
        <v>215</v>
      </c>
      <c r="D438" s="580" t="s">
        <v>1276</v>
      </c>
      <c r="E438" s="580" t="s">
        <v>134</v>
      </c>
      <c r="F438" s="489">
        <f>'Пр.4.1 ведом.23-24 '!G1067</f>
        <v>375</v>
      </c>
      <c r="G438" s="489">
        <f>'Пр.4.1 ведом.23-24 '!H1067</f>
        <v>375</v>
      </c>
    </row>
    <row r="439" spans="1:7" ht="15.75" hidden="1" x14ac:dyDescent="0.25">
      <c r="A439" s="29" t="s">
        <v>135</v>
      </c>
      <c r="B439" s="580" t="s">
        <v>234</v>
      </c>
      <c r="C439" s="580" t="s">
        <v>215</v>
      </c>
      <c r="D439" s="580" t="s">
        <v>1276</v>
      </c>
      <c r="E439" s="580" t="s">
        <v>145</v>
      </c>
      <c r="F439" s="489">
        <f>F440</f>
        <v>0</v>
      </c>
      <c r="G439" s="489">
        <f>G440</f>
        <v>0</v>
      </c>
    </row>
    <row r="440" spans="1:7" ht="15.75" hidden="1" x14ac:dyDescent="0.25">
      <c r="A440" s="29" t="s">
        <v>568</v>
      </c>
      <c r="B440" s="580" t="s">
        <v>234</v>
      </c>
      <c r="C440" s="580" t="s">
        <v>215</v>
      </c>
      <c r="D440" s="580" t="s">
        <v>1276</v>
      </c>
      <c r="E440" s="580" t="s">
        <v>138</v>
      </c>
      <c r="F440" s="489">
        <f>'Пр.4 ведом.22'!G1068</f>
        <v>0</v>
      </c>
      <c r="G440" s="489">
        <f>'Пр.4 ведом.22'!H1068</f>
        <v>0</v>
      </c>
    </row>
    <row r="441" spans="1:7" ht="15.75" hidden="1" x14ac:dyDescent="0.25">
      <c r="A441" s="98" t="s">
        <v>559</v>
      </c>
      <c r="B441" s="580" t="s">
        <v>234</v>
      </c>
      <c r="C441" s="580" t="s">
        <v>215</v>
      </c>
      <c r="D441" s="580" t="s">
        <v>1277</v>
      </c>
      <c r="E441" s="580"/>
      <c r="F441" s="489">
        <f t="shared" ref="F441:G442" si="76">F442</f>
        <v>0</v>
      </c>
      <c r="G441" s="489">
        <f t="shared" si="76"/>
        <v>0</v>
      </c>
    </row>
    <row r="442" spans="1:7" ht="31.5" hidden="1" x14ac:dyDescent="0.25">
      <c r="A442" s="579" t="s">
        <v>131</v>
      </c>
      <c r="B442" s="580" t="s">
        <v>234</v>
      </c>
      <c r="C442" s="580" t="s">
        <v>215</v>
      </c>
      <c r="D442" s="580" t="s">
        <v>1277</v>
      </c>
      <c r="E442" s="580" t="s">
        <v>132</v>
      </c>
      <c r="F442" s="489">
        <f t="shared" si="76"/>
        <v>0</v>
      </c>
      <c r="G442" s="489">
        <f t="shared" si="76"/>
        <v>0</v>
      </c>
    </row>
    <row r="443" spans="1:7" ht="31.5" hidden="1" x14ac:dyDescent="0.25">
      <c r="A443" s="579" t="s">
        <v>133</v>
      </c>
      <c r="B443" s="580" t="s">
        <v>234</v>
      </c>
      <c r="C443" s="580" t="s">
        <v>215</v>
      </c>
      <c r="D443" s="580" t="s">
        <v>1277</v>
      </c>
      <c r="E443" s="580" t="s">
        <v>134</v>
      </c>
      <c r="F443" s="489">
        <f>'Пр.4 ведом.22'!G1071</f>
        <v>0</v>
      </c>
      <c r="G443" s="489">
        <f>'Пр.4 ведом.22'!H1071</f>
        <v>0</v>
      </c>
    </row>
    <row r="444" spans="1:7" ht="31.5" x14ac:dyDescent="0.25">
      <c r="A444" s="229" t="s">
        <v>1088</v>
      </c>
      <c r="B444" s="580" t="s">
        <v>234</v>
      </c>
      <c r="C444" s="580" t="s">
        <v>215</v>
      </c>
      <c r="D444" s="580" t="s">
        <v>1278</v>
      </c>
      <c r="E444" s="580"/>
      <c r="F444" s="497">
        <f>F445</f>
        <v>50</v>
      </c>
      <c r="G444" s="497">
        <f>G445</f>
        <v>50</v>
      </c>
    </row>
    <row r="445" spans="1:7" ht="31.5" x14ac:dyDescent="0.25">
      <c r="A445" s="579" t="s">
        <v>131</v>
      </c>
      <c r="B445" s="580" t="s">
        <v>234</v>
      </c>
      <c r="C445" s="580" t="s">
        <v>215</v>
      </c>
      <c r="D445" s="580" t="s">
        <v>1278</v>
      </c>
      <c r="E445" s="580" t="s">
        <v>132</v>
      </c>
      <c r="F445" s="497">
        <f>F446</f>
        <v>50</v>
      </c>
      <c r="G445" s="497">
        <f>G446</f>
        <v>50</v>
      </c>
    </row>
    <row r="446" spans="1:7" ht="31.5" x14ac:dyDescent="0.25">
      <c r="A446" s="579" t="s">
        <v>133</v>
      </c>
      <c r="B446" s="580" t="s">
        <v>234</v>
      </c>
      <c r="C446" s="580" t="s">
        <v>215</v>
      </c>
      <c r="D446" s="580" t="s">
        <v>1278</v>
      </c>
      <c r="E446" s="580" t="s">
        <v>134</v>
      </c>
      <c r="F446" s="497">
        <f>'Пр.4.1 ведом.23-24 '!G1075</f>
        <v>50</v>
      </c>
      <c r="G446" s="497">
        <f>'Пр.4.1 ведом.23-24 '!H1075</f>
        <v>50</v>
      </c>
    </row>
    <row r="447" spans="1:7" ht="31.5" x14ac:dyDescent="0.25">
      <c r="A447" s="494" t="s">
        <v>891</v>
      </c>
      <c r="B447" s="7" t="s">
        <v>234</v>
      </c>
      <c r="C447" s="7" t="s">
        <v>215</v>
      </c>
      <c r="D447" s="495" t="s">
        <v>1296</v>
      </c>
      <c r="E447" s="495"/>
      <c r="F447" s="488">
        <f>F448+F451</f>
        <v>2145.8000000000002</v>
      </c>
      <c r="G447" s="488">
        <f>G448+G451</f>
        <v>2145.8000000000002</v>
      </c>
    </row>
    <row r="448" spans="1:7" ht="31.5" hidden="1" x14ac:dyDescent="0.25">
      <c r="A448" s="579" t="s">
        <v>690</v>
      </c>
      <c r="B448" s="580" t="s">
        <v>234</v>
      </c>
      <c r="C448" s="580" t="s">
        <v>215</v>
      </c>
      <c r="D448" s="580" t="s">
        <v>1327</v>
      </c>
      <c r="E448" s="580"/>
      <c r="F448" s="489">
        <f t="shared" ref="F448:G448" si="77">F449</f>
        <v>0</v>
      </c>
      <c r="G448" s="489">
        <f t="shared" si="77"/>
        <v>0</v>
      </c>
    </row>
    <row r="449" spans="1:7" ht="31.5" hidden="1" x14ac:dyDescent="0.25">
      <c r="A449" s="579" t="s">
        <v>131</v>
      </c>
      <c r="B449" s="580" t="s">
        <v>234</v>
      </c>
      <c r="C449" s="580" t="s">
        <v>215</v>
      </c>
      <c r="D449" s="580" t="s">
        <v>1327</v>
      </c>
      <c r="E449" s="580" t="s">
        <v>132</v>
      </c>
      <c r="F449" s="489">
        <f>F450</f>
        <v>0</v>
      </c>
      <c r="G449" s="489">
        <f>G450</f>
        <v>0</v>
      </c>
    </row>
    <row r="450" spans="1:7" ht="31.5" hidden="1" x14ac:dyDescent="0.25">
      <c r="A450" s="579" t="s">
        <v>133</v>
      </c>
      <c r="B450" s="580" t="s">
        <v>234</v>
      </c>
      <c r="C450" s="580" t="s">
        <v>215</v>
      </c>
      <c r="D450" s="580" t="s">
        <v>1327</v>
      </c>
      <c r="E450" s="580" t="s">
        <v>134</v>
      </c>
      <c r="F450" s="489">
        <f>'Пр.4 ведом.22'!G1078</f>
        <v>0</v>
      </c>
      <c r="G450" s="489">
        <f>'Пр.4 ведом.22'!H1078</f>
        <v>0</v>
      </c>
    </row>
    <row r="451" spans="1:7" ht="63" x14ac:dyDescent="0.25">
      <c r="A451" s="579" t="s">
        <v>1070</v>
      </c>
      <c r="B451" s="580" t="s">
        <v>234</v>
      </c>
      <c r="C451" s="580" t="s">
        <v>215</v>
      </c>
      <c r="D451" s="580" t="s">
        <v>1295</v>
      </c>
      <c r="E451" s="580"/>
      <c r="F451" s="489">
        <f>F452</f>
        <v>2145.8000000000002</v>
      </c>
      <c r="G451" s="489">
        <f>G452</f>
        <v>2145.8000000000002</v>
      </c>
    </row>
    <row r="452" spans="1:7" ht="31.5" x14ac:dyDescent="0.25">
      <c r="A452" s="579" t="s">
        <v>131</v>
      </c>
      <c r="B452" s="580" t="s">
        <v>234</v>
      </c>
      <c r="C452" s="580" t="s">
        <v>215</v>
      </c>
      <c r="D452" s="580" t="s">
        <v>1295</v>
      </c>
      <c r="E452" s="580" t="s">
        <v>132</v>
      </c>
      <c r="F452" s="489">
        <f>F453</f>
        <v>2145.8000000000002</v>
      </c>
      <c r="G452" s="489">
        <f>G453</f>
        <v>2145.8000000000002</v>
      </c>
    </row>
    <row r="453" spans="1:7" ht="31.5" x14ac:dyDescent="0.25">
      <c r="A453" s="579" t="s">
        <v>133</v>
      </c>
      <c r="B453" s="580" t="s">
        <v>234</v>
      </c>
      <c r="C453" s="580" t="s">
        <v>215</v>
      </c>
      <c r="D453" s="580" t="s">
        <v>1295</v>
      </c>
      <c r="E453" s="580" t="s">
        <v>134</v>
      </c>
      <c r="F453" s="489">
        <f>'Пр.4.1 ведом.23-24 '!G1082</f>
        <v>2145.8000000000002</v>
      </c>
      <c r="G453" s="489">
        <f>'Пр.4.1 ведом.23-24 '!H1082</f>
        <v>2145.8000000000002</v>
      </c>
    </row>
    <row r="454" spans="1:7" ht="31.5" hidden="1" x14ac:dyDescent="0.25">
      <c r="A454" s="34" t="s">
        <v>1651</v>
      </c>
      <c r="B454" s="495" t="s">
        <v>234</v>
      </c>
      <c r="C454" s="495" t="s">
        <v>215</v>
      </c>
      <c r="D454" s="495" t="s">
        <v>1652</v>
      </c>
      <c r="E454" s="495"/>
      <c r="F454" s="488">
        <f t="shared" ref="F454:G456" si="78">F455</f>
        <v>0</v>
      </c>
      <c r="G454" s="488">
        <f t="shared" si="78"/>
        <v>0</v>
      </c>
    </row>
    <row r="455" spans="1:7" ht="31.5" hidden="1" x14ac:dyDescent="0.25">
      <c r="A455" s="31" t="s">
        <v>1650</v>
      </c>
      <c r="B455" s="580" t="s">
        <v>234</v>
      </c>
      <c r="C455" s="580" t="s">
        <v>215</v>
      </c>
      <c r="D455" s="580" t="s">
        <v>1653</v>
      </c>
      <c r="E455" s="580"/>
      <c r="F455" s="489">
        <f t="shared" si="78"/>
        <v>0</v>
      </c>
      <c r="G455" s="489">
        <f t="shared" si="78"/>
        <v>0</v>
      </c>
    </row>
    <row r="456" spans="1:7" ht="31.5" hidden="1" x14ac:dyDescent="0.25">
      <c r="A456" s="579" t="s">
        <v>131</v>
      </c>
      <c r="B456" s="580" t="s">
        <v>234</v>
      </c>
      <c r="C456" s="580" t="s">
        <v>215</v>
      </c>
      <c r="D456" s="580" t="s">
        <v>1653</v>
      </c>
      <c r="E456" s="580" t="s">
        <v>132</v>
      </c>
      <c r="F456" s="489">
        <f t="shared" si="78"/>
        <v>0</v>
      </c>
      <c r="G456" s="489">
        <f t="shared" si="78"/>
        <v>0</v>
      </c>
    </row>
    <row r="457" spans="1:7" ht="31.5" hidden="1" x14ac:dyDescent="0.25">
      <c r="A457" s="579" t="s">
        <v>133</v>
      </c>
      <c r="B457" s="580" t="s">
        <v>234</v>
      </c>
      <c r="C457" s="580" t="s">
        <v>215</v>
      </c>
      <c r="D457" s="580" t="s">
        <v>1653</v>
      </c>
      <c r="E457" s="580" t="s">
        <v>134</v>
      </c>
      <c r="F457" s="489">
        <f>'Пр.4.1 ведом.23-24 '!G1086</f>
        <v>0</v>
      </c>
      <c r="G457" s="489">
        <f>'Пр.4.1 ведом.23-24 '!H1086</f>
        <v>0</v>
      </c>
    </row>
    <row r="458" spans="1:7" ht="47.25" x14ac:dyDescent="0.25">
      <c r="A458" s="34" t="s">
        <v>1678</v>
      </c>
      <c r="B458" s="495" t="s">
        <v>234</v>
      </c>
      <c r="C458" s="495" t="s">
        <v>215</v>
      </c>
      <c r="D458" s="495" t="s">
        <v>1677</v>
      </c>
      <c r="E458" s="495"/>
      <c r="F458" s="488">
        <f t="shared" ref="F458:G460" si="79">F459</f>
        <v>4351.8999999999996</v>
      </c>
      <c r="G458" s="488">
        <f t="shared" si="79"/>
        <v>4351.8999999999996</v>
      </c>
    </row>
    <row r="459" spans="1:7" ht="31.5" x14ac:dyDescent="0.25">
      <c r="A459" s="31" t="s">
        <v>1747</v>
      </c>
      <c r="B459" s="580" t="s">
        <v>234</v>
      </c>
      <c r="C459" s="580" t="s">
        <v>215</v>
      </c>
      <c r="D459" s="580" t="s">
        <v>1686</v>
      </c>
      <c r="E459" s="580"/>
      <c r="F459" s="489">
        <f t="shared" si="79"/>
        <v>4351.8999999999996</v>
      </c>
      <c r="G459" s="489">
        <f t="shared" si="79"/>
        <v>4351.8999999999996</v>
      </c>
    </row>
    <row r="460" spans="1:7" ht="31.5" x14ac:dyDescent="0.25">
      <c r="A460" s="579" t="s">
        <v>131</v>
      </c>
      <c r="B460" s="580" t="s">
        <v>234</v>
      </c>
      <c r="C460" s="580" t="s">
        <v>215</v>
      </c>
      <c r="D460" s="580" t="s">
        <v>1686</v>
      </c>
      <c r="E460" s="580" t="s">
        <v>132</v>
      </c>
      <c r="F460" s="489">
        <f t="shared" si="79"/>
        <v>4351.8999999999996</v>
      </c>
      <c r="G460" s="489">
        <f t="shared" si="79"/>
        <v>4351.8999999999996</v>
      </c>
    </row>
    <row r="461" spans="1:7" ht="33.75" customHeight="1" x14ac:dyDescent="0.25">
      <c r="A461" s="579" t="s">
        <v>133</v>
      </c>
      <c r="B461" s="580" t="s">
        <v>234</v>
      </c>
      <c r="C461" s="580" t="s">
        <v>215</v>
      </c>
      <c r="D461" s="580" t="s">
        <v>1686</v>
      </c>
      <c r="E461" s="580" t="s">
        <v>134</v>
      </c>
      <c r="F461" s="489">
        <f>'Пр.4.1 ведом.23-24 '!G1090</f>
        <v>4351.8999999999996</v>
      </c>
      <c r="G461" s="489">
        <f>'Пр.4.1 ведом.23-24 '!H1090</f>
        <v>4351.8999999999996</v>
      </c>
    </row>
    <row r="462" spans="1:7" ht="63" x14ac:dyDescent="0.25">
      <c r="A462" s="494" t="s">
        <v>1530</v>
      </c>
      <c r="B462" s="495" t="s">
        <v>234</v>
      </c>
      <c r="C462" s="495" t="s">
        <v>215</v>
      </c>
      <c r="D462" s="495" t="s">
        <v>711</v>
      </c>
      <c r="E462" s="495"/>
      <c r="F462" s="488">
        <f>F464+F468</f>
        <v>500</v>
      </c>
      <c r="G462" s="488">
        <f>G464+G468</f>
        <v>500</v>
      </c>
    </row>
    <row r="463" spans="1:7" ht="31.5" x14ac:dyDescent="0.25">
      <c r="A463" s="494" t="s">
        <v>1066</v>
      </c>
      <c r="B463" s="495" t="s">
        <v>234</v>
      </c>
      <c r="C463" s="495" t="s">
        <v>215</v>
      </c>
      <c r="D463" s="495" t="s">
        <v>835</v>
      </c>
      <c r="E463" s="580"/>
      <c r="F463" s="488">
        <f>F464</f>
        <v>500</v>
      </c>
      <c r="G463" s="488">
        <f>G464</f>
        <v>500</v>
      </c>
    </row>
    <row r="464" spans="1:7" ht="31.5" x14ac:dyDescent="0.25">
      <c r="A464" s="253" t="s">
        <v>710</v>
      </c>
      <c r="B464" s="580" t="s">
        <v>234</v>
      </c>
      <c r="C464" s="580" t="s">
        <v>215</v>
      </c>
      <c r="D464" s="580" t="s">
        <v>835</v>
      </c>
      <c r="E464" s="580"/>
      <c r="F464" s="489">
        <f t="shared" ref="F464:G465" si="80">F465</f>
        <v>500</v>
      </c>
      <c r="G464" s="489">
        <f t="shared" si="80"/>
        <v>500</v>
      </c>
    </row>
    <row r="465" spans="1:11" ht="31.5" x14ac:dyDescent="0.25">
      <c r="A465" s="579" t="s">
        <v>131</v>
      </c>
      <c r="B465" s="580" t="s">
        <v>234</v>
      </c>
      <c r="C465" s="580" t="s">
        <v>215</v>
      </c>
      <c r="D465" s="580" t="s">
        <v>835</v>
      </c>
      <c r="E465" s="580" t="s">
        <v>132</v>
      </c>
      <c r="F465" s="489">
        <f t="shared" si="80"/>
        <v>500</v>
      </c>
      <c r="G465" s="489">
        <f t="shared" si="80"/>
        <v>500</v>
      </c>
    </row>
    <row r="466" spans="1:11" ht="31.5" x14ac:dyDescent="0.25">
      <c r="A466" s="579" t="s">
        <v>133</v>
      </c>
      <c r="B466" s="580" t="s">
        <v>234</v>
      </c>
      <c r="C466" s="580" t="s">
        <v>215</v>
      </c>
      <c r="D466" s="580" t="s">
        <v>835</v>
      </c>
      <c r="E466" s="580" t="s">
        <v>134</v>
      </c>
      <c r="F466" s="489">
        <f>'Пр.4.1 ведом.23-24 '!G1095</f>
        <v>500</v>
      </c>
      <c r="G466" s="489">
        <f>'Пр.4.1 ведом.23-24 '!H1095</f>
        <v>500</v>
      </c>
    </row>
    <row r="467" spans="1:11" s="185" customFormat="1" ht="110.25" hidden="1" x14ac:dyDescent="0.25">
      <c r="A467" s="494" t="s">
        <v>1681</v>
      </c>
      <c r="B467" s="495" t="s">
        <v>234</v>
      </c>
      <c r="C467" s="495" t="s">
        <v>215</v>
      </c>
      <c r="D467" s="495" t="s">
        <v>1682</v>
      </c>
      <c r="E467" s="495"/>
      <c r="F467" s="488">
        <f t="shared" ref="F467:G469" si="81">F468</f>
        <v>0</v>
      </c>
      <c r="G467" s="488">
        <f t="shared" si="81"/>
        <v>0</v>
      </c>
      <c r="H467" s="207"/>
      <c r="I467" s="207"/>
      <c r="J467" s="207"/>
      <c r="K467" s="207"/>
    </row>
    <row r="468" spans="1:11" s="121" customFormat="1" ht="94.5" hidden="1" x14ac:dyDescent="0.25">
      <c r="A468" s="80" t="s">
        <v>1704</v>
      </c>
      <c r="B468" s="580" t="s">
        <v>234</v>
      </c>
      <c r="C468" s="580" t="s">
        <v>215</v>
      </c>
      <c r="D468" s="580" t="s">
        <v>1683</v>
      </c>
      <c r="E468" s="580"/>
      <c r="F468" s="489">
        <f t="shared" si="81"/>
        <v>0</v>
      </c>
      <c r="G468" s="489">
        <f t="shared" si="81"/>
        <v>0</v>
      </c>
      <c r="H468" s="206"/>
      <c r="I468" s="206"/>
      <c r="J468" s="206"/>
      <c r="K468" s="206"/>
    </row>
    <row r="469" spans="1:11" ht="31.5" hidden="1" x14ac:dyDescent="0.25">
      <c r="A469" s="579" t="s">
        <v>131</v>
      </c>
      <c r="B469" s="580" t="s">
        <v>234</v>
      </c>
      <c r="C469" s="580" t="s">
        <v>215</v>
      </c>
      <c r="D469" s="580" t="s">
        <v>1683</v>
      </c>
      <c r="E469" s="580" t="s">
        <v>132</v>
      </c>
      <c r="F469" s="489">
        <f t="shared" si="81"/>
        <v>0</v>
      </c>
      <c r="G469" s="489">
        <f t="shared" si="81"/>
        <v>0</v>
      </c>
    </row>
    <row r="470" spans="1:11" ht="31.5" hidden="1" x14ac:dyDescent="0.25">
      <c r="A470" s="579" t="s">
        <v>133</v>
      </c>
      <c r="B470" s="580" t="s">
        <v>234</v>
      </c>
      <c r="C470" s="580" t="s">
        <v>215</v>
      </c>
      <c r="D470" s="580" t="s">
        <v>1683</v>
      </c>
      <c r="E470" s="580" t="s">
        <v>134</v>
      </c>
      <c r="F470" s="489">
        <f>'Пр.4 ведом.22'!G1098</f>
        <v>0</v>
      </c>
      <c r="G470" s="489">
        <f>'Пр.4 ведом.22'!H1098</f>
        <v>0</v>
      </c>
    </row>
    <row r="471" spans="1:11" ht="31.5" x14ac:dyDescent="0.25">
      <c r="A471" s="572" t="s">
        <v>569</v>
      </c>
      <c r="B471" s="7" t="s">
        <v>234</v>
      </c>
      <c r="C471" s="7" t="s">
        <v>234</v>
      </c>
      <c r="D471" s="7"/>
      <c r="E471" s="7"/>
      <c r="F471" s="488">
        <f>F472+F487+F512</f>
        <v>30376.5</v>
      </c>
      <c r="G471" s="488">
        <f>G472+G487+G512</f>
        <v>30376.5</v>
      </c>
      <c r="H471" s="115"/>
    </row>
    <row r="472" spans="1:11" ht="31.5" x14ac:dyDescent="0.25">
      <c r="A472" s="494" t="s">
        <v>917</v>
      </c>
      <c r="B472" s="495" t="s">
        <v>234</v>
      </c>
      <c r="C472" s="495" t="s">
        <v>234</v>
      </c>
      <c r="D472" s="495" t="s">
        <v>858</v>
      </c>
      <c r="E472" s="495"/>
      <c r="F472" s="488">
        <f>F473</f>
        <v>16377</v>
      </c>
      <c r="G472" s="488">
        <f>G473</f>
        <v>16377</v>
      </c>
    </row>
    <row r="473" spans="1:11" ht="15.75" x14ac:dyDescent="0.25">
      <c r="A473" s="494" t="s">
        <v>918</v>
      </c>
      <c r="B473" s="495" t="s">
        <v>234</v>
      </c>
      <c r="C473" s="495" t="s">
        <v>234</v>
      </c>
      <c r="D473" s="495" t="s">
        <v>859</v>
      </c>
      <c r="E473" s="495"/>
      <c r="F473" s="488">
        <f>F474+F484+F481</f>
        <v>16377</v>
      </c>
      <c r="G473" s="488">
        <f>G474+G484+G481</f>
        <v>16377</v>
      </c>
    </row>
    <row r="474" spans="1:11" ht="31.5" x14ac:dyDescent="0.25">
      <c r="A474" s="579" t="s">
        <v>897</v>
      </c>
      <c r="B474" s="580" t="s">
        <v>234</v>
      </c>
      <c r="C474" s="580" t="s">
        <v>234</v>
      </c>
      <c r="D474" s="580" t="s">
        <v>860</v>
      </c>
      <c r="E474" s="580"/>
      <c r="F474" s="489">
        <f t="shared" ref="F474:G474" si="82">F475+F477+F479</f>
        <v>14388.5</v>
      </c>
      <c r="G474" s="489">
        <f t="shared" si="82"/>
        <v>14388.5</v>
      </c>
    </row>
    <row r="475" spans="1:11" ht="81.75" customHeight="1" x14ac:dyDescent="0.25">
      <c r="A475" s="579" t="s">
        <v>127</v>
      </c>
      <c r="B475" s="580" t="s">
        <v>234</v>
      </c>
      <c r="C475" s="580" t="s">
        <v>234</v>
      </c>
      <c r="D475" s="580" t="s">
        <v>860</v>
      </c>
      <c r="E475" s="580" t="s">
        <v>128</v>
      </c>
      <c r="F475" s="386">
        <f t="shared" ref="F475:G475" si="83">F476</f>
        <v>14363.5</v>
      </c>
      <c r="G475" s="386">
        <f t="shared" si="83"/>
        <v>14363.5</v>
      </c>
    </row>
    <row r="476" spans="1:11" ht="31.5" x14ac:dyDescent="0.25">
      <c r="A476" s="579" t="s">
        <v>129</v>
      </c>
      <c r="B476" s="580" t="s">
        <v>234</v>
      </c>
      <c r="C476" s="580" t="s">
        <v>234</v>
      </c>
      <c r="D476" s="580" t="s">
        <v>860</v>
      </c>
      <c r="E476" s="580" t="s">
        <v>130</v>
      </c>
      <c r="F476" s="386">
        <f>'Пр.4.1 ведом.23-24 '!G1105</f>
        <v>14363.5</v>
      </c>
      <c r="G476" s="386">
        <f>'Пр.4.1 ведом.23-24 '!H1105</f>
        <v>14363.5</v>
      </c>
    </row>
    <row r="477" spans="1:11" ht="31.5" x14ac:dyDescent="0.25">
      <c r="A477" s="579" t="s">
        <v>131</v>
      </c>
      <c r="B477" s="580" t="s">
        <v>234</v>
      </c>
      <c r="C477" s="580" t="s">
        <v>234</v>
      </c>
      <c r="D477" s="580" t="s">
        <v>860</v>
      </c>
      <c r="E477" s="580" t="s">
        <v>132</v>
      </c>
      <c r="F477" s="386">
        <f t="shared" ref="F477:G477" si="84">F478</f>
        <v>25</v>
      </c>
      <c r="G477" s="386">
        <f t="shared" si="84"/>
        <v>25</v>
      </c>
    </row>
    <row r="478" spans="1:11" ht="31.5" x14ac:dyDescent="0.25">
      <c r="A478" s="579" t="s">
        <v>133</v>
      </c>
      <c r="B478" s="580" t="s">
        <v>234</v>
      </c>
      <c r="C478" s="580" t="s">
        <v>234</v>
      </c>
      <c r="D478" s="580" t="s">
        <v>860</v>
      </c>
      <c r="E478" s="580" t="s">
        <v>134</v>
      </c>
      <c r="F478" s="386">
        <f>'Пр.4.1 ведом.23-24 '!G1107</f>
        <v>25</v>
      </c>
      <c r="G478" s="386">
        <f>'Пр.4.1 ведом.23-24 '!H1107</f>
        <v>25</v>
      </c>
    </row>
    <row r="479" spans="1:11" ht="15.75" hidden="1" x14ac:dyDescent="0.25">
      <c r="A479" s="579" t="s">
        <v>135</v>
      </c>
      <c r="B479" s="580" t="s">
        <v>234</v>
      </c>
      <c r="C479" s="580" t="s">
        <v>234</v>
      </c>
      <c r="D479" s="580" t="s">
        <v>860</v>
      </c>
      <c r="E479" s="580" t="s">
        <v>145</v>
      </c>
      <c r="F479" s="386">
        <f t="shared" ref="F479:G479" si="85">F480</f>
        <v>0</v>
      </c>
      <c r="G479" s="386">
        <f t="shared" si="85"/>
        <v>0</v>
      </c>
    </row>
    <row r="480" spans="1:11" ht="15.75" hidden="1" x14ac:dyDescent="0.25">
      <c r="A480" s="579" t="s">
        <v>568</v>
      </c>
      <c r="B480" s="580" t="s">
        <v>234</v>
      </c>
      <c r="C480" s="580" t="s">
        <v>234</v>
      </c>
      <c r="D480" s="580" t="s">
        <v>860</v>
      </c>
      <c r="E480" s="580" t="s">
        <v>138</v>
      </c>
      <c r="F480" s="386">
        <f>'Пр.4 ведом.22'!G1108</f>
        <v>0</v>
      </c>
      <c r="G480" s="386">
        <f>'Пр.4 ведом.22'!H1108</f>
        <v>0</v>
      </c>
    </row>
    <row r="481" spans="1:7" ht="31.5" x14ac:dyDescent="0.25">
      <c r="A481" s="579" t="s">
        <v>840</v>
      </c>
      <c r="B481" s="580" t="s">
        <v>234</v>
      </c>
      <c r="C481" s="580" t="s">
        <v>234</v>
      </c>
      <c r="D481" s="580" t="s">
        <v>861</v>
      </c>
      <c r="E481" s="580"/>
      <c r="F481" s="386">
        <f>F482</f>
        <v>1280.5</v>
      </c>
      <c r="G481" s="386">
        <f>G482</f>
        <v>1280.5</v>
      </c>
    </row>
    <row r="482" spans="1:7" ht="78.75" x14ac:dyDescent="0.25">
      <c r="A482" s="579" t="s">
        <v>127</v>
      </c>
      <c r="B482" s="580" t="s">
        <v>234</v>
      </c>
      <c r="C482" s="580" t="s">
        <v>234</v>
      </c>
      <c r="D482" s="580" t="s">
        <v>861</v>
      </c>
      <c r="E482" s="580" t="s">
        <v>128</v>
      </c>
      <c r="F482" s="386">
        <f>F483</f>
        <v>1280.5</v>
      </c>
      <c r="G482" s="386">
        <f>G483</f>
        <v>1280.5</v>
      </c>
    </row>
    <row r="483" spans="1:7" ht="31.5" x14ac:dyDescent="0.25">
      <c r="A483" s="579" t="s">
        <v>129</v>
      </c>
      <c r="B483" s="580" t="s">
        <v>234</v>
      </c>
      <c r="C483" s="580" t="s">
        <v>234</v>
      </c>
      <c r="D483" s="580" t="s">
        <v>861</v>
      </c>
      <c r="E483" s="580" t="s">
        <v>130</v>
      </c>
      <c r="F483" s="386">
        <f>'Пр.4.1 ведом.23-24 '!G1112</f>
        <v>1280.5</v>
      </c>
      <c r="G483" s="386">
        <f>'Пр.4.1 ведом.23-24 '!H1112</f>
        <v>1280.5</v>
      </c>
    </row>
    <row r="484" spans="1:7" ht="47.25" x14ac:dyDescent="0.25">
      <c r="A484" s="579" t="s">
        <v>839</v>
      </c>
      <c r="B484" s="580" t="s">
        <v>234</v>
      </c>
      <c r="C484" s="580" t="s">
        <v>234</v>
      </c>
      <c r="D484" s="580" t="s">
        <v>862</v>
      </c>
      <c r="E484" s="580"/>
      <c r="F484" s="386">
        <f>F485</f>
        <v>708</v>
      </c>
      <c r="G484" s="386">
        <f>G485</f>
        <v>708</v>
      </c>
    </row>
    <row r="485" spans="1:7" ht="78.75" x14ac:dyDescent="0.25">
      <c r="A485" s="579" t="s">
        <v>127</v>
      </c>
      <c r="B485" s="580" t="s">
        <v>234</v>
      </c>
      <c r="C485" s="580" t="s">
        <v>234</v>
      </c>
      <c r="D485" s="580" t="s">
        <v>862</v>
      </c>
      <c r="E485" s="580" t="s">
        <v>128</v>
      </c>
      <c r="F485" s="386">
        <f>F486</f>
        <v>708</v>
      </c>
      <c r="G485" s="386">
        <f>G486</f>
        <v>708</v>
      </c>
    </row>
    <row r="486" spans="1:7" ht="31.5" x14ac:dyDescent="0.25">
      <c r="A486" s="579" t="s">
        <v>129</v>
      </c>
      <c r="B486" s="580" t="s">
        <v>234</v>
      </c>
      <c r="C486" s="580" t="s">
        <v>234</v>
      </c>
      <c r="D486" s="580" t="s">
        <v>862</v>
      </c>
      <c r="E486" s="580" t="s">
        <v>130</v>
      </c>
      <c r="F486" s="386">
        <f>'Пр.4.1 ведом.23-24 '!G1115</f>
        <v>708</v>
      </c>
      <c r="G486" s="386">
        <f>'Пр.4.1 ведом.23-24 '!H1115</f>
        <v>708</v>
      </c>
    </row>
    <row r="487" spans="1:7" ht="15.75" x14ac:dyDescent="0.25">
      <c r="A487" s="494" t="s">
        <v>141</v>
      </c>
      <c r="B487" s="495" t="s">
        <v>234</v>
      </c>
      <c r="C487" s="495" t="s">
        <v>234</v>
      </c>
      <c r="D487" s="495" t="s">
        <v>866</v>
      </c>
      <c r="E487" s="495"/>
      <c r="F487" s="488">
        <f>F488+F499</f>
        <v>13999.5</v>
      </c>
      <c r="G487" s="488">
        <f>G488+G499</f>
        <v>13999.5</v>
      </c>
    </row>
    <row r="488" spans="1:7" ht="15.75" x14ac:dyDescent="0.25">
      <c r="A488" s="494" t="s">
        <v>954</v>
      </c>
      <c r="B488" s="495" t="s">
        <v>234</v>
      </c>
      <c r="C488" s="495" t="s">
        <v>234</v>
      </c>
      <c r="D488" s="495" t="s">
        <v>953</v>
      </c>
      <c r="E488" s="495"/>
      <c r="F488" s="488">
        <f>F489+F492</f>
        <v>13017.5</v>
      </c>
      <c r="G488" s="488">
        <f>G489+G492</f>
        <v>13017.5</v>
      </c>
    </row>
    <row r="489" spans="1:7" ht="47.25" x14ac:dyDescent="0.25">
      <c r="A489" s="579" t="s">
        <v>839</v>
      </c>
      <c r="B489" s="580" t="s">
        <v>234</v>
      </c>
      <c r="C489" s="580" t="s">
        <v>234</v>
      </c>
      <c r="D489" s="580" t="s">
        <v>956</v>
      </c>
      <c r="E489" s="580"/>
      <c r="F489" s="489">
        <f>F490</f>
        <v>498</v>
      </c>
      <c r="G489" s="489">
        <f>G490</f>
        <v>498</v>
      </c>
    </row>
    <row r="490" spans="1:7" ht="78.75" x14ac:dyDescent="0.25">
      <c r="A490" s="579" t="s">
        <v>127</v>
      </c>
      <c r="B490" s="580" t="s">
        <v>234</v>
      </c>
      <c r="C490" s="580" t="s">
        <v>234</v>
      </c>
      <c r="D490" s="580" t="s">
        <v>956</v>
      </c>
      <c r="E490" s="580" t="s">
        <v>128</v>
      </c>
      <c r="F490" s="489">
        <f>F491</f>
        <v>498</v>
      </c>
      <c r="G490" s="489">
        <f>G491</f>
        <v>498</v>
      </c>
    </row>
    <row r="491" spans="1:7" ht="31.5" x14ac:dyDescent="0.25">
      <c r="A491" s="579" t="s">
        <v>342</v>
      </c>
      <c r="B491" s="580" t="s">
        <v>234</v>
      </c>
      <c r="C491" s="580" t="s">
        <v>234</v>
      </c>
      <c r="D491" s="580" t="s">
        <v>956</v>
      </c>
      <c r="E491" s="580" t="s">
        <v>209</v>
      </c>
      <c r="F491" s="489">
        <f>'Пр.4.1 ведом.23-24 '!G1120</f>
        <v>498</v>
      </c>
      <c r="G491" s="489">
        <f>'Пр.4.1 ведом.23-24 '!H1120</f>
        <v>498</v>
      </c>
    </row>
    <row r="492" spans="1:7" ht="15.75" x14ac:dyDescent="0.25">
      <c r="A492" s="579" t="s">
        <v>801</v>
      </c>
      <c r="B492" s="580" t="s">
        <v>234</v>
      </c>
      <c r="C492" s="580" t="s">
        <v>234</v>
      </c>
      <c r="D492" s="580" t="s">
        <v>955</v>
      </c>
      <c r="E492" s="580"/>
      <c r="F492" s="489">
        <f>F493+F496+F498</f>
        <v>12519.5</v>
      </c>
      <c r="G492" s="489">
        <f>G493+G496+G498</f>
        <v>12519.5</v>
      </c>
    </row>
    <row r="493" spans="1:7" ht="78.75" x14ac:dyDescent="0.25">
      <c r="A493" s="579" t="s">
        <v>127</v>
      </c>
      <c r="B493" s="580" t="s">
        <v>234</v>
      </c>
      <c r="C493" s="580" t="s">
        <v>234</v>
      </c>
      <c r="D493" s="580" t="s">
        <v>955</v>
      </c>
      <c r="E493" s="580" t="s">
        <v>128</v>
      </c>
      <c r="F493" s="489">
        <f>F494</f>
        <v>10681.4</v>
      </c>
      <c r="G493" s="489">
        <f>G494</f>
        <v>10681.4</v>
      </c>
    </row>
    <row r="494" spans="1:7" ht="31.5" x14ac:dyDescent="0.25">
      <c r="A494" s="579" t="s">
        <v>342</v>
      </c>
      <c r="B494" s="580" t="s">
        <v>234</v>
      </c>
      <c r="C494" s="580" t="s">
        <v>234</v>
      </c>
      <c r="D494" s="580" t="s">
        <v>955</v>
      </c>
      <c r="E494" s="580" t="s">
        <v>209</v>
      </c>
      <c r="F494" s="489">
        <f>'Пр.4.1 ведом.23-24 '!G1123</f>
        <v>10681.4</v>
      </c>
      <c r="G494" s="489">
        <f>'Пр.4.1 ведом.23-24 '!H1123</f>
        <v>10681.4</v>
      </c>
    </row>
    <row r="495" spans="1:7" ht="31.5" x14ac:dyDescent="0.25">
      <c r="A495" s="579" t="s">
        <v>131</v>
      </c>
      <c r="B495" s="580" t="s">
        <v>234</v>
      </c>
      <c r="C495" s="580" t="s">
        <v>234</v>
      </c>
      <c r="D495" s="580" t="s">
        <v>955</v>
      </c>
      <c r="E495" s="580" t="s">
        <v>132</v>
      </c>
      <c r="F495" s="489">
        <f>F496</f>
        <v>1791.1</v>
      </c>
      <c r="G495" s="489">
        <f>G496</f>
        <v>1791.1</v>
      </c>
    </row>
    <row r="496" spans="1:7" ht="31.5" x14ac:dyDescent="0.25">
      <c r="A496" s="579" t="s">
        <v>133</v>
      </c>
      <c r="B496" s="580" t="s">
        <v>234</v>
      </c>
      <c r="C496" s="580" t="s">
        <v>234</v>
      </c>
      <c r="D496" s="580" t="s">
        <v>955</v>
      </c>
      <c r="E496" s="580" t="s">
        <v>134</v>
      </c>
      <c r="F496" s="489">
        <f>'Пр.4.1 ведом.23-24 '!G1125</f>
        <v>1791.1</v>
      </c>
      <c r="G496" s="489">
        <f>'Пр.4.1 ведом.23-24 '!H1125</f>
        <v>1791.1</v>
      </c>
    </row>
    <row r="497" spans="1:7" ht="15.75" x14ac:dyDescent="0.25">
      <c r="A497" s="579" t="s">
        <v>135</v>
      </c>
      <c r="B497" s="580" t="s">
        <v>234</v>
      </c>
      <c r="C497" s="580" t="s">
        <v>234</v>
      </c>
      <c r="D497" s="580" t="s">
        <v>955</v>
      </c>
      <c r="E497" s="580" t="s">
        <v>145</v>
      </c>
      <c r="F497" s="489">
        <f>F498</f>
        <v>47</v>
      </c>
      <c r="G497" s="489">
        <f>G498</f>
        <v>47</v>
      </c>
    </row>
    <row r="498" spans="1:7" ht="15.75" x14ac:dyDescent="0.25">
      <c r="A498" s="579" t="s">
        <v>568</v>
      </c>
      <c r="B498" s="580" t="s">
        <v>234</v>
      </c>
      <c r="C498" s="580" t="s">
        <v>234</v>
      </c>
      <c r="D498" s="580" t="s">
        <v>955</v>
      </c>
      <c r="E498" s="580" t="s">
        <v>138</v>
      </c>
      <c r="F498" s="489">
        <f>'Пр.4.1 ведом.23-24 '!G1127</f>
        <v>47</v>
      </c>
      <c r="G498" s="489">
        <f>'Пр.4.1 ведом.23-24 '!H1127</f>
        <v>47</v>
      </c>
    </row>
    <row r="499" spans="1:7" ht="31.5" x14ac:dyDescent="0.25">
      <c r="A499" s="494" t="s">
        <v>870</v>
      </c>
      <c r="B499" s="495" t="s">
        <v>234</v>
      </c>
      <c r="C499" s="495" t="s">
        <v>234</v>
      </c>
      <c r="D499" s="495" t="s">
        <v>865</v>
      </c>
      <c r="E499" s="495"/>
      <c r="F499" s="388">
        <f>F500+F507</f>
        <v>982</v>
      </c>
      <c r="G499" s="388">
        <f>G500+G507</f>
        <v>982</v>
      </c>
    </row>
    <row r="500" spans="1:7" ht="31.5" x14ac:dyDescent="0.25">
      <c r="A500" s="579" t="s">
        <v>570</v>
      </c>
      <c r="B500" s="580" t="s">
        <v>234</v>
      </c>
      <c r="C500" s="580" t="s">
        <v>234</v>
      </c>
      <c r="D500" s="580" t="s">
        <v>984</v>
      </c>
      <c r="E500" s="580"/>
      <c r="F500" s="386">
        <f>F503+F501</f>
        <v>982</v>
      </c>
      <c r="G500" s="386">
        <f>G503+G501</f>
        <v>982</v>
      </c>
    </row>
    <row r="501" spans="1:7" ht="19.5" hidden="1" customHeight="1" x14ac:dyDescent="0.25">
      <c r="A501" s="31" t="s">
        <v>248</v>
      </c>
      <c r="B501" s="580" t="s">
        <v>234</v>
      </c>
      <c r="C501" s="580" t="s">
        <v>234</v>
      </c>
      <c r="D501" s="580" t="s">
        <v>984</v>
      </c>
      <c r="E501" s="580" t="s">
        <v>249</v>
      </c>
      <c r="F501" s="386">
        <f>F502</f>
        <v>0</v>
      </c>
      <c r="G501" s="386">
        <f>G502</f>
        <v>0</v>
      </c>
    </row>
    <row r="502" spans="1:7" ht="15.75" hidden="1" x14ac:dyDescent="0.25">
      <c r="A502" s="579" t="s">
        <v>1534</v>
      </c>
      <c r="B502" s="580" t="s">
        <v>234</v>
      </c>
      <c r="C502" s="580" t="s">
        <v>234</v>
      </c>
      <c r="D502" s="580" t="s">
        <v>984</v>
      </c>
      <c r="E502" s="580" t="s">
        <v>1536</v>
      </c>
      <c r="F502" s="386">
        <f>'Пр.4 ведом.22'!G1130</f>
        <v>0</v>
      </c>
      <c r="G502" s="386">
        <f>'Пр.4 ведом.22'!H1130</f>
        <v>0</v>
      </c>
    </row>
    <row r="503" spans="1:7" ht="15.75" x14ac:dyDescent="0.25">
      <c r="A503" s="579" t="s">
        <v>135</v>
      </c>
      <c r="B503" s="580" t="s">
        <v>234</v>
      </c>
      <c r="C503" s="580" t="s">
        <v>234</v>
      </c>
      <c r="D503" s="580" t="s">
        <v>984</v>
      </c>
      <c r="E503" s="580" t="s">
        <v>145</v>
      </c>
      <c r="F503" s="386">
        <f>F504+F505+F506</f>
        <v>982</v>
      </c>
      <c r="G503" s="386">
        <f>G504+G505+G506</f>
        <v>982</v>
      </c>
    </row>
    <row r="504" spans="1:7" ht="47.25" x14ac:dyDescent="0.25">
      <c r="A504" s="579" t="s">
        <v>184</v>
      </c>
      <c r="B504" s="580" t="s">
        <v>234</v>
      </c>
      <c r="C504" s="580" t="s">
        <v>234</v>
      </c>
      <c r="D504" s="580" t="s">
        <v>984</v>
      </c>
      <c r="E504" s="580" t="s">
        <v>160</v>
      </c>
      <c r="F504" s="489">
        <f>'Пр.4.1 ведом.23-24 '!G1133</f>
        <v>982</v>
      </c>
      <c r="G504" s="489">
        <f>'Пр.4.1 ведом.23-24 '!H1133</f>
        <v>982</v>
      </c>
    </row>
    <row r="505" spans="1:7" ht="15.75" hidden="1" x14ac:dyDescent="0.25">
      <c r="A505" s="579" t="s">
        <v>704</v>
      </c>
      <c r="B505" s="580" t="s">
        <v>234</v>
      </c>
      <c r="C505" s="580" t="s">
        <v>234</v>
      </c>
      <c r="D505" s="580" t="s">
        <v>984</v>
      </c>
      <c r="E505" s="580" t="s">
        <v>138</v>
      </c>
      <c r="F505" s="489">
        <f>'Пр.4 ведом.22'!G1133</f>
        <v>0</v>
      </c>
      <c r="G505" s="489">
        <f>'Пр.4 ведом.22'!H1133</f>
        <v>0</v>
      </c>
    </row>
    <row r="506" spans="1:7" ht="15.75" hidden="1" x14ac:dyDescent="0.25">
      <c r="A506" s="579" t="s">
        <v>1657</v>
      </c>
      <c r="B506" s="580" t="s">
        <v>234</v>
      </c>
      <c r="C506" s="580" t="s">
        <v>234</v>
      </c>
      <c r="D506" s="580" t="s">
        <v>984</v>
      </c>
      <c r="E506" s="580" t="s">
        <v>1658</v>
      </c>
      <c r="F506" s="489">
        <f>'Пр.4 ведом.22'!G1134</f>
        <v>0</v>
      </c>
      <c r="G506" s="489">
        <f>'Пр.4 ведом.22'!H1134</f>
        <v>0</v>
      </c>
    </row>
    <row r="507" spans="1:7" ht="31.5" hidden="1" x14ac:dyDescent="0.25">
      <c r="A507" s="579" t="s">
        <v>1671</v>
      </c>
      <c r="B507" s="580" t="s">
        <v>234</v>
      </c>
      <c r="C507" s="580" t="s">
        <v>234</v>
      </c>
      <c r="D507" s="580" t="s">
        <v>1672</v>
      </c>
      <c r="E507" s="580"/>
      <c r="F507" s="386">
        <f>F508+F510</f>
        <v>0</v>
      </c>
      <c r="G507" s="386">
        <f>G508+G510</f>
        <v>0</v>
      </c>
    </row>
    <row r="508" spans="1:7" ht="15.75" hidden="1" x14ac:dyDescent="0.25">
      <c r="A508" s="579" t="s">
        <v>1674</v>
      </c>
      <c r="B508" s="580" t="s">
        <v>234</v>
      </c>
      <c r="C508" s="580" t="s">
        <v>234</v>
      </c>
      <c r="D508" s="580" t="s">
        <v>1672</v>
      </c>
      <c r="E508" s="580" t="s">
        <v>837</v>
      </c>
      <c r="F508" s="386">
        <f>F509</f>
        <v>0</v>
      </c>
      <c r="G508" s="386">
        <f>G509</f>
        <v>0</v>
      </c>
    </row>
    <row r="509" spans="1:7" ht="31.5" hidden="1" x14ac:dyDescent="0.25">
      <c r="A509" s="579" t="s">
        <v>838</v>
      </c>
      <c r="B509" s="580" t="s">
        <v>234</v>
      </c>
      <c r="C509" s="580" t="s">
        <v>234</v>
      </c>
      <c r="D509" s="580" t="s">
        <v>1672</v>
      </c>
      <c r="E509" s="580" t="s">
        <v>1675</v>
      </c>
      <c r="F509" s="386">
        <f>'Пр.4 ведом.22'!G1137</f>
        <v>0</v>
      </c>
      <c r="G509" s="386">
        <f>'Пр.4 ведом.22'!H1137</f>
        <v>0</v>
      </c>
    </row>
    <row r="510" spans="1:7" ht="15.75" hidden="1" x14ac:dyDescent="0.25">
      <c r="A510" s="579" t="s">
        <v>135</v>
      </c>
      <c r="B510" s="580" t="s">
        <v>234</v>
      </c>
      <c r="C510" s="580" t="s">
        <v>234</v>
      </c>
      <c r="D510" s="580" t="s">
        <v>1672</v>
      </c>
      <c r="E510" s="580" t="s">
        <v>145</v>
      </c>
      <c r="F510" s="386">
        <f>F511</f>
        <v>0</v>
      </c>
      <c r="G510" s="386">
        <f>G511</f>
        <v>0</v>
      </c>
    </row>
    <row r="511" spans="1:7" ht="47.25" hidden="1" x14ac:dyDescent="0.25">
      <c r="A511" s="579" t="s">
        <v>184</v>
      </c>
      <c r="B511" s="580" t="s">
        <v>234</v>
      </c>
      <c r="C511" s="580" t="s">
        <v>234</v>
      </c>
      <c r="D511" s="580" t="s">
        <v>1672</v>
      </c>
      <c r="E511" s="580" t="s">
        <v>160</v>
      </c>
      <c r="F511" s="386">
        <f>'Пр.4 ведом.22'!G1139</f>
        <v>0</v>
      </c>
      <c r="G511" s="386">
        <f>'Пр.4 ведом.22'!H1139</f>
        <v>0</v>
      </c>
    </row>
    <row r="512" spans="1:7" ht="47.25" hidden="1" x14ac:dyDescent="0.25">
      <c r="A512" s="34" t="s">
        <v>1376</v>
      </c>
      <c r="B512" s="495" t="s">
        <v>234</v>
      </c>
      <c r="C512" s="495" t="s">
        <v>234</v>
      </c>
      <c r="D512" s="495" t="s">
        <v>324</v>
      </c>
      <c r="E512" s="495"/>
      <c r="F512" s="493">
        <f t="shared" ref="F512:G515" si="86">F513</f>
        <v>0</v>
      </c>
      <c r="G512" s="493">
        <f t="shared" si="86"/>
        <v>0</v>
      </c>
    </row>
    <row r="513" spans="1:12" ht="63" hidden="1" x14ac:dyDescent="0.25">
      <c r="A513" s="34" t="s">
        <v>1009</v>
      </c>
      <c r="B513" s="495" t="s">
        <v>234</v>
      </c>
      <c r="C513" s="495" t="s">
        <v>234</v>
      </c>
      <c r="D513" s="495" t="s">
        <v>934</v>
      </c>
      <c r="E513" s="495"/>
      <c r="F513" s="493">
        <f t="shared" si="86"/>
        <v>0</v>
      </c>
      <c r="G513" s="493">
        <f t="shared" si="86"/>
        <v>0</v>
      </c>
    </row>
    <row r="514" spans="1:12" ht="47.25" hidden="1" x14ac:dyDescent="0.25">
      <c r="A514" s="31" t="s">
        <v>1080</v>
      </c>
      <c r="B514" s="580" t="s">
        <v>234</v>
      </c>
      <c r="C514" s="580" t="s">
        <v>234</v>
      </c>
      <c r="D514" s="580" t="s">
        <v>1026</v>
      </c>
      <c r="E514" s="580"/>
      <c r="F514" s="497">
        <f t="shared" si="86"/>
        <v>0</v>
      </c>
      <c r="G514" s="497">
        <f t="shared" si="86"/>
        <v>0</v>
      </c>
    </row>
    <row r="515" spans="1:12" ht="31.5" hidden="1" x14ac:dyDescent="0.25">
      <c r="A515" s="579" t="s">
        <v>131</v>
      </c>
      <c r="B515" s="580" t="s">
        <v>234</v>
      </c>
      <c r="C515" s="580" t="s">
        <v>234</v>
      </c>
      <c r="D515" s="580" t="s">
        <v>1026</v>
      </c>
      <c r="E515" s="580" t="s">
        <v>132</v>
      </c>
      <c r="F515" s="497">
        <f t="shared" si="86"/>
        <v>0</v>
      </c>
      <c r="G515" s="497">
        <f t="shared" si="86"/>
        <v>0</v>
      </c>
    </row>
    <row r="516" spans="1:12" ht="31.5" hidden="1" x14ac:dyDescent="0.25">
      <c r="A516" s="579" t="s">
        <v>133</v>
      </c>
      <c r="B516" s="580" t="s">
        <v>234</v>
      </c>
      <c r="C516" s="580" t="s">
        <v>234</v>
      </c>
      <c r="D516" s="580" t="s">
        <v>1026</v>
      </c>
      <c r="E516" s="580" t="s">
        <v>134</v>
      </c>
      <c r="F516" s="497">
        <f>'Пр.4 ведом.22'!G1144</f>
        <v>0</v>
      </c>
      <c r="G516" s="497">
        <f>'Пр.4 ведом.22'!H1144</f>
        <v>0</v>
      </c>
    </row>
    <row r="517" spans="1:12" ht="15.75" x14ac:dyDescent="0.25">
      <c r="A517" s="572" t="s">
        <v>263</v>
      </c>
      <c r="B517" s="7" t="s">
        <v>264</v>
      </c>
      <c r="C517" s="573"/>
      <c r="D517" s="573"/>
      <c r="E517" s="573"/>
      <c r="F517" s="488">
        <f>F518+F577+F765+F671+F740</f>
        <v>387492.96</v>
      </c>
      <c r="G517" s="488">
        <f>G518+G577+G765+G671+G740</f>
        <v>343510.56</v>
      </c>
      <c r="H517" s="115">
        <f>G517-F517</f>
        <v>-43982.400000000023</v>
      </c>
      <c r="K517" s="230">
        <v>384273.2</v>
      </c>
      <c r="L517" s="232">
        <f>F517-K517</f>
        <v>3219.7600000000093</v>
      </c>
    </row>
    <row r="518" spans="1:12" ht="15.75" x14ac:dyDescent="0.25">
      <c r="A518" s="572" t="s">
        <v>404</v>
      </c>
      <c r="B518" s="7" t="s">
        <v>264</v>
      </c>
      <c r="C518" s="7" t="s">
        <v>118</v>
      </c>
      <c r="D518" s="7"/>
      <c r="E518" s="7"/>
      <c r="F518" s="488">
        <f>F519+F567+F572</f>
        <v>89967.299999999988</v>
      </c>
      <c r="G518" s="488">
        <f>G519+G567+G572</f>
        <v>83961.299999999988</v>
      </c>
      <c r="H518" s="115"/>
    </row>
    <row r="519" spans="1:12" ht="40.700000000000003" customHeight="1" x14ac:dyDescent="0.25">
      <c r="A519" s="494" t="s">
        <v>1377</v>
      </c>
      <c r="B519" s="495" t="s">
        <v>264</v>
      </c>
      <c r="C519" s="495" t="s">
        <v>118</v>
      </c>
      <c r="D519" s="495" t="s">
        <v>406</v>
      </c>
      <c r="E519" s="495"/>
      <c r="F519" s="488">
        <f>F520+F524+F531+F541+F551+F555+F559+F563</f>
        <v>89315.499999999985</v>
      </c>
      <c r="G519" s="488">
        <f>G520+G524+G531+G541+G551+G555+G559+G563</f>
        <v>83364.499999999985</v>
      </c>
    </row>
    <row r="520" spans="1:12" ht="31.5" x14ac:dyDescent="0.25">
      <c r="A520" s="494" t="s">
        <v>937</v>
      </c>
      <c r="B520" s="495" t="s">
        <v>264</v>
      </c>
      <c r="C520" s="495" t="s">
        <v>118</v>
      </c>
      <c r="D520" s="495" t="s">
        <v>1230</v>
      </c>
      <c r="E520" s="495"/>
      <c r="F520" s="488">
        <f t="shared" ref="F520:G522" si="87">F521</f>
        <v>16777.2</v>
      </c>
      <c r="G520" s="488">
        <f t="shared" si="87"/>
        <v>16777.2</v>
      </c>
    </row>
    <row r="521" spans="1:12" ht="42.75" customHeight="1" x14ac:dyDescent="0.25">
      <c r="A521" s="579" t="s">
        <v>1229</v>
      </c>
      <c r="B521" s="580" t="s">
        <v>264</v>
      </c>
      <c r="C521" s="580" t="s">
        <v>118</v>
      </c>
      <c r="D521" s="580" t="s">
        <v>1231</v>
      </c>
      <c r="E521" s="580"/>
      <c r="F521" s="489">
        <f t="shared" si="87"/>
        <v>16777.2</v>
      </c>
      <c r="G521" s="489">
        <f t="shared" si="87"/>
        <v>16777.2</v>
      </c>
    </row>
    <row r="522" spans="1:12" ht="40.700000000000003" customHeight="1" x14ac:dyDescent="0.25">
      <c r="A522" s="579" t="s">
        <v>272</v>
      </c>
      <c r="B522" s="580" t="s">
        <v>264</v>
      </c>
      <c r="C522" s="580" t="s">
        <v>118</v>
      </c>
      <c r="D522" s="580" t="s">
        <v>1231</v>
      </c>
      <c r="E522" s="580" t="s">
        <v>273</v>
      </c>
      <c r="F522" s="489">
        <f t="shared" si="87"/>
        <v>16777.2</v>
      </c>
      <c r="G522" s="489">
        <f t="shared" si="87"/>
        <v>16777.2</v>
      </c>
    </row>
    <row r="523" spans="1:12" ht="15.75" x14ac:dyDescent="0.25">
      <c r="A523" s="579" t="s">
        <v>274</v>
      </c>
      <c r="B523" s="580" t="s">
        <v>264</v>
      </c>
      <c r="C523" s="580" t="s">
        <v>118</v>
      </c>
      <c r="D523" s="580" t="s">
        <v>1231</v>
      </c>
      <c r="E523" s="580" t="s">
        <v>275</v>
      </c>
      <c r="F523" s="386">
        <f>'Пр.4.1 ведом.23-24 '!G600</f>
        <v>16777.2</v>
      </c>
      <c r="G523" s="386">
        <f>'Пр.4.1 ведом.23-24 '!H600</f>
        <v>16777.2</v>
      </c>
      <c r="H523" s="115"/>
    </row>
    <row r="524" spans="1:12" ht="47.25" x14ac:dyDescent="0.25">
      <c r="A524" s="494" t="s">
        <v>900</v>
      </c>
      <c r="B524" s="495" t="s">
        <v>264</v>
      </c>
      <c r="C524" s="495" t="s">
        <v>118</v>
      </c>
      <c r="D524" s="495" t="s">
        <v>1232</v>
      </c>
      <c r="E524" s="495"/>
      <c r="F524" s="488">
        <f>F525+F528</f>
        <v>62826</v>
      </c>
      <c r="G524" s="488">
        <f>G525+G528</f>
        <v>56875</v>
      </c>
    </row>
    <row r="525" spans="1:12" ht="94.5" x14ac:dyDescent="0.25">
      <c r="A525" s="31" t="s">
        <v>293</v>
      </c>
      <c r="B525" s="580" t="s">
        <v>264</v>
      </c>
      <c r="C525" s="580" t="s">
        <v>118</v>
      </c>
      <c r="D525" s="580" t="s">
        <v>1390</v>
      </c>
      <c r="E525" s="580"/>
      <c r="F525" s="489">
        <f t="shared" ref="F525:G526" si="88">F526</f>
        <v>3230</v>
      </c>
      <c r="G525" s="489">
        <f t="shared" si="88"/>
        <v>3230</v>
      </c>
    </row>
    <row r="526" spans="1:12" ht="31.5" x14ac:dyDescent="0.25">
      <c r="A526" s="579" t="s">
        <v>272</v>
      </c>
      <c r="B526" s="580" t="s">
        <v>264</v>
      </c>
      <c r="C526" s="580" t="s">
        <v>118</v>
      </c>
      <c r="D526" s="580" t="s">
        <v>1390</v>
      </c>
      <c r="E526" s="580" t="s">
        <v>273</v>
      </c>
      <c r="F526" s="489">
        <f t="shared" si="88"/>
        <v>3230</v>
      </c>
      <c r="G526" s="489">
        <f t="shared" si="88"/>
        <v>3230</v>
      </c>
    </row>
    <row r="527" spans="1:12" ht="15.75" x14ac:dyDescent="0.25">
      <c r="A527" s="579" t="s">
        <v>274</v>
      </c>
      <c r="B527" s="580" t="s">
        <v>264</v>
      </c>
      <c r="C527" s="580" t="s">
        <v>118</v>
      </c>
      <c r="D527" s="580" t="s">
        <v>1390</v>
      </c>
      <c r="E527" s="580" t="s">
        <v>275</v>
      </c>
      <c r="F527" s="489">
        <f>'Пр.4.1 ведом.23-24 '!G604</f>
        <v>3230</v>
      </c>
      <c r="G527" s="489">
        <f>'Пр.4.1 ведом.23-24 '!H604</f>
        <v>3230</v>
      </c>
    </row>
    <row r="528" spans="1:12" ht="47.25" customHeight="1" x14ac:dyDescent="0.25">
      <c r="A528" s="31" t="s">
        <v>1766</v>
      </c>
      <c r="B528" s="580" t="s">
        <v>264</v>
      </c>
      <c r="C528" s="580" t="s">
        <v>118</v>
      </c>
      <c r="D528" s="580" t="s">
        <v>1767</v>
      </c>
      <c r="E528" s="580"/>
      <c r="F528" s="489">
        <f t="shared" ref="F528:G529" si="89">F529</f>
        <v>59596</v>
      </c>
      <c r="G528" s="489">
        <f t="shared" si="89"/>
        <v>53645</v>
      </c>
    </row>
    <row r="529" spans="1:12" ht="39.75" customHeight="1" x14ac:dyDescent="0.25">
      <c r="A529" s="579" t="s">
        <v>272</v>
      </c>
      <c r="B529" s="580" t="s">
        <v>264</v>
      </c>
      <c r="C529" s="580" t="s">
        <v>118</v>
      </c>
      <c r="D529" s="580" t="s">
        <v>1767</v>
      </c>
      <c r="E529" s="580" t="s">
        <v>273</v>
      </c>
      <c r="F529" s="489">
        <f t="shared" si="89"/>
        <v>59596</v>
      </c>
      <c r="G529" s="489">
        <f t="shared" si="89"/>
        <v>53645</v>
      </c>
    </row>
    <row r="530" spans="1:12" s="578" customFormat="1" ht="15.75" customHeight="1" x14ac:dyDescent="0.25">
      <c r="A530" s="579" t="s">
        <v>274</v>
      </c>
      <c r="B530" s="580" t="s">
        <v>264</v>
      </c>
      <c r="C530" s="580" t="s">
        <v>118</v>
      </c>
      <c r="D530" s="580" t="s">
        <v>1767</v>
      </c>
      <c r="E530" s="580" t="s">
        <v>275</v>
      </c>
      <c r="F530" s="489">
        <f>'Пр.4.1 ведом.23-24 '!G607</f>
        <v>59596</v>
      </c>
      <c r="G530" s="489">
        <f>'Пр.4.1 ведом.23-24 '!H607</f>
        <v>53645</v>
      </c>
      <c r="L530" s="576"/>
    </row>
    <row r="531" spans="1:12" s="578" customFormat="1" ht="36" customHeight="1" x14ac:dyDescent="0.25">
      <c r="A531" s="494" t="s">
        <v>1292</v>
      </c>
      <c r="B531" s="495" t="s">
        <v>264</v>
      </c>
      <c r="C531" s="495" t="s">
        <v>118</v>
      </c>
      <c r="D531" s="495" t="s">
        <v>1237</v>
      </c>
      <c r="E531" s="495"/>
      <c r="F531" s="488">
        <f>F532+F535+F538</f>
        <v>4749.3999999999996</v>
      </c>
      <c r="G531" s="488">
        <f>G532+G535+G538</f>
        <v>4749.3999999999996</v>
      </c>
      <c r="L531" s="576"/>
    </row>
    <row r="532" spans="1:12" s="578" customFormat="1" ht="40.700000000000003" hidden="1" customHeight="1" x14ac:dyDescent="0.25">
      <c r="A532" s="579" t="s">
        <v>278</v>
      </c>
      <c r="B532" s="580" t="s">
        <v>264</v>
      </c>
      <c r="C532" s="580" t="s">
        <v>118</v>
      </c>
      <c r="D532" s="580" t="s">
        <v>1318</v>
      </c>
      <c r="E532" s="580"/>
      <c r="F532" s="489">
        <f>F533</f>
        <v>0</v>
      </c>
      <c r="G532" s="489">
        <f>G533</f>
        <v>0</v>
      </c>
      <c r="L532" s="576"/>
    </row>
    <row r="533" spans="1:12" s="578" customFormat="1" ht="42" hidden="1" customHeight="1" x14ac:dyDescent="0.25">
      <c r="A533" s="579" t="s">
        <v>272</v>
      </c>
      <c r="B533" s="580" t="s">
        <v>264</v>
      </c>
      <c r="C533" s="580" t="s">
        <v>118</v>
      </c>
      <c r="D533" s="580" t="s">
        <v>1318</v>
      </c>
      <c r="E533" s="580" t="s">
        <v>273</v>
      </c>
      <c r="F533" s="489">
        <f t="shared" ref="F533:G533" si="90">F534</f>
        <v>0</v>
      </c>
      <c r="G533" s="489">
        <f t="shared" si="90"/>
        <v>0</v>
      </c>
      <c r="L533" s="576"/>
    </row>
    <row r="534" spans="1:12" s="578" customFormat="1" ht="20.25" hidden="1" customHeight="1" x14ac:dyDescent="0.25">
      <c r="A534" s="579" t="s">
        <v>274</v>
      </c>
      <c r="B534" s="580" t="s">
        <v>264</v>
      </c>
      <c r="C534" s="580" t="s">
        <v>118</v>
      </c>
      <c r="D534" s="580" t="s">
        <v>1318</v>
      </c>
      <c r="E534" s="580" t="s">
        <v>275</v>
      </c>
      <c r="F534" s="489">
        <f>'Пр.4 ведом.22'!G610</f>
        <v>0</v>
      </c>
      <c r="G534" s="489">
        <f>'Пр.4 ведом.22'!H610</f>
        <v>0</v>
      </c>
      <c r="L534" s="576"/>
    </row>
    <row r="535" spans="1:12" s="578" customFormat="1" ht="39.200000000000003" hidden="1" customHeight="1" x14ac:dyDescent="0.25">
      <c r="A535" s="579" t="s">
        <v>280</v>
      </c>
      <c r="B535" s="580" t="s">
        <v>264</v>
      </c>
      <c r="C535" s="580" t="s">
        <v>118</v>
      </c>
      <c r="D535" s="580" t="s">
        <v>1319</v>
      </c>
      <c r="E535" s="580"/>
      <c r="F535" s="489">
        <f>F536</f>
        <v>0</v>
      </c>
      <c r="G535" s="489">
        <f>G536</f>
        <v>0</v>
      </c>
      <c r="L535" s="576"/>
    </row>
    <row r="536" spans="1:12" s="578" customFormat="1" ht="35.450000000000003" hidden="1" customHeight="1" x14ac:dyDescent="0.25">
      <c r="A536" s="579" t="s">
        <v>272</v>
      </c>
      <c r="B536" s="580" t="s">
        <v>264</v>
      </c>
      <c r="C536" s="580" t="s">
        <v>118</v>
      </c>
      <c r="D536" s="580" t="s">
        <v>1319</v>
      </c>
      <c r="E536" s="580" t="s">
        <v>273</v>
      </c>
      <c r="F536" s="489">
        <f t="shared" ref="F536:G536" si="91">F537</f>
        <v>0</v>
      </c>
      <c r="G536" s="489">
        <f t="shared" si="91"/>
        <v>0</v>
      </c>
      <c r="L536" s="576"/>
    </row>
    <row r="537" spans="1:12" s="578" customFormat="1" ht="17.45" hidden="1" customHeight="1" x14ac:dyDescent="0.25">
      <c r="A537" s="579" t="s">
        <v>274</v>
      </c>
      <c r="B537" s="580" t="s">
        <v>264</v>
      </c>
      <c r="C537" s="580" t="s">
        <v>118</v>
      </c>
      <c r="D537" s="580" t="s">
        <v>1319</v>
      </c>
      <c r="E537" s="580" t="s">
        <v>275</v>
      </c>
      <c r="F537" s="489">
        <f>'Пр.4 ведом.22'!G613</f>
        <v>0</v>
      </c>
      <c r="G537" s="489">
        <f>'Пр.4 ведом.22'!H613</f>
        <v>0</v>
      </c>
      <c r="L537" s="576"/>
    </row>
    <row r="538" spans="1:12" s="578" customFormat="1" ht="38.25" customHeight="1" x14ac:dyDescent="0.25">
      <c r="A538" s="29" t="s">
        <v>415</v>
      </c>
      <c r="B538" s="580" t="s">
        <v>264</v>
      </c>
      <c r="C538" s="580" t="s">
        <v>118</v>
      </c>
      <c r="D538" s="580" t="s">
        <v>1238</v>
      </c>
      <c r="E538" s="580"/>
      <c r="F538" s="489">
        <f>F539</f>
        <v>4749.3999999999996</v>
      </c>
      <c r="G538" s="489">
        <f>G539</f>
        <v>4749.3999999999996</v>
      </c>
      <c r="L538" s="576"/>
    </row>
    <row r="539" spans="1:12" s="578" customFormat="1" ht="34.5" customHeight="1" x14ac:dyDescent="0.25">
      <c r="A539" s="579" t="s">
        <v>272</v>
      </c>
      <c r="B539" s="580" t="s">
        <v>264</v>
      </c>
      <c r="C539" s="580" t="s">
        <v>118</v>
      </c>
      <c r="D539" s="580" t="s">
        <v>1238</v>
      </c>
      <c r="E539" s="580" t="s">
        <v>273</v>
      </c>
      <c r="F539" s="489">
        <f>F540</f>
        <v>4749.3999999999996</v>
      </c>
      <c r="G539" s="489">
        <f>G540</f>
        <v>4749.3999999999996</v>
      </c>
      <c r="L539" s="576"/>
    </row>
    <row r="540" spans="1:12" s="578" customFormat="1" ht="15.75" x14ac:dyDescent="0.25">
      <c r="A540" s="579" t="s">
        <v>274</v>
      </c>
      <c r="B540" s="580" t="s">
        <v>264</v>
      </c>
      <c r="C540" s="580" t="s">
        <v>118</v>
      </c>
      <c r="D540" s="580" t="s">
        <v>1238</v>
      </c>
      <c r="E540" s="580" t="s">
        <v>275</v>
      </c>
      <c r="F540" s="489">
        <f>'Пр.4.1 ведом.23-24 '!G617</f>
        <v>4749.3999999999996</v>
      </c>
      <c r="G540" s="489">
        <f>'Пр.4.1 ведом.23-24 '!H617</f>
        <v>4749.3999999999996</v>
      </c>
      <c r="L540" s="576"/>
    </row>
    <row r="541" spans="1:12" s="578" customFormat="1" ht="31.5" x14ac:dyDescent="0.25">
      <c r="A541" s="219" t="s">
        <v>948</v>
      </c>
      <c r="B541" s="495" t="s">
        <v>264</v>
      </c>
      <c r="C541" s="495" t="s">
        <v>118</v>
      </c>
      <c r="D541" s="495" t="s">
        <v>1240</v>
      </c>
      <c r="E541" s="495"/>
      <c r="F541" s="488">
        <f>F542+F545+F548</f>
        <v>4142</v>
      </c>
      <c r="G541" s="488">
        <f>G542+G545+G548</f>
        <v>4142</v>
      </c>
      <c r="L541" s="576"/>
    </row>
    <row r="542" spans="1:12" s="578" customFormat="1" ht="31.5" hidden="1" x14ac:dyDescent="0.25">
      <c r="A542" s="579" t="s">
        <v>284</v>
      </c>
      <c r="B542" s="580" t="s">
        <v>264</v>
      </c>
      <c r="C542" s="580" t="s">
        <v>118</v>
      </c>
      <c r="D542" s="580" t="s">
        <v>1258</v>
      </c>
      <c r="E542" s="580"/>
      <c r="F542" s="489">
        <f>F543</f>
        <v>0</v>
      </c>
      <c r="G542" s="489">
        <f>G543</f>
        <v>0</v>
      </c>
      <c r="L542" s="576"/>
    </row>
    <row r="543" spans="1:12" s="578" customFormat="1" ht="31.5" hidden="1" x14ac:dyDescent="0.25">
      <c r="A543" s="579" t="s">
        <v>272</v>
      </c>
      <c r="B543" s="580" t="s">
        <v>264</v>
      </c>
      <c r="C543" s="580" t="s">
        <v>118</v>
      </c>
      <c r="D543" s="580" t="s">
        <v>1258</v>
      </c>
      <c r="E543" s="580" t="s">
        <v>273</v>
      </c>
      <c r="F543" s="489">
        <f>F544</f>
        <v>0</v>
      </c>
      <c r="G543" s="489">
        <f>G544</f>
        <v>0</v>
      </c>
      <c r="L543" s="576"/>
    </row>
    <row r="544" spans="1:12" s="578" customFormat="1" ht="15.75" hidden="1" x14ac:dyDescent="0.25">
      <c r="A544" s="579" t="s">
        <v>274</v>
      </c>
      <c r="B544" s="580" t="s">
        <v>264</v>
      </c>
      <c r="C544" s="580" t="s">
        <v>118</v>
      </c>
      <c r="D544" s="580" t="s">
        <v>1258</v>
      </c>
      <c r="E544" s="580" t="s">
        <v>275</v>
      </c>
      <c r="F544" s="489">
        <f>'Пр.4 ведом.22'!G620</f>
        <v>0</v>
      </c>
      <c r="G544" s="489">
        <f>'Пр.4 ведом.22'!H620</f>
        <v>0</v>
      </c>
      <c r="L544" s="576"/>
    </row>
    <row r="545" spans="1:12" s="578" customFormat="1" ht="31.5" x14ac:dyDescent="0.25">
      <c r="A545" s="60" t="s">
        <v>764</v>
      </c>
      <c r="B545" s="580" t="s">
        <v>264</v>
      </c>
      <c r="C545" s="580" t="s">
        <v>118</v>
      </c>
      <c r="D545" s="580" t="s">
        <v>1241</v>
      </c>
      <c r="E545" s="580"/>
      <c r="F545" s="489">
        <f>F546</f>
        <v>2882</v>
      </c>
      <c r="G545" s="489">
        <f>G546</f>
        <v>2882</v>
      </c>
      <c r="L545" s="576"/>
    </row>
    <row r="546" spans="1:12" ht="31.5" x14ac:dyDescent="0.25">
      <c r="A546" s="29" t="s">
        <v>272</v>
      </c>
      <c r="B546" s="580" t="s">
        <v>264</v>
      </c>
      <c r="C546" s="580" t="s">
        <v>118</v>
      </c>
      <c r="D546" s="580" t="s">
        <v>1241</v>
      </c>
      <c r="E546" s="580" t="s">
        <v>273</v>
      </c>
      <c r="F546" s="489">
        <f>F547</f>
        <v>2882</v>
      </c>
      <c r="G546" s="489">
        <f>G547</f>
        <v>2882</v>
      </c>
    </row>
    <row r="547" spans="1:12" ht="15.75" x14ac:dyDescent="0.25">
      <c r="A547" s="182" t="s">
        <v>274</v>
      </c>
      <c r="B547" s="580" t="s">
        <v>264</v>
      </c>
      <c r="C547" s="580" t="s">
        <v>118</v>
      </c>
      <c r="D547" s="580" t="s">
        <v>1241</v>
      </c>
      <c r="E547" s="580" t="s">
        <v>275</v>
      </c>
      <c r="F547" s="489">
        <f>'Пр.4.1 ведом.23-24 '!G624</f>
        <v>2882</v>
      </c>
      <c r="G547" s="489">
        <f>'Пр.4.1 ведом.23-24 '!H624</f>
        <v>2882</v>
      </c>
    </row>
    <row r="548" spans="1:12" ht="47.25" x14ac:dyDescent="0.25">
      <c r="A548" s="60" t="s">
        <v>765</v>
      </c>
      <c r="B548" s="580" t="s">
        <v>264</v>
      </c>
      <c r="C548" s="580" t="s">
        <v>118</v>
      </c>
      <c r="D548" s="580" t="s">
        <v>1242</v>
      </c>
      <c r="E548" s="580"/>
      <c r="F548" s="489">
        <f>F549</f>
        <v>1260</v>
      </c>
      <c r="G548" s="489">
        <f>G549</f>
        <v>1260</v>
      </c>
    </row>
    <row r="549" spans="1:12" ht="31.5" x14ac:dyDescent="0.25">
      <c r="A549" s="29" t="s">
        <v>272</v>
      </c>
      <c r="B549" s="580" t="s">
        <v>264</v>
      </c>
      <c r="C549" s="580" t="s">
        <v>118</v>
      </c>
      <c r="D549" s="580" t="s">
        <v>1242</v>
      </c>
      <c r="E549" s="580" t="s">
        <v>273</v>
      </c>
      <c r="F549" s="489">
        <f>F550</f>
        <v>1260</v>
      </c>
      <c r="G549" s="489">
        <f>G550</f>
        <v>1260</v>
      </c>
    </row>
    <row r="550" spans="1:12" ht="15.75" x14ac:dyDescent="0.25">
      <c r="A550" s="182" t="s">
        <v>274</v>
      </c>
      <c r="B550" s="580" t="s">
        <v>264</v>
      </c>
      <c r="C550" s="580" t="s">
        <v>118</v>
      </c>
      <c r="D550" s="580" t="s">
        <v>1242</v>
      </c>
      <c r="E550" s="580" t="s">
        <v>275</v>
      </c>
      <c r="F550" s="489">
        <f>'Пр.4.1 ведом.23-24 '!G627</f>
        <v>1260</v>
      </c>
      <c r="G550" s="489">
        <f>'Пр.4.1 ведом.23-24 '!H627</f>
        <v>1260</v>
      </c>
    </row>
    <row r="551" spans="1:12" ht="31.5" x14ac:dyDescent="0.25">
      <c r="A551" s="494" t="s">
        <v>1715</v>
      </c>
      <c r="B551" s="495" t="s">
        <v>264</v>
      </c>
      <c r="C551" s="495" t="s">
        <v>118</v>
      </c>
      <c r="D551" s="495" t="s">
        <v>1243</v>
      </c>
      <c r="E551" s="495"/>
      <c r="F551" s="488">
        <f t="shared" ref="F551:G553" si="92">F552</f>
        <v>141</v>
      </c>
      <c r="G551" s="488">
        <f t="shared" si="92"/>
        <v>141</v>
      </c>
      <c r="H551" s="115"/>
    </row>
    <row r="552" spans="1:12" ht="31.5" x14ac:dyDescent="0.25">
      <c r="A552" s="579" t="s">
        <v>1716</v>
      </c>
      <c r="B552" s="580" t="s">
        <v>264</v>
      </c>
      <c r="C552" s="580" t="s">
        <v>118</v>
      </c>
      <c r="D552" s="580" t="s">
        <v>1717</v>
      </c>
      <c r="E552" s="580"/>
      <c r="F552" s="489">
        <f t="shared" si="92"/>
        <v>141</v>
      </c>
      <c r="G552" s="489">
        <f t="shared" si="92"/>
        <v>141</v>
      </c>
      <c r="H552" s="115"/>
    </row>
    <row r="553" spans="1:12" ht="31.5" x14ac:dyDescent="0.25">
      <c r="A553" s="29" t="s">
        <v>272</v>
      </c>
      <c r="B553" s="580" t="s">
        <v>264</v>
      </c>
      <c r="C553" s="580" t="s">
        <v>118</v>
      </c>
      <c r="D553" s="580" t="s">
        <v>1717</v>
      </c>
      <c r="E553" s="580" t="s">
        <v>273</v>
      </c>
      <c r="F553" s="489">
        <f t="shared" si="92"/>
        <v>141</v>
      </c>
      <c r="G553" s="489">
        <f t="shared" si="92"/>
        <v>141</v>
      </c>
      <c r="H553" s="115"/>
    </row>
    <row r="554" spans="1:12" ht="15.75" x14ac:dyDescent="0.25">
      <c r="A554" s="182" t="s">
        <v>274</v>
      </c>
      <c r="B554" s="580" t="s">
        <v>264</v>
      </c>
      <c r="C554" s="580" t="s">
        <v>118</v>
      </c>
      <c r="D554" s="580" t="s">
        <v>1717</v>
      </c>
      <c r="E554" s="580" t="s">
        <v>275</v>
      </c>
      <c r="F554" s="489">
        <f>'Пр.4.1 ведом.23-24 '!G631</f>
        <v>141</v>
      </c>
      <c r="G554" s="489">
        <f>'Пр.4.1 ведом.23-24 '!H631</f>
        <v>141</v>
      </c>
      <c r="H554" s="115"/>
    </row>
    <row r="555" spans="1:12" ht="94.5" x14ac:dyDescent="0.25">
      <c r="A555" s="494" t="s">
        <v>1166</v>
      </c>
      <c r="B555" s="495" t="s">
        <v>264</v>
      </c>
      <c r="C555" s="495" t="s">
        <v>118</v>
      </c>
      <c r="D555" s="495" t="s">
        <v>1246</v>
      </c>
      <c r="E555" s="495"/>
      <c r="F555" s="493">
        <f t="shared" ref="F555:G557" si="93">F556</f>
        <v>679.9</v>
      </c>
      <c r="G555" s="493">
        <f t="shared" si="93"/>
        <v>679.9</v>
      </c>
    </row>
    <row r="556" spans="1:12" ht="94.5" x14ac:dyDescent="0.25">
      <c r="A556" s="149" t="s">
        <v>1493</v>
      </c>
      <c r="B556" s="580" t="s">
        <v>264</v>
      </c>
      <c r="C556" s="580" t="s">
        <v>118</v>
      </c>
      <c r="D556" s="580" t="s">
        <v>1247</v>
      </c>
      <c r="E556" s="580"/>
      <c r="F556" s="497">
        <f t="shared" si="93"/>
        <v>679.9</v>
      </c>
      <c r="G556" s="497">
        <f t="shared" si="93"/>
        <v>679.9</v>
      </c>
    </row>
    <row r="557" spans="1:12" ht="31.5" x14ac:dyDescent="0.25">
      <c r="A557" s="579" t="s">
        <v>272</v>
      </c>
      <c r="B557" s="580" t="s">
        <v>264</v>
      </c>
      <c r="C557" s="580" t="s">
        <v>118</v>
      </c>
      <c r="D557" s="580" t="s">
        <v>1247</v>
      </c>
      <c r="E557" s="580" t="s">
        <v>273</v>
      </c>
      <c r="F557" s="497">
        <f t="shared" si="93"/>
        <v>679.9</v>
      </c>
      <c r="G557" s="497">
        <f t="shared" si="93"/>
        <v>679.9</v>
      </c>
    </row>
    <row r="558" spans="1:12" ht="15.75" x14ac:dyDescent="0.25">
      <c r="A558" s="579" t="s">
        <v>274</v>
      </c>
      <c r="B558" s="580" t="s">
        <v>264</v>
      </c>
      <c r="C558" s="580" t="s">
        <v>118</v>
      </c>
      <c r="D558" s="580" t="s">
        <v>1247</v>
      </c>
      <c r="E558" s="580" t="s">
        <v>275</v>
      </c>
      <c r="F558" s="497">
        <f>'Пр.4.1 ведом.23-24 '!G635</f>
        <v>679.9</v>
      </c>
      <c r="G558" s="497">
        <f>'Пр.4.1 ведом.23-24 '!H635</f>
        <v>679.9</v>
      </c>
    </row>
    <row r="559" spans="1:12" ht="31.5" x14ac:dyDescent="0.25">
      <c r="A559" s="304" t="s">
        <v>1631</v>
      </c>
      <c r="B559" s="495" t="s">
        <v>264</v>
      </c>
      <c r="C559" s="495" t="s">
        <v>118</v>
      </c>
      <c r="D559" s="495" t="s">
        <v>1633</v>
      </c>
      <c r="E559" s="495"/>
      <c r="F559" s="493">
        <f t="shared" ref="F559:G561" si="94">F560</f>
        <v>0</v>
      </c>
      <c r="G559" s="493">
        <f t="shared" si="94"/>
        <v>0</v>
      </c>
    </row>
    <row r="560" spans="1:12" ht="31.5" x14ac:dyDescent="0.25">
      <c r="A560" s="303" t="s">
        <v>1632</v>
      </c>
      <c r="B560" s="580" t="s">
        <v>264</v>
      </c>
      <c r="C560" s="580" t="s">
        <v>118</v>
      </c>
      <c r="D560" s="580" t="s">
        <v>1634</v>
      </c>
      <c r="E560" s="580"/>
      <c r="F560" s="497">
        <f t="shared" si="94"/>
        <v>0</v>
      </c>
      <c r="G560" s="497">
        <f t="shared" si="94"/>
        <v>0</v>
      </c>
    </row>
    <row r="561" spans="1:7" ht="31.5" x14ac:dyDescent="0.25">
      <c r="A561" s="31" t="s">
        <v>272</v>
      </c>
      <c r="B561" s="580" t="s">
        <v>264</v>
      </c>
      <c r="C561" s="580" t="s">
        <v>118</v>
      </c>
      <c r="D561" s="580" t="s">
        <v>1634</v>
      </c>
      <c r="E561" s="580" t="s">
        <v>273</v>
      </c>
      <c r="F561" s="497">
        <f t="shared" si="94"/>
        <v>0</v>
      </c>
      <c r="G561" s="497">
        <f t="shared" si="94"/>
        <v>0</v>
      </c>
    </row>
    <row r="562" spans="1:7" ht="15.75" x14ac:dyDescent="0.25">
      <c r="A562" s="31" t="s">
        <v>274</v>
      </c>
      <c r="B562" s="580" t="s">
        <v>264</v>
      </c>
      <c r="C562" s="580" t="s">
        <v>118</v>
      </c>
      <c r="D562" s="580" t="s">
        <v>1634</v>
      </c>
      <c r="E562" s="580" t="s">
        <v>275</v>
      </c>
      <c r="F562" s="497">
        <f>'Пр.4 ведом.22'!G641</f>
        <v>0</v>
      </c>
      <c r="G562" s="497">
        <f>'Пр.4 ведом.22'!H641</f>
        <v>0</v>
      </c>
    </row>
    <row r="563" spans="1:7" ht="47.25" hidden="1" x14ac:dyDescent="0.25">
      <c r="A563" s="304" t="s">
        <v>1635</v>
      </c>
      <c r="B563" s="495" t="s">
        <v>264</v>
      </c>
      <c r="C563" s="495" t="s">
        <v>118</v>
      </c>
      <c r="D563" s="495" t="s">
        <v>1638</v>
      </c>
      <c r="E563" s="495"/>
      <c r="F563" s="493">
        <f t="shared" ref="F563:G565" si="95">F564</f>
        <v>0</v>
      </c>
      <c r="G563" s="493">
        <f t="shared" si="95"/>
        <v>0</v>
      </c>
    </row>
    <row r="564" spans="1:7" ht="47.25" hidden="1" x14ac:dyDescent="0.25">
      <c r="A564" s="303" t="s">
        <v>1636</v>
      </c>
      <c r="B564" s="580" t="s">
        <v>264</v>
      </c>
      <c r="C564" s="580" t="s">
        <v>118</v>
      </c>
      <c r="D564" s="580" t="s">
        <v>1637</v>
      </c>
      <c r="E564" s="580"/>
      <c r="F564" s="497">
        <f t="shared" si="95"/>
        <v>0</v>
      </c>
      <c r="G564" s="497">
        <f t="shared" si="95"/>
        <v>0</v>
      </c>
    </row>
    <row r="565" spans="1:7" ht="31.5" hidden="1" x14ac:dyDescent="0.25">
      <c r="A565" s="31" t="s">
        <v>272</v>
      </c>
      <c r="B565" s="580" t="s">
        <v>264</v>
      </c>
      <c r="C565" s="580" t="s">
        <v>118</v>
      </c>
      <c r="D565" s="580" t="s">
        <v>1637</v>
      </c>
      <c r="E565" s="580" t="s">
        <v>273</v>
      </c>
      <c r="F565" s="497">
        <f t="shared" si="95"/>
        <v>0</v>
      </c>
      <c r="G565" s="497">
        <f t="shared" si="95"/>
        <v>0</v>
      </c>
    </row>
    <row r="566" spans="1:7" ht="15.75" hidden="1" x14ac:dyDescent="0.25">
      <c r="A566" s="31" t="s">
        <v>274</v>
      </c>
      <c r="B566" s="580" t="s">
        <v>264</v>
      </c>
      <c r="C566" s="580" t="s">
        <v>118</v>
      </c>
      <c r="D566" s="580" t="s">
        <v>1637</v>
      </c>
      <c r="E566" s="580" t="s">
        <v>275</v>
      </c>
      <c r="F566" s="497">
        <f>'Пр.4 ведом.22'!G645</f>
        <v>0</v>
      </c>
      <c r="G566" s="497">
        <f>'Пр.4 ведом.22'!H645</f>
        <v>0</v>
      </c>
    </row>
    <row r="567" spans="1:7" ht="53.65" customHeight="1" x14ac:dyDescent="0.25">
      <c r="A567" s="34" t="s">
        <v>1357</v>
      </c>
      <c r="B567" s="495" t="s">
        <v>264</v>
      </c>
      <c r="C567" s="495" t="s">
        <v>118</v>
      </c>
      <c r="D567" s="495" t="s">
        <v>324</v>
      </c>
      <c r="E567" s="495"/>
      <c r="F567" s="488">
        <f t="shared" ref="F567:G569" si="96">F568</f>
        <v>80</v>
      </c>
      <c r="G567" s="488">
        <f t="shared" si="96"/>
        <v>25</v>
      </c>
    </row>
    <row r="568" spans="1:7" ht="63" x14ac:dyDescent="0.25">
      <c r="A568" s="34" t="s">
        <v>1009</v>
      </c>
      <c r="B568" s="495" t="s">
        <v>264</v>
      </c>
      <c r="C568" s="495" t="s">
        <v>118</v>
      </c>
      <c r="D568" s="495" t="s">
        <v>934</v>
      </c>
      <c r="E568" s="495"/>
      <c r="F568" s="488">
        <f t="shared" si="96"/>
        <v>80</v>
      </c>
      <c r="G568" s="488">
        <f t="shared" si="96"/>
        <v>25</v>
      </c>
    </row>
    <row r="569" spans="1:7" ht="47.25" x14ac:dyDescent="0.25">
      <c r="A569" s="31" t="s">
        <v>1008</v>
      </c>
      <c r="B569" s="580" t="s">
        <v>264</v>
      </c>
      <c r="C569" s="580" t="s">
        <v>118</v>
      </c>
      <c r="D569" s="580" t="s">
        <v>935</v>
      </c>
      <c r="E569" s="580"/>
      <c r="F569" s="489">
        <f t="shared" si="96"/>
        <v>80</v>
      </c>
      <c r="G569" s="489">
        <f t="shared" si="96"/>
        <v>25</v>
      </c>
    </row>
    <row r="570" spans="1:7" ht="31.5" x14ac:dyDescent="0.25">
      <c r="A570" s="31" t="s">
        <v>272</v>
      </c>
      <c r="B570" s="580" t="s">
        <v>264</v>
      </c>
      <c r="C570" s="580" t="s">
        <v>118</v>
      </c>
      <c r="D570" s="580" t="s">
        <v>935</v>
      </c>
      <c r="E570" s="580" t="s">
        <v>273</v>
      </c>
      <c r="F570" s="489">
        <f t="shared" ref="F570:G570" si="97">F571</f>
        <v>80</v>
      </c>
      <c r="G570" s="489">
        <f t="shared" si="97"/>
        <v>25</v>
      </c>
    </row>
    <row r="571" spans="1:7" ht="15.75" x14ac:dyDescent="0.25">
      <c r="A571" s="31" t="s">
        <v>274</v>
      </c>
      <c r="B571" s="580" t="s">
        <v>264</v>
      </c>
      <c r="C571" s="580" t="s">
        <v>118</v>
      </c>
      <c r="D571" s="580" t="s">
        <v>935</v>
      </c>
      <c r="E571" s="580" t="s">
        <v>275</v>
      </c>
      <c r="F571" s="489">
        <f>'Пр.4.1 ведом.23-24 '!G651</f>
        <v>80</v>
      </c>
      <c r="G571" s="489">
        <f>'Пр.4.1 ведом.23-24 '!H651</f>
        <v>25</v>
      </c>
    </row>
    <row r="572" spans="1:7" ht="47.25" x14ac:dyDescent="0.25">
      <c r="A572" s="572" t="s">
        <v>1352</v>
      </c>
      <c r="B572" s="495" t="s">
        <v>264</v>
      </c>
      <c r="C572" s="495" t="s">
        <v>118</v>
      </c>
      <c r="D572" s="495" t="s">
        <v>705</v>
      </c>
      <c r="E572" s="504"/>
      <c r="F572" s="488">
        <f>F573</f>
        <v>571.79999999999995</v>
      </c>
      <c r="G572" s="488">
        <f>G573</f>
        <v>571.79999999999995</v>
      </c>
    </row>
    <row r="573" spans="1:7" ht="47.25" x14ac:dyDescent="0.25">
      <c r="A573" s="572" t="s">
        <v>890</v>
      </c>
      <c r="B573" s="495" t="s">
        <v>264</v>
      </c>
      <c r="C573" s="495" t="s">
        <v>118</v>
      </c>
      <c r="D573" s="495" t="s">
        <v>888</v>
      </c>
      <c r="E573" s="504"/>
      <c r="F573" s="488">
        <f t="shared" ref="F573:G574" si="98">F574</f>
        <v>571.79999999999995</v>
      </c>
      <c r="G573" s="488">
        <f t="shared" si="98"/>
        <v>571.79999999999995</v>
      </c>
    </row>
    <row r="574" spans="1:7" ht="47.25" x14ac:dyDescent="0.25">
      <c r="A574" s="98" t="s">
        <v>780</v>
      </c>
      <c r="B574" s="580" t="s">
        <v>264</v>
      </c>
      <c r="C574" s="580" t="s">
        <v>118</v>
      </c>
      <c r="D574" s="580" t="s">
        <v>936</v>
      </c>
      <c r="E574" s="498"/>
      <c r="F574" s="489">
        <f t="shared" si="98"/>
        <v>571.79999999999995</v>
      </c>
      <c r="G574" s="489">
        <f t="shared" si="98"/>
        <v>571.79999999999995</v>
      </c>
    </row>
    <row r="575" spans="1:7" ht="31.5" x14ac:dyDescent="0.25">
      <c r="A575" s="29" t="s">
        <v>272</v>
      </c>
      <c r="B575" s="580" t="s">
        <v>264</v>
      </c>
      <c r="C575" s="580" t="s">
        <v>118</v>
      </c>
      <c r="D575" s="580" t="s">
        <v>936</v>
      </c>
      <c r="E575" s="498" t="s">
        <v>273</v>
      </c>
      <c r="F575" s="489">
        <f>F576</f>
        <v>571.79999999999995</v>
      </c>
      <c r="G575" s="489">
        <f>G576</f>
        <v>571.79999999999995</v>
      </c>
    </row>
    <row r="576" spans="1:7" ht="24.75" customHeight="1" x14ac:dyDescent="0.25">
      <c r="A576" s="182" t="s">
        <v>274</v>
      </c>
      <c r="B576" s="580" t="s">
        <v>264</v>
      </c>
      <c r="C576" s="580" t="s">
        <v>118</v>
      </c>
      <c r="D576" s="580" t="s">
        <v>936</v>
      </c>
      <c r="E576" s="498" t="s">
        <v>275</v>
      </c>
      <c r="F576" s="489">
        <f>'Пр.4.1 ведом.23-24 '!G656</f>
        <v>571.79999999999995</v>
      </c>
      <c r="G576" s="489">
        <f>'Пр.4.1 ведом.23-24 '!H656</f>
        <v>571.79999999999995</v>
      </c>
    </row>
    <row r="577" spans="1:8" ht="15.75" x14ac:dyDescent="0.25">
      <c r="A577" s="572" t="s">
        <v>425</v>
      </c>
      <c r="B577" s="7" t="s">
        <v>264</v>
      </c>
      <c r="C577" s="7" t="s">
        <v>213</v>
      </c>
      <c r="D577" s="7"/>
      <c r="E577" s="7"/>
      <c r="F577" s="488">
        <f>F578+F661+F666</f>
        <v>202752.35</v>
      </c>
      <c r="G577" s="488">
        <f>G578+G661+G666</f>
        <v>164443.15</v>
      </c>
      <c r="H577" s="115"/>
    </row>
    <row r="578" spans="1:8" ht="34.700000000000003" customHeight="1" x14ac:dyDescent="0.25">
      <c r="A578" s="494" t="s">
        <v>1358</v>
      </c>
      <c r="B578" s="495" t="s">
        <v>264</v>
      </c>
      <c r="C578" s="495" t="s">
        <v>213</v>
      </c>
      <c r="D578" s="495" t="s">
        <v>406</v>
      </c>
      <c r="E578" s="495"/>
      <c r="F578" s="488">
        <f>F579+F583+F596+F609+F616+F620+F624+F628+F632+F648+F644+F636+F640+F657</f>
        <v>201821.51</v>
      </c>
      <c r="G578" s="488">
        <f>G579+G583+G596+G609+G616+G620+G624+G628+G632+G648+G644+G636+G640+G657</f>
        <v>163512.31</v>
      </c>
    </row>
    <row r="579" spans="1:8" ht="31.5" x14ac:dyDescent="0.25">
      <c r="A579" s="494" t="s">
        <v>937</v>
      </c>
      <c r="B579" s="495" t="s">
        <v>264</v>
      </c>
      <c r="C579" s="495" t="s">
        <v>213</v>
      </c>
      <c r="D579" s="495" t="s">
        <v>1230</v>
      </c>
      <c r="E579" s="495"/>
      <c r="F579" s="488">
        <f>F580</f>
        <v>30618.400000000001</v>
      </c>
      <c r="G579" s="488">
        <f>G580</f>
        <v>30618.400000000001</v>
      </c>
    </row>
    <row r="580" spans="1:8" ht="47.25" x14ac:dyDescent="0.25">
      <c r="A580" s="579" t="s">
        <v>1236</v>
      </c>
      <c r="B580" s="580" t="s">
        <v>264</v>
      </c>
      <c r="C580" s="580" t="s">
        <v>213</v>
      </c>
      <c r="D580" s="580" t="s">
        <v>1249</v>
      </c>
      <c r="E580" s="580"/>
      <c r="F580" s="386">
        <f t="shared" ref="F580:G580" si="99">F581</f>
        <v>30618.400000000001</v>
      </c>
      <c r="G580" s="386">
        <f t="shared" si="99"/>
        <v>30618.400000000001</v>
      </c>
    </row>
    <row r="581" spans="1:8" ht="39.75" customHeight="1" x14ac:dyDescent="0.25">
      <c r="A581" s="579" t="s">
        <v>272</v>
      </c>
      <c r="B581" s="580" t="s">
        <v>264</v>
      </c>
      <c r="C581" s="580" t="s">
        <v>213</v>
      </c>
      <c r="D581" s="580" t="s">
        <v>1249</v>
      </c>
      <c r="E581" s="580" t="s">
        <v>273</v>
      </c>
      <c r="F581" s="386">
        <f>F582</f>
        <v>30618.400000000001</v>
      </c>
      <c r="G581" s="386">
        <f>G582</f>
        <v>30618.400000000001</v>
      </c>
    </row>
    <row r="582" spans="1:8" ht="15.75" x14ac:dyDescent="0.25">
      <c r="A582" s="579" t="s">
        <v>274</v>
      </c>
      <c r="B582" s="580" t="s">
        <v>264</v>
      </c>
      <c r="C582" s="580" t="s">
        <v>213</v>
      </c>
      <c r="D582" s="580" t="s">
        <v>1249</v>
      </c>
      <c r="E582" s="580" t="s">
        <v>275</v>
      </c>
      <c r="F582" s="489">
        <f>'Пр.4.1 ведом.23-24 '!G662</f>
        <v>30618.400000000001</v>
      </c>
      <c r="G582" s="489">
        <f>'Пр.4.1 ведом.23-24 '!H662</f>
        <v>30618.400000000001</v>
      </c>
    </row>
    <row r="583" spans="1:8" ht="48.95" customHeight="1" x14ac:dyDescent="0.25">
      <c r="A583" s="494" t="s">
        <v>900</v>
      </c>
      <c r="B583" s="495" t="s">
        <v>264</v>
      </c>
      <c r="C583" s="495" t="s">
        <v>213</v>
      </c>
      <c r="D583" s="495" t="s">
        <v>1232</v>
      </c>
      <c r="E583" s="495"/>
      <c r="F583" s="488">
        <f>F584+F587+F590+F593</f>
        <v>154661.90000000002</v>
      </c>
      <c r="G583" s="488">
        <f>G584+G587+G590+G593</f>
        <v>118586.40000000001</v>
      </c>
    </row>
    <row r="584" spans="1:8" ht="67.7" customHeight="1" x14ac:dyDescent="0.25">
      <c r="A584" s="579" t="s">
        <v>1392</v>
      </c>
      <c r="B584" s="580" t="s">
        <v>264</v>
      </c>
      <c r="C584" s="580" t="s">
        <v>213</v>
      </c>
      <c r="D584" s="580" t="s">
        <v>1393</v>
      </c>
      <c r="E584" s="580"/>
      <c r="F584" s="27">
        <f>F585</f>
        <v>7421.4</v>
      </c>
      <c r="G584" s="27">
        <f>G585</f>
        <v>7421.4</v>
      </c>
    </row>
    <row r="585" spans="1:8" ht="36.75" customHeight="1" x14ac:dyDescent="0.25">
      <c r="A585" s="579" t="s">
        <v>272</v>
      </c>
      <c r="B585" s="580" t="s">
        <v>264</v>
      </c>
      <c r="C585" s="580" t="s">
        <v>213</v>
      </c>
      <c r="D585" s="580" t="s">
        <v>1393</v>
      </c>
      <c r="E585" s="580" t="s">
        <v>273</v>
      </c>
      <c r="F585" s="27">
        <f>F586</f>
        <v>7421.4</v>
      </c>
      <c r="G585" s="27">
        <f>G586</f>
        <v>7421.4</v>
      </c>
    </row>
    <row r="586" spans="1:8" ht="17.649999999999999" customHeight="1" x14ac:dyDescent="0.25">
      <c r="A586" s="579" t="s">
        <v>274</v>
      </c>
      <c r="B586" s="580" t="s">
        <v>264</v>
      </c>
      <c r="C586" s="580" t="s">
        <v>213</v>
      </c>
      <c r="D586" s="580" t="s">
        <v>1393</v>
      </c>
      <c r="E586" s="580" t="s">
        <v>275</v>
      </c>
      <c r="F586" s="27">
        <f>'Пр.4.1 ведом.23-24 '!G666</f>
        <v>7421.4</v>
      </c>
      <c r="G586" s="27">
        <f>'Пр.4.1 ведом.23-24 '!H666</f>
        <v>7421.4</v>
      </c>
    </row>
    <row r="587" spans="1:8" ht="95.1" customHeight="1" x14ac:dyDescent="0.25">
      <c r="A587" s="31" t="s">
        <v>464</v>
      </c>
      <c r="B587" s="580" t="s">
        <v>264</v>
      </c>
      <c r="C587" s="580" t="s">
        <v>213</v>
      </c>
      <c r="D587" s="580" t="s">
        <v>1390</v>
      </c>
      <c r="E587" s="580"/>
      <c r="F587" s="489">
        <f>F588</f>
        <v>4520</v>
      </c>
      <c r="G587" s="489">
        <f>G588</f>
        <v>4520</v>
      </c>
    </row>
    <row r="588" spans="1:8" ht="40.15" customHeight="1" x14ac:dyDescent="0.25">
      <c r="A588" s="579" t="s">
        <v>272</v>
      </c>
      <c r="B588" s="580" t="s">
        <v>264</v>
      </c>
      <c r="C588" s="580" t="s">
        <v>213</v>
      </c>
      <c r="D588" s="580" t="s">
        <v>1390</v>
      </c>
      <c r="E588" s="580" t="s">
        <v>273</v>
      </c>
      <c r="F588" s="489">
        <f>F589</f>
        <v>4520</v>
      </c>
      <c r="G588" s="489">
        <f>G589</f>
        <v>4520</v>
      </c>
    </row>
    <row r="589" spans="1:8" ht="17.100000000000001" customHeight="1" x14ac:dyDescent="0.25">
      <c r="A589" s="579" t="s">
        <v>274</v>
      </c>
      <c r="B589" s="580" t="s">
        <v>264</v>
      </c>
      <c r="C589" s="580" t="s">
        <v>213</v>
      </c>
      <c r="D589" s="580" t="s">
        <v>1390</v>
      </c>
      <c r="E589" s="580" t="s">
        <v>275</v>
      </c>
      <c r="F589" s="489">
        <f>'Пр.4.1 ведом.23-24 '!G669</f>
        <v>4520</v>
      </c>
      <c r="G589" s="489">
        <f>'Пр.4.1 ведом.23-24 '!H669</f>
        <v>4520</v>
      </c>
    </row>
    <row r="590" spans="1:8" ht="47.25" x14ac:dyDescent="0.25">
      <c r="A590" s="31" t="s">
        <v>462</v>
      </c>
      <c r="B590" s="580" t="s">
        <v>264</v>
      </c>
      <c r="C590" s="580" t="s">
        <v>213</v>
      </c>
      <c r="D590" s="580" t="s">
        <v>1251</v>
      </c>
      <c r="E590" s="580"/>
      <c r="F590" s="489">
        <f>F591</f>
        <v>909.3</v>
      </c>
      <c r="G590" s="489">
        <f>G591</f>
        <v>909.3</v>
      </c>
    </row>
    <row r="591" spans="1:8" ht="36" customHeight="1" x14ac:dyDescent="0.25">
      <c r="A591" s="579" t="s">
        <v>272</v>
      </c>
      <c r="B591" s="580" t="s">
        <v>264</v>
      </c>
      <c r="C591" s="580" t="s">
        <v>213</v>
      </c>
      <c r="D591" s="580" t="s">
        <v>1251</v>
      </c>
      <c r="E591" s="580" t="s">
        <v>273</v>
      </c>
      <c r="F591" s="489">
        <f t="shared" ref="F591:G591" si="100">F592</f>
        <v>909.3</v>
      </c>
      <c r="G591" s="489">
        <f t="shared" si="100"/>
        <v>909.3</v>
      </c>
    </row>
    <row r="592" spans="1:8" ht="15.75" x14ac:dyDescent="0.25">
      <c r="A592" s="579" t="s">
        <v>274</v>
      </c>
      <c r="B592" s="580" t="s">
        <v>264</v>
      </c>
      <c r="C592" s="580" t="s">
        <v>213</v>
      </c>
      <c r="D592" s="580" t="s">
        <v>1251</v>
      </c>
      <c r="E592" s="580" t="s">
        <v>275</v>
      </c>
      <c r="F592" s="489">
        <f>'Пр.4.1 ведом.23-24 '!G672</f>
        <v>909.3</v>
      </c>
      <c r="G592" s="489">
        <f>'Пр.4.1 ведом.23-24 '!H672</f>
        <v>909.3</v>
      </c>
    </row>
    <row r="593" spans="1:7" ht="47.25" x14ac:dyDescent="0.25">
      <c r="A593" s="579" t="s">
        <v>1766</v>
      </c>
      <c r="B593" s="580" t="s">
        <v>264</v>
      </c>
      <c r="C593" s="580" t="s">
        <v>213</v>
      </c>
      <c r="D593" s="580" t="s">
        <v>1767</v>
      </c>
      <c r="E593" s="580"/>
      <c r="F593" s="489">
        <f>F594</f>
        <v>141811.20000000001</v>
      </c>
      <c r="G593" s="489">
        <f>G594</f>
        <v>105735.70000000001</v>
      </c>
    </row>
    <row r="594" spans="1:7" ht="31.5" x14ac:dyDescent="0.25">
      <c r="A594" s="579" t="s">
        <v>272</v>
      </c>
      <c r="B594" s="580" t="s">
        <v>264</v>
      </c>
      <c r="C594" s="580" t="s">
        <v>213</v>
      </c>
      <c r="D594" s="580" t="s">
        <v>1767</v>
      </c>
      <c r="E594" s="580" t="s">
        <v>273</v>
      </c>
      <c r="F594" s="489">
        <f>F595</f>
        <v>141811.20000000001</v>
      </c>
      <c r="G594" s="489">
        <f>G595</f>
        <v>105735.70000000001</v>
      </c>
    </row>
    <row r="595" spans="1:7" ht="15.75" x14ac:dyDescent="0.25">
      <c r="A595" s="579" t="s">
        <v>274</v>
      </c>
      <c r="B595" s="580" t="s">
        <v>264</v>
      </c>
      <c r="C595" s="580" t="s">
        <v>213</v>
      </c>
      <c r="D595" s="580" t="s">
        <v>1767</v>
      </c>
      <c r="E595" s="580" t="s">
        <v>275</v>
      </c>
      <c r="F595" s="489">
        <f>'Пр.4.1 ведом.23-24 '!G675</f>
        <v>141811.20000000001</v>
      </c>
      <c r="G595" s="489">
        <f>'Пр.4.1 ведом.23-24 '!H675</f>
        <v>105735.70000000001</v>
      </c>
    </row>
    <row r="596" spans="1:7" ht="31.5" x14ac:dyDescent="0.25">
      <c r="A596" s="494" t="s">
        <v>1304</v>
      </c>
      <c r="B596" s="495" t="s">
        <v>264</v>
      </c>
      <c r="C596" s="495" t="s">
        <v>213</v>
      </c>
      <c r="D596" s="495" t="s">
        <v>1237</v>
      </c>
      <c r="E596" s="495"/>
      <c r="F596" s="488">
        <f>F597+F600+F603+F606</f>
        <v>208.6</v>
      </c>
      <c r="G596" s="488">
        <f>G597+G600+G603+G606</f>
        <v>208.6</v>
      </c>
    </row>
    <row r="597" spans="1:7" ht="36" hidden="1" customHeight="1" x14ac:dyDescent="0.25">
      <c r="A597" s="579" t="s">
        <v>440</v>
      </c>
      <c r="B597" s="580" t="s">
        <v>264</v>
      </c>
      <c r="C597" s="580" t="s">
        <v>213</v>
      </c>
      <c r="D597" s="580" t="s">
        <v>1317</v>
      </c>
      <c r="E597" s="580"/>
      <c r="F597" s="489">
        <f t="shared" ref="F597:G597" si="101">F598</f>
        <v>0</v>
      </c>
      <c r="G597" s="489">
        <f t="shared" si="101"/>
        <v>0</v>
      </c>
    </row>
    <row r="598" spans="1:7" ht="35.450000000000003" hidden="1" customHeight="1" x14ac:dyDescent="0.25">
      <c r="A598" s="579" t="s">
        <v>272</v>
      </c>
      <c r="B598" s="580" t="s">
        <v>264</v>
      </c>
      <c r="C598" s="580" t="s">
        <v>213</v>
      </c>
      <c r="D598" s="580" t="s">
        <v>1317</v>
      </c>
      <c r="E598" s="580" t="s">
        <v>273</v>
      </c>
      <c r="F598" s="489">
        <f>F599</f>
        <v>0</v>
      </c>
      <c r="G598" s="489">
        <f>G599</f>
        <v>0</v>
      </c>
    </row>
    <row r="599" spans="1:7" ht="15.75" hidden="1" x14ac:dyDescent="0.25">
      <c r="A599" s="579" t="s">
        <v>274</v>
      </c>
      <c r="B599" s="580" t="s">
        <v>264</v>
      </c>
      <c r="C599" s="580" t="s">
        <v>213</v>
      </c>
      <c r="D599" s="580" t="s">
        <v>1317</v>
      </c>
      <c r="E599" s="580" t="s">
        <v>275</v>
      </c>
      <c r="F599" s="489">
        <f>'Пр.4 ведом.22'!G678</f>
        <v>0</v>
      </c>
      <c r="G599" s="489">
        <v>0</v>
      </c>
    </row>
    <row r="600" spans="1:7" ht="31.5" hidden="1" x14ac:dyDescent="0.25">
      <c r="A600" s="579" t="s">
        <v>278</v>
      </c>
      <c r="B600" s="580" t="s">
        <v>264</v>
      </c>
      <c r="C600" s="580" t="s">
        <v>213</v>
      </c>
      <c r="D600" s="580" t="s">
        <v>1318</v>
      </c>
      <c r="E600" s="580"/>
      <c r="F600" s="489">
        <f t="shared" ref="F600:G600" si="102">F601</f>
        <v>0</v>
      </c>
      <c r="G600" s="489">
        <f t="shared" si="102"/>
        <v>0</v>
      </c>
    </row>
    <row r="601" spans="1:7" ht="37.5" hidden="1" customHeight="1" x14ac:dyDescent="0.25">
      <c r="A601" s="579" t="s">
        <v>272</v>
      </c>
      <c r="B601" s="580" t="s">
        <v>264</v>
      </c>
      <c r="C601" s="580" t="s">
        <v>213</v>
      </c>
      <c r="D601" s="580" t="s">
        <v>1318</v>
      </c>
      <c r="E601" s="580" t="s">
        <v>273</v>
      </c>
      <c r="F601" s="489">
        <f>F602</f>
        <v>0</v>
      </c>
      <c r="G601" s="489">
        <f>G602</f>
        <v>0</v>
      </c>
    </row>
    <row r="602" spans="1:7" ht="15.75" hidden="1" x14ac:dyDescent="0.25">
      <c r="A602" s="579" t="s">
        <v>274</v>
      </c>
      <c r="B602" s="580" t="s">
        <v>264</v>
      </c>
      <c r="C602" s="580" t="s">
        <v>213</v>
      </c>
      <c r="D602" s="580" t="s">
        <v>1318</v>
      </c>
      <c r="E602" s="580" t="s">
        <v>275</v>
      </c>
      <c r="F602" s="489">
        <f>'Пр.4 ведом.22'!G681</f>
        <v>0</v>
      </c>
      <c r="G602" s="489">
        <f>'Пр.4 ведом.22'!H681</f>
        <v>0</v>
      </c>
    </row>
    <row r="603" spans="1:7" ht="31.5" hidden="1" x14ac:dyDescent="0.25">
      <c r="A603" s="579" t="s">
        <v>280</v>
      </c>
      <c r="B603" s="580" t="s">
        <v>264</v>
      </c>
      <c r="C603" s="580" t="s">
        <v>213</v>
      </c>
      <c r="D603" s="580" t="s">
        <v>1319</v>
      </c>
      <c r="E603" s="580"/>
      <c r="F603" s="489">
        <f t="shared" ref="F603:G603" si="103">F604</f>
        <v>0</v>
      </c>
      <c r="G603" s="489">
        <f t="shared" si="103"/>
        <v>0</v>
      </c>
    </row>
    <row r="604" spans="1:7" ht="31.7" hidden="1" customHeight="1" x14ac:dyDescent="0.25">
      <c r="A604" s="579" t="s">
        <v>272</v>
      </c>
      <c r="B604" s="580" t="s">
        <v>264</v>
      </c>
      <c r="C604" s="580" t="s">
        <v>213</v>
      </c>
      <c r="D604" s="580" t="s">
        <v>1319</v>
      </c>
      <c r="E604" s="580" t="s">
        <v>273</v>
      </c>
      <c r="F604" s="489">
        <f>F605</f>
        <v>0</v>
      </c>
      <c r="G604" s="489">
        <f>G605</f>
        <v>0</v>
      </c>
    </row>
    <row r="605" spans="1:7" ht="15.75" hidden="1" x14ac:dyDescent="0.25">
      <c r="A605" s="579" t="s">
        <v>274</v>
      </c>
      <c r="B605" s="580" t="s">
        <v>264</v>
      </c>
      <c r="C605" s="580" t="s">
        <v>213</v>
      </c>
      <c r="D605" s="580" t="s">
        <v>1319</v>
      </c>
      <c r="E605" s="580" t="s">
        <v>275</v>
      </c>
      <c r="F605" s="489">
        <f>'Пр.4 ведом.22'!G684</f>
        <v>0</v>
      </c>
      <c r="G605" s="489">
        <f>'Пр.4 ведом.22'!H684</f>
        <v>0</v>
      </c>
    </row>
    <row r="606" spans="1:7" ht="31.5" x14ac:dyDescent="0.25">
      <c r="A606" s="579" t="s">
        <v>282</v>
      </c>
      <c r="B606" s="580" t="s">
        <v>264</v>
      </c>
      <c r="C606" s="580" t="s">
        <v>213</v>
      </c>
      <c r="D606" s="580" t="s">
        <v>1253</v>
      </c>
      <c r="E606" s="580"/>
      <c r="F606" s="489">
        <f t="shared" ref="F606:G606" si="104">F607</f>
        <v>208.6</v>
      </c>
      <c r="G606" s="489">
        <f t="shared" si="104"/>
        <v>208.6</v>
      </c>
    </row>
    <row r="607" spans="1:7" ht="36" customHeight="1" x14ac:dyDescent="0.25">
      <c r="A607" s="579" t="s">
        <v>272</v>
      </c>
      <c r="B607" s="580" t="s">
        <v>264</v>
      </c>
      <c r="C607" s="580" t="s">
        <v>213</v>
      </c>
      <c r="D607" s="580" t="s">
        <v>1253</v>
      </c>
      <c r="E607" s="580" t="s">
        <v>273</v>
      </c>
      <c r="F607" s="489">
        <f>F608</f>
        <v>208.6</v>
      </c>
      <c r="G607" s="489">
        <f>G608</f>
        <v>208.6</v>
      </c>
    </row>
    <row r="608" spans="1:7" ht="15" customHeight="1" x14ac:dyDescent="0.25">
      <c r="A608" s="579" t="s">
        <v>274</v>
      </c>
      <c r="B608" s="580" t="s">
        <v>264</v>
      </c>
      <c r="C608" s="580" t="s">
        <v>213</v>
      </c>
      <c r="D608" s="580" t="s">
        <v>1253</v>
      </c>
      <c r="E608" s="580" t="s">
        <v>275</v>
      </c>
      <c r="F608" s="489">
        <f>'Пр.4.1 ведом.23-24 '!G688</f>
        <v>208.6</v>
      </c>
      <c r="G608" s="489">
        <f>'Пр.4.1 ведом.23-24 '!H688</f>
        <v>208.6</v>
      </c>
    </row>
    <row r="609" spans="1:7" ht="36.75" customHeight="1" x14ac:dyDescent="0.25">
      <c r="A609" s="219" t="s">
        <v>948</v>
      </c>
      <c r="B609" s="495" t="s">
        <v>264</v>
      </c>
      <c r="C609" s="495" t="s">
        <v>213</v>
      </c>
      <c r="D609" s="495" t="s">
        <v>1240</v>
      </c>
      <c r="E609" s="495"/>
      <c r="F609" s="488">
        <f>F610+F613</f>
        <v>2967</v>
      </c>
      <c r="G609" s="488">
        <f>G610+G613</f>
        <v>2967</v>
      </c>
    </row>
    <row r="610" spans="1:7" ht="34.5" hidden="1" customHeight="1" x14ac:dyDescent="0.25">
      <c r="A610" s="579" t="s">
        <v>284</v>
      </c>
      <c r="B610" s="580" t="s">
        <v>264</v>
      </c>
      <c r="C610" s="580" t="s">
        <v>213</v>
      </c>
      <c r="D610" s="580" t="s">
        <v>1258</v>
      </c>
      <c r="E610" s="580"/>
      <c r="F610" s="489">
        <f>F611</f>
        <v>0</v>
      </c>
      <c r="G610" s="489">
        <f>G611</f>
        <v>0</v>
      </c>
    </row>
    <row r="611" spans="1:7" ht="41.25" hidden="1" customHeight="1" x14ac:dyDescent="0.25">
      <c r="A611" s="579" t="s">
        <v>272</v>
      </c>
      <c r="B611" s="580" t="s">
        <v>264</v>
      </c>
      <c r="C611" s="580" t="s">
        <v>213</v>
      </c>
      <c r="D611" s="580" t="s">
        <v>1258</v>
      </c>
      <c r="E611" s="580" t="s">
        <v>273</v>
      </c>
      <c r="F611" s="489">
        <f>F612</f>
        <v>0</v>
      </c>
      <c r="G611" s="489">
        <f>G612</f>
        <v>0</v>
      </c>
    </row>
    <row r="612" spans="1:7" ht="15" hidden="1" customHeight="1" x14ac:dyDescent="0.25">
      <c r="A612" s="579" t="s">
        <v>274</v>
      </c>
      <c r="B612" s="580" t="s">
        <v>264</v>
      </c>
      <c r="C612" s="580" t="s">
        <v>213</v>
      </c>
      <c r="D612" s="580" t="s">
        <v>1258</v>
      </c>
      <c r="E612" s="580" t="s">
        <v>275</v>
      </c>
      <c r="F612" s="489">
        <f>'Пр.4 ведом.22'!G691</f>
        <v>0</v>
      </c>
      <c r="G612" s="489">
        <f>'Пр.4 ведом.22'!H691</f>
        <v>0</v>
      </c>
    </row>
    <row r="613" spans="1:7" ht="36.75" customHeight="1" x14ac:dyDescent="0.25">
      <c r="A613" s="60" t="s">
        <v>764</v>
      </c>
      <c r="B613" s="580" t="s">
        <v>264</v>
      </c>
      <c r="C613" s="580" t="s">
        <v>213</v>
      </c>
      <c r="D613" s="580" t="s">
        <v>1241</v>
      </c>
      <c r="E613" s="580"/>
      <c r="F613" s="489">
        <f>F614</f>
        <v>2967</v>
      </c>
      <c r="G613" s="489">
        <f>G614</f>
        <v>2967</v>
      </c>
    </row>
    <row r="614" spans="1:7" ht="45.75" customHeight="1" x14ac:dyDescent="0.25">
      <c r="A614" s="29" t="s">
        <v>272</v>
      </c>
      <c r="B614" s="580" t="s">
        <v>264</v>
      </c>
      <c r="C614" s="580" t="s">
        <v>213</v>
      </c>
      <c r="D614" s="580" t="s">
        <v>1241</v>
      </c>
      <c r="E614" s="580" t="s">
        <v>273</v>
      </c>
      <c r="F614" s="489">
        <f>F615</f>
        <v>2967</v>
      </c>
      <c r="G614" s="489">
        <f>G615</f>
        <v>2967</v>
      </c>
    </row>
    <row r="615" spans="1:7" ht="15" customHeight="1" x14ac:dyDescent="0.25">
      <c r="A615" s="182" t="s">
        <v>274</v>
      </c>
      <c r="B615" s="580" t="s">
        <v>264</v>
      </c>
      <c r="C615" s="580" t="s">
        <v>213</v>
      </c>
      <c r="D615" s="580" t="s">
        <v>1241</v>
      </c>
      <c r="E615" s="580" t="s">
        <v>275</v>
      </c>
      <c r="F615" s="489">
        <f>'Пр.4.1 ведом.23-24 '!G695</f>
        <v>2967</v>
      </c>
      <c r="G615" s="489">
        <f>'Пр.4.1 ведом.23-24 '!H695</f>
        <v>2967</v>
      </c>
    </row>
    <row r="616" spans="1:7" ht="35.450000000000003" customHeight="1" x14ac:dyDescent="0.25">
      <c r="A616" s="494" t="s">
        <v>1715</v>
      </c>
      <c r="B616" s="495" t="s">
        <v>264</v>
      </c>
      <c r="C616" s="495" t="s">
        <v>213</v>
      </c>
      <c r="D616" s="495" t="s">
        <v>1243</v>
      </c>
      <c r="E616" s="495"/>
      <c r="F616" s="488">
        <f t="shared" ref="F616:G618" si="105">F617</f>
        <v>5470.3099999999995</v>
      </c>
      <c r="G616" s="488">
        <f t="shared" si="105"/>
        <v>5542.61</v>
      </c>
    </row>
    <row r="617" spans="1:7" ht="31.5" x14ac:dyDescent="0.25">
      <c r="A617" s="579" t="s">
        <v>1716</v>
      </c>
      <c r="B617" s="580" t="s">
        <v>264</v>
      </c>
      <c r="C617" s="580" t="s">
        <v>213</v>
      </c>
      <c r="D617" s="580" t="s">
        <v>1779</v>
      </c>
      <c r="E617" s="580"/>
      <c r="F617" s="489">
        <f t="shared" si="105"/>
        <v>5470.3099999999995</v>
      </c>
      <c r="G617" s="489">
        <f t="shared" si="105"/>
        <v>5542.61</v>
      </c>
    </row>
    <row r="618" spans="1:7" ht="38.25" customHeight="1" x14ac:dyDescent="0.25">
      <c r="A618" s="579" t="s">
        <v>272</v>
      </c>
      <c r="B618" s="580" t="s">
        <v>264</v>
      </c>
      <c r="C618" s="580" t="s">
        <v>213</v>
      </c>
      <c r="D618" s="580" t="s">
        <v>1779</v>
      </c>
      <c r="E618" s="580" t="s">
        <v>273</v>
      </c>
      <c r="F618" s="489">
        <f t="shared" si="105"/>
        <v>5470.3099999999995</v>
      </c>
      <c r="G618" s="489">
        <f t="shared" si="105"/>
        <v>5542.61</v>
      </c>
    </row>
    <row r="619" spans="1:7" ht="14.25" customHeight="1" x14ac:dyDescent="0.25">
      <c r="A619" s="579" t="s">
        <v>274</v>
      </c>
      <c r="B619" s="580" t="s">
        <v>264</v>
      </c>
      <c r="C619" s="580" t="s">
        <v>213</v>
      </c>
      <c r="D619" s="580" t="s">
        <v>1779</v>
      </c>
      <c r="E619" s="580" t="s">
        <v>275</v>
      </c>
      <c r="F619" s="489">
        <f>'Пр.4.1 ведом.23-24 '!G699</f>
        <v>5470.3099999999995</v>
      </c>
      <c r="G619" s="489">
        <f>'Пр.4.1 ведом.23-24 '!H699</f>
        <v>5542.61</v>
      </c>
    </row>
    <row r="620" spans="1:7" ht="32.25" hidden="1" customHeight="1" x14ac:dyDescent="0.25">
      <c r="A620" s="494" t="s">
        <v>939</v>
      </c>
      <c r="B620" s="495" t="s">
        <v>264</v>
      </c>
      <c r="C620" s="495" t="s">
        <v>213</v>
      </c>
      <c r="D620" s="495" t="s">
        <v>1256</v>
      </c>
      <c r="E620" s="495"/>
      <c r="F620" s="488">
        <f t="shared" ref="F620:G622" si="106">F621</f>
        <v>0</v>
      </c>
      <c r="G620" s="488">
        <f t="shared" si="106"/>
        <v>0</v>
      </c>
    </row>
    <row r="621" spans="1:7" ht="48.75" hidden="1" customHeight="1" x14ac:dyDescent="0.25">
      <c r="A621" s="579" t="s">
        <v>438</v>
      </c>
      <c r="B621" s="580" t="s">
        <v>264</v>
      </c>
      <c r="C621" s="580" t="s">
        <v>213</v>
      </c>
      <c r="D621" s="580" t="s">
        <v>1257</v>
      </c>
      <c r="E621" s="580"/>
      <c r="F621" s="489">
        <f t="shared" si="106"/>
        <v>0</v>
      </c>
      <c r="G621" s="489">
        <f t="shared" si="106"/>
        <v>0</v>
      </c>
    </row>
    <row r="622" spans="1:7" ht="37.5" hidden="1" customHeight="1" x14ac:dyDescent="0.25">
      <c r="A622" s="579" t="s">
        <v>272</v>
      </c>
      <c r="B622" s="580" t="s">
        <v>264</v>
      </c>
      <c r="C622" s="580" t="s">
        <v>213</v>
      </c>
      <c r="D622" s="580" t="s">
        <v>1257</v>
      </c>
      <c r="E622" s="580" t="s">
        <v>273</v>
      </c>
      <c r="F622" s="489">
        <f t="shared" si="106"/>
        <v>0</v>
      </c>
      <c r="G622" s="489">
        <f t="shared" si="106"/>
        <v>0</v>
      </c>
    </row>
    <row r="623" spans="1:7" ht="15" hidden="1" customHeight="1" x14ac:dyDescent="0.25">
      <c r="A623" s="579" t="s">
        <v>274</v>
      </c>
      <c r="B623" s="580" t="s">
        <v>264</v>
      </c>
      <c r="C623" s="580" t="s">
        <v>213</v>
      </c>
      <c r="D623" s="580" t="s">
        <v>1257</v>
      </c>
      <c r="E623" s="580" t="s">
        <v>275</v>
      </c>
      <c r="F623" s="489">
        <f>'Пр.4 ведом.22'!G702</f>
        <v>0</v>
      </c>
      <c r="G623" s="489">
        <f>'Пр.4 ведом.22'!H702</f>
        <v>0</v>
      </c>
    </row>
    <row r="624" spans="1:7" ht="31.7" hidden="1" customHeight="1" x14ac:dyDescent="0.25">
      <c r="A624" s="217" t="s">
        <v>940</v>
      </c>
      <c r="B624" s="495" t="s">
        <v>264</v>
      </c>
      <c r="C624" s="495" t="s">
        <v>213</v>
      </c>
      <c r="D624" s="495" t="s">
        <v>1259</v>
      </c>
      <c r="E624" s="495"/>
      <c r="F624" s="488">
        <f>F625</f>
        <v>0</v>
      </c>
      <c r="G624" s="488">
        <f>G625</f>
        <v>0</v>
      </c>
    </row>
    <row r="625" spans="1:7" ht="51" hidden="1" customHeight="1" x14ac:dyDescent="0.25">
      <c r="A625" s="182" t="s">
        <v>828</v>
      </c>
      <c r="B625" s="580" t="s">
        <v>264</v>
      </c>
      <c r="C625" s="580" t="s">
        <v>213</v>
      </c>
      <c r="D625" s="580" t="s">
        <v>1425</v>
      </c>
      <c r="E625" s="580"/>
      <c r="F625" s="489">
        <f t="shared" ref="F625:G625" si="107">F626</f>
        <v>0</v>
      </c>
      <c r="G625" s="489">
        <f t="shared" si="107"/>
        <v>0</v>
      </c>
    </row>
    <row r="626" spans="1:7" ht="33" hidden="1" customHeight="1" x14ac:dyDescent="0.25">
      <c r="A626" s="31" t="s">
        <v>272</v>
      </c>
      <c r="B626" s="580" t="s">
        <v>264</v>
      </c>
      <c r="C626" s="580" t="s">
        <v>213</v>
      </c>
      <c r="D626" s="580" t="s">
        <v>1425</v>
      </c>
      <c r="E626" s="580" t="s">
        <v>273</v>
      </c>
      <c r="F626" s="489">
        <f>F627</f>
        <v>0</v>
      </c>
      <c r="G626" s="489">
        <f>G627</f>
        <v>0</v>
      </c>
    </row>
    <row r="627" spans="1:7" ht="15.75" hidden="1" x14ac:dyDescent="0.25">
      <c r="A627" s="31" t="s">
        <v>274</v>
      </c>
      <c r="B627" s="580" t="s">
        <v>264</v>
      </c>
      <c r="C627" s="580" t="s">
        <v>213</v>
      </c>
      <c r="D627" s="580" t="s">
        <v>1425</v>
      </c>
      <c r="E627" s="580" t="s">
        <v>275</v>
      </c>
      <c r="F627" s="489">
        <f>'Пр.4 ведом.22'!G706</f>
        <v>0</v>
      </c>
      <c r="G627" s="489">
        <f>'Пр.4 ведом.22'!H706</f>
        <v>0</v>
      </c>
    </row>
    <row r="628" spans="1:7" ht="31.5" x14ac:dyDescent="0.25">
      <c r="A628" s="304" t="s">
        <v>1405</v>
      </c>
      <c r="B628" s="495" t="s">
        <v>264</v>
      </c>
      <c r="C628" s="495" t="s">
        <v>213</v>
      </c>
      <c r="D628" s="495" t="s">
        <v>1404</v>
      </c>
      <c r="E628" s="495"/>
      <c r="F628" s="493">
        <f t="shared" ref="F628:G630" si="108">F629</f>
        <v>5425.4</v>
      </c>
      <c r="G628" s="493">
        <f t="shared" si="108"/>
        <v>5589.3</v>
      </c>
    </row>
    <row r="629" spans="1:7" ht="63" x14ac:dyDescent="0.25">
      <c r="A629" s="303" t="s">
        <v>1391</v>
      </c>
      <c r="B629" s="580" t="s">
        <v>264</v>
      </c>
      <c r="C629" s="580" t="s">
        <v>213</v>
      </c>
      <c r="D629" s="580" t="s">
        <v>1449</v>
      </c>
      <c r="E629" s="580"/>
      <c r="F629" s="497">
        <f t="shared" si="108"/>
        <v>5425.4</v>
      </c>
      <c r="G629" s="497">
        <f t="shared" si="108"/>
        <v>5589.3</v>
      </c>
    </row>
    <row r="630" spans="1:7" ht="31.5" x14ac:dyDescent="0.25">
      <c r="A630" s="31" t="s">
        <v>272</v>
      </c>
      <c r="B630" s="580" t="s">
        <v>264</v>
      </c>
      <c r="C630" s="580" t="s">
        <v>213</v>
      </c>
      <c r="D630" s="580" t="s">
        <v>1449</v>
      </c>
      <c r="E630" s="580" t="s">
        <v>273</v>
      </c>
      <c r="F630" s="497">
        <f t="shared" si="108"/>
        <v>5425.4</v>
      </c>
      <c r="G630" s="497">
        <f t="shared" si="108"/>
        <v>5589.3</v>
      </c>
    </row>
    <row r="631" spans="1:7" ht="15.75" x14ac:dyDescent="0.25">
      <c r="A631" s="31" t="s">
        <v>274</v>
      </c>
      <c r="B631" s="580" t="s">
        <v>264</v>
      </c>
      <c r="C631" s="580" t="s">
        <v>213</v>
      </c>
      <c r="D631" s="580" t="s">
        <v>1449</v>
      </c>
      <c r="E631" s="580" t="s">
        <v>275</v>
      </c>
      <c r="F631" s="497">
        <f>'Пр.4.1 ведом.23-24 '!G711</f>
        <v>5425.4</v>
      </c>
      <c r="G631" s="497">
        <f>'Пр.4.1 ведом.23-24 '!H711</f>
        <v>5589.3</v>
      </c>
    </row>
    <row r="632" spans="1:7" ht="31.5" hidden="1" x14ac:dyDescent="0.25">
      <c r="A632" s="304" t="s">
        <v>1428</v>
      </c>
      <c r="B632" s="495" t="s">
        <v>264</v>
      </c>
      <c r="C632" s="495" t="s">
        <v>213</v>
      </c>
      <c r="D632" s="495" t="s">
        <v>1414</v>
      </c>
      <c r="E632" s="495"/>
      <c r="F632" s="493">
        <f t="shared" ref="F632:G634" si="109">F633</f>
        <v>0</v>
      </c>
      <c r="G632" s="493">
        <f t="shared" si="109"/>
        <v>0</v>
      </c>
    </row>
    <row r="633" spans="1:7" ht="31.5" hidden="1" x14ac:dyDescent="0.25">
      <c r="A633" s="303" t="s">
        <v>1415</v>
      </c>
      <c r="B633" s="580" t="s">
        <v>264</v>
      </c>
      <c r="C633" s="580" t="s">
        <v>213</v>
      </c>
      <c r="D633" s="580" t="s">
        <v>1417</v>
      </c>
      <c r="E633" s="580"/>
      <c r="F633" s="497">
        <f t="shared" si="109"/>
        <v>0</v>
      </c>
      <c r="G633" s="497">
        <f t="shared" si="109"/>
        <v>0</v>
      </c>
    </row>
    <row r="634" spans="1:7" ht="31.5" hidden="1" x14ac:dyDescent="0.25">
      <c r="A634" s="31" t="s">
        <v>272</v>
      </c>
      <c r="B634" s="580" t="s">
        <v>264</v>
      </c>
      <c r="C634" s="580" t="s">
        <v>213</v>
      </c>
      <c r="D634" s="580" t="s">
        <v>1417</v>
      </c>
      <c r="E634" s="580" t="s">
        <v>273</v>
      </c>
      <c r="F634" s="497">
        <f t="shared" si="109"/>
        <v>0</v>
      </c>
      <c r="G634" s="497">
        <f t="shared" si="109"/>
        <v>0</v>
      </c>
    </row>
    <row r="635" spans="1:7" ht="15.75" hidden="1" x14ac:dyDescent="0.25">
      <c r="A635" s="31" t="s">
        <v>274</v>
      </c>
      <c r="B635" s="580" t="s">
        <v>264</v>
      </c>
      <c r="C635" s="580" t="s">
        <v>213</v>
      </c>
      <c r="D635" s="580" t="s">
        <v>1417</v>
      </c>
      <c r="E635" s="580" t="s">
        <v>275</v>
      </c>
      <c r="F635" s="497">
        <f>'Пр.4 ведом.22'!G714</f>
        <v>0</v>
      </c>
      <c r="G635" s="497">
        <f>'Пр.4 ведом.22'!H714</f>
        <v>0</v>
      </c>
    </row>
    <row r="636" spans="1:7" ht="47.25" hidden="1" x14ac:dyDescent="0.25">
      <c r="A636" s="304" t="s">
        <v>1619</v>
      </c>
      <c r="B636" s="495" t="s">
        <v>264</v>
      </c>
      <c r="C636" s="495" t="s">
        <v>213</v>
      </c>
      <c r="D636" s="495" t="s">
        <v>1621</v>
      </c>
      <c r="E636" s="495"/>
      <c r="F636" s="493">
        <f t="shared" ref="F636:G638" si="110">F637</f>
        <v>0</v>
      </c>
      <c r="G636" s="493">
        <f t="shared" si="110"/>
        <v>0</v>
      </c>
    </row>
    <row r="637" spans="1:7" ht="47.25" hidden="1" x14ac:dyDescent="0.25">
      <c r="A637" s="303" t="s">
        <v>450</v>
      </c>
      <c r="B637" s="580" t="s">
        <v>264</v>
      </c>
      <c r="C637" s="580" t="s">
        <v>213</v>
      </c>
      <c r="D637" s="580" t="s">
        <v>1621</v>
      </c>
      <c r="E637" s="580"/>
      <c r="F637" s="497">
        <f t="shared" si="110"/>
        <v>0</v>
      </c>
      <c r="G637" s="497">
        <f t="shared" si="110"/>
        <v>0</v>
      </c>
    </row>
    <row r="638" spans="1:7" ht="31.5" hidden="1" x14ac:dyDescent="0.25">
      <c r="A638" s="31" t="s">
        <v>272</v>
      </c>
      <c r="B638" s="580" t="s">
        <v>264</v>
      </c>
      <c r="C638" s="580" t="s">
        <v>213</v>
      </c>
      <c r="D638" s="580" t="s">
        <v>1621</v>
      </c>
      <c r="E638" s="580" t="s">
        <v>273</v>
      </c>
      <c r="F638" s="497">
        <f t="shared" si="110"/>
        <v>0</v>
      </c>
      <c r="G638" s="497">
        <f t="shared" si="110"/>
        <v>0</v>
      </c>
    </row>
    <row r="639" spans="1:7" ht="15.75" hidden="1" x14ac:dyDescent="0.25">
      <c r="A639" s="31" t="s">
        <v>274</v>
      </c>
      <c r="B639" s="580" t="s">
        <v>264</v>
      </c>
      <c r="C639" s="580" t="s">
        <v>213</v>
      </c>
      <c r="D639" s="580" t="s">
        <v>1621</v>
      </c>
      <c r="E639" s="580" t="s">
        <v>275</v>
      </c>
      <c r="F639" s="497">
        <f>'Пр.4 ведом.22'!G718</f>
        <v>0</v>
      </c>
      <c r="G639" s="497">
        <f>'Пр.4 ведом.22'!H718</f>
        <v>0</v>
      </c>
    </row>
    <row r="640" spans="1:7" ht="31.5" hidden="1" x14ac:dyDescent="0.25">
      <c r="A640" s="304" t="s">
        <v>1631</v>
      </c>
      <c r="B640" s="495" t="s">
        <v>264</v>
      </c>
      <c r="C640" s="495" t="s">
        <v>213</v>
      </c>
      <c r="D640" s="495" t="s">
        <v>1633</v>
      </c>
      <c r="E640" s="495"/>
      <c r="F640" s="493">
        <f t="shared" ref="F640:G642" si="111">F641</f>
        <v>0</v>
      </c>
      <c r="G640" s="493">
        <f t="shared" si="111"/>
        <v>0</v>
      </c>
    </row>
    <row r="641" spans="1:7" ht="31.5" hidden="1" x14ac:dyDescent="0.25">
      <c r="A641" s="303" t="s">
        <v>1632</v>
      </c>
      <c r="B641" s="580" t="s">
        <v>264</v>
      </c>
      <c r="C641" s="580" t="s">
        <v>213</v>
      </c>
      <c r="D641" s="580" t="s">
        <v>1634</v>
      </c>
      <c r="E641" s="580"/>
      <c r="F641" s="497">
        <f t="shared" si="111"/>
        <v>0</v>
      </c>
      <c r="G641" s="497">
        <f t="shared" si="111"/>
        <v>0</v>
      </c>
    </row>
    <row r="642" spans="1:7" ht="31.5" hidden="1" x14ac:dyDescent="0.25">
      <c r="A642" s="31" t="s">
        <v>272</v>
      </c>
      <c r="B642" s="580" t="s">
        <v>264</v>
      </c>
      <c r="C642" s="580" t="s">
        <v>213</v>
      </c>
      <c r="D642" s="580" t="s">
        <v>1634</v>
      </c>
      <c r="E642" s="580" t="s">
        <v>273</v>
      </c>
      <c r="F642" s="497">
        <f t="shared" si="111"/>
        <v>0</v>
      </c>
      <c r="G642" s="497">
        <f t="shared" si="111"/>
        <v>0</v>
      </c>
    </row>
    <row r="643" spans="1:7" ht="15.75" hidden="1" x14ac:dyDescent="0.25">
      <c r="A643" s="31" t="s">
        <v>274</v>
      </c>
      <c r="B643" s="580" t="s">
        <v>264</v>
      </c>
      <c r="C643" s="580" t="s">
        <v>213</v>
      </c>
      <c r="D643" s="580" t="s">
        <v>1634</v>
      </c>
      <c r="E643" s="580" t="s">
        <v>275</v>
      </c>
      <c r="F643" s="497">
        <f>'Пр.4 ведом.22'!G722</f>
        <v>0</v>
      </c>
      <c r="G643" s="497">
        <f>'Пр.4 ведом.22'!H722</f>
        <v>0</v>
      </c>
    </row>
    <row r="644" spans="1:7" ht="47.25" hidden="1" x14ac:dyDescent="0.25">
      <c r="A644" s="217" t="s">
        <v>1172</v>
      </c>
      <c r="B644" s="495" t="s">
        <v>264</v>
      </c>
      <c r="C644" s="495" t="s">
        <v>213</v>
      </c>
      <c r="D644" s="495" t="s">
        <v>1320</v>
      </c>
      <c r="E644" s="495"/>
      <c r="F644" s="493">
        <f t="shared" ref="F644:G646" si="112">F645</f>
        <v>0</v>
      </c>
      <c r="G644" s="493">
        <f t="shared" si="112"/>
        <v>0</v>
      </c>
    </row>
    <row r="645" spans="1:7" ht="66.599999999999994" hidden="1" customHeight="1" x14ac:dyDescent="0.25">
      <c r="A645" s="182" t="s">
        <v>1522</v>
      </c>
      <c r="B645" s="580" t="s">
        <v>264</v>
      </c>
      <c r="C645" s="580" t="s">
        <v>213</v>
      </c>
      <c r="D645" s="580" t="s">
        <v>1321</v>
      </c>
      <c r="E645" s="580"/>
      <c r="F645" s="497">
        <f t="shared" si="112"/>
        <v>0</v>
      </c>
      <c r="G645" s="497">
        <f t="shared" si="112"/>
        <v>0</v>
      </c>
    </row>
    <row r="646" spans="1:7" ht="31.5" hidden="1" x14ac:dyDescent="0.25">
      <c r="A646" s="31" t="s">
        <v>272</v>
      </c>
      <c r="B646" s="580" t="s">
        <v>264</v>
      </c>
      <c r="C646" s="580" t="s">
        <v>213</v>
      </c>
      <c r="D646" s="580" t="s">
        <v>1321</v>
      </c>
      <c r="E646" s="580" t="s">
        <v>273</v>
      </c>
      <c r="F646" s="497">
        <f t="shared" si="112"/>
        <v>0</v>
      </c>
      <c r="G646" s="497">
        <f t="shared" si="112"/>
        <v>0</v>
      </c>
    </row>
    <row r="647" spans="1:7" ht="15.75" hidden="1" x14ac:dyDescent="0.25">
      <c r="A647" s="31" t="s">
        <v>274</v>
      </c>
      <c r="B647" s="580" t="s">
        <v>264</v>
      </c>
      <c r="C647" s="580" t="s">
        <v>213</v>
      </c>
      <c r="D647" s="580" t="s">
        <v>1321</v>
      </c>
      <c r="E647" s="580" t="s">
        <v>275</v>
      </c>
      <c r="F647" s="497">
        <f>'Пр.4 ведом.22'!G726</f>
        <v>0</v>
      </c>
      <c r="G647" s="497">
        <f>'Пр.4 ведом.22'!H726</f>
        <v>0</v>
      </c>
    </row>
    <row r="648" spans="1:7" ht="31.5" hidden="1" x14ac:dyDescent="0.25">
      <c r="A648" s="34" t="s">
        <v>1463</v>
      </c>
      <c r="B648" s="495" t="s">
        <v>264</v>
      </c>
      <c r="C648" s="495" t="s">
        <v>213</v>
      </c>
      <c r="D648" s="495" t="s">
        <v>1464</v>
      </c>
      <c r="E648" s="580"/>
      <c r="F648" s="493">
        <f t="shared" ref="F648:G650" si="113">F649</f>
        <v>0</v>
      </c>
      <c r="G648" s="493">
        <f t="shared" si="113"/>
        <v>0</v>
      </c>
    </row>
    <row r="649" spans="1:7" ht="51" hidden="1" customHeight="1" x14ac:dyDescent="0.25">
      <c r="A649" s="31" t="s">
        <v>1523</v>
      </c>
      <c r="B649" s="580" t="s">
        <v>264</v>
      </c>
      <c r="C649" s="580" t="s">
        <v>213</v>
      </c>
      <c r="D649" s="580" t="s">
        <v>1465</v>
      </c>
      <c r="E649" s="580"/>
      <c r="F649" s="497">
        <f t="shared" si="113"/>
        <v>0</v>
      </c>
      <c r="G649" s="497">
        <f t="shared" si="113"/>
        <v>0</v>
      </c>
    </row>
    <row r="650" spans="1:7" ht="31.5" hidden="1" x14ac:dyDescent="0.25">
      <c r="A650" s="31" t="s">
        <v>272</v>
      </c>
      <c r="B650" s="580" t="s">
        <v>264</v>
      </c>
      <c r="C650" s="580" t="s">
        <v>213</v>
      </c>
      <c r="D650" s="580" t="s">
        <v>1465</v>
      </c>
      <c r="E650" s="580" t="s">
        <v>273</v>
      </c>
      <c r="F650" s="497">
        <f t="shared" si="113"/>
        <v>0</v>
      </c>
      <c r="G650" s="497">
        <f t="shared" si="113"/>
        <v>0</v>
      </c>
    </row>
    <row r="651" spans="1:7" ht="15.75" hidden="1" x14ac:dyDescent="0.25">
      <c r="A651" s="31" t="s">
        <v>274</v>
      </c>
      <c r="B651" s="580" t="s">
        <v>264</v>
      </c>
      <c r="C651" s="580" t="s">
        <v>213</v>
      </c>
      <c r="D651" s="580" t="s">
        <v>1465</v>
      </c>
      <c r="E651" s="580" t="s">
        <v>275</v>
      </c>
      <c r="F651" s="497">
        <f>'Пр.4 ведом.22'!G730</f>
        <v>0</v>
      </c>
      <c r="G651" s="497">
        <f>'Пр.4 ведом.22'!H730</f>
        <v>0</v>
      </c>
    </row>
    <row r="652" spans="1:7" ht="47.25" x14ac:dyDescent="0.25">
      <c r="A652" s="34" t="s">
        <v>1357</v>
      </c>
      <c r="B652" s="495" t="s">
        <v>264</v>
      </c>
      <c r="C652" s="495" t="s">
        <v>213</v>
      </c>
      <c r="D652" s="495" t="s">
        <v>324</v>
      </c>
      <c r="E652" s="495"/>
      <c r="F652" s="488">
        <f t="shared" ref="F652:G652" si="114">F653</f>
        <v>60</v>
      </c>
      <c r="G652" s="488">
        <f t="shared" si="114"/>
        <v>0</v>
      </c>
    </row>
    <row r="653" spans="1:7" ht="63" x14ac:dyDescent="0.25">
      <c r="A653" s="34" t="s">
        <v>1024</v>
      </c>
      <c r="B653" s="495" t="s">
        <v>264</v>
      </c>
      <c r="C653" s="495" t="s">
        <v>213</v>
      </c>
      <c r="D653" s="495" t="s">
        <v>934</v>
      </c>
      <c r="E653" s="495"/>
      <c r="F653" s="488">
        <f>F654</f>
        <v>60</v>
      </c>
      <c r="G653" s="488">
        <f>G654</f>
        <v>0</v>
      </c>
    </row>
    <row r="654" spans="1:7" ht="47.25" x14ac:dyDescent="0.25">
      <c r="A654" s="31" t="s">
        <v>1008</v>
      </c>
      <c r="B654" s="580" t="s">
        <v>264</v>
      </c>
      <c r="C654" s="580" t="s">
        <v>213</v>
      </c>
      <c r="D654" s="580" t="s">
        <v>935</v>
      </c>
      <c r="E654" s="580"/>
      <c r="F654" s="489">
        <f t="shared" ref="F654:G655" si="115">F655</f>
        <v>60</v>
      </c>
      <c r="G654" s="489">
        <f t="shared" si="115"/>
        <v>0</v>
      </c>
    </row>
    <row r="655" spans="1:7" ht="31.5" x14ac:dyDescent="0.25">
      <c r="A655" s="31" t="s">
        <v>272</v>
      </c>
      <c r="B655" s="580" t="s">
        <v>264</v>
      </c>
      <c r="C655" s="580" t="s">
        <v>213</v>
      </c>
      <c r="D655" s="580" t="s">
        <v>935</v>
      </c>
      <c r="E655" s="580" t="s">
        <v>273</v>
      </c>
      <c r="F655" s="489">
        <f t="shared" si="115"/>
        <v>60</v>
      </c>
      <c r="G655" s="489">
        <f t="shared" si="115"/>
        <v>0</v>
      </c>
    </row>
    <row r="656" spans="1:7" ht="15.75" x14ac:dyDescent="0.25">
      <c r="A656" s="31" t="s">
        <v>274</v>
      </c>
      <c r="B656" s="580" t="s">
        <v>264</v>
      </c>
      <c r="C656" s="580" t="s">
        <v>213</v>
      </c>
      <c r="D656" s="580" t="s">
        <v>935</v>
      </c>
      <c r="E656" s="580" t="s">
        <v>275</v>
      </c>
      <c r="F656" s="489">
        <f>'Пр.4 ведом.22'!G739</f>
        <v>60</v>
      </c>
      <c r="G656" s="489">
        <f>'Пр.4 ведом.22'!H739</f>
        <v>0</v>
      </c>
    </row>
    <row r="657" spans="1:12" ht="31.5" x14ac:dyDescent="0.25">
      <c r="A657" s="34" t="s">
        <v>1472</v>
      </c>
      <c r="B657" s="495" t="s">
        <v>264</v>
      </c>
      <c r="C657" s="495" t="s">
        <v>213</v>
      </c>
      <c r="D657" s="495" t="s">
        <v>1470</v>
      </c>
      <c r="E657" s="495"/>
      <c r="F657" s="488">
        <f t="shared" ref="F657:G659" si="116">F658</f>
        <v>2469.9</v>
      </c>
      <c r="G657" s="488">
        <f t="shared" si="116"/>
        <v>0</v>
      </c>
    </row>
    <row r="658" spans="1:12" ht="63" x14ac:dyDescent="0.25">
      <c r="A658" s="31" t="s">
        <v>1729</v>
      </c>
      <c r="B658" s="580" t="s">
        <v>264</v>
      </c>
      <c r="C658" s="580" t="s">
        <v>213</v>
      </c>
      <c r="D658" s="580" t="s">
        <v>1471</v>
      </c>
      <c r="E658" s="580"/>
      <c r="F658" s="489">
        <f t="shared" si="116"/>
        <v>2469.9</v>
      </c>
      <c r="G658" s="489">
        <f t="shared" si="116"/>
        <v>0</v>
      </c>
    </row>
    <row r="659" spans="1:12" ht="31.5" x14ac:dyDescent="0.25">
      <c r="A659" s="31" t="s">
        <v>272</v>
      </c>
      <c r="B659" s="580" t="s">
        <v>264</v>
      </c>
      <c r="C659" s="580" t="s">
        <v>213</v>
      </c>
      <c r="D659" s="580" t="s">
        <v>1471</v>
      </c>
      <c r="E659" s="580" t="s">
        <v>273</v>
      </c>
      <c r="F659" s="489">
        <f t="shared" si="116"/>
        <v>2469.9</v>
      </c>
      <c r="G659" s="489">
        <f t="shared" si="116"/>
        <v>0</v>
      </c>
    </row>
    <row r="660" spans="1:12" ht="15.75" x14ac:dyDescent="0.25">
      <c r="A660" s="31" t="s">
        <v>274</v>
      </c>
      <c r="B660" s="580" t="s">
        <v>264</v>
      </c>
      <c r="C660" s="580" t="s">
        <v>213</v>
      </c>
      <c r="D660" s="580" t="s">
        <v>1471</v>
      </c>
      <c r="E660" s="580" t="s">
        <v>275</v>
      </c>
      <c r="F660" s="489">
        <f>'Пр.4.1 ведом.23-24 '!G735</f>
        <v>2469.9</v>
      </c>
      <c r="G660" s="489">
        <f>'Пр.4.1 ведом.23-24 '!H735</f>
        <v>0</v>
      </c>
    </row>
    <row r="661" spans="1:12" ht="47.25" x14ac:dyDescent="0.25">
      <c r="A661" s="34" t="s">
        <v>1357</v>
      </c>
      <c r="B661" s="495" t="s">
        <v>264</v>
      </c>
      <c r="C661" s="495" t="s">
        <v>213</v>
      </c>
      <c r="D661" s="495" t="s">
        <v>324</v>
      </c>
      <c r="E661" s="495"/>
      <c r="F661" s="488">
        <f t="shared" ref="F661:G664" si="117">F662</f>
        <v>60</v>
      </c>
      <c r="G661" s="488">
        <f t="shared" si="117"/>
        <v>60</v>
      </c>
    </row>
    <row r="662" spans="1:12" ht="63" x14ac:dyDescent="0.25">
      <c r="A662" s="34" t="s">
        <v>1024</v>
      </c>
      <c r="B662" s="495" t="s">
        <v>264</v>
      </c>
      <c r="C662" s="495" t="s">
        <v>213</v>
      </c>
      <c r="D662" s="495" t="s">
        <v>934</v>
      </c>
      <c r="E662" s="495"/>
      <c r="F662" s="488">
        <f t="shared" si="117"/>
        <v>60</v>
      </c>
      <c r="G662" s="488">
        <f t="shared" si="117"/>
        <v>60</v>
      </c>
    </row>
    <row r="663" spans="1:12" ht="47.25" x14ac:dyDescent="0.25">
      <c r="A663" s="31" t="s">
        <v>1081</v>
      </c>
      <c r="B663" s="580" t="s">
        <v>264</v>
      </c>
      <c r="C663" s="580" t="s">
        <v>213</v>
      </c>
      <c r="D663" s="580" t="s">
        <v>935</v>
      </c>
      <c r="E663" s="580"/>
      <c r="F663" s="489">
        <f t="shared" si="117"/>
        <v>60</v>
      </c>
      <c r="G663" s="489">
        <f t="shared" si="117"/>
        <v>60</v>
      </c>
    </row>
    <row r="664" spans="1:12" ht="31.5" x14ac:dyDescent="0.25">
      <c r="A664" s="31" t="s">
        <v>272</v>
      </c>
      <c r="B664" s="580" t="s">
        <v>264</v>
      </c>
      <c r="C664" s="580" t="s">
        <v>213</v>
      </c>
      <c r="D664" s="580" t="s">
        <v>935</v>
      </c>
      <c r="E664" s="580" t="s">
        <v>273</v>
      </c>
      <c r="F664" s="489">
        <f t="shared" si="117"/>
        <v>60</v>
      </c>
      <c r="G664" s="489">
        <f t="shared" si="117"/>
        <v>60</v>
      </c>
    </row>
    <row r="665" spans="1:12" ht="15.75" x14ac:dyDescent="0.25">
      <c r="A665" s="31" t="s">
        <v>274</v>
      </c>
      <c r="B665" s="580" t="s">
        <v>264</v>
      </c>
      <c r="C665" s="580" t="s">
        <v>213</v>
      </c>
      <c r="D665" s="580" t="s">
        <v>935</v>
      </c>
      <c r="E665" s="580" t="s">
        <v>275</v>
      </c>
      <c r="F665" s="489">
        <f>'Пр.4.1 ведом.23-24 '!G740</f>
        <v>60</v>
      </c>
      <c r="G665" s="489">
        <f>'Пр.4.1 ведом.23-24 '!H740</f>
        <v>60</v>
      </c>
    </row>
    <row r="666" spans="1:12" ht="47.25" x14ac:dyDescent="0.25">
      <c r="A666" s="572" t="s">
        <v>1352</v>
      </c>
      <c r="B666" s="495" t="s">
        <v>264</v>
      </c>
      <c r="C666" s="495" t="s">
        <v>213</v>
      </c>
      <c r="D666" s="495" t="s">
        <v>705</v>
      </c>
      <c r="E666" s="504"/>
      <c r="F666" s="488">
        <f t="shared" ref="F666:G667" si="118">F667</f>
        <v>870.84</v>
      </c>
      <c r="G666" s="488">
        <f t="shared" si="118"/>
        <v>870.84</v>
      </c>
    </row>
    <row r="667" spans="1:12" ht="47.25" x14ac:dyDescent="0.25">
      <c r="A667" s="572" t="s">
        <v>890</v>
      </c>
      <c r="B667" s="495" t="s">
        <v>264</v>
      </c>
      <c r="C667" s="495" t="s">
        <v>213</v>
      </c>
      <c r="D667" s="495" t="s">
        <v>888</v>
      </c>
      <c r="E667" s="504"/>
      <c r="F667" s="488">
        <f t="shared" si="118"/>
        <v>870.84</v>
      </c>
      <c r="G667" s="488">
        <f t="shared" si="118"/>
        <v>870.84</v>
      </c>
    </row>
    <row r="668" spans="1:12" ht="47.25" x14ac:dyDescent="0.25">
      <c r="A668" s="98" t="s">
        <v>780</v>
      </c>
      <c r="B668" s="580" t="s">
        <v>264</v>
      </c>
      <c r="C668" s="580" t="s">
        <v>213</v>
      </c>
      <c r="D668" s="580" t="s">
        <v>936</v>
      </c>
      <c r="E668" s="498"/>
      <c r="F668" s="489">
        <f>F669</f>
        <v>870.84</v>
      </c>
      <c r="G668" s="489">
        <f>G669</f>
        <v>870.84</v>
      </c>
    </row>
    <row r="669" spans="1:12" ht="36.75" customHeight="1" x14ac:dyDescent="0.25">
      <c r="A669" s="29" t="s">
        <v>272</v>
      </c>
      <c r="B669" s="580" t="s">
        <v>264</v>
      </c>
      <c r="C669" s="580" t="s">
        <v>213</v>
      </c>
      <c r="D669" s="580" t="s">
        <v>936</v>
      </c>
      <c r="E669" s="498" t="s">
        <v>273</v>
      </c>
      <c r="F669" s="489">
        <f t="shared" ref="F669:G669" si="119">F670</f>
        <v>870.84</v>
      </c>
      <c r="G669" s="489">
        <f t="shared" si="119"/>
        <v>870.84</v>
      </c>
    </row>
    <row r="670" spans="1:12" ht="15.75" x14ac:dyDescent="0.25">
      <c r="A670" s="182" t="s">
        <v>274</v>
      </c>
      <c r="B670" s="580" t="s">
        <v>264</v>
      </c>
      <c r="C670" s="580" t="s">
        <v>213</v>
      </c>
      <c r="D670" s="580" t="s">
        <v>936</v>
      </c>
      <c r="E670" s="498" t="s">
        <v>275</v>
      </c>
      <c r="F670" s="489">
        <f>'Пр.4.1 ведом.23-24 '!G745</f>
        <v>870.84</v>
      </c>
      <c r="G670" s="489">
        <f>'Пр.4.1 ведом.23-24 '!H745</f>
        <v>870.84</v>
      </c>
    </row>
    <row r="671" spans="1:12" ht="15.75" x14ac:dyDescent="0.25">
      <c r="A671" s="572" t="s">
        <v>265</v>
      </c>
      <c r="B671" s="7" t="s">
        <v>264</v>
      </c>
      <c r="C671" s="7" t="s">
        <v>215</v>
      </c>
      <c r="D671" s="495"/>
      <c r="E671" s="7"/>
      <c r="F671" s="488">
        <f>F672+F695+F732+F727</f>
        <v>64156.460000000006</v>
      </c>
      <c r="G671" s="488">
        <f>G672+G695+G732+G727</f>
        <v>64156.460000000006</v>
      </c>
    </row>
    <row r="672" spans="1:12" ht="39.75" customHeight="1" x14ac:dyDescent="0.25">
      <c r="A672" s="494" t="s">
        <v>1358</v>
      </c>
      <c r="B672" s="495" t="s">
        <v>264</v>
      </c>
      <c r="C672" s="495" t="s">
        <v>215</v>
      </c>
      <c r="D672" s="495" t="s">
        <v>406</v>
      </c>
      <c r="E672" s="495"/>
      <c r="F672" s="488">
        <f>F673+F680+F691</f>
        <v>41937</v>
      </c>
      <c r="G672" s="488">
        <f>G673+G680+G691</f>
        <v>41937</v>
      </c>
      <c r="L672" s="22"/>
    </row>
    <row r="673" spans="1:7" ht="31.5" x14ac:dyDescent="0.25">
      <c r="A673" s="494" t="s">
        <v>937</v>
      </c>
      <c r="B673" s="495" t="s">
        <v>264</v>
      </c>
      <c r="C673" s="495" t="s">
        <v>215</v>
      </c>
      <c r="D673" s="495" t="s">
        <v>1230</v>
      </c>
      <c r="E673" s="495"/>
      <c r="F673" s="488">
        <f>F674+F677</f>
        <v>38490</v>
      </c>
      <c r="G673" s="488">
        <f>G674+G677</f>
        <v>38490</v>
      </c>
    </row>
    <row r="674" spans="1:7" ht="47.25" x14ac:dyDescent="0.25">
      <c r="A674" s="579" t="s">
        <v>270</v>
      </c>
      <c r="B674" s="580" t="s">
        <v>264</v>
      </c>
      <c r="C674" s="580" t="s">
        <v>215</v>
      </c>
      <c r="D674" s="580" t="s">
        <v>1260</v>
      </c>
      <c r="E674" s="580"/>
      <c r="F674" s="489">
        <f t="shared" ref="F674:G674" si="120">F675</f>
        <v>38490</v>
      </c>
      <c r="G674" s="489">
        <f t="shared" si="120"/>
        <v>38490</v>
      </c>
    </row>
    <row r="675" spans="1:7" ht="40.700000000000003" customHeight="1" x14ac:dyDescent="0.25">
      <c r="A675" s="579" t="s">
        <v>272</v>
      </c>
      <c r="B675" s="580" t="s">
        <v>264</v>
      </c>
      <c r="C675" s="580" t="s">
        <v>215</v>
      </c>
      <c r="D675" s="580" t="s">
        <v>1260</v>
      </c>
      <c r="E675" s="580" t="s">
        <v>273</v>
      </c>
      <c r="F675" s="489">
        <f>F676</f>
        <v>38490</v>
      </c>
      <c r="G675" s="489">
        <f>G676</f>
        <v>38490</v>
      </c>
    </row>
    <row r="676" spans="1:7" ht="15.75" x14ac:dyDescent="0.25">
      <c r="A676" s="579" t="s">
        <v>274</v>
      </c>
      <c r="B676" s="580" t="s">
        <v>264</v>
      </c>
      <c r="C676" s="580" t="s">
        <v>215</v>
      </c>
      <c r="D676" s="580" t="s">
        <v>1260</v>
      </c>
      <c r="E676" s="580" t="s">
        <v>275</v>
      </c>
      <c r="F676" s="489">
        <f>'Пр.4.1 ведом.23-24 '!G751</f>
        <v>38490</v>
      </c>
      <c r="G676" s="489">
        <f>'Пр.4.1 ведом.23-24 '!H751</f>
        <v>38490</v>
      </c>
    </row>
    <row r="677" spans="1:7" ht="31.5" x14ac:dyDescent="0.25">
      <c r="A677" s="31" t="s">
        <v>1505</v>
      </c>
      <c r="B677" s="580" t="s">
        <v>264</v>
      </c>
      <c r="C677" s="580" t="s">
        <v>215</v>
      </c>
      <c r="D677" s="580" t="s">
        <v>1504</v>
      </c>
      <c r="E677" s="580"/>
      <c r="F677" s="489">
        <f>F678</f>
        <v>0</v>
      </c>
      <c r="G677" s="489">
        <f>G678</f>
        <v>0</v>
      </c>
    </row>
    <row r="678" spans="1:7" ht="31.5" x14ac:dyDescent="0.25">
      <c r="A678" s="579" t="s">
        <v>272</v>
      </c>
      <c r="B678" s="580" t="s">
        <v>264</v>
      </c>
      <c r="C678" s="580" t="s">
        <v>215</v>
      </c>
      <c r="D678" s="580" t="s">
        <v>1504</v>
      </c>
      <c r="E678" s="580" t="s">
        <v>273</v>
      </c>
      <c r="F678" s="489">
        <f>F679</f>
        <v>0</v>
      </c>
      <c r="G678" s="489">
        <f>G679</f>
        <v>0</v>
      </c>
    </row>
    <row r="679" spans="1:7" ht="15.75" x14ac:dyDescent="0.25">
      <c r="A679" s="31" t="s">
        <v>274</v>
      </c>
      <c r="B679" s="580" t="s">
        <v>264</v>
      </c>
      <c r="C679" s="580" t="s">
        <v>215</v>
      </c>
      <c r="D679" s="580" t="s">
        <v>1504</v>
      </c>
      <c r="E679" s="580" t="s">
        <v>273</v>
      </c>
      <c r="F679" s="489">
        <f>'Пр.4 ведом.22'!G753</f>
        <v>0</v>
      </c>
      <c r="G679" s="489">
        <f>'Пр.4 ведом.22'!H753</f>
        <v>0</v>
      </c>
    </row>
    <row r="680" spans="1:7" ht="47.25" x14ac:dyDescent="0.25">
      <c r="A680" s="494" t="s">
        <v>900</v>
      </c>
      <c r="B680" s="495" t="s">
        <v>264</v>
      </c>
      <c r="C680" s="495" t="s">
        <v>215</v>
      </c>
      <c r="D680" s="495" t="s">
        <v>1232</v>
      </c>
      <c r="E680" s="495"/>
      <c r="F680" s="488">
        <f>F681+F684</f>
        <v>2243</v>
      </c>
      <c r="G680" s="488">
        <f>G681+G684</f>
        <v>2243</v>
      </c>
    </row>
    <row r="681" spans="1:7" ht="94.5" x14ac:dyDescent="0.25">
      <c r="A681" s="31" t="s">
        <v>293</v>
      </c>
      <c r="B681" s="580" t="s">
        <v>264</v>
      </c>
      <c r="C681" s="580" t="s">
        <v>215</v>
      </c>
      <c r="D681" s="580" t="s">
        <v>1390</v>
      </c>
      <c r="E681" s="580"/>
      <c r="F681" s="489">
        <f>F682</f>
        <v>1400</v>
      </c>
      <c r="G681" s="489">
        <f>G682</f>
        <v>1400</v>
      </c>
    </row>
    <row r="682" spans="1:7" ht="31.5" x14ac:dyDescent="0.25">
      <c r="A682" s="579" t="s">
        <v>272</v>
      </c>
      <c r="B682" s="580" t="s">
        <v>264</v>
      </c>
      <c r="C682" s="580" t="s">
        <v>215</v>
      </c>
      <c r="D682" s="580" t="s">
        <v>1390</v>
      </c>
      <c r="E682" s="580" t="s">
        <v>273</v>
      </c>
      <c r="F682" s="489">
        <f t="shared" ref="F682:G682" si="121">F683</f>
        <v>1400</v>
      </c>
      <c r="G682" s="489">
        <f t="shared" si="121"/>
        <v>1400</v>
      </c>
    </row>
    <row r="683" spans="1:7" ht="15.75" x14ac:dyDescent="0.25">
      <c r="A683" s="579" t="s">
        <v>274</v>
      </c>
      <c r="B683" s="580" t="s">
        <v>264</v>
      </c>
      <c r="C683" s="580" t="s">
        <v>215</v>
      </c>
      <c r="D683" s="580" t="s">
        <v>1390</v>
      </c>
      <c r="E683" s="580" t="s">
        <v>275</v>
      </c>
      <c r="F683" s="489">
        <f>'Пр.4.1 ведом.23-24 '!G758</f>
        <v>1400</v>
      </c>
      <c r="G683" s="489">
        <f>'Пр.4.1 ведом.23-24 '!H758</f>
        <v>1400</v>
      </c>
    </row>
    <row r="684" spans="1:7" ht="47.25" x14ac:dyDescent="0.25">
      <c r="A684" s="579" t="s">
        <v>1766</v>
      </c>
      <c r="B684" s="580" t="s">
        <v>264</v>
      </c>
      <c r="C684" s="580" t="s">
        <v>215</v>
      </c>
      <c r="D684" s="580" t="s">
        <v>1767</v>
      </c>
      <c r="E684" s="580"/>
      <c r="F684" s="489">
        <f t="shared" ref="F684:G684" si="122">F685</f>
        <v>843</v>
      </c>
      <c r="G684" s="489">
        <f t="shared" si="122"/>
        <v>843</v>
      </c>
    </row>
    <row r="685" spans="1:7" ht="31.5" x14ac:dyDescent="0.25">
      <c r="A685" s="579" t="s">
        <v>272</v>
      </c>
      <c r="B685" s="580" t="s">
        <v>264</v>
      </c>
      <c r="C685" s="580" t="s">
        <v>215</v>
      </c>
      <c r="D685" s="580" t="s">
        <v>1767</v>
      </c>
      <c r="E685" s="580" t="s">
        <v>273</v>
      </c>
      <c r="F685" s="489">
        <f>F686</f>
        <v>843</v>
      </c>
      <c r="G685" s="489">
        <f>G686</f>
        <v>843</v>
      </c>
    </row>
    <row r="686" spans="1:7" ht="15.75" x14ac:dyDescent="0.25">
      <c r="A686" s="579" t="s">
        <v>274</v>
      </c>
      <c r="B686" s="580" t="s">
        <v>264</v>
      </c>
      <c r="C686" s="580" t="s">
        <v>215</v>
      </c>
      <c r="D686" s="580" t="s">
        <v>1767</v>
      </c>
      <c r="E686" s="580" t="s">
        <v>275</v>
      </c>
      <c r="F686" s="489">
        <f>'Пр.4.1 ведом.23-24 '!G761</f>
        <v>843</v>
      </c>
      <c r="G686" s="489">
        <f>'Пр.4.1 ведом.23-24 '!H761</f>
        <v>843</v>
      </c>
    </row>
    <row r="687" spans="1:7" ht="31.7" hidden="1" customHeight="1" x14ac:dyDescent="0.25">
      <c r="A687" s="494" t="s">
        <v>1252</v>
      </c>
      <c r="B687" s="495" t="s">
        <v>264</v>
      </c>
      <c r="C687" s="495" t="s">
        <v>215</v>
      </c>
      <c r="D687" s="495" t="s">
        <v>1237</v>
      </c>
      <c r="E687" s="495"/>
      <c r="F687" s="488">
        <f t="shared" ref="F687:G689" si="123">F688</f>
        <v>0</v>
      </c>
      <c r="G687" s="488">
        <f t="shared" si="123"/>
        <v>0</v>
      </c>
    </row>
    <row r="688" spans="1:7" ht="35.450000000000003" hidden="1" customHeight="1" x14ac:dyDescent="0.25">
      <c r="A688" s="45" t="s">
        <v>766</v>
      </c>
      <c r="B688" s="580" t="s">
        <v>264</v>
      </c>
      <c r="C688" s="580" t="s">
        <v>215</v>
      </c>
      <c r="D688" s="580" t="s">
        <v>1329</v>
      </c>
      <c r="E688" s="580"/>
      <c r="F688" s="489">
        <f t="shared" si="123"/>
        <v>0</v>
      </c>
      <c r="G688" s="489">
        <f t="shared" si="123"/>
        <v>0</v>
      </c>
    </row>
    <row r="689" spans="1:7" ht="39.75" hidden="1" customHeight="1" x14ac:dyDescent="0.25">
      <c r="A689" s="31" t="s">
        <v>272</v>
      </c>
      <c r="B689" s="580" t="s">
        <v>264</v>
      </c>
      <c r="C689" s="580" t="s">
        <v>215</v>
      </c>
      <c r="D689" s="580" t="s">
        <v>1329</v>
      </c>
      <c r="E689" s="580" t="s">
        <v>273</v>
      </c>
      <c r="F689" s="489">
        <f t="shared" si="123"/>
        <v>0</v>
      </c>
      <c r="G689" s="489">
        <f t="shared" si="123"/>
        <v>0</v>
      </c>
    </row>
    <row r="690" spans="1:7" ht="19.5" hidden="1" customHeight="1" x14ac:dyDescent="0.25">
      <c r="A690" s="31" t="s">
        <v>274</v>
      </c>
      <c r="B690" s="580" t="s">
        <v>264</v>
      </c>
      <c r="C690" s="580" t="s">
        <v>215</v>
      </c>
      <c r="D690" s="580" t="s">
        <v>1329</v>
      </c>
      <c r="E690" s="580" t="s">
        <v>275</v>
      </c>
      <c r="F690" s="489">
        <f>'Пр.4 ведом.22'!G764</f>
        <v>0</v>
      </c>
      <c r="G690" s="489">
        <f>'Пр.4 ведом.22'!H764</f>
        <v>0</v>
      </c>
    </row>
    <row r="691" spans="1:7" ht="33" customHeight="1" x14ac:dyDescent="0.25">
      <c r="A691" s="219" t="s">
        <v>948</v>
      </c>
      <c r="B691" s="495" t="s">
        <v>264</v>
      </c>
      <c r="C691" s="495" t="s">
        <v>215</v>
      </c>
      <c r="D691" s="495" t="s">
        <v>1240</v>
      </c>
      <c r="E691" s="495"/>
      <c r="F691" s="488">
        <f>F692</f>
        <v>1204</v>
      </c>
      <c r="G691" s="488">
        <f>G692</f>
        <v>1204</v>
      </c>
    </row>
    <row r="692" spans="1:7" ht="38.1" customHeight="1" x14ac:dyDescent="0.25">
      <c r="A692" s="45" t="s">
        <v>764</v>
      </c>
      <c r="B692" s="580" t="s">
        <v>264</v>
      </c>
      <c r="C692" s="580" t="s">
        <v>215</v>
      </c>
      <c r="D692" s="580" t="s">
        <v>1241</v>
      </c>
      <c r="E692" s="580"/>
      <c r="F692" s="489">
        <f>F693</f>
        <v>1204</v>
      </c>
      <c r="G692" s="489">
        <f>G693</f>
        <v>1204</v>
      </c>
    </row>
    <row r="693" spans="1:7" ht="31.5" x14ac:dyDescent="0.25">
      <c r="A693" s="579" t="s">
        <v>272</v>
      </c>
      <c r="B693" s="580" t="s">
        <v>264</v>
      </c>
      <c r="C693" s="580" t="s">
        <v>215</v>
      </c>
      <c r="D693" s="580" t="s">
        <v>1241</v>
      </c>
      <c r="E693" s="580" t="s">
        <v>273</v>
      </c>
      <c r="F693" s="489">
        <f t="shared" ref="F693:G693" si="124">F694</f>
        <v>1204</v>
      </c>
      <c r="G693" s="489">
        <f t="shared" si="124"/>
        <v>1204</v>
      </c>
    </row>
    <row r="694" spans="1:7" ht="15.75" x14ac:dyDescent="0.25">
      <c r="A694" s="31" t="s">
        <v>274</v>
      </c>
      <c r="B694" s="580" t="s">
        <v>264</v>
      </c>
      <c r="C694" s="580" t="s">
        <v>215</v>
      </c>
      <c r="D694" s="580" t="s">
        <v>1241</v>
      </c>
      <c r="E694" s="580" t="s">
        <v>275</v>
      </c>
      <c r="F694" s="489">
        <f>'Пр.4.1 ведом.23-24 '!G769</f>
        <v>1204</v>
      </c>
      <c r="G694" s="489">
        <f>'Пр.4.1 ведом.23-24 '!H769</f>
        <v>1204</v>
      </c>
    </row>
    <row r="695" spans="1:7" ht="34.5" customHeight="1" x14ac:dyDescent="0.25">
      <c r="A695" s="494" t="s">
        <v>1367</v>
      </c>
      <c r="B695" s="495" t="s">
        <v>264</v>
      </c>
      <c r="C695" s="495" t="s">
        <v>215</v>
      </c>
      <c r="D695" s="495" t="s">
        <v>267</v>
      </c>
      <c r="E695" s="495"/>
      <c r="F695" s="488">
        <f>F696+F707+F716+F720</f>
        <v>21420.16</v>
      </c>
      <c r="G695" s="488">
        <f>G696+G707+G716+G720</f>
        <v>21420.16</v>
      </c>
    </row>
    <row r="696" spans="1:7" ht="36" customHeight="1" x14ac:dyDescent="0.25">
      <c r="A696" s="494" t="s">
        <v>1299</v>
      </c>
      <c r="B696" s="495" t="s">
        <v>264</v>
      </c>
      <c r="C696" s="495" t="s">
        <v>215</v>
      </c>
      <c r="D696" s="495" t="s">
        <v>1203</v>
      </c>
      <c r="E696" s="495"/>
      <c r="F696" s="488">
        <f>F697+F704</f>
        <v>19489.759999999998</v>
      </c>
      <c r="G696" s="488">
        <f>G697+G704</f>
        <v>19489.759999999998</v>
      </c>
    </row>
    <row r="697" spans="1:7" ht="15.75" x14ac:dyDescent="0.25">
      <c r="A697" s="579" t="s">
        <v>800</v>
      </c>
      <c r="B697" s="580" t="s">
        <v>264</v>
      </c>
      <c r="C697" s="580" t="s">
        <v>215</v>
      </c>
      <c r="D697" s="580" t="s">
        <v>1204</v>
      </c>
      <c r="E697" s="580"/>
      <c r="F697" s="489">
        <f>F698+F700+F702</f>
        <v>19489.759999999998</v>
      </c>
      <c r="G697" s="489">
        <f>G698+G700+G702</f>
        <v>19489.759999999998</v>
      </c>
    </row>
    <row r="698" spans="1:7" ht="78.75" x14ac:dyDescent="0.25">
      <c r="A698" s="579" t="s">
        <v>127</v>
      </c>
      <c r="B698" s="580" t="s">
        <v>264</v>
      </c>
      <c r="C698" s="580" t="s">
        <v>215</v>
      </c>
      <c r="D698" s="580" t="s">
        <v>1204</v>
      </c>
      <c r="E698" s="580" t="s">
        <v>128</v>
      </c>
      <c r="F698" s="489">
        <f>F699</f>
        <v>17442.599999999999</v>
      </c>
      <c r="G698" s="489">
        <f>G699</f>
        <v>17442.599999999999</v>
      </c>
    </row>
    <row r="699" spans="1:7" ht="21.2" customHeight="1" x14ac:dyDescent="0.25">
      <c r="A699" s="46" t="s">
        <v>342</v>
      </c>
      <c r="B699" s="580" t="s">
        <v>264</v>
      </c>
      <c r="C699" s="580" t="s">
        <v>215</v>
      </c>
      <c r="D699" s="580" t="s">
        <v>1204</v>
      </c>
      <c r="E699" s="580" t="s">
        <v>209</v>
      </c>
      <c r="F699" s="489">
        <f>'Пр.4.1 ведом.23-24 '!G304</f>
        <v>17442.599999999999</v>
      </c>
      <c r="G699" s="489">
        <f>'Пр.4.1 ведом.23-24 '!H304</f>
        <v>17442.599999999999</v>
      </c>
    </row>
    <row r="700" spans="1:7" ht="31.5" x14ac:dyDescent="0.25">
      <c r="A700" s="579" t="s">
        <v>131</v>
      </c>
      <c r="B700" s="580" t="s">
        <v>264</v>
      </c>
      <c r="C700" s="580" t="s">
        <v>215</v>
      </c>
      <c r="D700" s="580" t="s">
        <v>1204</v>
      </c>
      <c r="E700" s="580" t="s">
        <v>132</v>
      </c>
      <c r="F700" s="489">
        <f>F701</f>
        <v>1974.16</v>
      </c>
      <c r="G700" s="489">
        <f>G701</f>
        <v>1974.16</v>
      </c>
    </row>
    <row r="701" spans="1:7" ht="31.5" x14ac:dyDescent="0.25">
      <c r="A701" s="579" t="s">
        <v>133</v>
      </c>
      <c r="B701" s="580" t="s">
        <v>264</v>
      </c>
      <c r="C701" s="580" t="s">
        <v>215</v>
      </c>
      <c r="D701" s="580" t="s">
        <v>1204</v>
      </c>
      <c r="E701" s="580" t="s">
        <v>134</v>
      </c>
      <c r="F701" s="489">
        <f>'Пр.4.1 ведом.23-24 '!G306</f>
        <v>1974.16</v>
      </c>
      <c r="G701" s="489">
        <f>'Пр.4.1 ведом.23-24 '!H306</f>
        <v>1974.16</v>
      </c>
    </row>
    <row r="702" spans="1:7" ht="15.75" x14ac:dyDescent="0.25">
      <c r="A702" s="579" t="s">
        <v>135</v>
      </c>
      <c r="B702" s="580" t="s">
        <v>264</v>
      </c>
      <c r="C702" s="580" t="s">
        <v>215</v>
      </c>
      <c r="D702" s="580" t="s">
        <v>1204</v>
      </c>
      <c r="E702" s="580" t="s">
        <v>145</v>
      </c>
      <c r="F702" s="489">
        <f>F703</f>
        <v>73</v>
      </c>
      <c r="G702" s="489">
        <f>G703</f>
        <v>73</v>
      </c>
    </row>
    <row r="703" spans="1:7" ht="15.75" x14ac:dyDescent="0.25">
      <c r="A703" s="579" t="s">
        <v>704</v>
      </c>
      <c r="B703" s="580" t="s">
        <v>264</v>
      </c>
      <c r="C703" s="580" t="s">
        <v>215</v>
      </c>
      <c r="D703" s="580" t="s">
        <v>1204</v>
      </c>
      <c r="E703" s="580" t="s">
        <v>138</v>
      </c>
      <c r="F703" s="489">
        <f>'Пр.4.1 ведом.23-24 '!G308</f>
        <v>73</v>
      </c>
      <c r="G703" s="489">
        <f>'Пр.4.1 ведом.23-24 '!H308</f>
        <v>73</v>
      </c>
    </row>
    <row r="704" spans="1:7" ht="31.5" hidden="1" x14ac:dyDescent="0.25">
      <c r="A704" s="31" t="s">
        <v>1505</v>
      </c>
      <c r="B704" s="580" t="s">
        <v>264</v>
      </c>
      <c r="C704" s="580" t="s">
        <v>215</v>
      </c>
      <c r="D704" s="580" t="s">
        <v>1481</v>
      </c>
      <c r="E704" s="580"/>
      <c r="F704" s="489">
        <f>F705</f>
        <v>0</v>
      </c>
      <c r="G704" s="489">
        <f>G705</f>
        <v>0</v>
      </c>
    </row>
    <row r="705" spans="1:7" ht="78.75" hidden="1" x14ac:dyDescent="0.25">
      <c r="A705" s="579" t="s">
        <v>127</v>
      </c>
      <c r="B705" s="580" t="s">
        <v>264</v>
      </c>
      <c r="C705" s="580" t="s">
        <v>215</v>
      </c>
      <c r="D705" s="580" t="s">
        <v>1481</v>
      </c>
      <c r="E705" s="580" t="s">
        <v>128</v>
      </c>
      <c r="F705" s="489">
        <f>F706</f>
        <v>0</v>
      </c>
      <c r="G705" s="489">
        <f>G706</f>
        <v>0</v>
      </c>
    </row>
    <row r="706" spans="1:7" ht="15.75" hidden="1" x14ac:dyDescent="0.25">
      <c r="A706" s="579" t="s">
        <v>208</v>
      </c>
      <c r="B706" s="580" t="s">
        <v>264</v>
      </c>
      <c r="C706" s="580" t="s">
        <v>215</v>
      </c>
      <c r="D706" s="580" t="s">
        <v>1481</v>
      </c>
      <c r="E706" s="580" t="s">
        <v>209</v>
      </c>
      <c r="F706" s="489">
        <f>'Пр.4 ведом.22'!G310</f>
        <v>0</v>
      </c>
      <c r="G706" s="489">
        <f>'Пр.4 ведом.22'!H310</f>
        <v>0</v>
      </c>
    </row>
    <row r="707" spans="1:7" ht="31.5" x14ac:dyDescent="0.25">
      <c r="A707" s="216" t="s">
        <v>1302</v>
      </c>
      <c r="B707" s="495" t="s">
        <v>264</v>
      </c>
      <c r="C707" s="495" t="s">
        <v>215</v>
      </c>
      <c r="D707" s="495" t="s">
        <v>1205</v>
      </c>
      <c r="E707" s="495"/>
      <c r="F707" s="488">
        <f>F708+F711</f>
        <v>292</v>
      </c>
      <c r="G707" s="488">
        <f>G708+G711</f>
        <v>292</v>
      </c>
    </row>
    <row r="708" spans="1:7" ht="31.5" x14ac:dyDescent="0.25">
      <c r="A708" s="195" t="s">
        <v>799</v>
      </c>
      <c r="B708" s="580" t="s">
        <v>264</v>
      </c>
      <c r="C708" s="580" t="s">
        <v>215</v>
      </c>
      <c r="D708" s="580" t="s">
        <v>1206</v>
      </c>
      <c r="E708" s="580"/>
      <c r="F708" s="489">
        <f>F709</f>
        <v>42</v>
      </c>
      <c r="G708" s="489">
        <f>G709</f>
        <v>42</v>
      </c>
    </row>
    <row r="709" spans="1:7" ht="20.25" customHeight="1" x14ac:dyDescent="0.25">
      <c r="A709" s="579" t="s">
        <v>248</v>
      </c>
      <c r="B709" s="580" t="s">
        <v>264</v>
      </c>
      <c r="C709" s="580" t="s">
        <v>215</v>
      </c>
      <c r="D709" s="580" t="s">
        <v>1206</v>
      </c>
      <c r="E709" s="580" t="s">
        <v>249</v>
      </c>
      <c r="F709" s="489">
        <f>F710</f>
        <v>42</v>
      </c>
      <c r="G709" s="489">
        <f>G710</f>
        <v>42</v>
      </c>
    </row>
    <row r="710" spans="1:7" ht="15.75" x14ac:dyDescent="0.25">
      <c r="A710" s="579" t="s">
        <v>820</v>
      </c>
      <c r="B710" s="580" t="s">
        <v>264</v>
      </c>
      <c r="C710" s="580" t="s">
        <v>215</v>
      </c>
      <c r="D710" s="580" t="s">
        <v>1206</v>
      </c>
      <c r="E710" s="580" t="s">
        <v>819</v>
      </c>
      <c r="F710" s="489">
        <f>'Пр.4.1 ведом.23-24 '!G315</f>
        <v>42</v>
      </c>
      <c r="G710" s="489">
        <f>'Пр.4.1 ведом.23-24 '!H315</f>
        <v>42</v>
      </c>
    </row>
    <row r="711" spans="1:7" ht="31.5" x14ac:dyDescent="0.25">
      <c r="A711" s="31" t="s">
        <v>816</v>
      </c>
      <c r="B711" s="580" t="s">
        <v>264</v>
      </c>
      <c r="C711" s="580" t="s">
        <v>215</v>
      </c>
      <c r="D711" s="580" t="s">
        <v>1207</v>
      </c>
      <c r="E711" s="580"/>
      <c r="F711" s="489">
        <f>F712+F714</f>
        <v>250</v>
      </c>
      <c r="G711" s="489">
        <f>G712+G714</f>
        <v>250</v>
      </c>
    </row>
    <row r="712" spans="1:7" ht="78.75" x14ac:dyDescent="0.25">
      <c r="A712" s="579" t="s">
        <v>127</v>
      </c>
      <c r="B712" s="580" t="s">
        <v>264</v>
      </c>
      <c r="C712" s="580" t="s">
        <v>215</v>
      </c>
      <c r="D712" s="580" t="s">
        <v>1207</v>
      </c>
      <c r="E712" s="580" t="s">
        <v>128</v>
      </c>
      <c r="F712" s="489">
        <f>F713</f>
        <v>250</v>
      </c>
      <c r="G712" s="489">
        <f>G713</f>
        <v>250</v>
      </c>
    </row>
    <row r="713" spans="1:7" ht="18.75" customHeight="1" x14ac:dyDescent="0.25">
      <c r="A713" s="46" t="s">
        <v>342</v>
      </c>
      <c r="B713" s="580" t="s">
        <v>264</v>
      </c>
      <c r="C713" s="580" t="s">
        <v>215</v>
      </c>
      <c r="D713" s="580" t="s">
        <v>1207</v>
      </c>
      <c r="E713" s="580" t="s">
        <v>209</v>
      </c>
      <c r="F713" s="489">
        <f>'Пр.4.1 ведом.23-24 '!G318</f>
        <v>250</v>
      </c>
      <c r="G713" s="489">
        <f>'Пр.4.1 ведом.23-24 '!H318</f>
        <v>250</v>
      </c>
    </row>
    <row r="714" spans="1:7" ht="31.5" hidden="1" x14ac:dyDescent="0.25">
      <c r="A714" s="579" t="s">
        <v>131</v>
      </c>
      <c r="B714" s="580" t="s">
        <v>264</v>
      </c>
      <c r="C714" s="580" t="s">
        <v>215</v>
      </c>
      <c r="D714" s="580" t="s">
        <v>1207</v>
      </c>
      <c r="E714" s="580" t="s">
        <v>132</v>
      </c>
      <c r="F714" s="489">
        <f>F715</f>
        <v>0</v>
      </c>
      <c r="G714" s="489">
        <f>G715</f>
        <v>0</v>
      </c>
    </row>
    <row r="715" spans="1:7" ht="31.5" hidden="1" x14ac:dyDescent="0.25">
      <c r="A715" s="579" t="s">
        <v>133</v>
      </c>
      <c r="B715" s="580" t="s">
        <v>264</v>
      </c>
      <c r="C715" s="580" t="s">
        <v>215</v>
      </c>
      <c r="D715" s="580" t="s">
        <v>1207</v>
      </c>
      <c r="E715" s="580" t="s">
        <v>134</v>
      </c>
      <c r="F715" s="489">
        <f>'Пр.4 ведом.22'!G319</f>
        <v>0</v>
      </c>
      <c r="G715" s="489">
        <f>'Пр.4 ведом.22'!H319</f>
        <v>0</v>
      </c>
    </row>
    <row r="716" spans="1:7" ht="31.5" x14ac:dyDescent="0.25">
      <c r="A716" s="494" t="s">
        <v>947</v>
      </c>
      <c r="B716" s="495" t="s">
        <v>264</v>
      </c>
      <c r="C716" s="495" t="s">
        <v>215</v>
      </c>
      <c r="D716" s="495" t="s">
        <v>1208</v>
      </c>
      <c r="E716" s="495"/>
      <c r="F716" s="488">
        <f t="shared" ref="F716:G718" si="125">F717</f>
        <v>473</v>
      </c>
      <c r="G716" s="488">
        <f t="shared" si="125"/>
        <v>473</v>
      </c>
    </row>
    <row r="717" spans="1:7" ht="47.25" x14ac:dyDescent="0.25">
      <c r="A717" s="579" t="s">
        <v>839</v>
      </c>
      <c r="B717" s="580" t="s">
        <v>264</v>
      </c>
      <c r="C717" s="580" t="s">
        <v>215</v>
      </c>
      <c r="D717" s="580" t="s">
        <v>1209</v>
      </c>
      <c r="E717" s="580"/>
      <c r="F717" s="489">
        <f t="shared" si="125"/>
        <v>473</v>
      </c>
      <c r="G717" s="489">
        <f t="shared" si="125"/>
        <v>473</v>
      </c>
    </row>
    <row r="718" spans="1:7" ht="78.75" x14ac:dyDescent="0.25">
      <c r="A718" s="579" t="s">
        <v>127</v>
      </c>
      <c r="B718" s="580" t="s">
        <v>264</v>
      </c>
      <c r="C718" s="580" t="s">
        <v>215</v>
      </c>
      <c r="D718" s="580" t="s">
        <v>1209</v>
      </c>
      <c r="E718" s="580" t="s">
        <v>128</v>
      </c>
      <c r="F718" s="489">
        <f t="shared" si="125"/>
        <v>473</v>
      </c>
      <c r="G718" s="489">
        <f t="shared" si="125"/>
        <v>473</v>
      </c>
    </row>
    <row r="719" spans="1:7" ht="31.5" x14ac:dyDescent="0.25">
      <c r="A719" s="579" t="s">
        <v>129</v>
      </c>
      <c r="B719" s="580" t="s">
        <v>264</v>
      </c>
      <c r="C719" s="580" t="s">
        <v>215</v>
      </c>
      <c r="D719" s="580" t="s">
        <v>1209</v>
      </c>
      <c r="E719" s="580" t="s">
        <v>209</v>
      </c>
      <c r="F719" s="489">
        <f>'Пр.4.1 ведом.23-24 '!G324</f>
        <v>473</v>
      </c>
      <c r="G719" s="489">
        <f>'Пр.4.1 ведом.23-24 '!H324</f>
        <v>473</v>
      </c>
    </row>
    <row r="720" spans="1:7" ht="47.25" x14ac:dyDescent="0.25">
      <c r="A720" s="494" t="s">
        <v>900</v>
      </c>
      <c r="B720" s="495" t="s">
        <v>264</v>
      </c>
      <c r="C720" s="495" t="s">
        <v>215</v>
      </c>
      <c r="D720" s="495" t="s">
        <v>1210</v>
      </c>
      <c r="E720" s="495"/>
      <c r="F720" s="488">
        <f>F721+F724</f>
        <v>1165.4000000000001</v>
      </c>
      <c r="G720" s="488">
        <f>G721+G724</f>
        <v>1165.4000000000001</v>
      </c>
    </row>
    <row r="721" spans="1:7" ht="94.5" x14ac:dyDescent="0.25">
      <c r="A721" s="31" t="s">
        <v>293</v>
      </c>
      <c r="B721" s="580" t="s">
        <v>264</v>
      </c>
      <c r="C721" s="580" t="s">
        <v>215</v>
      </c>
      <c r="D721" s="580" t="s">
        <v>1403</v>
      </c>
      <c r="E721" s="580"/>
      <c r="F721" s="489">
        <f>F722</f>
        <v>761</v>
      </c>
      <c r="G721" s="489">
        <f>G722</f>
        <v>761</v>
      </c>
    </row>
    <row r="722" spans="1:7" ht="78.75" x14ac:dyDescent="0.25">
      <c r="A722" s="579" t="s">
        <v>127</v>
      </c>
      <c r="B722" s="580" t="s">
        <v>264</v>
      </c>
      <c r="C722" s="580" t="s">
        <v>215</v>
      </c>
      <c r="D722" s="580" t="s">
        <v>1403</v>
      </c>
      <c r="E722" s="580" t="s">
        <v>128</v>
      </c>
      <c r="F722" s="489">
        <f>F723</f>
        <v>761</v>
      </c>
      <c r="G722" s="489">
        <f>G723</f>
        <v>761</v>
      </c>
    </row>
    <row r="723" spans="1:7" ht="22.7" customHeight="1" x14ac:dyDescent="0.25">
      <c r="A723" s="46" t="s">
        <v>342</v>
      </c>
      <c r="B723" s="580" t="s">
        <v>264</v>
      </c>
      <c r="C723" s="580" t="s">
        <v>215</v>
      </c>
      <c r="D723" s="580" t="s">
        <v>1403</v>
      </c>
      <c r="E723" s="580" t="s">
        <v>209</v>
      </c>
      <c r="F723" s="489">
        <f>'Пр.4.1 ведом.23-24 '!G328</f>
        <v>761</v>
      </c>
      <c r="G723" s="489">
        <f>'Пр.4.1 ведом.23-24 '!H328</f>
        <v>761</v>
      </c>
    </row>
    <row r="724" spans="1:7" ht="47.25" x14ac:dyDescent="0.25">
      <c r="A724" s="579" t="s">
        <v>1766</v>
      </c>
      <c r="B724" s="580" t="s">
        <v>264</v>
      </c>
      <c r="C724" s="580" t="s">
        <v>215</v>
      </c>
      <c r="D724" s="580" t="s">
        <v>1768</v>
      </c>
      <c r="E724" s="580"/>
      <c r="F724" s="489">
        <f>F725</f>
        <v>404.4</v>
      </c>
      <c r="G724" s="489">
        <f>G725</f>
        <v>404.4</v>
      </c>
    </row>
    <row r="725" spans="1:7" ht="78.75" x14ac:dyDescent="0.25">
      <c r="A725" s="579" t="s">
        <v>127</v>
      </c>
      <c r="B725" s="580" t="s">
        <v>264</v>
      </c>
      <c r="C725" s="580" t="s">
        <v>215</v>
      </c>
      <c r="D725" s="580" t="s">
        <v>1768</v>
      </c>
      <c r="E725" s="580" t="s">
        <v>128</v>
      </c>
      <c r="F725" s="489">
        <f>F726</f>
        <v>404.4</v>
      </c>
      <c r="G725" s="489">
        <f>G726</f>
        <v>404.4</v>
      </c>
    </row>
    <row r="726" spans="1:7" ht="21.2" customHeight="1" x14ac:dyDescent="0.25">
      <c r="A726" s="46" t="s">
        <v>342</v>
      </c>
      <c r="B726" s="580" t="s">
        <v>264</v>
      </c>
      <c r="C726" s="580" t="s">
        <v>215</v>
      </c>
      <c r="D726" s="580" t="s">
        <v>1768</v>
      </c>
      <c r="E726" s="580" t="s">
        <v>209</v>
      </c>
      <c r="F726" s="489">
        <f>'Пр.4.1 ведом.23-24 '!G331</f>
        <v>404.4</v>
      </c>
      <c r="G726" s="489">
        <f>'Пр.4.1 ведом.23-24 '!H331</f>
        <v>404.4</v>
      </c>
    </row>
    <row r="727" spans="1:7" ht="45.75" customHeight="1" x14ac:dyDescent="0.25">
      <c r="A727" s="34" t="s">
        <v>1357</v>
      </c>
      <c r="B727" s="495" t="s">
        <v>264</v>
      </c>
      <c r="C727" s="495" t="s">
        <v>215</v>
      </c>
      <c r="D727" s="495" t="s">
        <v>324</v>
      </c>
      <c r="E727" s="495"/>
      <c r="F727" s="493">
        <f>F729</f>
        <v>6</v>
      </c>
      <c r="G727" s="493">
        <f>G729</f>
        <v>6</v>
      </c>
    </row>
    <row r="728" spans="1:7" ht="63.2" customHeight="1" x14ac:dyDescent="0.25">
      <c r="A728" s="34" t="s">
        <v>1025</v>
      </c>
      <c r="B728" s="495" t="s">
        <v>264</v>
      </c>
      <c r="C728" s="495" t="s">
        <v>215</v>
      </c>
      <c r="D728" s="495" t="s">
        <v>934</v>
      </c>
      <c r="E728" s="495"/>
      <c r="F728" s="493">
        <f>F731</f>
        <v>6</v>
      </c>
      <c r="G728" s="493">
        <f>G731</f>
        <v>6</v>
      </c>
    </row>
    <row r="729" spans="1:7" ht="51" customHeight="1" x14ac:dyDescent="0.25">
      <c r="A729" s="31" t="s">
        <v>1080</v>
      </c>
      <c r="B729" s="580" t="s">
        <v>264</v>
      </c>
      <c r="C729" s="580" t="s">
        <v>215</v>
      </c>
      <c r="D729" s="580" t="s">
        <v>1026</v>
      </c>
      <c r="E729" s="580"/>
      <c r="F729" s="497">
        <f>F730</f>
        <v>6</v>
      </c>
      <c r="G729" s="497">
        <f>G730</f>
        <v>6</v>
      </c>
    </row>
    <row r="730" spans="1:7" ht="39.4" customHeight="1" x14ac:dyDescent="0.25">
      <c r="A730" s="579" t="s">
        <v>131</v>
      </c>
      <c r="B730" s="580" t="s">
        <v>264</v>
      </c>
      <c r="C730" s="580" t="s">
        <v>215</v>
      </c>
      <c r="D730" s="580" t="s">
        <v>1026</v>
      </c>
      <c r="E730" s="580" t="s">
        <v>132</v>
      </c>
      <c r="F730" s="497">
        <f>F731</f>
        <v>6</v>
      </c>
      <c r="G730" s="497">
        <f>G731</f>
        <v>6</v>
      </c>
    </row>
    <row r="731" spans="1:7" ht="35.450000000000003" customHeight="1" x14ac:dyDescent="0.25">
      <c r="A731" s="579" t="s">
        <v>133</v>
      </c>
      <c r="B731" s="580" t="s">
        <v>264</v>
      </c>
      <c r="C731" s="580" t="s">
        <v>215</v>
      </c>
      <c r="D731" s="580" t="s">
        <v>1026</v>
      </c>
      <c r="E731" s="580" t="s">
        <v>134</v>
      </c>
      <c r="F731" s="497">
        <f>'Пр.4.1 ведом.23-24 '!G336</f>
        <v>6</v>
      </c>
      <c r="G731" s="497">
        <f>'Пр.4.1 ведом.23-24 '!H336</f>
        <v>6</v>
      </c>
    </row>
    <row r="732" spans="1:7" ht="47.25" x14ac:dyDescent="0.25">
      <c r="A732" s="572" t="s">
        <v>1352</v>
      </c>
      <c r="B732" s="495" t="s">
        <v>264</v>
      </c>
      <c r="C732" s="495" t="s">
        <v>215</v>
      </c>
      <c r="D732" s="495" t="s">
        <v>705</v>
      </c>
      <c r="E732" s="495"/>
      <c r="F732" s="488">
        <f>F733</f>
        <v>793.3</v>
      </c>
      <c r="G732" s="488">
        <f>G733</f>
        <v>793.3</v>
      </c>
    </row>
    <row r="733" spans="1:7" ht="47.25" x14ac:dyDescent="0.25">
      <c r="A733" s="572" t="s">
        <v>890</v>
      </c>
      <c r="B733" s="495" t="s">
        <v>264</v>
      </c>
      <c r="C733" s="495" t="s">
        <v>215</v>
      </c>
      <c r="D733" s="495" t="s">
        <v>888</v>
      </c>
      <c r="E733" s="495"/>
      <c r="F733" s="488">
        <f>F734+F737</f>
        <v>793.3</v>
      </c>
      <c r="G733" s="488">
        <f>G734+G737</f>
        <v>793.3</v>
      </c>
    </row>
    <row r="734" spans="1:7" ht="35.450000000000003" customHeight="1" x14ac:dyDescent="0.25">
      <c r="A734" s="98" t="s">
        <v>1004</v>
      </c>
      <c r="B734" s="580" t="s">
        <v>264</v>
      </c>
      <c r="C734" s="580" t="s">
        <v>215</v>
      </c>
      <c r="D734" s="580" t="s">
        <v>889</v>
      </c>
      <c r="E734" s="498"/>
      <c r="F734" s="489">
        <f>F735</f>
        <v>490.9</v>
      </c>
      <c r="G734" s="489">
        <f>G735</f>
        <v>490.9</v>
      </c>
    </row>
    <row r="735" spans="1:7" ht="31.5" x14ac:dyDescent="0.25">
      <c r="A735" s="579" t="s">
        <v>131</v>
      </c>
      <c r="B735" s="580" t="s">
        <v>264</v>
      </c>
      <c r="C735" s="580" t="s">
        <v>215</v>
      </c>
      <c r="D735" s="580" t="s">
        <v>889</v>
      </c>
      <c r="E735" s="498" t="s">
        <v>132</v>
      </c>
      <c r="F735" s="489">
        <f>F736</f>
        <v>490.9</v>
      </c>
      <c r="G735" s="489">
        <f>G736</f>
        <v>490.9</v>
      </c>
    </row>
    <row r="736" spans="1:7" ht="36.75" customHeight="1" x14ac:dyDescent="0.25">
      <c r="A736" s="579" t="s">
        <v>133</v>
      </c>
      <c r="B736" s="580" t="s">
        <v>264</v>
      </c>
      <c r="C736" s="580" t="s">
        <v>215</v>
      </c>
      <c r="D736" s="580" t="s">
        <v>889</v>
      </c>
      <c r="E736" s="498" t="s">
        <v>134</v>
      </c>
      <c r="F736" s="489">
        <f>'Пр.4.1 ведом.23-24 '!G341</f>
        <v>490.9</v>
      </c>
      <c r="G736" s="489">
        <f>'Пр.4.1 ведом.23-24 '!H341</f>
        <v>490.9</v>
      </c>
    </row>
    <row r="737" spans="1:7" ht="47.25" x14ac:dyDescent="0.25">
      <c r="A737" s="98" t="s">
        <v>780</v>
      </c>
      <c r="B737" s="580" t="s">
        <v>264</v>
      </c>
      <c r="C737" s="580" t="s">
        <v>215</v>
      </c>
      <c r="D737" s="580" t="s">
        <v>936</v>
      </c>
      <c r="E737" s="498"/>
      <c r="F737" s="489">
        <f>F738</f>
        <v>302.39999999999998</v>
      </c>
      <c r="G737" s="489">
        <f>G738</f>
        <v>302.39999999999998</v>
      </c>
    </row>
    <row r="738" spans="1:7" ht="31.5" x14ac:dyDescent="0.25">
      <c r="A738" s="29" t="s">
        <v>272</v>
      </c>
      <c r="B738" s="580" t="s">
        <v>264</v>
      </c>
      <c r="C738" s="580" t="s">
        <v>215</v>
      </c>
      <c r="D738" s="580" t="s">
        <v>936</v>
      </c>
      <c r="E738" s="498" t="s">
        <v>273</v>
      </c>
      <c r="F738" s="489">
        <f>F739</f>
        <v>302.39999999999998</v>
      </c>
      <c r="G738" s="489">
        <f>G739</f>
        <v>302.39999999999998</v>
      </c>
    </row>
    <row r="739" spans="1:7" ht="15.75" x14ac:dyDescent="0.25">
      <c r="A739" s="182" t="s">
        <v>274</v>
      </c>
      <c r="B739" s="580" t="s">
        <v>264</v>
      </c>
      <c r="C739" s="580" t="s">
        <v>215</v>
      </c>
      <c r="D739" s="580" t="s">
        <v>936</v>
      </c>
      <c r="E739" s="498" t="s">
        <v>275</v>
      </c>
      <c r="F739" s="489">
        <f>'Пр.4.1 ведом.23-24 '!G778</f>
        <v>302.39999999999998</v>
      </c>
      <c r="G739" s="489">
        <f>'Пр.4.1 ведом.23-24 '!H778</f>
        <v>302.39999999999998</v>
      </c>
    </row>
    <row r="740" spans="1:7" ht="15.75" x14ac:dyDescent="0.25">
      <c r="A740" s="494" t="s">
        <v>466</v>
      </c>
      <c r="B740" s="495" t="s">
        <v>264</v>
      </c>
      <c r="C740" s="495" t="s">
        <v>264</v>
      </c>
      <c r="D740" s="495"/>
      <c r="E740" s="504"/>
      <c r="F740" s="488">
        <f>F741+F760</f>
        <v>8438.6</v>
      </c>
      <c r="G740" s="488">
        <f>G741+G760</f>
        <v>8609.7000000000007</v>
      </c>
    </row>
    <row r="741" spans="1:7" ht="47.25" x14ac:dyDescent="0.25">
      <c r="A741" s="494" t="s">
        <v>1378</v>
      </c>
      <c r="B741" s="495" t="s">
        <v>264</v>
      </c>
      <c r="C741" s="495" t="s">
        <v>264</v>
      </c>
      <c r="D741" s="495" t="s">
        <v>344</v>
      </c>
      <c r="E741" s="495"/>
      <c r="F741" s="488">
        <f>F742</f>
        <v>760.1</v>
      </c>
      <c r="G741" s="488">
        <f>G742</f>
        <v>760.1</v>
      </c>
    </row>
    <row r="742" spans="1:7" ht="31.5" x14ac:dyDescent="0.25">
      <c r="A742" s="494" t="s">
        <v>345</v>
      </c>
      <c r="B742" s="495" t="s">
        <v>264</v>
      </c>
      <c r="C742" s="495" t="s">
        <v>264</v>
      </c>
      <c r="D742" s="495" t="s">
        <v>346</v>
      </c>
      <c r="E742" s="495"/>
      <c r="F742" s="488">
        <f>F743+F750+F756</f>
        <v>760.1</v>
      </c>
      <c r="G742" s="488">
        <f>G743+G750+G756</f>
        <v>760.1</v>
      </c>
    </row>
    <row r="743" spans="1:7" ht="47.25" x14ac:dyDescent="0.25">
      <c r="A743" s="571" t="s">
        <v>1029</v>
      </c>
      <c r="B743" s="495" t="s">
        <v>264</v>
      </c>
      <c r="C743" s="495" t="s">
        <v>264</v>
      </c>
      <c r="D743" s="495" t="s">
        <v>892</v>
      </c>
      <c r="E743" s="495"/>
      <c r="F743" s="488">
        <f>F744+F747</f>
        <v>280</v>
      </c>
      <c r="G743" s="488">
        <f>G744+G747</f>
        <v>280</v>
      </c>
    </row>
    <row r="744" spans="1:7" ht="31.5" x14ac:dyDescent="0.25">
      <c r="A744" s="98" t="s">
        <v>1035</v>
      </c>
      <c r="B744" s="580" t="s">
        <v>264</v>
      </c>
      <c r="C744" s="580" t="s">
        <v>264</v>
      </c>
      <c r="D744" s="580" t="s">
        <v>893</v>
      </c>
      <c r="E744" s="580"/>
      <c r="F744" s="489">
        <f>F745</f>
        <v>280</v>
      </c>
      <c r="G744" s="489">
        <f>G745</f>
        <v>280</v>
      </c>
    </row>
    <row r="745" spans="1:7" ht="78.75" x14ac:dyDescent="0.25">
      <c r="A745" s="579" t="s">
        <v>127</v>
      </c>
      <c r="B745" s="580" t="s">
        <v>264</v>
      </c>
      <c r="C745" s="580" t="s">
        <v>264</v>
      </c>
      <c r="D745" s="580" t="s">
        <v>893</v>
      </c>
      <c r="E745" s="580" t="s">
        <v>128</v>
      </c>
      <c r="F745" s="489">
        <f>F746</f>
        <v>280</v>
      </c>
      <c r="G745" s="489">
        <f>G746</f>
        <v>280</v>
      </c>
    </row>
    <row r="746" spans="1:7" ht="17.45" customHeight="1" x14ac:dyDescent="0.25">
      <c r="A746" s="579" t="s">
        <v>342</v>
      </c>
      <c r="B746" s="580" t="s">
        <v>264</v>
      </c>
      <c r="C746" s="580" t="s">
        <v>264</v>
      </c>
      <c r="D746" s="580" t="s">
        <v>893</v>
      </c>
      <c r="E746" s="580" t="s">
        <v>209</v>
      </c>
      <c r="F746" s="489">
        <f>'Пр.4.1 ведом.23-24 '!G348</f>
        <v>280</v>
      </c>
      <c r="G746" s="489">
        <f>'Пр.4.1 ведом.23-24 '!H348</f>
        <v>280</v>
      </c>
    </row>
    <row r="747" spans="1:7" ht="19.5" hidden="1" customHeight="1" x14ac:dyDescent="0.25">
      <c r="A747" s="579" t="s">
        <v>1030</v>
      </c>
      <c r="B747" s="580" t="s">
        <v>264</v>
      </c>
      <c r="C747" s="580" t="s">
        <v>264</v>
      </c>
      <c r="D747" s="580" t="s">
        <v>1046</v>
      </c>
      <c r="E747" s="580"/>
      <c r="F747" s="489">
        <f>F748</f>
        <v>0</v>
      </c>
      <c r="G747" s="489">
        <f>G748</f>
        <v>0</v>
      </c>
    </row>
    <row r="748" spans="1:7" ht="31.5" hidden="1" x14ac:dyDescent="0.25">
      <c r="A748" s="579" t="s">
        <v>131</v>
      </c>
      <c r="B748" s="580" t="s">
        <v>264</v>
      </c>
      <c r="C748" s="580" t="s">
        <v>264</v>
      </c>
      <c r="D748" s="580" t="s">
        <v>1046</v>
      </c>
      <c r="E748" s="580" t="s">
        <v>132</v>
      </c>
      <c r="F748" s="489">
        <f>F749</f>
        <v>0</v>
      </c>
      <c r="G748" s="489">
        <f>G749</f>
        <v>0</v>
      </c>
    </row>
    <row r="749" spans="1:7" ht="31.5" hidden="1" x14ac:dyDescent="0.25">
      <c r="A749" s="579" t="s">
        <v>133</v>
      </c>
      <c r="B749" s="580" t="s">
        <v>264</v>
      </c>
      <c r="C749" s="580" t="s">
        <v>264</v>
      </c>
      <c r="D749" s="580" t="s">
        <v>1046</v>
      </c>
      <c r="E749" s="580" t="s">
        <v>134</v>
      </c>
      <c r="F749" s="489">
        <f>'Пр.4 ведом.22'!G350</f>
        <v>0</v>
      </c>
      <c r="G749" s="489">
        <f>'Пр.4 ведом.22'!H350</f>
        <v>0</v>
      </c>
    </row>
    <row r="750" spans="1:7" ht="63" x14ac:dyDescent="0.25">
      <c r="A750" s="494" t="s">
        <v>1031</v>
      </c>
      <c r="B750" s="495" t="s">
        <v>264</v>
      </c>
      <c r="C750" s="495" t="s">
        <v>264</v>
      </c>
      <c r="D750" s="495" t="s">
        <v>894</v>
      </c>
      <c r="E750" s="495"/>
      <c r="F750" s="488">
        <f>F751</f>
        <v>455.1</v>
      </c>
      <c r="G750" s="488">
        <f>G751</f>
        <v>455.1</v>
      </c>
    </row>
    <row r="751" spans="1:7" ht="15.75" x14ac:dyDescent="0.25">
      <c r="A751" s="579" t="s">
        <v>1032</v>
      </c>
      <c r="B751" s="580" t="s">
        <v>264</v>
      </c>
      <c r="C751" s="580" t="s">
        <v>264</v>
      </c>
      <c r="D751" s="580" t="s">
        <v>901</v>
      </c>
      <c r="E751" s="580"/>
      <c r="F751" s="489">
        <f>F752+F754</f>
        <v>455.1</v>
      </c>
      <c r="G751" s="489">
        <f>G752+G754</f>
        <v>455.1</v>
      </c>
    </row>
    <row r="752" spans="1:7" ht="78.75" x14ac:dyDescent="0.25">
      <c r="A752" s="579" t="s">
        <v>127</v>
      </c>
      <c r="B752" s="580" t="s">
        <v>264</v>
      </c>
      <c r="C752" s="580" t="s">
        <v>264</v>
      </c>
      <c r="D752" s="580" t="s">
        <v>901</v>
      </c>
      <c r="E752" s="580" t="s">
        <v>128</v>
      </c>
      <c r="F752" s="489">
        <f>F753</f>
        <v>40.1</v>
      </c>
      <c r="G752" s="489">
        <f>G753</f>
        <v>40.1</v>
      </c>
    </row>
    <row r="753" spans="1:7" ht="18.75" customHeight="1" x14ac:dyDescent="0.25">
      <c r="A753" s="579" t="s">
        <v>342</v>
      </c>
      <c r="B753" s="580" t="s">
        <v>264</v>
      </c>
      <c r="C753" s="580" t="s">
        <v>264</v>
      </c>
      <c r="D753" s="580" t="s">
        <v>901</v>
      </c>
      <c r="E753" s="580" t="s">
        <v>209</v>
      </c>
      <c r="F753" s="489">
        <f>'Пр.4.1 ведом.23-24 '!G355</f>
        <v>40.1</v>
      </c>
      <c r="G753" s="489">
        <f>'Пр.4.1 ведом.23-24 '!H355</f>
        <v>40.1</v>
      </c>
    </row>
    <row r="754" spans="1:7" ht="31.5" x14ac:dyDescent="0.25">
      <c r="A754" s="579" t="s">
        <v>131</v>
      </c>
      <c r="B754" s="580" t="s">
        <v>264</v>
      </c>
      <c r="C754" s="580" t="s">
        <v>264</v>
      </c>
      <c r="D754" s="580" t="s">
        <v>901</v>
      </c>
      <c r="E754" s="580" t="s">
        <v>132</v>
      </c>
      <c r="F754" s="489">
        <f>F755</f>
        <v>415</v>
      </c>
      <c r="G754" s="489">
        <f>G755</f>
        <v>415</v>
      </c>
    </row>
    <row r="755" spans="1:7" ht="31.5" x14ac:dyDescent="0.25">
      <c r="A755" s="579" t="s">
        <v>133</v>
      </c>
      <c r="B755" s="580" t="s">
        <v>264</v>
      </c>
      <c r="C755" s="580" t="s">
        <v>264</v>
      </c>
      <c r="D755" s="580" t="s">
        <v>901</v>
      </c>
      <c r="E755" s="580" t="s">
        <v>134</v>
      </c>
      <c r="F755" s="489">
        <f>'Пр.4.1 ведом.23-24 '!G357</f>
        <v>415</v>
      </c>
      <c r="G755" s="489">
        <f>'Пр.4.1 ведом.23-24 '!H357</f>
        <v>415</v>
      </c>
    </row>
    <row r="756" spans="1:7" ht="31.5" x14ac:dyDescent="0.25">
      <c r="A756" s="494" t="s">
        <v>1406</v>
      </c>
      <c r="B756" s="495" t="s">
        <v>264</v>
      </c>
      <c r="C756" s="495" t="s">
        <v>264</v>
      </c>
      <c r="D756" s="495" t="s">
        <v>1033</v>
      </c>
      <c r="E756" s="495"/>
      <c r="F756" s="488">
        <f t="shared" ref="F756:G758" si="126">F757</f>
        <v>25</v>
      </c>
      <c r="G756" s="488">
        <f t="shared" si="126"/>
        <v>25</v>
      </c>
    </row>
    <row r="757" spans="1:7" ht="47.25" x14ac:dyDescent="0.25">
      <c r="A757" s="231" t="s">
        <v>1034</v>
      </c>
      <c r="B757" s="580" t="s">
        <v>264</v>
      </c>
      <c r="C757" s="580" t="s">
        <v>264</v>
      </c>
      <c r="D757" s="580" t="s">
        <v>1047</v>
      </c>
      <c r="E757" s="580"/>
      <c r="F757" s="489">
        <f t="shared" si="126"/>
        <v>25</v>
      </c>
      <c r="G757" s="489">
        <f t="shared" si="126"/>
        <v>25</v>
      </c>
    </row>
    <row r="758" spans="1:7" ht="21.2" customHeight="1" x14ac:dyDescent="0.25">
      <c r="A758" s="579" t="s">
        <v>248</v>
      </c>
      <c r="B758" s="580" t="s">
        <v>264</v>
      </c>
      <c r="C758" s="580" t="s">
        <v>264</v>
      </c>
      <c r="D758" s="580" t="s">
        <v>1047</v>
      </c>
      <c r="E758" s="580" t="s">
        <v>249</v>
      </c>
      <c r="F758" s="489">
        <f t="shared" si="126"/>
        <v>25</v>
      </c>
      <c r="G758" s="489">
        <f t="shared" si="126"/>
        <v>25</v>
      </c>
    </row>
    <row r="759" spans="1:7" ht="31.5" x14ac:dyDescent="0.25">
      <c r="A759" s="579" t="s">
        <v>348</v>
      </c>
      <c r="B759" s="580" t="s">
        <v>264</v>
      </c>
      <c r="C759" s="580" t="s">
        <v>264</v>
      </c>
      <c r="D759" s="580" t="s">
        <v>1047</v>
      </c>
      <c r="E759" s="580" t="s">
        <v>349</v>
      </c>
      <c r="F759" s="489">
        <f>'Пр.4.1 ведом.23-24 '!G361</f>
        <v>25</v>
      </c>
      <c r="G759" s="489">
        <f>'Пр.4.1 ведом.23-24 '!H361</f>
        <v>25</v>
      </c>
    </row>
    <row r="760" spans="1:7" ht="36.75" customHeight="1" x14ac:dyDescent="0.25">
      <c r="A760" s="494" t="s">
        <v>1356</v>
      </c>
      <c r="B760" s="495" t="s">
        <v>264</v>
      </c>
      <c r="C760" s="495" t="s">
        <v>264</v>
      </c>
      <c r="D760" s="495" t="s">
        <v>406</v>
      </c>
      <c r="E760" s="495"/>
      <c r="F760" s="488">
        <f t="shared" ref="F760:G763" si="127">F761</f>
        <v>7678.5</v>
      </c>
      <c r="G760" s="488">
        <f t="shared" si="127"/>
        <v>7849.6</v>
      </c>
    </row>
    <row r="761" spans="1:7" ht="31.5" x14ac:dyDescent="0.25">
      <c r="A761" s="494" t="s">
        <v>943</v>
      </c>
      <c r="B761" s="495" t="s">
        <v>264</v>
      </c>
      <c r="C761" s="495" t="s">
        <v>264</v>
      </c>
      <c r="D761" s="495" t="s">
        <v>1239</v>
      </c>
      <c r="E761" s="495"/>
      <c r="F761" s="488">
        <f t="shared" si="127"/>
        <v>7678.5</v>
      </c>
      <c r="G761" s="488">
        <f t="shared" si="127"/>
        <v>7849.6</v>
      </c>
    </row>
    <row r="762" spans="1:7" ht="42" customHeight="1" x14ac:dyDescent="0.25">
      <c r="A762" s="31" t="s">
        <v>1059</v>
      </c>
      <c r="B762" s="580" t="s">
        <v>264</v>
      </c>
      <c r="C762" s="580" t="s">
        <v>264</v>
      </c>
      <c r="D762" s="580" t="s">
        <v>1261</v>
      </c>
      <c r="E762" s="580"/>
      <c r="F762" s="489">
        <f t="shared" si="127"/>
        <v>7678.5</v>
      </c>
      <c r="G762" s="489">
        <f t="shared" si="127"/>
        <v>7849.6</v>
      </c>
    </row>
    <row r="763" spans="1:7" ht="35.450000000000003" customHeight="1" x14ac:dyDescent="0.25">
      <c r="A763" s="579" t="s">
        <v>272</v>
      </c>
      <c r="B763" s="580" t="s">
        <v>264</v>
      </c>
      <c r="C763" s="580" t="s">
        <v>264</v>
      </c>
      <c r="D763" s="580" t="s">
        <v>1261</v>
      </c>
      <c r="E763" s="580" t="s">
        <v>273</v>
      </c>
      <c r="F763" s="489">
        <f t="shared" si="127"/>
        <v>7678.5</v>
      </c>
      <c r="G763" s="489">
        <f t="shared" si="127"/>
        <v>7849.6</v>
      </c>
    </row>
    <row r="764" spans="1:7" ht="15.75" x14ac:dyDescent="0.25">
      <c r="A764" s="579" t="s">
        <v>274</v>
      </c>
      <c r="B764" s="580" t="s">
        <v>264</v>
      </c>
      <c r="C764" s="580" t="s">
        <v>264</v>
      </c>
      <c r="D764" s="580" t="s">
        <v>1261</v>
      </c>
      <c r="E764" s="580" t="s">
        <v>275</v>
      </c>
      <c r="F764" s="489">
        <f>'Пр.4.1 ведом.23-24 '!G784</f>
        <v>7678.5</v>
      </c>
      <c r="G764" s="489">
        <f>'Пр.4.1 ведом.23-24 '!H784</f>
        <v>7849.6</v>
      </c>
    </row>
    <row r="765" spans="1:7" ht="15" customHeight="1" x14ac:dyDescent="0.25">
      <c r="A765" s="494" t="s">
        <v>295</v>
      </c>
      <c r="B765" s="495" t="s">
        <v>264</v>
      </c>
      <c r="C765" s="495" t="s">
        <v>219</v>
      </c>
      <c r="D765" s="495"/>
      <c r="E765" s="495"/>
      <c r="F765" s="488">
        <f>F766+F783</f>
        <v>22178.25</v>
      </c>
      <c r="G765" s="488">
        <f>G766+G783</f>
        <v>22339.95</v>
      </c>
    </row>
    <row r="766" spans="1:7" ht="31.5" x14ac:dyDescent="0.25">
      <c r="A766" s="494" t="s">
        <v>917</v>
      </c>
      <c r="B766" s="495" t="s">
        <v>264</v>
      </c>
      <c r="C766" s="495" t="s">
        <v>219</v>
      </c>
      <c r="D766" s="495" t="s">
        <v>858</v>
      </c>
      <c r="E766" s="495"/>
      <c r="F766" s="488">
        <f>F767</f>
        <v>21678.25</v>
      </c>
      <c r="G766" s="488">
        <f>G767</f>
        <v>21839.95</v>
      </c>
    </row>
    <row r="767" spans="1:7" ht="15.75" x14ac:dyDescent="0.25">
      <c r="A767" s="494" t="s">
        <v>918</v>
      </c>
      <c r="B767" s="495" t="s">
        <v>264</v>
      </c>
      <c r="C767" s="495" t="s">
        <v>219</v>
      </c>
      <c r="D767" s="495" t="s">
        <v>859</v>
      </c>
      <c r="E767" s="495"/>
      <c r="F767" s="488">
        <f>F768+F780+F773</f>
        <v>21678.25</v>
      </c>
      <c r="G767" s="488">
        <f>G768+G780+G773</f>
        <v>21839.95</v>
      </c>
    </row>
    <row r="768" spans="1:7" ht="31.5" x14ac:dyDescent="0.25">
      <c r="A768" s="579" t="s">
        <v>897</v>
      </c>
      <c r="B768" s="580" t="s">
        <v>264</v>
      </c>
      <c r="C768" s="580" t="s">
        <v>219</v>
      </c>
      <c r="D768" s="580" t="s">
        <v>860</v>
      </c>
      <c r="E768" s="580"/>
      <c r="F768" s="489">
        <f>F769+F771</f>
        <v>6215.4</v>
      </c>
      <c r="G768" s="489">
        <f>G769+G771</f>
        <v>6334.1</v>
      </c>
    </row>
    <row r="769" spans="1:7" ht="78.75" x14ac:dyDescent="0.25">
      <c r="A769" s="579" t="s">
        <v>127</v>
      </c>
      <c r="B769" s="580" t="s">
        <v>264</v>
      </c>
      <c r="C769" s="580" t="s">
        <v>219</v>
      </c>
      <c r="D769" s="580" t="s">
        <v>860</v>
      </c>
      <c r="E769" s="580" t="s">
        <v>128</v>
      </c>
      <c r="F769" s="489">
        <f>F770</f>
        <v>5965.4</v>
      </c>
      <c r="G769" s="489">
        <f>G770</f>
        <v>6084.1</v>
      </c>
    </row>
    <row r="770" spans="1:7" ht="36.75" customHeight="1" x14ac:dyDescent="0.25">
      <c r="A770" s="579" t="s">
        <v>129</v>
      </c>
      <c r="B770" s="580" t="s">
        <v>264</v>
      </c>
      <c r="C770" s="580" t="s">
        <v>219</v>
      </c>
      <c r="D770" s="580" t="s">
        <v>860</v>
      </c>
      <c r="E770" s="580" t="s">
        <v>130</v>
      </c>
      <c r="F770" s="489">
        <f>'Пр.4.1 ведом.23-24 '!G790</f>
        <v>5965.4</v>
      </c>
      <c r="G770" s="489">
        <f>'Пр.4.1 ведом.23-24 '!H790</f>
        <v>6084.1</v>
      </c>
    </row>
    <row r="771" spans="1:7" ht="31.5" x14ac:dyDescent="0.25">
      <c r="A771" s="579" t="s">
        <v>131</v>
      </c>
      <c r="B771" s="580" t="s">
        <v>264</v>
      </c>
      <c r="C771" s="580" t="s">
        <v>219</v>
      </c>
      <c r="D771" s="580" t="s">
        <v>860</v>
      </c>
      <c r="E771" s="580" t="s">
        <v>132</v>
      </c>
      <c r="F771" s="489">
        <f>F772</f>
        <v>250</v>
      </c>
      <c r="G771" s="489">
        <f>G772</f>
        <v>250</v>
      </c>
    </row>
    <row r="772" spans="1:7" ht="31.5" x14ac:dyDescent="0.25">
      <c r="A772" s="579" t="s">
        <v>133</v>
      </c>
      <c r="B772" s="580" t="s">
        <v>264</v>
      </c>
      <c r="C772" s="580" t="s">
        <v>219</v>
      </c>
      <c r="D772" s="580" t="s">
        <v>860</v>
      </c>
      <c r="E772" s="580" t="s">
        <v>134</v>
      </c>
      <c r="F772" s="489">
        <f>'Пр.4.1 ведом.23-24 '!G792</f>
        <v>250</v>
      </c>
      <c r="G772" s="489">
        <f>'Пр.4.1 ведом.23-24 '!H792</f>
        <v>250</v>
      </c>
    </row>
    <row r="773" spans="1:7" ht="31.5" x14ac:dyDescent="0.25">
      <c r="A773" s="579" t="s">
        <v>840</v>
      </c>
      <c r="B773" s="580" t="s">
        <v>264</v>
      </c>
      <c r="C773" s="580" t="s">
        <v>219</v>
      </c>
      <c r="D773" s="580" t="s">
        <v>861</v>
      </c>
      <c r="E773" s="580"/>
      <c r="F773" s="489">
        <f>F774+F776+F778</f>
        <v>14987.85</v>
      </c>
      <c r="G773" s="489">
        <f>G774+G776+G778</f>
        <v>14987.85</v>
      </c>
    </row>
    <row r="774" spans="1:7" ht="78.75" x14ac:dyDescent="0.25">
      <c r="A774" s="579" t="s">
        <v>127</v>
      </c>
      <c r="B774" s="580" t="s">
        <v>264</v>
      </c>
      <c r="C774" s="580" t="s">
        <v>219</v>
      </c>
      <c r="D774" s="580" t="s">
        <v>861</v>
      </c>
      <c r="E774" s="580" t="s">
        <v>128</v>
      </c>
      <c r="F774" s="489">
        <f>F775</f>
        <v>13536.2</v>
      </c>
      <c r="G774" s="489">
        <f>G775</f>
        <v>13536.2</v>
      </c>
    </row>
    <row r="775" spans="1:7" ht="31.5" x14ac:dyDescent="0.25">
      <c r="A775" s="579" t="s">
        <v>129</v>
      </c>
      <c r="B775" s="580" t="s">
        <v>264</v>
      </c>
      <c r="C775" s="580" t="s">
        <v>219</v>
      </c>
      <c r="D775" s="580" t="s">
        <v>861</v>
      </c>
      <c r="E775" s="580" t="s">
        <v>130</v>
      </c>
      <c r="F775" s="489">
        <f>'Пр.4.1 ведом.23-24 '!G795</f>
        <v>13536.2</v>
      </c>
      <c r="G775" s="489">
        <f>'Пр.4.1 ведом.23-24 '!H795</f>
        <v>13536.2</v>
      </c>
    </row>
    <row r="776" spans="1:7" ht="31.5" x14ac:dyDescent="0.25">
      <c r="A776" s="579" t="s">
        <v>131</v>
      </c>
      <c r="B776" s="580" t="s">
        <v>264</v>
      </c>
      <c r="C776" s="580" t="s">
        <v>219</v>
      </c>
      <c r="D776" s="580" t="s">
        <v>861</v>
      </c>
      <c r="E776" s="580" t="s">
        <v>132</v>
      </c>
      <c r="F776" s="489">
        <f>F777</f>
        <v>1437.65</v>
      </c>
      <c r="G776" s="489">
        <f>G777</f>
        <v>1437.65</v>
      </c>
    </row>
    <row r="777" spans="1:7" ht="31.5" x14ac:dyDescent="0.25">
      <c r="A777" s="579" t="s">
        <v>133</v>
      </c>
      <c r="B777" s="580" t="s">
        <v>264</v>
      </c>
      <c r="C777" s="580" t="s">
        <v>219</v>
      </c>
      <c r="D777" s="580" t="s">
        <v>861</v>
      </c>
      <c r="E777" s="580" t="s">
        <v>134</v>
      </c>
      <c r="F777" s="489">
        <f>'Пр.4.1 ведом.23-24 '!G797</f>
        <v>1437.65</v>
      </c>
      <c r="G777" s="489">
        <f>'Пр.4.1 ведом.23-24 '!H797</f>
        <v>1437.65</v>
      </c>
    </row>
    <row r="778" spans="1:7" ht="15.75" x14ac:dyDescent="0.25">
      <c r="A778" s="579" t="s">
        <v>135</v>
      </c>
      <c r="B778" s="580" t="s">
        <v>264</v>
      </c>
      <c r="C778" s="580" t="s">
        <v>219</v>
      </c>
      <c r="D778" s="580" t="s">
        <v>861</v>
      </c>
      <c r="E778" s="580" t="s">
        <v>145</v>
      </c>
      <c r="F778" s="489">
        <f>F779</f>
        <v>14</v>
      </c>
      <c r="G778" s="489">
        <f>G779</f>
        <v>14</v>
      </c>
    </row>
    <row r="779" spans="1:7" ht="15.75" x14ac:dyDescent="0.25">
      <c r="A779" s="579" t="s">
        <v>568</v>
      </c>
      <c r="B779" s="580" t="s">
        <v>264</v>
      </c>
      <c r="C779" s="580" t="s">
        <v>219</v>
      </c>
      <c r="D779" s="580" t="s">
        <v>861</v>
      </c>
      <c r="E779" s="580" t="s">
        <v>138</v>
      </c>
      <c r="F779" s="489">
        <f>'Пр.4.1 ведом.23-24 '!G799</f>
        <v>14</v>
      </c>
      <c r="G779" s="489">
        <f>'Пр.4.1 ведом.23-24 '!H799</f>
        <v>14</v>
      </c>
    </row>
    <row r="780" spans="1:7" ht="47.25" x14ac:dyDescent="0.25">
      <c r="A780" s="579" t="s">
        <v>839</v>
      </c>
      <c r="B780" s="580" t="s">
        <v>264</v>
      </c>
      <c r="C780" s="580" t="s">
        <v>219</v>
      </c>
      <c r="D780" s="580" t="s">
        <v>862</v>
      </c>
      <c r="E780" s="580"/>
      <c r="F780" s="489">
        <f>F781</f>
        <v>475</v>
      </c>
      <c r="G780" s="489">
        <f>G781</f>
        <v>518</v>
      </c>
    </row>
    <row r="781" spans="1:7" ht="78.75" x14ac:dyDescent="0.25">
      <c r="A781" s="579" t="s">
        <v>127</v>
      </c>
      <c r="B781" s="580" t="s">
        <v>264</v>
      </c>
      <c r="C781" s="580" t="s">
        <v>219</v>
      </c>
      <c r="D781" s="580" t="s">
        <v>862</v>
      </c>
      <c r="E781" s="580" t="s">
        <v>128</v>
      </c>
      <c r="F781" s="489">
        <f>F782</f>
        <v>475</v>
      </c>
      <c r="G781" s="489">
        <f>G782</f>
        <v>518</v>
      </c>
    </row>
    <row r="782" spans="1:7" ht="31.5" x14ac:dyDescent="0.25">
      <c r="A782" s="579" t="s">
        <v>129</v>
      </c>
      <c r="B782" s="580" t="s">
        <v>264</v>
      </c>
      <c r="C782" s="580" t="s">
        <v>219</v>
      </c>
      <c r="D782" s="580" t="s">
        <v>862</v>
      </c>
      <c r="E782" s="580" t="s">
        <v>130</v>
      </c>
      <c r="F782" s="489">
        <f>'Пр.4.1 ведом.23-24 '!G802</f>
        <v>475</v>
      </c>
      <c r="G782" s="489">
        <f>'Пр.4.1 ведом.23-24 '!H802</f>
        <v>518</v>
      </c>
    </row>
    <row r="783" spans="1:7" ht="15.75" x14ac:dyDescent="0.25">
      <c r="A783" s="494" t="s">
        <v>141</v>
      </c>
      <c r="B783" s="495" t="s">
        <v>264</v>
      </c>
      <c r="C783" s="495" t="s">
        <v>219</v>
      </c>
      <c r="D783" s="495" t="s">
        <v>866</v>
      </c>
      <c r="E783" s="495"/>
      <c r="F783" s="488">
        <f>F784+F793</f>
        <v>500</v>
      </c>
      <c r="G783" s="488">
        <f>G784+G793</f>
        <v>500</v>
      </c>
    </row>
    <row r="784" spans="1:7" ht="31.5" x14ac:dyDescent="0.25">
      <c r="A784" s="494" t="s">
        <v>870</v>
      </c>
      <c r="B784" s="495" t="s">
        <v>264</v>
      </c>
      <c r="C784" s="495" t="s">
        <v>219</v>
      </c>
      <c r="D784" s="495" t="s">
        <v>865</v>
      </c>
      <c r="E784" s="495"/>
      <c r="F784" s="488">
        <f>F788+F785</f>
        <v>500</v>
      </c>
      <c r="G784" s="488">
        <f>G788+G785</f>
        <v>500</v>
      </c>
    </row>
    <row r="785" spans="1:7" ht="47.25" hidden="1" x14ac:dyDescent="0.25">
      <c r="A785" s="31" t="s">
        <v>1664</v>
      </c>
      <c r="B785" s="580" t="s">
        <v>264</v>
      </c>
      <c r="C785" s="580" t="s">
        <v>219</v>
      </c>
      <c r="D785" s="580" t="s">
        <v>1663</v>
      </c>
      <c r="E785" s="580"/>
      <c r="F785" s="489">
        <f>F786</f>
        <v>0</v>
      </c>
      <c r="G785" s="489">
        <f>G786</f>
        <v>0</v>
      </c>
    </row>
    <row r="786" spans="1:7" ht="31.5" hidden="1" x14ac:dyDescent="0.25">
      <c r="A786" s="579" t="s">
        <v>131</v>
      </c>
      <c r="B786" s="580" t="s">
        <v>264</v>
      </c>
      <c r="C786" s="580" t="s">
        <v>219</v>
      </c>
      <c r="D786" s="580" t="s">
        <v>1663</v>
      </c>
      <c r="E786" s="580" t="s">
        <v>132</v>
      </c>
      <c r="F786" s="489">
        <f>F787</f>
        <v>0</v>
      </c>
      <c r="G786" s="489">
        <f>G787</f>
        <v>0</v>
      </c>
    </row>
    <row r="787" spans="1:7" ht="31.5" hidden="1" x14ac:dyDescent="0.25">
      <c r="A787" s="579" t="s">
        <v>133</v>
      </c>
      <c r="B787" s="580" t="s">
        <v>264</v>
      </c>
      <c r="C787" s="580" t="s">
        <v>219</v>
      </c>
      <c r="D787" s="580" t="s">
        <v>1663</v>
      </c>
      <c r="E787" s="580" t="s">
        <v>134</v>
      </c>
      <c r="F787" s="489">
        <f>'Пр.4 ведом.22'!G365</f>
        <v>0</v>
      </c>
      <c r="G787" s="489">
        <f>'Пр.4 ведом.22'!H365</f>
        <v>0</v>
      </c>
    </row>
    <row r="788" spans="1:7" ht="15.75" x14ac:dyDescent="0.25">
      <c r="A788" s="579" t="s">
        <v>478</v>
      </c>
      <c r="B788" s="580" t="s">
        <v>264</v>
      </c>
      <c r="C788" s="580" t="s">
        <v>219</v>
      </c>
      <c r="D788" s="580" t="s">
        <v>944</v>
      </c>
      <c r="E788" s="580"/>
      <c r="F788" s="489">
        <f>F789+F791</f>
        <v>500</v>
      </c>
      <c r="G788" s="489">
        <f>G789+G791</f>
        <v>500</v>
      </c>
    </row>
    <row r="789" spans="1:7" ht="78.75" hidden="1" x14ac:dyDescent="0.25">
      <c r="A789" s="579" t="s">
        <v>127</v>
      </c>
      <c r="B789" s="580" t="s">
        <v>264</v>
      </c>
      <c r="C789" s="580" t="s">
        <v>219</v>
      </c>
      <c r="D789" s="580" t="s">
        <v>944</v>
      </c>
      <c r="E789" s="580" t="s">
        <v>128</v>
      </c>
      <c r="F789" s="489">
        <f>F790</f>
        <v>0</v>
      </c>
      <c r="G789" s="489">
        <f>G790</f>
        <v>0</v>
      </c>
    </row>
    <row r="790" spans="1:7" ht="31.5" hidden="1" x14ac:dyDescent="0.25">
      <c r="A790" s="579" t="s">
        <v>342</v>
      </c>
      <c r="B790" s="580" t="s">
        <v>264</v>
      </c>
      <c r="C790" s="580" t="s">
        <v>219</v>
      </c>
      <c r="D790" s="580" t="s">
        <v>944</v>
      </c>
      <c r="E790" s="580" t="s">
        <v>209</v>
      </c>
      <c r="F790" s="489">
        <f>'Пр.4 ведом.22'!G806</f>
        <v>0</v>
      </c>
      <c r="G790" s="489">
        <f>'Пр.4 ведом.22'!H806</f>
        <v>0</v>
      </c>
    </row>
    <row r="791" spans="1:7" ht="31.5" x14ac:dyDescent="0.25">
      <c r="A791" s="579" t="s">
        <v>131</v>
      </c>
      <c r="B791" s="580" t="s">
        <v>264</v>
      </c>
      <c r="C791" s="580" t="s">
        <v>219</v>
      </c>
      <c r="D791" s="580" t="s">
        <v>944</v>
      </c>
      <c r="E791" s="580" t="s">
        <v>132</v>
      </c>
      <c r="F791" s="489">
        <f>F792</f>
        <v>500</v>
      </c>
      <c r="G791" s="489">
        <f>G792</f>
        <v>500</v>
      </c>
    </row>
    <row r="792" spans="1:7" ht="39.75" customHeight="1" x14ac:dyDescent="0.25">
      <c r="A792" s="579" t="s">
        <v>133</v>
      </c>
      <c r="B792" s="580" t="s">
        <v>264</v>
      </c>
      <c r="C792" s="580" t="s">
        <v>219</v>
      </c>
      <c r="D792" s="580" t="s">
        <v>944</v>
      </c>
      <c r="E792" s="580" t="s">
        <v>134</v>
      </c>
      <c r="F792" s="489">
        <f>'Пр.4.1 ведом.23-24 '!G809</f>
        <v>500</v>
      </c>
      <c r="G792" s="489">
        <f>'Пр.4.1 ведом.23-24 '!H809</f>
        <v>500</v>
      </c>
    </row>
    <row r="793" spans="1:7" ht="36.75" hidden="1" customHeight="1" x14ac:dyDescent="0.25">
      <c r="A793" s="494" t="s">
        <v>929</v>
      </c>
      <c r="B793" s="495" t="s">
        <v>264</v>
      </c>
      <c r="C793" s="495" t="s">
        <v>219</v>
      </c>
      <c r="D793" s="495" t="s">
        <v>914</v>
      </c>
      <c r="E793" s="495"/>
      <c r="F793" s="488">
        <f>F794+F801</f>
        <v>0</v>
      </c>
      <c r="G793" s="488">
        <f>G794+G801</f>
        <v>0</v>
      </c>
    </row>
    <row r="794" spans="1:7" ht="31.5" hidden="1" x14ac:dyDescent="0.25">
      <c r="A794" s="579" t="s">
        <v>903</v>
      </c>
      <c r="B794" s="580" t="s">
        <v>264</v>
      </c>
      <c r="C794" s="580" t="s">
        <v>219</v>
      </c>
      <c r="D794" s="580" t="s">
        <v>915</v>
      </c>
      <c r="E794" s="580"/>
      <c r="F794" s="386">
        <f>F795+F797+F799</f>
        <v>0</v>
      </c>
      <c r="G794" s="386">
        <f>G795+G797+G799</f>
        <v>0</v>
      </c>
    </row>
    <row r="795" spans="1:7" ht="78.75" hidden="1" x14ac:dyDescent="0.25">
      <c r="A795" s="579" t="s">
        <v>127</v>
      </c>
      <c r="B795" s="580" t="s">
        <v>264</v>
      </c>
      <c r="C795" s="580" t="s">
        <v>219</v>
      </c>
      <c r="D795" s="580" t="s">
        <v>915</v>
      </c>
      <c r="E795" s="580" t="s">
        <v>128</v>
      </c>
      <c r="F795" s="386">
        <f>F796</f>
        <v>0</v>
      </c>
      <c r="G795" s="386">
        <f>G796</f>
        <v>0</v>
      </c>
    </row>
    <row r="796" spans="1:7" ht="24" hidden="1" customHeight="1" x14ac:dyDescent="0.25">
      <c r="A796" s="579" t="s">
        <v>342</v>
      </c>
      <c r="B796" s="580" t="s">
        <v>264</v>
      </c>
      <c r="C796" s="580" t="s">
        <v>219</v>
      </c>
      <c r="D796" s="580" t="s">
        <v>915</v>
      </c>
      <c r="E796" s="580" t="s">
        <v>209</v>
      </c>
      <c r="F796" s="489">
        <f>'Пр.4.1 ведом.23-24 '!G813</f>
        <v>0</v>
      </c>
      <c r="G796" s="489">
        <f>'Пр.4.1 ведом.23-24 '!H813</f>
        <v>0</v>
      </c>
    </row>
    <row r="797" spans="1:7" ht="31.5" hidden="1" x14ac:dyDescent="0.25">
      <c r="A797" s="579" t="s">
        <v>131</v>
      </c>
      <c r="B797" s="580" t="s">
        <v>264</v>
      </c>
      <c r="C797" s="580" t="s">
        <v>219</v>
      </c>
      <c r="D797" s="580" t="s">
        <v>915</v>
      </c>
      <c r="E797" s="580" t="s">
        <v>132</v>
      </c>
      <c r="F797" s="489">
        <f>F798</f>
        <v>0</v>
      </c>
      <c r="G797" s="489">
        <f>G798</f>
        <v>0</v>
      </c>
    </row>
    <row r="798" spans="1:7" ht="31.7" hidden="1" customHeight="1" x14ac:dyDescent="0.25">
      <c r="A798" s="579" t="s">
        <v>133</v>
      </c>
      <c r="B798" s="580" t="s">
        <v>264</v>
      </c>
      <c r="C798" s="580" t="s">
        <v>219</v>
      </c>
      <c r="D798" s="580" t="s">
        <v>915</v>
      </c>
      <c r="E798" s="580" t="s">
        <v>134</v>
      </c>
      <c r="F798" s="489">
        <f>'Пр.4.1 ведом.23-24 '!G815</f>
        <v>0</v>
      </c>
      <c r="G798" s="489">
        <f>'Пр.4.1 ведом.23-24 '!H815</f>
        <v>0</v>
      </c>
    </row>
    <row r="799" spans="1:7" ht="22.7" hidden="1" customHeight="1" x14ac:dyDescent="0.25">
      <c r="A799" s="579" t="s">
        <v>135</v>
      </c>
      <c r="B799" s="580" t="s">
        <v>264</v>
      </c>
      <c r="C799" s="580" t="s">
        <v>219</v>
      </c>
      <c r="D799" s="580" t="s">
        <v>915</v>
      </c>
      <c r="E799" s="580" t="s">
        <v>145</v>
      </c>
      <c r="F799" s="489">
        <f t="shared" ref="F799:G799" si="128">F800</f>
        <v>0</v>
      </c>
      <c r="G799" s="489">
        <f t="shared" si="128"/>
        <v>0</v>
      </c>
    </row>
    <row r="800" spans="1:7" ht="15.75" hidden="1" customHeight="1" x14ac:dyDescent="0.25">
      <c r="A800" s="579" t="s">
        <v>568</v>
      </c>
      <c r="B800" s="580" t="s">
        <v>264</v>
      </c>
      <c r="C800" s="580" t="s">
        <v>219</v>
      </c>
      <c r="D800" s="580" t="s">
        <v>915</v>
      </c>
      <c r="E800" s="580" t="s">
        <v>138</v>
      </c>
      <c r="F800" s="489">
        <f>'Пр.4.1 ведом.23-24 '!G817</f>
        <v>0</v>
      </c>
      <c r="G800" s="489">
        <f>'Пр.4.1 ведом.23-24 '!H817</f>
        <v>0</v>
      </c>
    </row>
    <row r="801" spans="1:12" ht="47.25" hidden="1" customHeight="1" x14ac:dyDescent="0.25">
      <c r="A801" s="579" t="s">
        <v>839</v>
      </c>
      <c r="B801" s="580" t="s">
        <v>264</v>
      </c>
      <c r="C801" s="580" t="s">
        <v>219</v>
      </c>
      <c r="D801" s="580" t="s">
        <v>916</v>
      </c>
      <c r="E801" s="580"/>
      <c r="F801" s="489">
        <f>F802</f>
        <v>0</v>
      </c>
      <c r="G801" s="489">
        <f>G802</f>
        <v>0</v>
      </c>
    </row>
    <row r="802" spans="1:12" ht="78.75" hidden="1" x14ac:dyDescent="0.25">
      <c r="A802" s="579" t="s">
        <v>127</v>
      </c>
      <c r="B802" s="580" t="s">
        <v>264</v>
      </c>
      <c r="C802" s="580" t="s">
        <v>219</v>
      </c>
      <c r="D802" s="580" t="s">
        <v>916</v>
      </c>
      <c r="E802" s="580" t="s">
        <v>128</v>
      </c>
      <c r="F802" s="489">
        <f>F803</f>
        <v>0</v>
      </c>
      <c r="G802" s="489">
        <f>G803</f>
        <v>0</v>
      </c>
    </row>
    <row r="803" spans="1:12" ht="31.5" hidden="1" x14ac:dyDescent="0.25">
      <c r="A803" s="579" t="s">
        <v>129</v>
      </c>
      <c r="B803" s="580" t="s">
        <v>264</v>
      </c>
      <c r="C803" s="580" t="s">
        <v>219</v>
      </c>
      <c r="D803" s="580" t="s">
        <v>916</v>
      </c>
      <c r="E803" s="580" t="s">
        <v>130</v>
      </c>
      <c r="F803" s="489">
        <f>'Пр.4.1 ведом.23-24 '!G820</f>
        <v>0</v>
      </c>
      <c r="G803" s="489">
        <f>'Пр.4.1 ведом.23-24 '!H820</f>
        <v>0</v>
      </c>
    </row>
    <row r="804" spans="1:12" ht="15.75" x14ac:dyDescent="0.25">
      <c r="A804" s="572" t="s">
        <v>298</v>
      </c>
      <c r="B804" s="7" t="s">
        <v>299</v>
      </c>
      <c r="C804" s="7"/>
      <c r="D804" s="7"/>
      <c r="E804" s="7"/>
      <c r="F804" s="488">
        <f>F805+F870</f>
        <v>82217.399999999994</v>
      </c>
      <c r="G804" s="488">
        <f>G805+G870</f>
        <v>82221.399999999994</v>
      </c>
      <c r="H804" s="115"/>
      <c r="K804" s="230">
        <f>F804-F828-'Пр.4 ведом.22'!L1175-'Пр.4 ведом.22'!N1175-'Пр.4 ведом.22'!J1185-'Пр.4 ведом.22'!T1185</f>
        <v>79732.399999999994</v>
      </c>
      <c r="L804" s="232">
        <f>F815+F828+F840-'Пр.4 ведом.22'!L1174-'Пр.4 ведом.22'!N1174-'Пр.4 ведом.22'!J1184-'Пр.4 ведом.22'!T1184</f>
        <v>2488.5</v>
      </c>
    </row>
    <row r="805" spans="1:12" ht="15.75" x14ac:dyDescent="0.25">
      <c r="A805" s="572" t="s">
        <v>300</v>
      </c>
      <c r="B805" s="7" t="s">
        <v>299</v>
      </c>
      <c r="C805" s="7" t="s">
        <v>118</v>
      </c>
      <c r="D805" s="7"/>
      <c r="E805" s="7"/>
      <c r="F805" s="488">
        <f>F806+F860+F865</f>
        <v>60054.659999999996</v>
      </c>
      <c r="G805" s="488">
        <f>G806+G860+G865</f>
        <v>60054.659999999996</v>
      </c>
      <c r="H805" s="115"/>
      <c r="I805" s="115"/>
      <c r="J805" s="115"/>
    </row>
    <row r="806" spans="1:12" ht="34.5" customHeight="1" x14ac:dyDescent="0.25">
      <c r="A806" s="494" t="s">
        <v>1351</v>
      </c>
      <c r="B806" s="495" t="s">
        <v>299</v>
      </c>
      <c r="C806" s="495" t="s">
        <v>118</v>
      </c>
      <c r="D806" s="495" t="s">
        <v>267</v>
      </c>
      <c r="E806" s="495"/>
      <c r="F806" s="488">
        <f>F807+F818+F824+F828+F835+F839+F850</f>
        <v>59165.96</v>
      </c>
      <c r="G806" s="488">
        <f>G807+G818+G824+G828+G835+G839+G850</f>
        <v>59165.96</v>
      </c>
      <c r="H806" s="198"/>
    </row>
    <row r="807" spans="1:12" ht="34.5" customHeight="1" x14ac:dyDescent="0.25">
      <c r="A807" s="494" t="s">
        <v>1299</v>
      </c>
      <c r="B807" s="495" t="s">
        <v>299</v>
      </c>
      <c r="C807" s="495" t="s">
        <v>118</v>
      </c>
      <c r="D807" s="495" t="s">
        <v>1203</v>
      </c>
      <c r="E807" s="495"/>
      <c r="F807" s="488">
        <f>F808+F815</f>
        <v>55444.46</v>
      </c>
      <c r="G807" s="488">
        <f>G808+G815</f>
        <v>55444.46</v>
      </c>
    </row>
    <row r="808" spans="1:12" ht="15.75" x14ac:dyDescent="0.25">
      <c r="A808" s="579" t="s">
        <v>800</v>
      </c>
      <c r="B808" s="580" t="s">
        <v>299</v>
      </c>
      <c r="C808" s="580" t="s">
        <v>118</v>
      </c>
      <c r="D808" s="580" t="s">
        <v>1204</v>
      </c>
      <c r="E808" s="580"/>
      <c r="F808" s="489">
        <f>F809+F811+F813</f>
        <v>55444.46</v>
      </c>
      <c r="G808" s="489">
        <f>G809+G811+G813</f>
        <v>55444.46</v>
      </c>
    </row>
    <row r="809" spans="1:12" ht="78.75" x14ac:dyDescent="0.25">
      <c r="A809" s="579" t="s">
        <v>127</v>
      </c>
      <c r="B809" s="580" t="s">
        <v>299</v>
      </c>
      <c r="C809" s="580" t="s">
        <v>118</v>
      </c>
      <c r="D809" s="580" t="s">
        <v>1204</v>
      </c>
      <c r="E809" s="580" t="s">
        <v>128</v>
      </c>
      <c r="F809" s="489">
        <f>F810</f>
        <v>44809.1</v>
      </c>
      <c r="G809" s="489">
        <f>G810</f>
        <v>44809.1</v>
      </c>
    </row>
    <row r="810" spans="1:12" ht="15.75" x14ac:dyDescent="0.25">
      <c r="A810" s="579" t="s">
        <v>208</v>
      </c>
      <c r="B810" s="580" t="s">
        <v>299</v>
      </c>
      <c r="C810" s="580" t="s">
        <v>118</v>
      </c>
      <c r="D810" s="580" t="s">
        <v>1204</v>
      </c>
      <c r="E810" s="580" t="s">
        <v>209</v>
      </c>
      <c r="F810" s="489">
        <f>'Пр.4.1 ведом.23-24 '!G373</f>
        <v>44809.1</v>
      </c>
      <c r="G810" s="489">
        <f>'Пр.4.1 ведом.23-24 '!H373</f>
        <v>44809.1</v>
      </c>
    </row>
    <row r="811" spans="1:12" ht="31.5" x14ac:dyDescent="0.25">
      <c r="A811" s="579" t="s">
        <v>131</v>
      </c>
      <c r="B811" s="580" t="s">
        <v>299</v>
      </c>
      <c r="C811" s="580" t="s">
        <v>118</v>
      </c>
      <c r="D811" s="580" t="s">
        <v>1204</v>
      </c>
      <c r="E811" s="580" t="s">
        <v>132</v>
      </c>
      <c r="F811" s="489">
        <f>F812</f>
        <v>10572.36</v>
      </c>
      <c r="G811" s="489">
        <f>G812</f>
        <v>10572.36</v>
      </c>
      <c r="L811" s="22"/>
    </row>
    <row r="812" spans="1:12" ht="31.5" x14ac:dyDescent="0.25">
      <c r="A812" s="579" t="s">
        <v>133</v>
      </c>
      <c r="B812" s="580" t="s">
        <v>299</v>
      </c>
      <c r="C812" s="580" t="s">
        <v>118</v>
      </c>
      <c r="D812" s="580" t="s">
        <v>1204</v>
      </c>
      <c r="E812" s="580" t="s">
        <v>134</v>
      </c>
      <c r="F812" s="489">
        <f>'Пр.4.1 ведом.23-24 '!G375</f>
        <v>10572.36</v>
      </c>
      <c r="G812" s="489">
        <f>'Пр.4.1 ведом.23-24 '!H375</f>
        <v>10572.36</v>
      </c>
    </row>
    <row r="813" spans="1:12" ht="15.75" x14ac:dyDescent="0.25">
      <c r="A813" s="579" t="s">
        <v>135</v>
      </c>
      <c r="B813" s="580" t="s">
        <v>299</v>
      </c>
      <c r="C813" s="580" t="s">
        <v>118</v>
      </c>
      <c r="D813" s="580" t="s">
        <v>1204</v>
      </c>
      <c r="E813" s="580" t="s">
        <v>145</v>
      </c>
      <c r="F813" s="489">
        <f t="shared" ref="F813:G813" si="129">F814</f>
        <v>63</v>
      </c>
      <c r="G813" s="489">
        <f t="shared" si="129"/>
        <v>63</v>
      </c>
    </row>
    <row r="814" spans="1:12" ht="15.75" x14ac:dyDescent="0.25">
      <c r="A814" s="579" t="s">
        <v>568</v>
      </c>
      <c r="B814" s="580" t="s">
        <v>299</v>
      </c>
      <c r="C814" s="580" t="s">
        <v>118</v>
      </c>
      <c r="D814" s="580" t="s">
        <v>1204</v>
      </c>
      <c r="E814" s="580" t="s">
        <v>138</v>
      </c>
      <c r="F814" s="489">
        <f>'Пр.4.1 ведом.23-24 '!G377</f>
        <v>63</v>
      </c>
      <c r="G814" s="489">
        <f>'Пр.4.1 ведом.23-24 '!H377</f>
        <v>63</v>
      </c>
    </row>
    <row r="815" spans="1:12" ht="29.85" hidden="1" customHeight="1" x14ac:dyDescent="0.25">
      <c r="A815" s="31" t="s">
        <v>1505</v>
      </c>
      <c r="B815" s="580" t="s">
        <v>299</v>
      </c>
      <c r="C815" s="580" t="s">
        <v>118</v>
      </c>
      <c r="D815" s="580" t="s">
        <v>1481</v>
      </c>
      <c r="E815" s="580"/>
      <c r="F815" s="489">
        <f>F816</f>
        <v>0</v>
      </c>
      <c r="G815" s="489">
        <f>G816</f>
        <v>0</v>
      </c>
    </row>
    <row r="816" spans="1:12" ht="78.75" hidden="1" x14ac:dyDescent="0.25">
      <c r="A816" s="579" t="s">
        <v>127</v>
      </c>
      <c r="B816" s="580" t="s">
        <v>299</v>
      </c>
      <c r="C816" s="580" t="s">
        <v>118</v>
      </c>
      <c r="D816" s="580" t="s">
        <v>1481</v>
      </c>
      <c r="E816" s="580" t="s">
        <v>128</v>
      </c>
      <c r="F816" s="489">
        <f>F817</f>
        <v>0</v>
      </c>
      <c r="G816" s="489">
        <f>G817</f>
        <v>0</v>
      </c>
    </row>
    <row r="817" spans="1:7" ht="15.75" hidden="1" x14ac:dyDescent="0.25">
      <c r="A817" s="579" t="s">
        <v>208</v>
      </c>
      <c r="B817" s="580" t="s">
        <v>299</v>
      </c>
      <c r="C817" s="580" t="s">
        <v>118</v>
      </c>
      <c r="D817" s="580" t="s">
        <v>1481</v>
      </c>
      <c r="E817" s="580" t="s">
        <v>209</v>
      </c>
      <c r="F817" s="489">
        <f>'Пр.4 ведом.22'!G379</f>
        <v>0</v>
      </c>
      <c r="G817" s="489">
        <f>'Пр.4 ведом.22'!H379</f>
        <v>0</v>
      </c>
    </row>
    <row r="818" spans="1:7" ht="31.5" x14ac:dyDescent="0.25">
      <c r="A818" s="217" t="s">
        <v>1301</v>
      </c>
      <c r="B818" s="495" t="s">
        <v>299</v>
      </c>
      <c r="C818" s="495" t="s">
        <v>118</v>
      </c>
      <c r="D818" s="495" t="s">
        <v>1205</v>
      </c>
      <c r="E818" s="495"/>
      <c r="F818" s="488">
        <f>F819</f>
        <v>280</v>
      </c>
      <c r="G818" s="488">
        <f>G819</f>
        <v>280</v>
      </c>
    </row>
    <row r="819" spans="1:7" ht="31.5" x14ac:dyDescent="0.25">
      <c r="A819" s="31" t="s">
        <v>816</v>
      </c>
      <c r="B819" s="580" t="s">
        <v>299</v>
      </c>
      <c r="C819" s="580" t="s">
        <v>118</v>
      </c>
      <c r="D819" s="580" t="s">
        <v>1207</v>
      </c>
      <c r="E819" s="580"/>
      <c r="F819" s="489">
        <f>F820+F822</f>
        <v>280</v>
      </c>
      <c r="G819" s="489">
        <f>G820+G822</f>
        <v>280</v>
      </c>
    </row>
    <row r="820" spans="1:7" ht="78.75" x14ac:dyDescent="0.25">
      <c r="A820" s="579" t="s">
        <v>127</v>
      </c>
      <c r="B820" s="580" t="s">
        <v>299</v>
      </c>
      <c r="C820" s="580" t="s">
        <v>118</v>
      </c>
      <c r="D820" s="580" t="s">
        <v>1207</v>
      </c>
      <c r="E820" s="580" t="s">
        <v>128</v>
      </c>
      <c r="F820" s="489">
        <f>F821</f>
        <v>280</v>
      </c>
      <c r="G820" s="489">
        <f>G821</f>
        <v>280</v>
      </c>
    </row>
    <row r="821" spans="1:7" ht="15.75" x14ac:dyDescent="0.25">
      <c r="A821" s="579" t="s">
        <v>208</v>
      </c>
      <c r="B821" s="580" t="s">
        <v>299</v>
      </c>
      <c r="C821" s="580" t="s">
        <v>118</v>
      </c>
      <c r="D821" s="580" t="s">
        <v>1207</v>
      </c>
      <c r="E821" s="580" t="s">
        <v>209</v>
      </c>
      <c r="F821" s="489">
        <f>'Пр.4.1 ведом.23-24 '!G384</f>
        <v>280</v>
      </c>
      <c r="G821" s="489">
        <f>'Пр.4.1 ведом.23-24 '!H384</f>
        <v>280</v>
      </c>
    </row>
    <row r="822" spans="1:7" ht="31.5" hidden="1" x14ac:dyDescent="0.25">
      <c r="A822" s="579" t="s">
        <v>131</v>
      </c>
      <c r="B822" s="580" t="s">
        <v>299</v>
      </c>
      <c r="C822" s="580" t="s">
        <v>118</v>
      </c>
      <c r="D822" s="580" t="s">
        <v>1207</v>
      </c>
      <c r="E822" s="580" t="s">
        <v>132</v>
      </c>
      <c r="F822" s="489">
        <f>F823</f>
        <v>0</v>
      </c>
      <c r="G822" s="489">
        <f>G823</f>
        <v>0</v>
      </c>
    </row>
    <row r="823" spans="1:7" ht="31.5" hidden="1" x14ac:dyDescent="0.25">
      <c r="A823" s="579" t="s">
        <v>133</v>
      </c>
      <c r="B823" s="580" t="s">
        <v>299</v>
      </c>
      <c r="C823" s="580" t="s">
        <v>118</v>
      </c>
      <c r="D823" s="580" t="s">
        <v>1207</v>
      </c>
      <c r="E823" s="580" t="s">
        <v>134</v>
      </c>
      <c r="F823" s="489">
        <f>'Пр.4 ведом.22'!G385</f>
        <v>0</v>
      </c>
      <c r="G823" s="489">
        <f>'Пр.4 ведом.22'!H385</f>
        <v>0</v>
      </c>
    </row>
    <row r="824" spans="1:7" ht="31.5" x14ac:dyDescent="0.25">
      <c r="A824" s="494" t="s">
        <v>947</v>
      </c>
      <c r="B824" s="495" t="s">
        <v>299</v>
      </c>
      <c r="C824" s="495" t="s">
        <v>118</v>
      </c>
      <c r="D824" s="495" t="s">
        <v>1208</v>
      </c>
      <c r="E824" s="495"/>
      <c r="F824" s="488">
        <f t="shared" ref="F824:G826" si="130">F825</f>
        <v>903</v>
      </c>
      <c r="G824" s="488">
        <f t="shared" si="130"/>
        <v>903</v>
      </c>
    </row>
    <row r="825" spans="1:7" ht="47.25" x14ac:dyDescent="0.25">
      <c r="A825" s="579" t="s">
        <v>839</v>
      </c>
      <c r="B825" s="580" t="s">
        <v>299</v>
      </c>
      <c r="C825" s="580" t="s">
        <v>118</v>
      </c>
      <c r="D825" s="580" t="s">
        <v>1209</v>
      </c>
      <c r="E825" s="580"/>
      <c r="F825" s="489">
        <f t="shared" si="130"/>
        <v>903</v>
      </c>
      <c r="G825" s="489">
        <f t="shared" si="130"/>
        <v>903</v>
      </c>
    </row>
    <row r="826" spans="1:7" ht="78.75" x14ac:dyDescent="0.25">
      <c r="A826" s="579" t="s">
        <v>127</v>
      </c>
      <c r="B826" s="580" t="s">
        <v>299</v>
      </c>
      <c r="C826" s="580" t="s">
        <v>118</v>
      </c>
      <c r="D826" s="580" t="s">
        <v>1209</v>
      </c>
      <c r="E826" s="580" t="s">
        <v>128</v>
      </c>
      <c r="F826" s="489">
        <f t="shared" si="130"/>
        <v>903</v>
      </c>
      <c r="G826" s="489">
        <f t="shared" si="130"/>
        <v>903</v>
      </c>
    </row>
    <row r="827" spans="1:7" ht="31.5" x14ac:dyDescent="0.25">
      <c r="A827" s="579" t="s">
        <v>129</v>
      </c>
      <c r="B827" s="580" t="s">
        <v>299</v>
      </c>
      <c r="C827" s="580" t="s">
        <v>118</v>
      </c>
      <c r="D827" s="580" t="s">
        <v>1209</v>
      </c>
      <c r="E827" s="580" t="s">
        <v>209</v>
      </c>
      <c r="F827" s="489">
        <f>'Пр.4.1 ведом.23-24 '!G390</f>
        <v>903</v>
      </c>
      <c r="G827" s="489">
        <f>'Пр.4.1 ведом.23-24 '!H390</f>
        <v>903</v>
      </c>
    </row>
    <row r="828" spans="1:7" ht="47.25" x14ac:dyDescent="0.25">
      <c r="A828" s="218" t="s">
        <v>900</v>
      </c>
      <c r="B828" s="495" t="s">
        <v>299</v>
      </c>
      <c r="C828" s="495" t="s">
        <v>118</v>
      </c>
      <c r="D828" s="495" t="s">
        <v>1210</v>
      </c>
      <c r="E828" s="495"/>
      <c r="F828" s="488">
        <f>F829+F832</f>
        <v>2485</v>
      </c>
      <c r="G828" s="488">
        <f>G829+G832</f>
        <v>2485</v>
      </c>
    </row>
    <row r="829" spans="1:7" ht="94.5" x14ac:dyDescent="0.25">
      <c r="A829" s="31" t="s">
        <v>293</v>
      </c>
      <c r="B829" s="580" t="s">
        <v>299</v>
      </c>
      <c r="C829" s="580" t="s">
        <v>118</v>
      </c>
      <c r="D829" s="580" t="s">
        <v>1403</v>
      </c>
      <c r="E829" s="580"/>
      <c r="F829" s="489">
        <f>F830</f>
        <v>2100.5</v>
      </c>
      <c r="G829" s="489">
        <f>G830</f>
        <v>2100.5</v>
      </c>
    </row>
    <row r="830" spans="1:7" ht="78.75" x14ac:dyDescent="0.25">
      <c r="A830" s="579" t="s">
        <v>127</v>
      </c>
      <c r="B830" s="580" t="s">
        <v>299</v>
      </c>
      <c r="C830" s="580" t="s">
        <v>118</v>
      </c>
      <c r="D830" s="580" t="s">
        <v>1403</v>
      </c>
      <c r="E830" s="580" t="s">
        <v>128</v>
      </c>
      <c r="F830" s="489">
        <f>F831</f>
        <v>2100.5</v>
      </c>
      <c r="G830" s="489">
        <f>G831</f>
        <v>2100.5</v>
      </c>
    </row>
    <row r="831" spans="1:7" ht="15.75" x14ac:dyDescent="0.25">
      <c r="A831" s="579" t="s">
        <v>208</v>
      </c>
      <c r="B831" s="580" t="s">
        <v>299</v>
      </c>
      <c r="C831" s="580" t="s">
        <v>118</v>
      </c>
      <c r="D831" s="580" t="s">
        <v>1403</v>
      </c>
      <c r="E831" s="580" t="s">
        <v>209</v>
      </c>
      <c r="F831" s="489">
        <f>'Пр.4.1 ведом.23-24 '!G394</f>
        <v>2100.5</v>
      </c>
      <c r="G831" s="489">
        <f>'Пр.4.1 ведом.23-24 '!H394</f>
        <v>2100.5</v>
      </c>
    </row>
    <row r="832" spans="1:7" ht="78.75" x14ac:dyDescent="0.25">
      <c r="A832" s="579" t="s">
        <v>331</v>
      </c>
      <c r="B832" s="580" t="s">
        <v>299</v>
      </c>
      <c r="C832" s="580" t="s">
        <v>118</v>
      </c>
      <c r="D832" s="580" t="s">
        <v>1291</v>
      </c>
      <c r="E832" s="580"/>
      <c r="F832" s="497">
        <f>F833</f>
        <v>384.5</v>
      </c>
      <c r="G832" s="497">
        <f>G833</f>
        <v>384.5</v>
      </c>
    </row>
    <row r="833" spans="1:7" ht="78.75" x14ac:dyDescent="0.25">
      <c r="A833" s="579" t="s">
        <v>127</v>
      </c>
      <c r="B833" s="580" t="s">
        <v>299</v>
      </c>
      <c r="C833" s="580" t="s">
        <v>118</v>
      </c>
      <c r="D833" s="580" t="s">
        <v>1291</v>
      </c>
      <c r="E833" s="580" t="s">
        <v>128</v>
      </c>
      <c r="F833" s="497">
        <f>F834</f>
        <v>384.5</v>
      </c>
      <c r="G833" s="497">
        <f>G834</f>
        <v>384.5</v>
      </c>
    </row>
    <row r="834" spans="1:7" ht="15.75" x14ac:dyDescent="0.25">
      <c r="A834" s="579" t="s">
        <v>208</v>
      </c>
      <c r="B834" s="580" t="s">
        <v>299</v>
      </c>
      <c r="C834" s="580" t="s">
        <v>118</v>
      </c>
      <c r="D834" s="580" t="s">
        <v>1291</v>
      </c>
      <c r="E834" s="580" t="s">
        <v>209</v>
      </c>
      <c r="F834" s="497">
        <f>'Пр.4.1 ведом.23-24 '!G397</f>
        <v>384.5</v>
      </c>
      <c r="G834" s="497">
        <f>'Пр.4.1 ведом.23-24 '!H397</f>
        <v>384.5</v>
      </c>
    </row>
    <row r="835" spans="1:7" ht="31.5" x14ac:dyDescent="0.25">
      <c r="A835" s="494" t="s">
        <v>902</v>
      </c>
      <c r="B835" s="495" t="s">
        <v>299</v>
      </c>
      <c r="C835" s="495" t="s">
        <v>118</v>
      </c>
      <c r="D835" s="495" t="s">
        <v>1215</v>
      </c>
      <c r="E835" s="495"/>
      <c r="F835" s="488">
        <f t="shared" ref="F835:G837" si="131">F836</f>
        <v>50</v>
      </c>
      <c r="G835" s="488">
        <f t="shared" si="131"/>
        <v>50</v>
      </c>
    </row>
    <row r="836" spans="1:7" ht="31.5" x14ac:dyDescent="0.25">
      <c r="A836" s="579" t="s">
        <v>821</v>
      </c>
      <c r="B836" s="580" t="s">
        <v>299</v>
      </c>
      <c r="C836" s="580" t="s">
        <v>118</v>
      </c>
      <c r="D836" s="580" t="s">
        <v>1216</v>
      </c>
      <c r="E836" s="580"/>
      <c r="F836" s="489">
        <f t="shared" si="131"/>
        <v>50</v>
      </c>
      <c r="G836" s="489">
        <f t="shared" si="131"/>
        <v>50</v>
      </c>
    </row>
    <row r="837" spans="1:7" ht="31.5" x14ac:dyDescent="0.25">
      <c r="A837" s="579" t="s">
        <v>131</v>
      </c>
      <c r="B837" s="580" t="s">
        <v>299</v>
      </c>
      <c r="C837" s="580" t="s">
        <v>118</v>
      </c>
      <c r="D837" s="580" t="s">
        <v>1216</v>
      </c>
      <c r="E837" s="580" t="s">
        <v>132</v>
      </c>
      <c r="F837" s="489">
        <f t="shared" si="131"/>
        <v>50</v>
      </c>
      <c r="G837" s="489">
        <f t="shared" si="131"/>
        <v>50</v>
      </c>
    </row>
    <row r="838" spans="1:7" ht="31.5" x14ac:dyDescent="0.25">
      <c r="A838" s="579" t="s">
        <v>133</v>
      </c>
      <c r="B838" s="580" t="s">
        <v>299</v>
      </c>
      <c r="C838" s="580" t="s">
        <v>118</v>
      </c>
      <c r="D838" s="580" t="s">
        <v>1216</v>
      </c>
      <c r="E838" s="580" t="s">
        <v>134</v>
      </c>
      <c r="F838" s="489">
        <f>'Пр.4.1 ведом.23-24 '!G401</f>
        <v>50</v>
      </c>
      <c r="G838" s="489">
        <f>'Пр.4.1 ведом.23-24 '!H401</f>
        <v>50</v>
      </c>
    </row>
    <row r="839" spans="1:7" ht="31.5" x14ac:dyDescent="0.25">
      <c r="A839" s="494" t="s">
        <v>1010</v>
      </c>
      <c r="B839" s="495" t="s">
        <v>299</v>
      </c>
      <c r="C839" s="495" t="s">
        <v>118</v>
      </c>
      <c r="D839" s="495" t="s">
        <v>1217</v>
      </c>
      <c r="E839" s="495"/>
      <c r="F839" s="488">
        <f>F840+F843</f>
        <v>3.5</v>
      </c>
      <c r="G839" s="488">
        <f>G840+G843</f>
        <v>3.5</v>
      </c>
    </row>
    <row r="840" spans="1:7" ht="31.5" x14ac:dyDescent="0.25">
      <c r="A840" s="579" t="s">
        <v>1484</v>
      </c>
      <c r="B840" s="580" t="s">
        <v>299</v>
      </c>
      <c r="C840" s="580" t="s">
        <v>118</v>
      </c>
      <c r="D840" s="580" t="s">
        <v>1218</v>
      </c>
      <c r="E840" s="580"/>
      <c r="F840" s="489">
        <f>F841</f>
        <v>3.5</v>
      </c>
      <c r="G840" s="489">
        <f>G841</f>
        <v>3.5</v>
      </c>
    </row>
    <row r="841" spans="1:7" ht="31.5" x14ac:dyDescent="0.25">
      <c r="A841" s="579" t="s">
        <v>131</v>
      </c>
      <c r="B841" s="580" t="s">
        <v>299</v>
      </c>
      <c r="C841" s="580" t="s">
        <v>118</v>
      </c>
      <c r="D841" s="580" t="s">
        <v>1218</v>
      </c>
      <c r="E841" s="580" t="s">
        <v>132</v>
      </c>
      <c r="F841" s="489">
        <f>F842</f>
        <v>3.5</v>
      </c>
      <c r="G841" s="489">
        <f>G842</f>
        <v>3.5</v>
      </c>
    </row>
    <row r="842" spans="1:7" ht="31.5" x14ac:dyDescent="0.25">
      <c r="A842" s="579" t="s">
        <v>133</v>
      </c>
      <c r="B842" s="580" t="s">
        <v>299</v>
      </c>
      <c r="C842" s="580" t="s">
        <v>118</v>
      </c>
      <c r="D842" s="580" t="s">
        <v>1218</v>
      </c>
      <c r="E842" s="580" t="s">
        <v>134</v>
      </c>
      <c r="F842" s="489">
        <f>'Пр.4.1 ведом.23-24 '!G405</f>
        <v>3.5</v>
      </c>
      <c r="G842" s="489">
        <f>'Пр.4.1 ведом.23-24 '!H405</f>
        <v>3.5</v>
      </c>
    </row>
    <row r="843" spans="1:7" ht="31.5" hidden="1" x14ac:dyDescent="0.25">
      <c r="A843" s="579" t="s">
        <v>1756</v>
      </c>
      <c r="B843" s="580" t="s">
        <v>299</v>
      </c>
      <c r="C843" s="580" t="s">
        <v>118</v>
      </c>
      <c r="D843" s="580" t="s">
        <v>1757</v>
      </c>
      <c r="E843" s="580"/>
      <c r="F843" s="489">
        <f>F844</f>
        <v>0</v>
      </c>
      <c r="G843" s="489">
        <f>G844</f>
        <v>0</v>
      </c>
    </row>
    <row r="844" spans="1:7" ht="31.5" hidden="1" x14ac:dyDescent="0.25">
      <c r="A844" s="579" t="s">
        <v>131</v>
      </c>
      <c r="B844" s="580" t="s">
        <v>299</v>
      </c>
      <c r="C844" s="580" t="s">
        <v>118</v>
      </c>
      <c r="D844" s="580" t="s">
        <v>1757</v>
      </c>
      <c r="E844" s="580" t="s">
        <v>132</v>
      </c>
      <c r="F844" s="489">
        <f>F845</f>
        <v>0</v>
      </c>
      <c r="G844" s="489">
        <f>G845</f>
        <v>0</v>
      </c>
    </row>
    <row r="845" spans="1:7" ht="31.5" hidden="1" x14ac:dyDescent="0.25">
      <c r="A845" s="579" t="s">
        <v>133</v>
      </c>
      <c r="B845" s="580" t="s">
        <v>299</v>
      </c>
      <c r="C845" s="580" t="s">
        <v>118</v>
      </c>
      <c r="D845" s="580" t="s">
        <v>1757</v>
      </c>
      <c r="E845" s="580" t="s">
        <v>134</v>
      </c>
      <c r="F845" s="489">
        <f>'Пр.4.1 ведом.23-24 '!G408</f>
        <v>0</v>
      </c>
      <c r="G845" s="489">
        <f>'Пр.4 ведом.22'!H407</f>
        <v>0</v>
      </c>
    </row>
    <row r="846" spans="1:7" ht="31.5" hidden="1" x14ac:dyDescent="0.25">
      <c r="A846" s="34" t="s">
        <v>1646</v>
      </c>
      <c r="B846" s="495" t="s">
        <v>299</v>
      </c>
      <c r="C846" s="495" t="s">
        <v>118</v>
      </c>
      <c r="D846" s="495" t="s">
        <v>1648</v>
      </c>
      <c r="E846" s="495"/>
      <c r="F846" s="488">
        <f t="shared" ref="F846:G848" si="132">F847</f>
        <v>0</v>
      </c>
      <c r="G846" s="488">
        <f t="shared" si="132"/>
        <v>0</v>
      </c>
    </row>
    <row r="847" spans="1:7" ht="63" hidden="1" x14ac:dyDescent="0.25">
      <c r="A847" s="31" t="s">
        <v>1647</v>
      </c>
      <c r="B847" s="580" t="s">
        <v>299</v>
      </c>
      <c r="C847" s="580" t="s">
        <v>118</v>
      </c>
      <c r="D847" s="580" t="s">
        <v>1649</v>
      </c>
      <c r="E847" s="580"/>
      <c r="F847" s="489">
        <f t="shared" si="132"/>
        <v>0</v>
      </c>
      <c r="G847" s="489">
        <f t="shared" si="132"/>
        <v>0</v>
      </c>
    </row>
    <row r="848" spans="1:7" ht="31.5" hidden="1" x14ac:dyDescent="0.25">
      <c r="A848" s="579" t="s">
        <v>131</v>
      </c>
      <c r="B848" s="580" t="s">
        <v>299</v>
      </c>
      <c r="C848" s="580" t="s">
        <v>118</v>
      </c>
      <c r="D848" s="580" t="s">
        <v>1649</v>
      </c>
      <c r="E848" s="580" t="s">
        <v>132</v>
      </c>
      <c r="F848" s="489">
        <f t="shared" si="132"/>
        <v>0</v>
      </c>
      <c r="G848" s="489">
        <f t="shared" si="132"/>
        <v>0</v>
      </c>
    </row>
    <row r="849" spans="1:8" ht="31.5" hidden="1" x14ac:dyDescent="0.25">
      <c r="A849" s="579" t="s">
        <v>133</v>
      </c>
      <c r="B849" s="580" t="s">
        <v>299</v>
      </c>
      <c r="C849" s="580" t="s">
        <v>118</v>
      </c>
      <c r="D849" s="580" t="s">
        <v>1649</v>
      </c>
      <c r="E849" s="580" t="s">
        <v>134</v>
      </c>
      <c r="F849" s="489">
        <f>'Пр.4 ведом.22'!G411</f>
        <v>0</v>
      </c>
      <c r="G849" s="489">
        <f>'Пр.4 ведом.22'!H411</f>
        <v>0</v>
      </c>
    </row>
    <row r="850" spans="1:8" ht="31.5" hidden="1" x14ac:dyDescent="0.25">
      <c r="A850" s="571" t="s">
        <v>1179</v>
      </c>
      <c r="B850" s="495" t="s">
        <v>299</v>
      </c>
      <c r="C850" s="495" t="s">
        <v>118</v>
      </c>
      <c r="D850" s="495" t="s">
        <v>1213</v>
      </c>
      <c r="E850" s="495"/>
      <c r="F850" s="493">
        <f>F854+F857+F851</f>
        <v>0</v>
      </c>
      <c r="G850" s="493">
        <f>G854+G857+G851</f>
        <v>0</v>
      </c>
    </row>
    <row r="851" spans="1:8" ht="47.25" hidden="1" x14ac:dyDescent="0.25">
      <c r="A851" s="557" t="s">
        <v>1711</v>
      </c>
      <c r="B851" s="580" t="s">
        <v>299</v>
      </c>
      <c r="C851" s="580" t="s">
        <v>118</v>
      </c>
      <c r="D851" s="580" t="s">
        <v>1710</v>
      </c>
      <c r="E851" s="580"/>
      <c r="F851" s="497">
        <f>F852</f>
        <v>0</v>
      </c>
      <c r="G851" s="497">
        <f>G852</f>
        <v>0</v>
      </c>
    </row>
    <row r="852" spans="1:8" ht="31.5" hidden="1" x14ac:dyDescent="0.25">
      <c r="A852" s="579" t="s">
        <v>131</v>
      </c>
      <c r="B852" s="580" t="s">
        <v>299</v>
      </c>
      <c r="C852" s="580" t="s">
        <v>118</v>
      </c>
      <c r="D852" s="580" t="s">
        <v>1710</v>
      </c>
      <c r="E852" s="580" t="s">
        <v>132</v>
      </c>
      <c r="F852" s="497">
        <f>F853</f>
        <v>0</v>
      </c>
      <c r="G852" s="497">
        <f>G853</f>
        <v>0</v>
      </c>
    </row>
    <row r="853" spans="1:8" ht="31.5" hidden="1" x14ac:dyDescent="0.25">
      <c r="A853" s="579" t="s">
        <v>133</v>
      </c>
      <c r="B853" s="580" t="s">
        <v>299</v>
      </c>
      <c r="C853" s="580" t="s">
        <v>118</v>
      </c>
      <c r="D853" s="580" t="s">
        <v>1710</v>
      </c>
      <c r="E853" s="580" t="s">
        <v>134</v>
      </c>
      <c r="F853" s="497">
        <f>'Пр.4 ведом.22'!G415</f>
        <v>0</v>
      </c>
      <c r="G853" s="497">
        <f>'Пр.4 ведом.22'!H415</f>
        <v>0</v>
      </c>
    </row>
    <row r="854" spans="1:8" ht="15.75" hidden="1" x14ac:dyDescent="0.25">
      <c r="A854" s="575" t="s">
        <v>1753</v>
      </c>
      <c r="B854" s="580" t="s">
        <v>299</v>
      </c>
      <c r="C854" s="580" t="s">
        <v>118</v>
      </c>
      <c r="D854" s="580" t="s">
        <v>1754</v>
      </c>
      <c r="E854" s="495"/>
      <c r="F854" s="497">
        <f>F855</f>
        <v>0</v>
      </c>
      <c r="G854" s="497">
        <f>G855</f>
        <v>0</v>
      </c>
    </row>
    <row r="855" spans="1:8" ht="31.5" hidden="1" x14ac:dyDescent="0.25">
      <c r="A855" s="579" t="s">
        <v>131</v>
      </c>
      <c r="B855" s="580" t="s">
        <v>299</v>
      </c>
      <c r="C855" s="580" t="s">
        <v>118</v>
      </c>
      <c r="D855" s="580" t="s">
        <v>1754</v>
      </c>
      <c r="E855" s="580" t="s">
        <v>132</v>
      </c>
      <c r="F855" s="497">
        <f>F856</f>
        <v>0</v>
      </c>
      <c r="G855" s="497">
        <f>G856</f>
        <v>0</v>
      </c>
    </row>
    <row r="856" spans="1:8" ht="31.5" hidden="1" x14ac:dyDescent="0.25">
      <c r="A856" s="579" t="s">
        <v>133</v>
      </c>
      <c r="B856" s="580" t="s">
        <v>299</v>
      </c>
      <c r="C856" s="580" t="s">
        <v>118</v>
      </c>
      <c r="D856" s="580" t="s">
        <v>1754</v>
      </c>
      <c r="E856" s="580" t="s">
        <v>134</v>
      </c>
      <c r="F856" s="497">
        <f>'Пр.4.1 ведом.23-24 '!G419</f>
        <v>0</v>
      </c>
      <c r="G856" s="497">
        <f>'Пр.4.1 ведом.23-24 '!H419</f>
        <v>0</v>
      </c>
    </row>
    <row r="857" spans="1:8" ht="15.75" hidden="1" x14ac:dyDescent="0.25">
      <c r="A857" s="98" t="s">
        <v>1186</v>
      </c>
      <c r="B857" s="580" t="s">
        <v>299</v>
      </c>
      <c r="C857" s="580" t="s">
        <v>118</v>
      </c>
      <c r="D857" s="580" t="s">
        <v>1214</v>
      </c>
      <c r="E857" s="580"/>
      <c r="F857" s="497">
        <f t="shared" ref="F857:G857" si="133">F858</f>
        <v>0</v>
      </c>
      <c r="G857" s="497">
        <f t="shared" si="133"/>
        <v>0</v>
      </c>
    </row>
    <row r="858" spans="1:8" ht="31.5" hidden="1" x14ac:dyDescent="0.25">
      <c r="A858" s="579" t="s">
        <v>131</v>
      </c>
      <c r="B858" s="580" t="s">
        <v>299</v>
      </c>
      <c r="C858" s="580" t="s">
        <v>118</v>
      </c>
      <c r="D858" s="580" t="s">
        <v>1214</v>
      </c>
      <c r="E858" s="580" t="s">
        <v>132</v>
      </c>
      <c r="F858" s="497">
        <f>F859</f>
        <v>0</v>
      </c>
      <c r="G858" s="497">
        <f>G859</f>
        <v>0</v>
      </c>
    </row>
    <row r="859" spans="1:8" ht="31.5" hidden="1" x14ac:dyDescent="0.25">
      <c r="A859" s="579" t="s">
        <v>133</v>
      </c>
      <c r="B859" s="580" t="s">
        <v>299</v>
      </c>
      <c r="C859" s="580" t="s">
        <v>118</v>
      </c>
      <c r="D859" s="580" t="s">
        <v>1214</v>
      </c>
      <c r="E859" s="580" t="s">
        <v>134</v>
      </c>
      <c r="F859" s="497">
        <f>'Пр.4.1 ведом.23-24 '!G422</f>
        <v>0</v>
      </c>
      <c r="G859" s="497">
        <f>'Пр.4.1 ведом.23-24 '!H422</f>
        <v>0</v>
      </c>
    </row>
    <row r="860" spans="1:8" ht="47.25" x14ac:dyDescent="0.25">
      <c r="A860" s="34" t="s">
        <v>1357</v>
      </c>
      <c r="B860" s="495" t="s">
        <v>299</v>
      </c>
      <c r="C860" s="495" t="s">
        <v>118</v>
      </c>
      <c r="D860" s="495" t="s">
        <v>324</v>
      </c>
      <c r="E860" s="495"/>
      <c r="F860" s="388">
        <f t="shared" ref="F860:G863" si="134">F861</f>
        <v>10</v>
      </c>
      <c r="G860" s="388">
        <f t="shared" si="134"/>
        <v>10</v>
      </c>
    </row>
    <row r="861" spans="1:8" ht="63" x14ac:dyDescent="0.25">
      <c r="A861" s="34" t="s">
        <v>1025</v>
      </c>
      <c r="B861" s="495" t="s">
        <v>299</v>
      </c>
      <c r="C861" s="495" t="s">
        <v>118</v>
      </c>
      <c r="D861" s="495" t="s">
        <v>934</v>
      </c>
      <c r="E861" s="495"/>
      <c r="F861" s="488">
        <f t="shared" si="134"/>
        <v>10</v>
      </c>
      <c r="G861" s="488">
        <f t="shared" si="134"/>
        <v>10</v>
      </c>
      <c r="H861" s="115"/>
    </row>
    <row r="862" spans="1:8" ht="47.25" x14ac:dyDescent="0.25">
      <c r="A862" s="31" t="s">
        <v>1079</v>
      </c>
      <c r="B862" s="580" t="s">
        <v>299</v>
      </c>
      <c r="C862" s="580" t="s">
        <v>118</v>
      </c>
      <c r="D862" s="580" t="s">
        <v>1026</v>
      </c>
      <c r="E862" s="580"/>
      <c r="F862" s="489">
        <f t="shared" si="134"/>
        <v>10</v>
      </c>
      <c r="G862" s="489">
        <f t="shared" si="134"/>
        <v>10</v>
      </c>
    </row>
    <row r="863" spans="1:8" ht="31.5" x14ac:dyDescent="0.25">
      <c r="A863" s="579" t="s">
        <v>131</v>
      </c>
      <c r="B863" s="580" t="s">
        <v>299</v>
      </c>
      <c r="C863" s="580" t="s">
        <v>118</v>
      </c>
      <c r="D863" s="580" t="s">
        <v>1026</v>
      </c>
      <c r="E863" s="580" t="s">
        <v>132</v>
      </c>
      <c r="F863" s="489">
        <f t="shared" si="134"/>
        <v>10</v>
      </c>
      <c r="G863" s="489">
        <f t="shared" si="134"/>
        <v>10</v>
      </c>
    </row>
    <row r="864" spans="1:8" ht="31.5" x14ac:dyDescent="0.25">
      <c r="A864" s="579" t="s">
        <v>133</v>
      </c>
      <c r="B864" s="580" t="s">
        <v>299</v>
      </c>
      <c r="C864" s="580" t="s">
        <v>118</v>
      </c>
      <c r="D864" s="580" t="s">
        <v>1026</v>
      </c>
      <c r="E864" s="580" t="s">
        <v>134</v>
      </c>
      <c r="F864" s="489">
        <f>'Пр.4.1 ведом.23-24 '!G427</f>
        <v>10</v>
      </c>
      <c r="G864" s="489">
        <f>'Пр.4.1 ведом.23-24 '!H427</f>
        <v>10</v>
      </c>
    </row>
    <row r="865" spans="1:8" ht="47.25" x14ac:dyDescent="0.25">
      <c r="A865" s="572" t="s">
        <v>1352</v>
      </c>
      <c r="B865" s="495" t="s">
        <v>299</v>
      </c>
      <c r="C865" s="495" t="s">
        <v>118</v>
      </c>
      <c r="D865" s="495" t="s">
        <v>705</v>
      </c>
      <c r="E865" s="504"/>
      <c r="F865" s="488">
        <f t="shared" ref="F865:G865" si="135">F866</f>
        <v>878.7</v>
      </c>
      <c r="G865" s="488">
        <f t="shared" si="135"/>
        <v>878.7</v>
      </c>
    </row>
    <row r="866" spans="1:8" ht="47.25" x14ac:dyDescent="0.25">
      <c r="A866" s="572" t="s">
        <v>890</v>
      </c>
      <c r="B866" s="495" t="s">
        <v>299</v>
      </c>
      <c r="C866" s="495" t="s">
        <v>118</v>
      </c>
      <c r="D866" s="495" t="s">
        <v>888</v>
      </c>
      <c r="E866" s="504"/>
      <c r="F866" s="488">
        <f t="shared" ref="F866:G868" si="136">F867</f>
        <v>878.7</v>
      </c>
      <c r="G866" s="488">
        <f t="shared" si="136"/>
        <v>878.7</v>
      </c>
      <c r="H866" s="501"/>
    </row>
    <row r="867" spans="1:8" ht="47.25" x14ac:dyDescent="0.25">
      <c r="A867" s="98" t="s">
        <v>1022</v>
      </c>
      <c r="B867" s="580" t="s">
        <v>299</v>
      </c>
      <c r="C867" s="580" t="s">
        <v>118</v>
      </c>
      <c r="D867" s="580" t="s">
        <v>889</v>
      </c>
      <c r="E867" s="498"/>
      <c r="F867" s="386">
        <f t="shared" si="136"/>
        <v>878.7</v>
      </c>
      <c r="G867" s="386">
        <f t="shared" si="136"/>
        <v>878.7</v>
      </c>
    </row>
    <row r="868" spans="1:8" ht="31.5" x14ac:dyDescent="0.25">
      <c r="A868" s="579" t="s">
        <v>131</v>
      </c>
      <c r="B868" s="580" t="s">
        <v>299</v>
      </c>
      <c r="C868" s="580" t="s">
        <v>118</v>
      </c>
      <c r="D868" s="580" t="s">
        <v>889</v>
      </c>
      <c r="E868" s="498" t="s">
        <v>132</v>
      </c>
      <c r="F868" s="489">
        <f t="shared" si="136"/>
        <v>878.7</v>
      </c>
      <c r="G868" s="489">
        <f t="shared" si="136"/>
        <v>878.7</v>
      </c>
    </row>
    <row r="869" spans="1:8" ht="31.5" x14ac:dyDescent="0.25">
      <c r="A869" s="579" t="s">
        <v>133</v>
      </c>
      <c r="B869" s="580" t="s">
        <v>299</v>
      </c>
      <c r="C869" s="580" t="s">
        <v>118</v>
      </c>
      <c r="D869" s="580" t="s">
        <v>889</v>
      </c>
      <c r="E869" s="498" t="s">
        <v>134</v>
      </c>
      <c r="F869" s="489">
        <f>'Пр.4.1 ведом.23-24 '!G432</f>
        <v>878.7</v>
      </c>
      <c r="G869" s="489">
        <f>'Пр.4.1 ведом.23-24 '!H432</f>
        <v>878.7</v>
      </c>
    </row>
    <row r="870" spans="1:8" ht="31.5" x14ac:dyDescent="0.25">
      <c r="A870" s="494" t="s">
        <v>333</v>
      </c>
      <c r="B870" s="495" t="s">
        <v>299</v>
      </c>
      <c r="C870" s="495" t="s">
        <v>150</v>
      </c>
      <c r="D870" s="495"/>
      <c r="E870" s="498"/>
      <c r="F870" s="488">
        <f>F871+F884+F900</f>
        <v>22162.739999999998</v>
      </c>
      <c r="G870" s="488">
        <f>G871+G884+G900+G906</f>
        <v>22166.739999999998</v>
      </c>
    </row>
    <row r="871" spans="1:8" ht="31.5" x14ac:dyDescent="0.25">
      <c r="A871" s="494" t="s">
        <v>917</v>
      </c>
      <c r="B871" s="495" t="s">
        <v>299</v>
      </c>
      <c r="C871" s="495" t="s">
        <v>150</v>
      </c>
      <c r="D871" s="495" t="s">
        <v>858</v>
      </c>
      <c r="E871" s="498"/>
      <c r="F871" s="488">
        <f>F872</f>
        <v>9105.7999999999993</v>
      </c>
      <c r="G871" s="488">
        <f>G872</f>
        <v>9105.7999999999993</v>
      </c>
    </row>
    <row r="872" spans="1:8" ht="15.75" x14ac:dyDescent="0.25">
      <c r="A872" s="494" t="s">
        <v>918</v>
      </c>
      <c r="B872" s="495" t="s">
        <v>299</v>
      </c>
      <c r="C872" s="495" t="s">
        <v>150</v>
      </c>
      <c r="D872" s="495" t="s">
        <v>859</v>
      </c>
      <c r="E872" s="498"/>
      <c r="F872" s="488">
        <f>F873+F881+F878</f>
        <v>9105.7999999999993</v>
      </c>
      <c r="G872" s="488">
        <f>G873+G881+G878</f>
        <v>9105.7999999999993</v>
      </c>
    </row>
    <row r="873" spans="1:8" ht="31.5" x14ac:dyDescent="0.25">
      <c r="A873" s="579" t="s">
        <v>897</v>
      </c>
      <c r="B873" s="580" t="s">
        <v>299</v>
      </c>
      <c r="C873" s="580" t="s">
        <v>150</v>
      </c>
      <c r="D873" s="580" t="s">
        <v>860</v>
      </c>
      <c r="E873" s="498"/>
      <c r="F873" s="489">
        <f>F874+F876</f>
        <v>7689.7</v>
      </c>
      <c r="G873" s="489">
        <f>G874+G876</f>
        <v>7689.7</v>
      </c>
    </row>
    <row r="874" spans="1:8" ht="78.75" x14ac:dyDescent="0.25">
      <c r="A874" s="579" t="s">
        <v>127</v>
      </c>
      <c r="B874" s="580" t="s">
        <v>299</v>
      </c>
      <c r="C874" s="580" t="s">
        <v>150</v>
      </c>
      <c r="D874" s="580" t="s">
        <v>860</v>
      </c>
      <c r="E874" s="498" t="s">
        <v>128</v>
      </c>
      <c r="F874" s="489">
        <f>F875</f>
        <v>7689.7</v>
      </c>
      <c r="G874" s="489">
        <f>G875</f>
        <v>7689.7</v>
      </c>
    </row>
    <row r="875" spans="1:8" ht="31.5" x14ac:dyDescent="0.25">
      <c r="A875" s="579" t="s">
        <v>129</v>
      </c>
      <c r="B875" s="580" t="s">
        <v>299</v>
      </c>
      <c r="C875" s="580" t="s">
        <v>150</v>
      </c>
      <c r="D875" s="580" t="s">
        <v>860</v>
      </c>
      <c r="E875" s="573" t="s">
        <v>130</v>
      </c>
      <c r="F875" s="489">
        <f>'Пр.4.1 ведом.23-24 '!G438</f>
        <v>7689.7</v>
      </c>
      <c r="G875" s="489">
        <f>'Пр.4.1 ведом.23-24 '!H438</f>
        <v>7689.7</v>
      </c>
    </row>
    <row r="876" spans="1:8" ht="31.5" hidden="1" x14ac:dyDescent="0.25">
      <c r="A876" s="579" t="s">
        <v>131</v>
      </c>
      <c r="B876" s="580" t="s">
        <v>299</v>
      </c>
      <c r="C876" s="580" t="s">
        <v>150</v>
      </c>
      <c r="D876" s="580" t="s">
        <v>860</v>
      </c>
      <c r="E876" s="573" t="s">
        <v>132</v>
      </c>
      <c r="F876" s="489">
        <f>F877</f>
        <v>0</v>
      </c>
      <c r="G876" s="489">
        <f>G877</f>
        <v>0</v>
      </c>
    </row>
    <row r="877" spans="1:8" ht="31.5" hidden="1" x14ac:dyDescent="0.25">
      <c r="A877" s="579" t="s">
        <v>133</v>
      </c>
      <c r="B877" s="580" t="s">
        <v>299</v>
      </c>
      <c r="C877" s="580" t="s">
        <v>150</v>
      </c>
      <c r="D877" s="580" t="s">
        <v>860</v>
      </c>
      <c r="E877" s="573" t="s">
        <v>134</v>
      </c>
      <c r="F877" s="489">
        <f>'Пр.4.1 ведом.23-24 '!G440</f>
        <v>0</v>
      </c>
      <c r="G877" s="489">
        <f>'Пр.4.1 ведом.23-24 '!H440</f>
        <v>0</v>
      </c>
    </row>
    <row r="878" spans="1:8" ht="31.5" x14ac:dyDescent="0.25">
      <c r="A878" s="579" t="s">
        <v>840</v>
      </c>
      <c r="B878" s="580" t="s">
        <v>299</v>
      </c>
      <c r="C878" s="580" t="s">
        <v>150</v>
      </c>
      <c r="D878" s="580" t="s">
        <v>861</v>
      </c>
      <c r="E878" s="573"/>
      <c r="F878" s="489">
        <f>F879</f>
        <v>986.1</v>
      </c>
      <c r="G878" s="489">
        <f>G879</f>
        <v>986.1</v>
      </c>
    </row>
    <row r="879" spans="1:8" ht="78.75" x14ac:dyDescent="0.25">
      <c r="A879" s="579" t="s">
        <v>127</v>
      </c>
      <c r="B879" s="580" t="s">
        <v>299</v>
      </c>
      <c r="C879" s="580" t="s">
        <v>150</v>
      </c>
      <c r="D879" s="580" t="s">
        <v>861</v>
      </c>
      <c r="E879" s="573" t="s">
        <v>128</v>
      </c>
      <c r="F879" s="489">
        <f>F880</f>
        <v>986.1</v>
      </c>
      <c r="G879" s="489">
        <f>G880</f>
        <v>986.1</v>
      </c>
    </row>
    <row r="880" spans="1:8" ht="31.5" x14ac:dyDescent="0.25">
      <c r="A880" s="579" t="s">
        <v>129</v>
      </c>
      <c r="B880" s="580" t="s">
        <v>299</v>
      </c>
      <c r="C880" s="580" t="s">
        <v>150</v>
      </c>
      <c r="D880" s="580" t="s">
        <v>861</v>
      </c>
      <c r="E880" s="573" t="s">
        <v>130</v>
      </c>
      <c r="F880" s="489">
        <f>'Пр.4.1 ведом.23-24 '!G443</f>
        <v>986.1</v>
      </c>
      <c r="G880" s="489">
        <f>'Пр.4.1 ведом.23-24 '!H443</f>
        <v>986.1</v>
      </c>
    </row>
    <row r="881" spans="1:7" ht="47.25" x14ac:dyDescent="0.25">
      <c r="A881" s="579" t="s">
        <v>839</v>
      </c>
      <c r="B881" s="580" t="s">
        <v>299</v>
      </c>
      <c r="C881" s="580" t="s">
        <v>150</v>
      </c>
      <c r="D881" s="580" t="s">
        <v>862</v>
      </c>
      <c r="E881" s="573"/>
      <c r="F881" s="489">
        <f>F882</f>
        <v>430</v>
      </c>
      <c r="G881" s="489">
        <f>G882</f>
        <v>430</v>
      </c>
    </row>
    <row r="882" spans="1:7" ht="78.75" x14ac:dyDescent="0.25">
      <c r="A882" s="579" t="s">
        <v>127</v>
      </c>
      <c r="B882" s="580" t="s">
        <v>299</v>
      </c>
      <c r="C882" s="580" t="s">
        <v>150</v>
      </c>
      <c r="D882" s="580" t="s">
        <v>862</v>
      </c>
      <c r="E882" s="573" t="s">
        <v>128</v>
      </c>
      <c r="F882" s="489">
        <f t="shared" ref="F882:G882" si="137">F883</f>
        <v>430</v>
      </c>
      <c r="G882" s="489">
        <f t="shared" si="137"/>
        <v>430</v>
      </c>
    </row>
    <row r="883" spans="1:7" ht="31.5" x14ac:dyDescent="0.25">
      <c r="A883" s="579" t="s">
        <v>129</v>
      </c>
      <c r="B883" s="580" t="s">
        <v>299</v>
      </c>
      <c r="C883" s="580" t="s">
        <v>150</v>
      </c>
      <c r="D883" s="580" t="s">
        <v>862</v>
      </c>
      <c r="E883" s="573" t="s">
        <v>130</v>
      </c>
      <c r="F883" s="489">
        <f>'Пр.4.1 ведом.23-24 '!G446</f>
        <v>430</v>
      </c>
      <c r="G883" s="489">
        <f>'Пр.4.1 ведом.23-24 '!H446</f>
        <v>430</v>
      </c>
    </row>
    <row r="884" spans="1:7" ht="15.75" x14ac:dyDescent="0.25">
      <c r="A884" s="494" t="s">
        <v>926</v>
      </c>
      <c r="B884" s="495" t="s">
        <v>299</v>
      </c>
      <c r="C884" s="495" t="s">
        <v>150</v>
      </c>
      <c r="D884" s="495" t="s">
        <v>866</v>
      </c>
      <c r="E884" s="573"/>
      <c r="F884" s="488">
        <f>F885+F896</f>
        <v>12796.939999999999</v>
      </c>
      <c r="G884" s="488">
        <f>G885+G896</f>
        <v>12796.939999999999</v>
      </c>
    </row>
    <row r="885" spans="1:7" ht="15.75" x14ac:dyDescent="0.25">
      <c r="A885" s="494" t="s">
        <v>1713</v>
      </c>
      <c r="B885" s="495" t="s">
        <v>299</v>
      </c>
      <c r="C885" s="495" t="s">
        <v>150</v>
      </c>
      <c r="D885" s="495" t="s">
        <v>953</v>
      </c>
      <c r="E885" s="495"/>
      <c r="F885" s="489">
        <f>F886+F889</f>
        <v>12796.939999999999</v>
      </c>
      <c r="G885" s="489">
        <f>G886+G889</f>
        <v>12796.939999999999</v>
      </c>
    </row>
    <row r="886" spans="1:7" ht="47.25" x14ac:dyDescent="0.25">
      <c r="A886" s="579" t="s">
        <v>839</v>
      </c>
      <c r="B886" s="580" t="s">
        <v>299</v>
      </c>
      <c r="C886" s="580" t="s">
        <v>150</v>
      </c>
      <c r="D886" s="580" t="s">
        <v>956</v>
      </c>
      <c r="E886" s="580"/>
      <c r="F886" s="489">
        <f>F887</f>
        <v>215</v>
      </c>
      <c r="G886" s="489">
        <f>G887</f>
        <v>215</v>
      </c>
    </row>
    <row r="887" spans="1:7" ht="78.75" x14ac:dyDescent="0.25">
      <c r="A887" s="579" t="s">
        <v>127</v>
      </c>
      <c r="B887" s="580" t="s">
        <v>299</v>
      </c>
      <c r="C887" s="580" t="s">
        <v>150</v>
      </c>
      <c r="D887" s="580" t="s">
        <v>956</v>
      </c>
      <c r="E887" s="580" t="s">
        <v>128</v>
      </c>
      <c r="F887" s="489">
        <f>F888</f>
        <v>215</v>
      </c>
      <c r="G887" s="489">
        <f>G888</f>
        <v>215</v>
      </c>
    </row>
    <row r="888" spans="1:7" ht="31.5" x14ac:dyDescent="0.25">
      <c r="A888" s="579" t="s">
        <v>342</v>
      </c>
      <c r="B888" s="580" t="s">
        <v>299</v>
      </c>
      <c r="C888" s="580" t="s">
        <v>150</v>
      </c>
      <c r="D888" s="580" t="s">
        <v>956</v>
      </c>
      <c r="E888" s="580" t="s">
        <v>209</v>
      </c>
      <c r="F888" s="489">
        <f>'Пр.4.1 ведом.23-24 '!G455</f>
        <v>215</v>
      </c>
      <c r="G888" s="489">
        <f>'Пр.4.1 ведом.23-24 '!H455</f>
        <v>215</v>
      </c>
    </row>
    <row r="889" spans="1:7" ht="15.75" x14ac:dyDescent="0.25">
      <c r="A889" s="579" t="s">
        <v>801</v>
      </c>
      <c r="B889" s="580" t="s">
        <v>299</v>
      </c>
      <c r="C889" s="580" t="s">
        <v>150</v>
      </c>
      <c r="D889" s="580" t="s">
        <v>955</v>
      </c>
      <c r="E889" s="580"/>
      <c r="F889" s="489">
        <f>F890+F892+F894</f>
        <v>12581.939999999999</v>
      </c>
      <c r="G889" s="489">
        <f>G890+G892+G894</f>
        <v>12581.939999999999</v>
      </c>
    </row>
    <row r="890" spans="1:7" ht="78.75" x14ac:dyDescent="0.25">
      <c r="A890" s="579" t="s">
        <v>127</v>
      </c>
      <c r="B890" s="580" t="s">
        <v>299</v>
      </c>
      <c r="C890" s="580" t="s">
        <v>150</v>
      </c>
      <c r="D890" s="580" t="s">
        <v>955</v>
      </c>
      <c r="E890" s="580" t="s">
        <v>128</v>
      </c>
      <c r="F890" s="489">
        <f>F891</f>
        <v>10677.8</v>
      </c>
      <c r="G890" s="489">
        <f>G891</f>
        <v>10677.8</v>
      </c>
    </row>
    <row r="891" spans="1:7" ht="31.5" x14ac:dyDescent="0.25">
      <c r="A891" s="579" t="s">
        <v>342</v>
      </c>
      <c r="B891" s="580" t="s">
        <v>299</v>
      </c>
      <c r="C891" s="580" t="s">
        <v>150</v>
      </c>
      <c r="D891" s="580" t="s">
        <v>955</v>
      </c>
      <c r="E891" s="580" t="s">
        <v>209</v>
      </c>
      <c r="F891" s="489">
        <f>'Пр.4.1 ведом.23-24 '!G458</f>
        <v>10677.8</v>
      </c>
      <c r="G891" s="489">
        <f>'Пр.4.1 ведом.23-24 '!H458</f>
        <v>10677.8</v>
      </c>
    </row>
    <row r="892" spans="1:7" ht="31.5" x14ac:dyDescent="0.25">
      <c r="A892" s="579" t="s">
        <v>131</v>
      </c>
      <c r="B892" s="580" t="s">
        <v>299</v>
      </c>
      <c r="C892" s="580" t="s">
        <v>150</v>
      </c>
      <c r="D892" s="580" t="s">
        <v>955</v>
      </c>
      <c r="E892" s="580" t="s">
        <v>132</v>
      </c>
      <c r="F892" s="489">
        <f>F893</f>
        <v>1890.14</v>
      </c>
      <c r="G892" s="489">
        <f>G893</f>
        <v>1890.14</v>
      </c>
    </row>
    <row r="893" spans="1:7" ht="31.5" x14ac:dyDescent="0.25">
      <c r="A893" s="579" t="s">
        <v>133</v>
      </c>
      <c r="B893" s="580" t="s">
        <v>299</v>
      </c>
      <c r="C893" s="580" t="s">
        <v>150</v>
      </c>
      <c r="D893" s="580" t="s">
        <v>955</v>
      </c>
      <c r="E893" s="580" t="s">
        <v>134</v>
      </c>
      <c r="F893" s="489">
        <f>'Пр.4.1 ведом.23-24 '!G460</f>
        <v>1890.14</v>
      </c>
      <c r="G893" s="489">
        <f>'Пр.4.1 ведом.23-24 '!H460</f>
        <v>1890.14</v>
      </c>
    </row>
    <row r="894" spans="1:7" ht="15.75" x14ac:dyDescent="0.25">
      <c r="A894" s="579" t="s">
        <v>135</v>
      </c>
      <c r="B894" s="580" t="s">
        <v>299</v>
      </c>
      <c r="C894" s="580" t="s">
        <v>150</v>
      </c>
      <c r="D894" s="580" t="s">
        <v>955</v>
      </c>
      <c r="E894" s="580" t="s">
        <v>145</v>
      </c>
      <c r="F894" s="489">
        <f>F895</f>
        <v>14</v>
      </c>
      <c r="G894" s="489">
        <f>G895</f>
        <v>14</v>
      </c>
    </row>
    <row r="895" spans="1:7" ht="15.75" x14ac:dyDescent="0.25">
      <c r="A895" s="579" t="s">
        <v>568</v>
      </c>
      <c r="B895" s="580" t="s">
        <v>299</v>
      </c>
      <c r="C895" s="580" t="s">
        <v>150</v>
      </c>
      <c r="D895" s="580" t="s">
        <v>955</v>
      </c>
      <c r="E895" s="580" t="s">
        <v>138</v>
      </c>
      <c r="F895" s="489">
        <f>'Пр.4.1 ведом.23-24 '!G462</f>
        <v>14</v>
      </c>
      <c r="G895" s="489">
        <f>'Пр.4.1 ведом.23-24 '!H462</f>
        <v>14</v>
      </c>
    </row>
    <row r="896" spans="1:7" ht="31.5" hidden="1" x14ac:dyDescent="0.25">
      <c r="A896" s="34" t="s">
        <v>870</v>
      </c>
      <c r="B896" s="495" t="s">
        <v>299</v>
      </c>
      <c r="C896" s="495" t="s">
        <v>150</v>
      </c>
      <c r="D896" s="495" t="s">
        <v>865</v>
      </c>
      <c r="E896" s="7"/>
      <c r="F896" s="488">
        <f t="shared" ref="F896:G898" si="138">F897</f>
        <v>0</v>
      </c>
      <c r="G896" s="488">
        <f t="shared" si="138"/>
        <v>0</v>
      </c>
    </row>
    <row r="897" spans="1:12" ht="47.25" hidden="1" x14ac:dyDescent="0.25">
      <c r="A897" s="31" t="s">
        <v>1664</v>
      </c>
      <c r="B897" s="580" t="s">
        <v>299</v>
      </c>
      <c r="C897" s="580" t="s">
        <v>150</v>
      </c>
      <c r="D897" s="580" t="s">
        <v>1663</v>
      </c>
      <c r="E897" s="573"/>
      <c r="F897" s="489">
        <f t="shared" si="138"/>
        <v>0</v>
      </c>
      <c r="G897" s="489">
        <f t="shared" si="138"/>
        <v>0</v>
      </c>
    </row>
    <row r="898" spans="1:12" ht="31.5" hidden="1" x14ac:dyDescent="0.25">
      <c r="A898" s="579" t="s">
        <v>131</v>
      </c>
      <c r="B898" s="580" t="s">
        <v>299</v>
      </c>
      <c r="C898" s="580" t="s">
        <v>150</v>
      </c>
      <c r="D898" s="580" t="s">
        <v>1663</v>
      </c>
      <c r="E898" s="573" t="s">
        <v>132</v>
      </c>
      <c r="F898" s="489">
        <f t="shared" si="138"/>
        <v>0</v>
      </c>
      <c r="G898" s="489">
        <f t="shared" si="138"/>
        <v>0</v>
      </c>
    </row>
    <row r="899" spans="1:12" ht="31.5" hidden="1" x14ac:dyDescent="0.25">
      <c r="A899" s="579" t="s">
        <v>133</v>
      </c>
      <c r="B899" s="580" t="s">
        <v>299</v>
      </c>
      <c r="C899" s="580" t="s">
        <v>150</v>
      </c>
      <c r="D899" s="580" t="s">
        <v>1663</v>
      </c>
      <c r="E899" s="573" t="s">
        <v>134</v>
      </c>
      <c r="F899" s="489">
        <f>'Пр.4 ведом.22'!G450</f>
        <v>0</v>
      </c>
      <c r="G899" s="489">
        <f>'Пр.4 ведом.22'!H450</f>
        <v>0</v>
      </c>
    </row>
    <row r="900" spans="1:12" ht="47.25" x14ac:dyDescent="0.25">
      <c r="A900" s="494" t="s">
        <v>1347</v>
      </c>
      <c r="B900" s="495" t="s">
        <v>299</v>
      </c>
      <c r="C900" s="495" t="s">
        <v>150</v>
      </c>
      <c r="D900" s="495" t="s">
        <v>344</v>
      </c>
      <c r="E900" s="573"/>
      <c r="F900" s="488">
        <f t="shared" ref="F900:G902" si="139">F901</f>
        <v>260</v>
      </c>
      <c r="G900" s="488">
        <f t="shared" si="139"/>
        <v>260</v>
      </c>
    </row>
    <row r="901" spans="1:12" ht="31.5" x14ac:dyDescent="0.25">
      <c r="A901" s="494" t="s">
        <v>355</v>
      </c>
      <c r="B901" s="495" t="s">
        <v>299</v>
      </c>
      <c r="C901" s="495" t="s">
        <v>150</v>
      </c>
      <c r="D901" s="495" t="s">
        <v>362</v>
      </c>
      <c r="E901" s="573"/>
      <c r="F901" s="488">
        <f t="shared" si="139"/>
        <v>260</v>
      </c>
      <c r="G901" s="488">
        <f t="shared" si="139"/>
        <v>260</v>
      </c>
    </row>
    <row r="902" spans="1:12" ht="31.5" x14ac:dyDescent="0.25">
      <c r="A902" s="494" t="s">
        <v>997</v>
      </c>
      <c r="B902" s="495" t="s">
        <v>299</v>
      </c>
      <c r="C902" s="495" t="s">
        <v>150</v>
      </c>
      <c r="D902" s="495" t="s">
        <v>1221</v>
      </c>
      <c r="E902" s="573"/>
      <c r="F902" s="488">
        <f t="shared" si="139"/>
        <v>260</v>
      </c>
      <c r="G902" s="488">
        <f t="shared" si="139"/>
        <v>260</v>
      </c>
    </row>
    <row r="903" spans="1:12" ht="31.5" x14ac:dyDescent="0.25">
      <c r="A903" s="579" t="s">
        <v>996</v>
      </c>
      <c r="B903" s="580" t="s">
        <v>299</v>
      </c>
      <c r="C903" s="580" t="s">
        <v>150</v>
      </c>
      <c r="D903" s="580" t="s">
        <v>1222</v>
      </c>
      <c r="E903" s="573"/>
      <c r="F903" s="489">
        <f t="shared" ref="F903:G903" si="140">F904</f>
        <v>260</v>
      </c>
      <c r="G903" s="489">
        <f t="shared" si="140"/>
        <v>260</v>
      </c>
    </row>
    <row r="904" spans="1:12" ht="31.5" x14ac:dyDescent="0.25">
      <c r="A904" s="579" t="s">
        <v>131</v>
      </c>
      <c r="B904" s="580" t="s">
        <v>299</v>
      </c>
      <c r="C904" s="580" t="s">
        <v>150</v>
      </c>
      <c r="D904" s="580" t="s">
        <v>1222</v>
      </c>
      <c r="E904" s="573" t="s">
        <v>132</v>
      </c>
      <c r="F904" s="489">
        <f>F905</f>
        <v>260</v>
      </c>
      <c r="G904" s="489">
        <f>G905</f>
        <v>260</v>
      </c>
    </row>
    <row r="905" spans="1:12" ht="31.5" x14ac:dyDescent="0.25">
      <c r="A905" s="579" t="s">
        <v>133</v>
      </c>
      <c r="B905" s="580" t="s">
        <v>299</v>
      </c>
      <c r="C905" s="580" t="s">
        <v>150</v>
      </c>
      <c r="D905" s="580" t="s">
        <v>1222</v>
      </c>
      <c r="E905" s="573" t="s">
        <v>134</v>
      </c>
      <c r="F905" s="489">
        <f>'Пр.4.1 ведом.23-24 '!G468</f>
        <v>260</v>
      </c>
      <c r="G905" s="489">
        <f>'Пр.4.1 ведом.23-24 '!H468</f>
        <v>260</v>
      </c>
    </row>
    <row r="906" spans="1:12" ht="47.25" hidden="1" x14ac:dyDescent="0.25">
      <c r="A906" s="34" t="s">
        <v>1357</v>
      </c>
      <c r="B906" s="495" t="s">
        <v>299</v>
      </c>
      <c r="C906" s="495" t="s">
        <v>150</v>
      </c>
      <c r="D906" s="495" t="s">
        <v>324</v>
      </c>
      <c r="E906" s="495"/>
      <c r="F906" s="493">
        <f>F908</f>
        <v>0</v>
      </c>
      <c r="G906" s="493">
        <f>G908</f>
        <v>4</v>
      </c>
    </row>
    <row r="907" spans="1:12" ht="63" hidden="1" x14ac:dyDescent="0.25">
      <c r="A907" s="34" t="s">
        <v>1025</v>
      </c>
      <c r="B907" s="495" t="s">
        <v>299</v>
      </c>
      <c r="C907" s="495" t="s">
        <v>150</v>
      </c>
      <c r="D907" s="495" t="s">
        <v>934</v>
      </c>
      <c r="E907" s="495"/>
      <c r="F907" s="493">
        <f>F910</f>
        <v>0</v>
      </c>
      <c r="G907" s="493">
        <f>G910</f>
        <v>4</v>
      </c>
    </row>
    <row r="908" spans="1:12" ht="47.25" hidden="1" x14ac:dyDescent="0.25">
      <c r="A908" s="31" t="s">
        <v>1080</v>
      </c>
      <c r="B908" s="580" t="s">
        <v>299</v>
      </c>
      <c r="C908" s="580" t="s">
        <v>150</v>
      </c>
      <c r="D908" s="580" t="s">
        <v>1026</v>
      </c>
      <c r="E908" s="580"/>
      <c r="F908" s="497">
        <f>F909</f>
        <v>0</v>
      </c>
      <c r="G908" s="497">
        <f>G909</f>
        <v>4</v>
      </c>
    </row>
    <row r="909" spans="1:12" ht="31.5" hidden="1" x14ac:dyDescent="0.25">
      <c r="A909" s="579" t="s">
        <v>131</v>
      </c>
      <c r="B909" s="580" t="s">
        <v>299</v>
      </c>
      <c r="C909" s="580" t="s">
        <v>150</v>
      </c>
      <c r="D909" s="580" t="s">
        <v>1026</v>
      </c>
      <c r="E909" s="580" t="s">
        <v>132</v>
      </c>
      <c r="F909" s="497">
        <f>F910</f>
        <v>0</v>
      </c>
      <c r="G909" s="497">
        <f>G910</f>
        <v>4</v>
      </c>
    </row>
    <row r="910" spans="1:12" ht="31.5" hidden="1" x14ac:dyDescent="0.25">
      <c r="A910" s="579" t="s">
        <v>133</v>
      </c>
      <c r="B910" s="580" t="s">
        <v>299</v>
      </c>
      <c r="C910" s="580" t="s">
        <v>150</v>
      </c>
      <c r="D910" s="580" t="s">
        <v>1026</v>
      </c>
      <c r="E910" s="580" t="s">
        <v>134</v>
      </c>
      <c r="F910" s="497">
        <f>'Пр.4.1 ведом.23-24 '!G473</f>
        <v>0</v>
      </c>
      <c r="G910" s="497">
        <f>'Пр.4.1 ведом.23-24 '!H473</f>
        <v>4</v>
      </c>
    </row>
    <row r="911" spans="1:12" ht="15.75" x14ac:dyDescent="0.25">
      <c r="A911" s="494" t="s">
        <v>243</v>
      </c>
      <c r="B911" s="495" t="s">
        <v>244</v>
      </c>
      <c r="C911" s="495"/>
      <c r="D911" s="495"/>
      <c r="E911" s="495"/>
      <c r="F911" s="488">
        <f>F912+F918+F952+F947</f>
        <v>15262.41</v>
      </c>
      <c r="G911" s="488">
        <f>G912+G918+G952+G947</f>
        <v>15374.51</v>
      </c>
      <c r="H911" s="115"/>
      <c r="K911" s="230">
        <f>F911-'Пр.4 ведом.22'!M1175-'Пр.4 ведом.22'!V1185-F948-F954</f>
        <v>11568.71</v>
      </c>
      <c r="L911" s="232">
        <f>F944+F949+F955-'Пр.4 ведом.22'!M1174-'Пр.4 ведом.22'!V1184</f>
        <v>3703.7</v>
      </c>
    </row>
    <row r="912" spans="1:12" ht="15.75" x14ac:dyDescent="0.25">
      <c r="A912" s="494" t="s">
        <v>245</v>
      </c>
      <c r="B912" s="495" t="s">
        <v>244</v>
      </c>
      <c r="C912" s="495" t="s">
        <v>118</v>
      </c>
      <c r="D912" s="495"/>
      <c r="E912" s="495"/>
      <c r="F912" s="488">
        <f t="shared" ref="F912:G916" si="141">F913</f>
        <v>9913.5</v>
      </c>
      <c r="G912" s="488">
        <f t="shared" si="141"/>
        <v>9913.5</v>
      </c>
    </row>
    <row r="913" spans="1:7" ht="15.75" x14ac:dyDescent="0.25">
      <c r="A913" s="494" t="s">
        <v>141</v>
      </c>
      <c r="B913" s="495" t="s">
        <v>244</v>
      </c>
      <c r="C913" s="495" t="s">
        <v>118</v>
      </c>
      <c r="D913" s="495" t="s">
        <v>866</v>
      </c>
      <c r="E913" s="495"/>
      <c r="F913" s="488">
        <f t="shared" si="141"/>
        <v>9913.5</v>
      </c>
      <c r="G913" s="488">
        <f t="shared" si="141"/>
        <v>9913.5</v>
      </c>
    </row>
    <row r="914" spans="1:7" ht="31.5" x14ac:dyDescent="0.25">
      <c r="A914" s="494" t="s">
        <v>870</v>
      </c>
      <c r="B914" s="495" t="s">
        <v>244</v>
      </c>
      <c r="C914" s="495" t="s">
        <v>118</v>
      </c>
      <c r="D914" s="495" t="s">
        <v>865</v>
      </c>
      <c r="E914" s="495"/>
      <c r="F914" s="488">
        <f t="shared" si="141"/>
        <v>9913.5</v>
      </c>
      <c r="G914" s="488">
        <f t="shared" si="141"/>
        <v>9913.5</v>
      </c>
    </row>
    <row r="915" spans="1:7" ht="15.75" x14ac:dyDescent="0.25">
      <c r="A915" s="579" t="s">
        <v>246</v>
      </c>
      <c r="B915" s="580" t="s">
        <v>244</v>
      </c>
      <c r="C915" s="580" t="s">
        <v>118</v>
      </c>
      <c r="D915" s="580" t="s">
        <v>881</v>
      </c>
      <c r="E915" s="580"/>
      <c r="F915" s="489">
        <f t="shared" si="141"/>
        <v>9913.5</v>
      </c>
      <c r="G915" s="489">
        <f t="shared" si="141"/>
        <v>9913.5</v>
      </c>
    </row>
    <row r="916" spans="1:7" ht="18" customHeight="1" x14ac:dyDescent="0.25">
      <c r="A916" s="579" t="s">
        <v>248</v>
      </c>
      <c r="B916" s="580" t="s">
        <v>244</v>
      </c>
      <c r="C916" s="580" t="s">
        <v>118</v>
      </c>
      <c r="D916" s="580" t="s">
        <v>881</v>
      </c>
      <c r="E916" s="580" t="s">
        <v>249</v>
      </c>
      <c r="F916" s="489">
        <f t="shared" si="141"/>
        <v>9913.5</v>
      </c>
      <c r="G916" s="489">
        <f t="shared" si="141"/>
        <v>9913.5</v>
      </c>
    </row>
    <row r="917" spans="1:7" ht="31.5" x14ac:dyDescent="0.25">
      <c r="A917" s="579" t="s">
        <v>348</v>
      </c>
      <c r="B917" s="580" t="s">
        <v>244</v>
      </c>
      <c r="C917" s="580" t="s">
        <v>118</v>
      </c>
      <c r="D917" s="580" t="s">
        <v>881</v>
      </c>
      <c r="E917" s="580" t="s">
        <v>349</v>
      </c>
      <c r="F917" s="489">
        <f>'Пр.4.1 ведом.23-24 '!G226</f>
        <v>9913.5</v>
      </c>
      <c r="G917" s="489">
        <f>'Пр.4.1 ведом.23-24 '!H226</f>
        <v>9913.5</v>
      </c>
    </row>
    <row r="918" spans="1:7" ht="15.75" x14ac:dyDescent="0.25">
      <c r="A918" s="494" t="s">
        <v>252</v>
      </c>
      <c r="B918" s="495" t="s">
        <v>244</v>
      </c>
      <c r="C918" s="495" t="s">
        <v>215</v>
      </c>
      <c r="D918" s="495"/>
      <c r="E918" s="495"/>
      <c r="F918" s="488">
        <f>F919+F942</f>
        <v>1570.1</v>
      </c>
      <c r="G918" s="488">
        <f>G919+G942</f>
        <v>1534.4</v>
      </c>
    </row>
    <row r="919" spans="1:7" ht="28.5" customHeight="1" x14ac:dyDescent="0.25">
      <c r="A919" s="494" t="s">
        <v>1372</v>
      </c>
      <c r="B919" s="495" t="s">
        <v>244</v>
      </c>
      <c r="C919" s="495" t="s">
        <v>215</v>
      </c>
      <c r="D919" s="495" t="s">
        <v>344</v>
      </c>
      <c r="E919" s="495"/>
      <c r="F919" s="488">
        <f>F920+F925</f>
        <v>1560.1</v>
      </c>
      <c r="G919" s="488">
        <f>G920+G925</f>
        <v>1524.4</v>
      </c>
    </row>
    <row r="920" spans="1:7" ht="28.5" customHeight="1" x14ac:dyDescent="0.25">
      <c r="A920" s="494" t="s">
        <v>352</v>
      </c>
      <c r="B920" s="495" t="s">
        <v>244</v>
      </c>
      <c r="C920" s="495" t="s">
        <v>215</v>
      </c>
      <c r="D920" s="495" t="s">
        <v>353</v>
      </c>
      <c r="E920" s="495"/>
      <c r="F920" s="488">
        <f t="shared" ref="F920:G920" si="142">F921</f>
        <v>253.1</v>
      </c>
      <c r="G920" s="488">
        <f t="shared" si="142"/>
        <v>217.4</v>
      </c>
    </row>
    <row r="921" spans="1:7" ht="28.5" customHeight="1" x14ac:dyDescent="0.25">
      <c r="A921" s="494" t="s">
        <v>905</v>
      </c>
      <c r="B921" s="495" t="s">
        <v>244</v>
      </c>
      <c r="C921" s="495" t="s">
        <v>215</v>
      </c>
      <c r="D921" s="495" t="s">
        <v>904</v>
      </c>
      <c r="E921" s="495"/>
      <c r="F921" s="488">
        <f>F922</f>
        <v>253.1</v>
      </c>
      <c r="G921" s="488">
        <f>G922</f>
        <v>217.4</v>
      </c>
    </row>
    <row r="922" spans="1:7" ht="28.5" customHeight="1" x14ac:dyDescent="0.25">
      <c r="A922" s="579" t="s">
        <v>824</v>
      </c>
      <c r="B922" s="580" t="s">
        <v>244</v>
      </c>
      <c r="C922" s="580" t="s">
        <v>215</v>
      </c>
      <c r="D922" s="580" t="s">
        <v>906</v>
      </c>
      <c r="E922" s="580"/>
      <c r="F922" s="489">
        <f>F923</f>
        <v>253.1</v>
      </c>
      <c r="G922" s="489">
        <f>G923</f>
        <v>217.4</v>
      </c>
    </row>
    <row r="923" spans="1:7" ht="28.5" customHeight="1" x14ac:dyDescent="0.25">
      <c r="A923" s="579" t="s">
        <v>248</v>
      </c>
      <c r="B923" s="580" t="s">
        <v>244</v>
      </c>
      <c r="C923" s="580" t="s">
        <v>215</v>
      </c>
      <c r="D923" s="580" t="s">
        <v>906</v>
      </c>
      <c r="E923" s="580" t="s">
        <v>249</v>
      </c>
      <c r="F923" s="489">
        <f t="shared" ref="F923:G923" si="143">F924</f>
        <v>253.1</v>
      </c>
      <c r="G923" s="489">
        <f t="shared" si="143"/>
        <v>217.4</v>
      </c>
    </row>
    <row r="924" spans="1:7" ht="28.5" customHeight="1" x14ac:dyDescent="0.25">
      <c r="A924" s="579" t="s">
        <v>250</v>
      </c>
      <c r="B924" s="580" t="s">
        <v>244</v>
      </c>
      <c r="C924" s="580" t="s">
        <v>215</v>
      </c>
      <c r="D924" s="580" t="s">
        <v>906</v>
      </c>
      <c r="E924" s="580" t="s">
        <v>251</v>
      </c>
      <c r="F924" s="489">
        <f>'Пр.4.1 ведом.23-24 '!G481</f>
        <v>253.1</v>
      </c>
      <c r="G924" s="489">
        <f>'Пр.4.1 ведом.23-24 '!H481</f>
        <v>217.4</v>
      </c>
    </row>
    <row r="925" spans="1:7" ht="28.5" customHeight="1" x14ac:dyDescent="0.25">
      <c r="A925" s="494" t="s">
        <v>355</v>
      </c>
      <c r="B925" s="491">
        <v>10</v>
      </c>
      <c r="C925" s="495" t="s">
        <v>215</v>
      </c>
      <c r="D925" s="495" t="s">
        <v>362</v>
      </c>
      <c r="E925" s="495"/>
      <c r="F925" s="488">
        <f>F926+F932+F938</f>
        <v>1307</v>
      </c>
      <c r="G925" s="488">
        <f>G926+G932+G938</f>
        <v>1307</v>
      </c>
    </row>
    <row r="926" spans="1:7" ht="31.5" x14ac:dyDescent="0.25">
      <c r="A926" s="494" t="s">
        <v>1038</v>
      </c>
      <c r="B926" s="495" t="s">
        <v>244</v>
      </c>
      <c r="C926" s="495" t="s">
        <v>215</v>
      </c>
      <c r="D926" s="495" t="s">
        <v>913</v>
      </c>
      <c r="E926" s="495"/>
      <c r="F926" s="493">
        <f>F927</f>
        <v>630</v>
      </c>
      <c r="G926" s="493">
        <f>G927</f>
        <v>630</v>
      </c>
    </row>
    <row r="927" spans="1:7" ht="47.25" x14ac:dyDescent="0.25">
      <c r="A927" s="98" t="s">
        <v>1039</v>
      </c>
      <c r="B927" s="580" t="s">
        <v>244</v>
      </c>
      <c r="C927" s="580" t="s">
        <v>215</v>
      </c>
      <c r="D927" s="580" t="s">
        <v>1224</v>
      </c>
      <c r="E927" s="580"/>
      <c r="F927" s="497">
        <f>F930+F928</f>
        <v>630</v>
      </c>
      <c r="G927" s="497">
        <f>G930+G928</f>
        <v>630</v>
      </c>
    </row>
    <row r="928" spans="1:7" ht="31.5" hidden="1" x14ac:dyDescent="0.25">
      <c r="A928" s="579" t="s">
        <v>131</v>
      </c>
      <c r="B928" s="580" t="s">
        <v>244</v>
      </c>
      <c r="C928" s="580" t="s">
        <v>215</v>
      </c>
      <c r="D928" s="580" t="s">
        <v>1224</v>
      </c>
      <c r="E928" s="580" t="s">
        <v>132</v>
      </c>
      <c r="F928" s="497">
        <f>F929</f>
        <v>0</v>
      </c>
      <c r="G928" s="497">
        <f>G929</f>
        <v>0</v>
      </c>
    </row>
    <row r="929" spans="1:7" ht="31.5" hidden="1" x14ac:dyDescent="0.25">
      <c r="A929" s="579" t="s">
        <v>133</v>
      </c>
      <c r="B929" s="580" t="s">
        <v>244</v>
      </c>
      <c r="C929" s="580" t="s">
        <v>215</v>
      </c>
      <c r="D929" s="580" t="s">
        <v>1224</v>
      </c>
      <c r="E929" s="580" t="s">
        <v>134</v>
      </c>
      <c r="F929" s="497">
        <f>'Пр.4 ведом.22'!G485</f>
        <v>0</v>
      </c>
      <c r="G929" s="497">
        <f>'Пр.4 ведом.22'!H485</f>
        <v>0</v>
      </c>
    </row>
    <row r="930" spans="1:7" ht="18.75" customHeight="1" x14ac:dyDescent="0.25">
      <c r="A930" s="579" t="s">
        <v>248</v>
      </c>
      <c r="B930" s="580" t="s">
        <v>244</v>
      </c>
      <c r="C930" s="580" t="s">
        <v>215</v>
      </c>
      <c r="D930" s="580" t="s">
        <v>1224</v>
      </c>
      <c r="E930" s="580" t="s">
        <v>249</v>
      </c>
      <c r="F930" s="497">
        <f>F931</f>
        <v>630</v>
      </c>
      <c r="G930" s="497">
        <f>G931</f>
        <v>630</v>
      </c>
    </row>
    <row r="931" spans="1:7" ht="31.7" customHeight="1" x14ac:dyDescent="0.25">
      <c r="A931" s="579" t="s">
        <v>348</v>
      </c>
      <c r="B931" s="580" t="s">
        <v>244</v>
      </c>
      <c r="C931" s="580" t="s">
        <v>215</v>
      </c>
      <c r="D931" s="580" t="s">
        <v>1224</v>
      </c>
      <c r="E931" s="580" t="s">
        <v>349</v>
      </c>
      <c r="F931" s="497">
        <f>'Пр.4.1 ведом.23-24 '!G488</f>
        <v>630</v>
      </c>
      <c r="G931" s="497">
        <f>'Пр.4.1 ведом.23-24 '!H488</f>
        <v>630</v>
      </c>
    </row>
    <row r="932" spans="1:7" ht="31.5" x14ac:dyDescent="0.25">
      <c r="A932" s="494" t="s">
        <v>1228</v>
      </c>
      <c r="B932" s="491">
        <v>10</v>
      </c>
      <c r="C932" s="495" t="s">
        <v>215</v>
      </c>
      <c r="D932" s="495" t="s">
        <v>1226</v>
      </c>
      <c r="E932" s="495"/>
      <c r="F932" s="493">
        <f>F933</f>
        <v>257</v>
      </c>
      <c r="G932" s="493">
        <f>G933</f>
        <v>257</v>
      </c>
    </row>
    <row r="933" spans="1:7" ht="35.450000000000003" customHeight="1" x14ac:dyDescent="0.25">
      <c r="A933" s="579" t="s">
        <v>1225</v>
      </c>
      <c r="B933" s="580" t="s">
        <v>244</v>
      </c>
      <c r="C933" s="580" t="s">
        <v>215</v>
      </c>
      <c r="D933" s="580" t="s">
        <v>1227</v>
      </c>
      <c r="E933" s="580"/>
      <c r="F933" s="497">
        <f>F935+F937</f>
        <v>257</v>
      </c>
      <c r="G933" s="497">
        <f>G935+G937</f>
        <v>257</v>
      </c>
    </row>
    <row r="934" spans="1:7" ht="36" hidden="1" customHeight="1" x14ac:dyDescent="0.25">
      <c r="A934" s="579" t="s">
        <v>131</v>
      </c>
      <c r="B934" s="580" t="s">
        <v>244</v>
      </c>
      <c r="C934" s="580" t="s">
        <v>215</v>
      </c>
      <c r="D934" s="580" t="s">
        <v>1227</v>
      </c>
      <c r="E934" s="580" t="s">
        <v>132</v>
      </c>
      <c r="F934" s="497">
        <f>F935</f>
        <v>0</v>
      </c>
      <c r="G934" s="497">
        <f>G935</f>
        <v>0</v>
      </c>
    </row>
    <row r="935" spans="1:7" ht="39.75" hidden="1" customHeight="1" x14ac:dyDescent="0.25">
      <c r="A935" s="579" t="s">
        <v>133</v>
      </c>
      <c r="B935" s="580" t="s">
        <v>244</v>
      </c>
      <c r="C935" s="580" t="s">
        <v>215</v>
      </c>
      <c r="D935" s="580" t="s">
        <v>1227</v>
      </c>
      <c r="E935" s="580" t="s">
        <v>134</v>
      </c>
      <c r="F935" s="497">
        <f>'Пр.4 ведом.22'!G491</f>
        <v>0</v>
      </c>
      <c r="G935" s="497">
        <f>'Пр.4 ведом.22'!H491</f>
        <v>0</v>
      </c>
    </row>
    <row r="936" spans="1:7" ht="19.5" customHeight="1" x14ac:dyDescent="0.25">
      <c r="A936" s="579" t="s">
        <v>248</v>
      </c>
      <c r="B936" s="580" t="s">
        <v>244</v>
      </c>
      <c r="C936" s="580" t="s">
        <v>215</v>
      </c>
      <c r="D936" s="580" t="s">
        <v>1227</v>
      </c>
      <c r="E936" s="580" t="s">
        <v>249</v>
      </c>
      <c r="F936" s="497">
        <f>F937</f>
        <v>257</v>
      </c>
      <c r="G936" s="497">
        <f>G937</f>
        <v>257</v>
      </c>
    </row>
    <row r="937" spans="1:7" ht="31.5" x14ac:dyDescent="0.25">
      <c r="A937" s="579" t="s">
        <v>348</v>
      </c>
      <c r="B937" s="580" t="s">
        <v>244</v>
      </c>
      <c r="C937" s="580" t="s">
        <v>215</v>
      </c>
      <c r="D937" s="580" t="s">
        <v>1227</v>
      </c>
      <c r="E937" s="580" t="s">
        <v>349</v>
      </c>
      <c r="F937" s="497">
        <f>'Пр.4.1 ведом.23-24 '!G494</f>
        <v>257</v>
      </c>
      <c r="G937" s="497">
        <f>'Пр.4.1 ведом.23-24 '!H494</f>
        <v>257</v>
      </c>
    </row>
    <row r="938" spans="1:7" ht="31.5" x14ac:dyDescent="0.25">
      <c r="A938" s="494" t="s">
        <v>997</v>
      </c>
      <c r="B938" s="491">
        <v>10</v>
      </c>
      <c r="C938" s="495" t="s">
        <v>215</v>
      </c>
      <c r="D938" s="495" t="s">
        <v>1221</v>
      </c>
      <c r="E938" s="495"/>
      <c r="F938" s="493">
        <f t="shared" ref="F938:G940" si="144">F939</f>
        <v>420</v>
      </c>
      <c r="G938" s="493">
        <f t="shared" si="144"/>
        <v>420</v>
      </c>
    </row>
    <row r="939" spans="1:7" ht="15.75" x14ac:dyDescent="0.25">
      <c r="A939" s="579" t="s">
        <v>1036</v>
      </c>
      <c r="B939" s="580" t="s">
        <v>244</v>
      </c>
      <c r="C939" s="580" t="s">
        <v>215</v>
      </c>
      <c r="D939" s="580" t="s">
        <v>1223</v>
      </c>
      <c r="E939" s="580"/>
      <c r="F939" s="497">
        <f t="shared" si="144"/>
        <v>420</v>
      </c>
      <c r="G939" s="497">
        <f t="shared" si="144"/>
        <v>420</v>
      </c>
    </row>
    <row r="940" spans="1:7" ht="21.75" customHeight="1" x14ac:dyDescent="0.25">
      <c r="A940" s="579" t="s">
        <v>248</v>
      </c>
      <c r="B940" s="580" t="s">
        <v>244</v>
      </c>
      <c r="C940" s="580" t="s">
        <v>215</v>
      </c>
      <c r="D940" s="580" t="s">
        <v>1223</v>
      </c>
      <c r="E940" s="580" t="s">
        <v>249</v>
      </c>
      <c r="F940" s="497">
        <f t="shared" si="144"/>
        <v>420</v>
      </c>
      <c r="G940" s="497">
        <f t="shared" si="144"/>
        <v>420</v>
      </c>
    </row>
    <row r="941" spans="1:7" ht="31.5" x14ac:dyDescent="0.25">
      <c r="A941" s="579" t="s">
        <v>348</v>
      </c>
      <c r="B941" s="580" t="s">
        <v>244</v>
      </c>
      <c r="C941" s="580" t="s">
        <v>215</v>
      </c>
      <c r="D941" s="580" t="s">
        <v>1223</v>
      </c>
      <c r="E941" s="580" t="s">
        <v>349</v>
      </c>
      <c r="F941" s="497">
        <f>'Пр.4.1 ведом.23-24 '!G498</f>
        <v>420</v>
      </c>
      <c r="G941" s="497">
        <f>'Пр.4.1 ведом.23-24 '!H498</f>
        <v>420</v>
      </c>
    </row>
    <row r="942" spans="1:7" ht="69" customHeight="1" x14ac:dyDescent="0.25">
      <c r="A942" s="494" t="s">
        <v>1346</v>
      </c>
      <c r="B942" s="495" t="s">
        <v>244</v>
      </c>
      <c r="C942" s="495" t="s">
        <v>215</v>
      </c>
      <c r="D942" s="495" t="s">
        <v>254</v>
      </c>
      <c r="E942" s="495"/>
      <c r="F942" s="488">
        <f t="shared" ref="F942:G944" si="145">F943</f>
        <v>10</v>
      </c>
      <c r="G942" s="488">
        <f t="shared" si="145"/>
        <v>10</v>
      </c>
    </row>
    <row r="943" spans="1:7" ht="47.25" x14ac:dyDescent="0.25">
      <c r="A943" s="494" t="s">
        <v>884</v>
      </c>
      <c r="B943" s="495" t="s">
        <v>244</v>
      </c>
      <c r="C943" s="495" t="s">
        <v>215</v>
      </c>
      <c r="D943" s="495" t="s">
        <v>882</v>
      </c>
      <c r="E943" s="495"/>
      <c r="F943" s="488">
        <f>F944</f>
        <v>10</v>
      </c>
      <c r="G943" s="488">
        <f>G944</f>
        <v>10</v>
      </c>
    </row>
    <row r="944" spans="1:7" ht="31.5" x14ac:dyDescent="0.25">
      <c r="A944" s="579" t="s">
        <v>883</v>
      </c>
      <c r="B944" s="580" t="s">
        <v>244</v>
      </c>
      <c r="C944" s="580" t="s">
        <v>215</v>
      </c>
      <c r="D944" s="580" t="s">
        <v>1188</v>
      </c>
      <c r="E944" s="580"/>
      <c r="F944" s="489">
        <f t="shared" si="145"/>
        <v>10</v>
      </c>
      <c r="G944" s="489">
        <f t="shared" si="145"/>
        <v>10</v>
      </c>
    </row>
    <row r="945" spans="1:7" ht="19.5" customHeight="1" x14ac:dyDescent="0.25">
      <c r="A945" s="579" t="s">
        <v>248</v>
      </c>
      <c r="B945" s="580" t="s">
        <v>244</v>
      </c>
      <c r="C945" s="580" t="s">
        <v>215</v>
      </c>
      <c r="D945" s="580" t="s">
        <v>1188</v>
      </c>
      <c r="E945" s="580" t="s">
        <v>249</v>
      </c>
      <c r="F945" s="489">
        <v>10</v>
      </c>
      <c r="G945" s="489">
        <v>10</v>
      </c>
    </row>
    <row r="946" spans="1:7" ht="31.5" x14ac:dyDescent="0.25">
      <c r="A946" s="579" t="s">
        <v>250</v>
      </c>
      <c r="B946" s="580" t="s">
        <v>244</v>
      </c>
      <c r="C946" s="580" t="s">
        <v>215</v>
      </c>
      <c r="D946" s="580" t="s">
        <v>1188</v>
      </c>
      <c r="E946" s="580" t="s">
        <v>251</v>
      </c>
      <c r="F946" s="489">
        <f>'Пр.4.1 ведом.23-24 '!G232</f>
        <v>10</v>
      </c>
      <c r="G946" s="489">
        <f>'Пр.4.1 ведом.23-24 '!H232</f>
        <v>10</v>
      </c>
    </row>
    <row r="947" spans="1:7" ht="15.75" hidden="1" x14ac:dyDescent="0.25">
      <c r="A947" s="494" t="s">
        <v>400</v>
      </c>
      <c r="B947" s="495" t="s">
        <v>244</v>
      </c>
      <c r="C947" s="495" t="s">
        <v>150</v>
      </c>
      <c r="D947" s="495"/>
      <c r="E947" s="495"/>
      <c r="F947" s="488">
        <f t="shared" ref="F947:G950" si="146">F948</f>
        <v>0</v>
      </c>
      <c r="G947" s="488">
        <f t="shared" si="146"/>
        <v>0</v>
      </c>
    </row>
    <row r="948" spans="1:7" ht="31.5" hidden="1" x14ac:dyDescent="0.25">
      <c r="A948" s="494" t="s">
        <v>885</v>
      </c>
      <c r="B948" s="495" t="s">
        <v>244</v>
      </c>
      <c r="C948" s="495" t="s">
        <v>150</v>
      </c>
      <c r="D948" s="495" t="s">
        <v>863</v>
      </c>
      <c r="E948" s="580"/>
      <c r="F948" s="493">
        <f t="shared" si="146"/>
        <v>0</v>
      </c>
      <c r="G948" s="493">
        <f t="shared" si="146"/>
        <v>0</v>
      </c>
    </row>
    <row r="949" spans="1:7" ht="47.25" hidden="1" x14ac:dyDescent="0.25">
      <c r="A949" s="579" t="s">
        <v>1171</v>
      </c>
      <c r="B949" s="580" t="s">
        <v>244</v>
      </c>
      <c r="C949" s="580" t="s">
        <v>150</v>
      </c>
      <c r="D949" s="580" t="s">
        <v>1170</v>
      </c>
      <c r="E949" s="580"/>
      <c r="F949" s="497">
        <f t="shared" si="146"/>
        <v>0</v>
      </c>
      <c r="G949" s="497">
        <f t="shared" si="146"/>
        <v>0</v>
      </c>
    </row>
    <row r="950" spans="1:7" ht="31.5" hidden="1" x14ac:dyDescent="0.25">
      <c r="A950" s="579" t="s">
        <v>131</v>
      </c>
      <c r="B950" s="580" t="s">
        <v>244</v>
      </c>
      <c r="C950" s="580" t="s">
        <v>150</v>
      </c>
      <c r="D950" s="580" t="s">
        <v>1170</v>
      </c>
      <c r="E950" s="580" t="s">
        <v>132</v>
      </c>
      <c r="F950" s="497">
        <f t="shared" si="146"/>
        <v>0</v>
      </c>
      <c r="G950" s="497">
        <f t="shared" si="146"/>
        <v>0</v>
      </c>
    </row>
    <row r="951" spans="1:7" ht="31.5" hidden="1" x14ac:dyDescent="0.25">
      <c r="A951" s="579" t="s">
        <v>133</v>
      </c>
      <c r="B951" s="580" t="s">
        <v>244</v>
      </c>
      <c r="C951" s="580" t="s">
        <v>150</v>
      </c>
      <c r="D951" s="580" t="s">
        <v>1170</v>
      </c>
      <c r="E951" s="580" t="s">
        <v>134</v>
      </c>
      <c r="F951" s="497">
        <f>'Пр.4 ведом.22'!G584</f>
        <v>0</v>
      </c>
      <c r="G951" s="497">
        <f>'Пр.4 ведом.22'!H584</f>
        <v>0</v>
      </c>
    </row>
    <row r="952" spans="1:7" ht="15.75" x14ac:dyDescent="0.25">
      <c r="A952" s="494" t="s">
        <v>258</v>
      </c>
      <c r="B952" s="495" t="s">
        <v>244</v>
      </c>
      <c r="C952" s="495" t="s">
        <v>120</v>
      </c>
      <c r="D952" s="495"/>
      <c r="E952" s="495"/>
      <c r="F952" s="488">
        <f>F953+F960</f>
        <v>3778.81</v>
      </c>
      <c r="G952" s="488">
        <f>G953+G960</f>
        <v>3926.61</v>
      </c>
    </row>
    <row r="953" spans="1:7" ht="31.5" x14ac:dyDescent="0.25">
      <c r="A953" s="494" t="s">
        <v>917</v>
      </c>
      <c r="B953" s="495" t="s">
        <v>244</v>
      </c>
      <c r="C953" s="495" t="s">
        <v>120</v>
      </c>
      <c r="D953" s="495" t="s">
        <v>858</v>
      </c>
      <c r="E953" s="495"/>
      <c r="F953" s="488">
        <f>F954</f>
        <v>3693.7</v>
      </c>
      <c r="G953" s="488">
        <f>G954</f>
        <v>3841.5</v>
      </c>
    </row>
    <row r="954" spans="1:7" ht="31.5" x14ac:dyDescent="0.25">
      <c r="A954" s="494" t="s">
        <v>885</v>
      </c>
      <c r="B954" s="495" t="s">
        <v>244</v>
      </c>
      <c r="C954" s="495" t="s">
        <v>120</v>
      </c>
      <c r="D954" s="495" t="s">
        <v>863</v>
      </c>
      <c r="E954" s="495"/>
      <c r="F954" s="488">
        <f>F955</f>
        <v>3693.7</v>
      </c>
      <c r="G954" s="488">
        <f>G955</f>
        <v>3841.5</v>
      </c>
    </row>
    <row r="955" spans="1:7" ht="43.5" customHeight="1" x14ac:dyDescent="0.25">
      <c r="A955" s="31" t="s">
        <v>259</v>
      </c>
      <c r="B955" s="580" t="s">
        <v>244</v>
      </c>
      <c r="C955" s="580" t="s">
        <v>120</v>
      </c>
      <c r="D955" s="580" t="s">
        <v>925</v>
      </c>
      <c r="E955" s="580"/>
      <c r="F955" s="489">
        <f>F956+F958</f>
        <v>3693.7</v>
      </c>
      <c r="G955" s="489">
        <f>G956+G958</f>
        <v>3841.5</v>
      </c>
    </row>
    <row r="956" spans="1:7" ht="78.75" x14ac:dyDescent="0.25">
      <c r="A956" s="579" t="s">
        <v>127</v>
      </c>
      <c r="B956" s="580" t="s">
        <v>244</v>
      </c>
      <c r="C956" s="580" t="s">
        <v>120</v>
      </c>
      <c r="D956" s="580" t="s">
        <v>925</v>
      </c>
      <c r="E956" s="580" t="s">
        <v>128</v>
      </c>
      <c r="F956" s="489">
        <f t="shared" ref="F956:G956" si="147">F957</f>
        <v>3411.5</v>
      </c>
      <c r="G956" s="489">
        <f t="shared" si="147"/>
        <v>3552.3</v>
      </c>
    </row>
    <row r="957" spans="1:7" ht="31.5" x14ac:dyDescent="0.25">
      <c r="A957" s="579" t="s">
        <v>129</v>
      </c>
      <c r="B957" s="580" t="s">
        <v>244</v>
      </c>
      <c r="C957" s="580" t="s">
        <v>120</v>
      </c>
      <c r="D957" s="580" t="s">
        <v>925</v>
      </c>
      <c r="E957" s="580" t="s">
        <v>130</v>
      </c>
      <c r="F957" s="489">
        <f>'Пр.4.1 ведом.23-24 '!G238</f>
        <v>3411.5</v>
      </c>
      <c r="G957" s="489">
        <f>'Пр.4.1 ведом.23-24 '!H238</f>
        <v>3552.3</v>
      </c>
    </row>
    <row r="958" spans="1:7" ht="32.25" customHeight="1" x14ac:dyDescent="0.25">
      <c r="A958" s="579" t="s">
        <v>131</v>
      </c>
      <c r="B958" s="580" t="s">
        <v>244</v>
      </c>
      <c r="C958" s="580" t="s">
        <v>120</v>
      </c>
      <c r="D958" s="580" t="s">
        <v>925</v>
      </c>
      <c r="E958" s="580" t="s">
        <v>132</v>
      </c>
      <c r="F958" s="489">
        <f t="shared" ref="F958:G958" si="148">F959</f>
        <v>282.2</v>
      </c>
      <c r="G958" s="489">
        <f t="shared" si="148"/>
        <v>289.2</v>
      </c>
    </row>
    <row r="959" spans="1:7" ht="31.7" customHeight="1" x14ac:dyDescent="0.25">
      <c r="A959" s="579" t="s">
        <v>133</v>
      </c>
      <c r="B959" s="580" t="s">
        <v>244</v>
      </c>
      <c r="C959" s="580" t="s">
        <v>120</v>
      </c>
      <c r="D959" s="580" t="s">
        <v>925</v>
      </c>
      <c r="E959" s="580" t="s">
        <v>134</v>
      </c>
      <c r="F959" s="489">
        <f>'Пр.4.1 ведом.23-24 '!G240</f>
        <v>282.2</v>
      </c>
      <c r="G959" s="489">
        <f>'Пр.4.1 ведом.23-24 '!H240</f>
        <v>289.2</v>
      </c>
    </row>
    <row r="960" spans="1:7" ht="15" customHeight="1" x14ac:dyDescent="0.25">
      <c r="A960" s="494" t="s">
        <v>141</v>
      </c>
      <c r="B960" s="495" t="s">
        <v>244</v>
      </c>
      <c r="C960" s="495" t="s">
        <v>120</v>
      </c>
      <c r="D960" s="495" t="s">
        <v>866</v>
      </c>
      <c r="E960" s="495"/>
      <c r="F960" s="488">
        <f t="shared" ref="F960:G963" si="149">F961</f>
        <v>85.11</v>
      </c>
      <c r="G960" s="488">
        <f t="shared" si="149"/>
        <v>85.11</v>
      </c>
    </row>
    <row r="961" spans="1:12" ht="37.5" customHeight="1" x14ac:dyDescent="0.25">
      <c r="A961" s="494" t="s">
        <v>870</v>
      </c>
      <c r="B961" s="495" t="s">
        <v>244</v>
      </c>
      <c r="C961" s="495" t="s">
        <v>120</v>
      </c>
      <c r="D961" s="495" t="s">
        <v>865</v>
      </c>
      <c r="E961" s="495"/>
      <c r="F961" s="488">
        <f t="shared" si="149"/>
        <v>85.11</v>
      </c>
      <c r="G961" s="488">
        <f t="shared" si="149"/>
        <v>85.11</v>
      </c>
    </row>
    <row r="962" spans="1:12" ht="15.75" customHeight="1" x14ac:dyDescent="0.25">
      <c r="A962" s="579" t="s">
        <v>572</v>
      </c>
      <c r="B962" s="580" t="s">
        <v>244</v>
      </c>
      <c r="C962" s="580" t="s">
        <v>120</v>
      </c>
      <c r="D962" s="580" t="s">
        <v>985</v>
      </c>
      <c r="E962" s="580"/>
      <c r="F962" s="489">
        <f t="shared" si="149"/>
        <v>85.11</v>
      </c>
      <c r="G962" s="489">
        <f t="shared" si="149"/>
        <v>85.11</v>
      </c>
    </row>
    <row r="963" spans="1:12" ht="31.7" customHeight="1" x14ac:dyDescent="0.25">
      <c r="A963" s="579" t="s">
        <v>131</v>
      </c>
      <c r="B963" s="580" t="s">
        <v>244</v>
      </c>
      <c r="C963" s="580" t="s">
        <v>120</v>
      </c>
      <c r="D963" s="580" t="s">
        <v>985</v>
      </c>
      <c r="E963" s="580" t="s">
        <v>132</v>
      </c>
      <c r="F963" s="489">
        <f t="shared" si="149"/>
        <v>85.11</v>
      </c>
      <c r="G963" s="489">
        <f t="shared" si="149"/>
        <v>85.11</v>
      </c>
    </row>
    <row r="964" spans="1:12" ht="35.450000000000003" customHeight="1" x14ac:dyDescent="0.25">
      <c r="A964" s="579" t="s">
        <v>133</v>
      </c>
      <c r="B964" s="580" t="s">
        <v>244</v>
      </c>
      <c r="C964" s="580" t="s">
        <v>120</v>
      </c>
      <c r="D964" s="580" t="s">
        <v>985</v>
      </c>
      <c r="E964" s="580" t="s">
        <v>134</v>
      </c>
      <c r="F964" s="489">
        <f>'Пр.4.1 ведом.23-24 '!G1153</f>
        <v>85.11</v>
      </c>
      <c r="G964" s="489">
        <f>'Пр.4.1 ведом.23-24 '!H1153</f>
        <v>85.11</v>
      </c>
    </row>
    <row r="965" spans="1:12" ht="15.75" x14ac:dyDescent="0.25">
      <c r="A965" s="572" t="s">
        <v>490</v>
      </c>
      <c r="B965" s="7" t="s">
        <v>491</v>
      </c>
      <c r="C965" s="573"/>
      <c r="D965" s="573"/>
      <c r="E965" s="573"/>
      <c r="F965" s="488">
        <f>F966+F1013</f>
        <v>70328.3</v>
      </c>
      <c r="G965" s="488">
        <f>G966+G1013</f>
        <v>70328.3</v>
      </c>
      <c r="H965" s="115">
        <f>G965-F965</f>
        <v>0</v>
      </c>
      <c r="K965" s="230">
        <f>F965-F992-'Пр.4 ведом.22'!S1175</f>
        <v>69444.400000000009</v>
      </c>
      <c r="L965" s="232">
        <f>F992+F1005-'Пр.4 ведом.22'!S1174</f>
        <v>883.9</v>
      </c>
    </row>
    <row r="966" spans="1:12" ht="15.75" x14ac:dyDescent="0.25">
      <c r="A966" s="494" t="s">
        <v>492</v>
      </c>
      <c r="B966" s="495" t="s">
        <v>491</v>
      </c>
      <c r="C966" s="495" t="s">
        <v>118</v>
      </c>
      <c r="D966" s="580"/>
      <c r="E966" s="580"/>
      <c r="F966" s="488">
        <f>F967+F1008</f>
        <v>56655.199999999997</v>
      </c>
      <c r="G966" s="488">
        <f>G967+G1008</f>
        <v>56655.199999999997</v>
      </c>
      <c r="H966" s="115"/>
      <c r="I966" s="115"/>
      <c r="J966" s="115"/>
    </row>
    <row r="967" spans="1:12" ht="47.25" x14ac:dyDescent="0.25">
      <c r="A967" s="494" t="s">
        <v>1369</v>
      </c>
      <c r="B967" s="495" t="s">
        <v>491</v>
      </c>
      <c r="C967" s="495" t="s">
        <v>118</v>
      </c>
      <c r="D967" s="495" t="s">
        <v>482</v>
      </c>
      <c r="E967" s="495"/>
      <c r="F967" s="488">
        <f>F968+F972+F985+F992+F1004+F996+F1000</f>
        <v>56076.1</v>
      </c>
      <c r="G967" s="488">
        <f>G968+G972+G985+G992+G1004+G996+G1000</f>
        <v>56076.1</v>
      </c>
      <c r="H967" s="115"/>
    </row>
    <row r="968" spans="1:12" ht="31.5" x14ac:dyDescent="0.25">
      <c r="A968" s="494" t="s">
        <v>937</v>
      </c>
      <c r="B968" s="495" t="s">
        <v>491</v>
      </c>
      <c r="C968" s="495" t="s">
        <v>118</v>
      </c>
      <c r="D968" s="495" t="s">
        <v>1263</v>
      </c>
      <c r="E968" s="495"/>
      <c r="F968" s="488">
        <f t="shared" ref="F968:G970" si="150">F969</f>
        <v>53866.2</v>
      </c>
      <c r="G968" s="488">
        <f t="shared" si="150"/>
        <v>53866.2</v>
      </c>
    </row>
    <row r="969" spans="1:12" ht="31.5" x14ac:dyDescent="0.25">
      <c r="A969" s="579" t="s">
        <v>1293</v>
      </c>
      <c r="B969" s="580" t="s">
        <v>491</v>
      </c>
      <c r="C969" s="580" t="s">
        <v>118</v>
      </c>
      <c r="D969" s="580" t="s">
        <v>1264</v>
      </c>
      <c r="E969" s="580"/>
      <c r="F969" s="489">
        <f t="shared" si="150"/>
        <v>53866.2</v>
      </c>
      <c r="G969" s="489">
        <f t="shared" si="150"/>
        <v>53866.2</v>
      </c>
    </row>
    <row r="970" spans="1:12" ht="31.5" x14ac:dyDescent="0.25">
      <c r="A970" s="579" t="s">
        <v>272</v>
      </c>
      <c r="B970" s="580" t="s">
        <v>491</v>
      </c>
      <c r="C970" s="580" t="s">
        <v>118</v>
      </c>
      <c r="D970" s="580" t="s">
        <v>1264</v>
      </c>
      <c r="E970" s="580" t="s">
        <v>273</v>
      </c>
      <c r="F970" s="489">
        <f t="shared" si="150"/>
        <v>53866.2</v>
      </c>
      <c r="G970" s="489">
        <f t="shared" si="150"/>
        <v>53866.2</v>
      </c>
    </row>
    <row r="971" spans="1:12" ht="15.75" x14ac:dyDescent="0.25">
      <c r="A971" s="579" t="s">
        <v>274</v>
      </c>
      <c r="B971" s="580" t="s">
        <v>491</v>
      </c>
      <c r="C971" s="580" t="s">
        <v>118</v>
      </c>
      <c r="D971" s="580" t="s">
        <v>1264</v>
      </c>
      <c r="E971" s="580" t="s">
        <v>275</v>
      </c>
      <c r="F971" s="489">
        <f>'Пр.4.1 ведом.23-24 '!G835</f>
        <v>53866.2</v>
      </c>
      <c r="G971" s="489">
        <f>'Пр.4.1 ведом.23-24 '!H835</f>
        <v>53866.2</v>
      </c>
      <c r="H971" s="115"/>
    </row>
    <row r="972" spans="1:12" ht="31.5" x14ac:dyDescent="0.25">
      <c r="A972" s="494" t="s">
        <v>945</v>
      </c>
      <c r="B972" s="495" t="s">
        <v>491</v>
      </c>
      <c r="C972" s="495" t="s">
        <v>118</v>
      </c>
      <c r="D972" s="495" t="s">
        <v>1265</v>
      </c>
      <c r="E972" s="495"/>
      <c r="F972" s="488">
        <f>F973+F976+F979+F982</f>
        <v>36</v>
      </c>
      <c r="G972" s="488">
        <f>G973+G976+G979+G982</f>
        <v>36</v>
      </c>
    </row>
    <row r="973" spans="1:12" ht="31.5" hidden="1" x14ac:dyDescent="0.25">
      <c r="A973" s="579" t="s">
        <v>278</v>
      </c>
      <c r="B973" s="580" t="s">
        <v>491</v>
      </c>
      <c r="C973" s="580" t="s">
        <v>118</v>
      </c>
      <c r="D973" s="580" t="s">
        <v>1323</v>
      </c>
      <c r="E973" s="580"/>
      <c r="F973" s="489">
        <f t="shared" ref="F973:G973" si="151">F974</f>
        <v>0</v>
      </c>
      <c r="G973" s="489">
        <f t="shared" si="151"/>
        <v>0</v>
      </c>
    </row>
    <row r="974" spans="1:12" ht="31.5" hidden="1" x14ac:dyDescent="0.25">
      <c r="A974" s="579" t="s">
        <v>272</v>
      </c>
      <c r="B974" s="580" t="s">
        <v>491</v>
      </c>
      <c r="C974" s="580" t="s">
        <v>118</v>
      </c>
      <c r="D974" s="580" t="s">
        <v>1323</v>
      </c>
      <c r="E974" s="580" t="s">
        <v>273</v>
      </c>
      <c r="F974" s="489">
        <f>'Пр.4 ведом.22'!G838</f>
        <v>0</v>
      </c>
      <c r="G974" s="489">
        <f>'Пр.4 ведом.22'!H838</f>
        <v>0</v>
      </c>
    </row>
    <row r="975" spans="1:12" ht="20.25" hidden="1" customHeight="1" x14ac:dyDescent="0.25">
      <c r="A975" s="579" t="s">
        <v>274</v>
      </c>
      <c r="B975" s="580" t="s">
        <v>491</v>
      </c>
      <c r="C975" s="580" t="s">
        <v>118</v>
      </c>
      <c r="D975" s="580" t="s">
        <v>1323</v>
      </c>
      <c r="E975" s="580" t="s">
        <v>275</v>
      </c>
      <c r="F975" s="489">
        <f>'Пр.4 ведом.22'!G838</f>
        <v>0</v>
      </c>
      <c r="G975" s="489">
        <f>'Пр.4 ведом.22'!H838</f>
        <v>0</v>
      </c>
    </row>
    <row r="976" spans="1:12" ht="33" hidden="1" customHeight="1" x14ac:dyDescent="0.25">
      <c r="A976" s="579" t="s">
        <v>280</v>
      </c>
      <c r="B976" s="580" t="s">
        <v>491</v>
      </c>
      <c r="C976" s="580" t="s">
        <v>118</v>
      </c>
      <c r="D976" s="580" t="s">
        <v>1324</v>
      </c>
      <c r="E976" s="580"/>
      <c r="F976" s="489">
        <f t="shared" ref="F976:G976" si="152">F977</f>
        <v>0</v>
      </c>
      <c r="G976" s="489">
        <f t="shared" si="152"/>
        <v>0</v>
      </c>
    </row>
    <row r="977" spans="1:7" ht="37.5" hidden="1" customHeight="1" x14ac:dyDescent="0.25">
      <c r="A977" s="579" t="s">
        <v>272</v>
      </c>
      <c r="B977" s="580" t="s">
        <v>491</v>
      </c>
      <c r="C977" s="580" t="s">
        <v>118</v>
      </c>
      <c r="D977" s="580" t="s">
        <v>1324</v>
      </c>
      <c r="E977" s="580" t="s">
        <v>273</v>
      </c>
      <c r="F977" s="489">
        <f>'Пр.4 ведом.22'!G841</f>
        <v>0</v>
      </c>
      <c r="G977" s="489">
        <f>'Пр.4 ведом.22'!H841</f>
        <v>0</v>
      </c>
    </row>
    <row r="978" spans="1:7" ht="15.75" hidden="1" customHeight="1" x14ac:dyDescent="0.25">
      <c r="A978" s="579" t="s">
        <v>274</v>
      </c>
      <c r="B978" s="580" t="s">
        <v>491</v>
      </c>
      <c r="C978" s="580" t="s">
        <v>118</v>
      </c>
      <c r="D978" s="580" t="s">
        <v>1324</v>
      </c>
      <c r="E978" s="580" t="s">
        <v>275</v>
      </c>
      <c r="F978" s="489">
        <f>'Пр.4 ведом.22'!G841</f>
        <v>0</v>
      </c>
      <c r="G978" s="489">
        <f>'Пр.4 ведом.22'!H841</f>
        <v>0</v>
      </c>
    </row>
    <row r="979" spans="1:7" ht="20.25" customHeight="1" x14ac:dyDescent="0.25">
      <c r="A979" s="579" t="s">
        <v>830</v>
      </c>
      <c r="B979" s="580" t="s">
        <v>491</v>
      </c>
      <c r="C979" s="580" t="s">
        <v>118</v>
      </c>
      <c r="D979" s="580" t="s">
        <v>1266</v>
      </c>
      <c r="E979" s="580"/>
      <c r="F979" s="489">
        <f>F980</f>
        <v>36</v>
      </c>
      <c r="G979" s="489">
        <f>G980</f>
        <v>36</v>
      </c>
    </row>
    <row r="980" spans="1:7" ht="33" customHeight="1" x14ac:dyDescent="0.25">
      <c r="A980" s="579" t="s">
        <v>272</v>
      </c>
      <c r="B980" s="580" t="s">
        <v>491</v>
      </c>
      <c r="C980" s="580" t="s">
        <v>118</v>
      </c>
      <c r="D980" s="580" t="s">
        <v>1266</v>
      </c>
      <c r="E980" s="580" t="s">
        <v>273</v>
      </c>
      <c r="F980" s="489">
        <f>'Пр.4 ведом.22'!G844</f>
        <v>36</v>
      </c>
      <c r="G980" s="489">
        <f>G981</f>
        <v>36</v>
      </c>
    </row>
    <row r="981" spans="1:7" ht="20.25" customHeight="1" x14ac:dyDescent="0.25">
      <c r="A981" s="579" t="s">
        <v>274</v>
      </c>
      <c r="B981" s="580" t="s">
        <v>491</v>
      </c>
      <c r="C981" s="580" t="s">
        <v>118</v>
      </c>
      <c r="D981" s="580" t="s">
        <v>1266</v>
      </c>
      <c r="E981" s="580" t="s">
        <v>275</v>
      </c>
      <c r="F981" s="489">
        <f>'Пр.4.1 ведом.23-24 '!G845</f>
        <v>36</v>
      </c>
      <c r="G981" s="489">
        <f>'Пр.4.1 ведом.23-24 '!H845</f>
        <v>36</v>
      </c>
    </row>
    <row r="982" spans="1:7" ht="39.75" hidden="1" customHeight="1" x14ac:dyDescent="0.25">
      <c r="A982" s="579" t="s">
        <v>287</v>
      </c>
      <c r="B982" s="580" t="s">
        <v>491</v>
      </c>
      <c r="C982" s="580" t="s">
        <v>118</v>
      </c>
      <c r="D982" s="580" t="s">
        <v>1687</v>
      </c>
      <c r="E982" s="580"/>
      <c r="F982" s="489">
        <f>F983</f>
        <v>0</v>
      </c>
      <c r="G982" s="489">
        <f>G983</f>
        <v>0</v>
      </c>
    </row>
    <row r="983" spans="1:7" ht="35.25" hidden="1" customHeight="1" x14ac:dyDescent="0.25">
      <c r="A983" s="579" t="s">
        <v>272</v>
      </c>
      <c r="B983" s="580" t="s">
        <v>491</v>
      </c>
      <c r="C983" s="580" t="s">
        <v>118</v>
      </c>
      <c r="D983" s="580" t="s">
        <v>1687</v>
      </c>
      <c r="E983" s="580" t="s">
        <v>273</v>
      </c>
      <c r="F983" s="489">
        <f>F984</f>
        <v>0</v>
      </c>
      <c r="G983" s="489">
        <f>G984</f>
        <v>0</v>
      </c>
    </row>
    <row r="984" spans="1:7" ht="20.25" hidden="1" customHeight="1" x14ac:dyDescent="0.25">
      <c r="A984" s="579" t="s">
        <v>274</v>
      </c>
      <c r="B984" s="580" t="s">
        <v>491</v>
      </c>
      <c r="C984" s="580" t="s">
        <v>118</v>
      </c>
      <c r="D984" s="580" t="s">
        <v>1687</v>
      </c>
      <c r="E984" s="580" t="s">
        <v>275</v>
      </c>
      <c r="F984" s="489">
        <f>'Пр.4 ведом.22'!G847</f>
        <v>0</v>
      </c>
      <c r="G984" s="489">
        <f>'Пр.4 ведом.22'!H847</f>
        <v>0</v>
      </c>
    </row>
    <row r="985" spans="1:7" ht="33" customHeight="1" x14ac:dyDescent="0.25">
      <c r="A985" s="494" t="s">
        <v>947</v>
      </c>
      <c r="B985" s="495" t="s">
        <v>491</v>
      </c>
      <c r="C985" s="495" t="s">
        <v>118</v>
      </c>
      <c r="D985" s="495" t="s">
        <v>1267</v>
      </c>
      <c r="E985" s="495"/>
      <c r="F985" s="488">
        <f>F986+F989</f>
        <v>1290</v>
      </c>
      <c r="G985" s="488">
        <f>G986+G989</f>
        <v>1290</v>
      </c>
    </row>
    <row r="986" spans="1:7" ht="39.200000000000003" hidden="1" customHeight="1" x14ac:dyDescent="0.25">
      <c r="A986" s="579" t="s">
        <v>791</v>
      </c>
      <c r="B986" s="580" t="s">
        <v>491</v>
      </c>
      <c r="C986" s="580" t="s">
        <v>118</v>
      </c>
      <c r="D986" s="580" t="s">
        <v>1305</v>
      </c>
      <c r="E986" s="580"/>
      <c r="F986" s="489">
        <f>'Пр.4 ведом.22'!G851</f>
        <v>0</v>
      </c>
      <c r="G986" s="489">
        <f>'Пр.4 ведом.22'!H851</f>
        <v>0</v>
      </c>
    </row>
    <row r="987" spans="1:7" ht="40.700000000000003" hidden="1" customHeight="1" x14ac:dyDescent="0.25">
      <c r="A987" s="579" t="s">
        <v>272</v>
      </c>
      <c r="B987" s="580" t="s">
        <v>491</v>
      </c>
      <c r="C987" s="580" t="s">
        <v>118</v>
      </c>
      <c r="D987" s="580" t="s">
        <v>1305</v>
      </c>
      <c r="E987" s="580" t="s">
        <v>273</v>
      </c>
      <c r="F987" s="489">
        <f t="shared" ref="F987:G987" si="153">F988</f>
        <v>0</v>
      </c>
      <c r="G987" s="489">
        <f t="shared" si="153"/>
        <v>0</v>
      </c>
    </row>
    <row r="988" spans="1:7" ht="15.75" hidden="1" customHeight="1" x14ac:dyDescent="0.25">
      <c r="A988" s="579" t="s">
        <v>274</v>
      </c>
      <c r="B988" s="580" t="s">
        <v>491</v>
      </c>
      <c r="C988" s="580" t="s">
        <v>118</v>
      </c>
      <c r="D988" s="580" t="s">
        <v>1305</v>
      </c>
      <c r="E988" s="580" t="s">
        <v>275</v>
      </c>
      <c r="F988" s="489">
        <f>'Пр.4 ведом.22'!G851</f>
        <v>0</v>
      </c>
      <c r="G988" s="489">
        <f>'Пр.4 ведом.22'!H851</f>
        <v>0</v>
      </c>
    </row>
    <row r="989" spans="1:7" ht="34.5" customHeight="1" x14ac:dyDescent="0.25">
      <c r="A989" s="45" t="s">
        <v>764</v>
      </c>
      <c r="B989" s="580" t="s">
        <v>491</v>
      </c>
      <c r="C989" s="580" t="s">
        <v>118</v>
      </c>
      <c r="D989" s="580" t="s">
        <v>1268</v>
      </c>
      <c r="E989" s="580"/>
      <c r="F989" s="489">
        <f>'Пр.4 ведом.22'!G854</f>
        <v>1290</v>
      </c>
      <c r="G989" s="489">
        <f>G990</f>
        <v>1290</v>
      </c>
    </row>
    <row r="990" spans="1:7" ht="39.75" customHeight="1" x14ac:dyDescent="0.25">
      <c r="A990" s="31" t="s">
        <v>272</v>
      </c>
      <c r="B990" s="580" t="s">
        <v>491</v>
      </c>
      <c r="C990" s="580" t="s">
        <v>118</v>
      </c>
      <c r="D990" s="580" t="s">
        <v>1268</v>
      </c>
      <c r="E990" s="580" t="s">
        <v>273</v>
      </c>
      <c r="F990" s="489">
        <f>F991</f>
        <v>1290</v>
      </c>
      <c r="G990" s="489">
        <f>G991</f>
        <v>1290</v>
      </c>
    </row>
    <row r="991" spans="1:7" ht="15.75" x14ac:dyDescent="0.25">
      <c r="A991" s="31" t="s">
        <v>274</v>
      </c>
      <c r="B991" s="580" t="s">
        <v>491</v>
      </c>
      <c r="C991" s="580" t="s">
        <v>118</v>
      </c>
      <c r="D991" s="580" t="s">
        <v>1268</v>
      </c>
      <c r="E991" s="580" t="s">
        <v>275</v>
      </c>
      <c r="F991" s="489">
        <f>'Пр.4.1 ведом.23-24 '!G855</f>
        <v>1290</v>
      </c>
      <c r="G991" s="489">
        <f>'Пр.4.1 ведом.23-24 '!H855</f>
        <v>1290</v>
      </c>
    </row>
    <row r="992" spans="1:7" ht="47.25" x14ac:dyDescent="0.25">
      <c r="A992" s="494" t="s">
        <v>900</v>
      </c>
      <c r="B992" s="495" t="s">
        <v>491</v>
      </c>
      <c r="C992" s="495" t="s">
        <v>118</v>
      </c>
      <c r="D992" s="495" t="s">
        <v>1269</v>
      </c>
      <c r="E992" s="495"/>
      <c r="F992" s="488">
        <f>F993</f>
        <v>883.9</v>
      </c>
      <c r="G992" s="488">
        <f>G993</f>
        <v>883.9</v>
      </c>
    </row>
    <row r="993" spans="1:7" ht="94.5" x14ac:dyDescent="0.25">
      <c r="A993" s="31" t="s">
        <v>464</v>
      </c>
      <c r="B993" s="580" t="s">
        <v>491</v>
      </c>
      <c r="C993" s="580" t="s">
        <v>118</v>
      </c>
      <c r="D993" s="580" t="s">
        <v>1402</v>
      </c>
      <c r="E993" s="580"/>
      <c r="F993" s="489">
        <f>F994</f>
        <v>883.9</v>
      </c>
      <c r="G993" s="489">
        <f>G994</f>
        <v>883.9</v>
      </c>
    </row>
    <row r="994" spans="1:7" ht="31.5" x14ac:dyDescent="0.25">
      <c r="A994" s="579" t="s">
        <v>272</v>
      </c>
      <c r="B994" s="580" t="s">
        <v>491</v>
      </c>
      <c r="C994" s="580" t="s">
        <v>118</v>
      </c>
      <c r="D994" s="580" t="s">
        <v>1402</v>
      </c>
      <c r="E994" s="580" t="s">
        <v>273</v>
      </c>
      <c r="F994" s="489">
        <f t="shared" ref="F994:G1008" si="154">F995</f>
        <v>883.9</v>
      </c>
      <c r="G994" s="489">
        <f t="shared" si="154"/>
        <v>883.9</v>
      </c>
    </row>
    <row r="995" spans="1:7" ht="15.75" x14ac:dyDescent="0.25">
      <c r="A995" s="579" t="s">
        <v>274</v>
      </c>
      <c r="B995" s="580" t="s">
        <v>491</v>
      </c>
      <c r="C995" s="580" t="s">
        <v>118</v>
      </c>
      <c r="D995" s="580" t="s">
        <v>1402</v>
      </c>
      <c r="E995" s="580" t="s">
        <v>275</v>
      </c>
      <c r="F995" s="489">
        <f>'Пр.4.1 ведом.23-24 '!G859</f>
        <v>883.9</v>
      </c>
      <c r="G995" s="489">
        <f>'Пр.4.1 ведом.23-24 '!H859</f>
        <v>883.9</v>
      </c>
    </row>
    <row r="996" spans="1:7" ht="47.25" hidden="1" x14ac:dyDescent="0.25">
      <c r="A996" s="494" t="s">
        <v>1668</v>
      </c>
      <c r="B996" s="495" t="s">
        <v>491</v>
      </c>
      <c r="C996" s="495" t="s">
        <v>118</v>
      </c>
      <c r="D996" s="495" t="s">
        <v>1666</v>
      </c>
      <c r="E996" s="495"/>
      <c r="F996" s="488">
        <f>F997</f>
        <v>0</v>
      </c>
      <c r="G996" s="488">
        <f>G997</f>
        <v>0</v>
      </c>
    </row>
    <row r="997" spans="1:7" ht="55.5" hidden="1" customHeight="1" x14ac:dyDescent="0.25">
      <c r="A997" s="31" t="s">
        <v>1669</v>
      </c>
      <c r="B997" s="580" t="s">
        <v>491</v>
      </c>
      <c r="C997" s="580" t="s">
        <v>118</v>
      </c>
      <c r="D997" s="580" t="s">
        <v>1667</v>
      </c>
      <c r="E997" s="580"/>
      <c r="F997" s="489">
        <f>F998</f>
        <v>0</v>
      </c>
      <c r="G997" s="489">
        <f>G998</f>
        <v>0</v>
      </c>
    </row>
    <row r="998" spans="1:7" ht="31.5" hidden="1" x14ac:dyDescent="0.25">
      <c r="A998" s="579" t="s">
        <v>272</v>
      </c>
      <c r="B998" s="580" t="s">
        <v>491</v>
      </c>
      <c r="C998" s="580" t="s">
        <v>118</v>
      </c>
      <c r="D998" s="580" t="s">
        <v>1667</v>
      </c>
      <c r="E998" s="580" t="s">
        <v>273</v>
      </c>
      <c r="F998" s="489">
        <f t="shared" si="154"/>
        <v>0</v>
      </c>
      <c r="G998" s="489">
        <f t="shared" si="154"/>
        <v>0</v>
      </c>
    </row>
    <row r="999" spans="1:7" ht="15.75" hidden="1" x14ac:dyDescent="0.25">
      <c r="A999" s="579" t="s">
        <v>274</v>
      </c>
      <c r="B999" s="580" t="s">
        <v>491</v>
      </c>
      <c r="C999" s="580" t="s">
        <v>118</v>
      </c>
      <c r="D999" s="580" t="s">
        <v>1667</v>
      </c>
      <c r="E999" s="580" t="s">
        <v>275</v>
      </c>
      <c r="F999" s="489">
        <f>'Пр.4.1 ведом.23-24 '!G863</f>
        <v>0</v>
      </c>
      <c r="G999" s="489">
        <f>'Пр.4.1 ведом.23-24 '!H863</f>
        <v>0</v>
      </c>
    </row>
    <row r="1000" spans="1:7" ht="31.5" hidden="1" x14ac:dyDescent="0.25">
      <c r="A1000" s="572" t="s">
        <v>1739</v>
      </c>
      <c r="B1000" s="495" t="s">
        <v>491</v>
      </c>
      <c r="C1000" s="495" t="s">
        <v>118</v>
      </c>
      <c r="D1000" s="495" t="s">
        <v>1740</v>
      </c>
      <c r="E1000" s="495"/>
      <c r="F1000" s="488">
        <f t="shared" ref="F1000:G1002" si="155">F1001</f>
        <v>0</v>
      </c>
      <c r="G1000" s="488">
        <f t="shared" si="155"/>
        <v>0</v>
      </c>
    </row>
    <row r="1001" spans="1:7" ht="31.5" hidden="1" x14ac:dyDescent="0.25">
      <c r="A1001" s="29" t="s">
        <v>1742</v>
      </c>
      <c r="B1001" s="580" t="s">
        <v>491</v>
      </c>
      <c r="C1001" s="580" t="s">
        <v>118</v>
      </c>
      <c r="D1001" s="580" t="s">
        <v>1741</v>
      </c>
      <c r="E1001" s="580"/>
      <c r="F1001" s="489">
        <f t="shared" si="155"/>
        <v>0</v>
      </c>
      <c r="G1001" s="489">
        <f t="shared" si="155"/>
        <v>0</v>
      </c>
    </row>
    <row r="1002" spans="1:7" ht="31.5" hidden="1" x14ac:dyDescent="0.25">
      <c r="A1002" s="579" t="s">
        <v>272</v>
      </c>
      <c r="B1002" s="580" t="s">
        <v>491</v>
      </c>
      <c r="C1002" s="580" t="s">
        <v>118</v>
      </c>
      <c r="D1002" s="580" t="s">
        <v>1741</v>
      </c>
      <c r="E1002" s="580" t="s">
        <v>273</v>
      </c>
      <c r="F1002" s="489">
        <f t="shared" si="155"/>
        <v>0</v>
      </c>
      <c r="G1002" s="489">
        <f t="shared" si="155"/>
        <v>0</v>
      </c>
    </row>
    <row r="1003" spans="1:7" ht="15.75" hidden="1" x14ac:dyDescent="0.25">
      <c r="A1003" s="579" t="s">
        <v>274</v>
      </c>
      <c r="B1003" s="580" t="s">
        <v>491</v>
      </c>
      <c r="C1003" s="580" t="s">
        <v>118</v>
      </c>
      <c r="D1003" s="580" t="s">
        <v>1741</v>
      </c>
      <c r="E1003" s="580" t="s">
        <v>275</v>
      </c>
      <c r="F1003" s="489">
        <f>'Пр.4.1 ведом.23-24 '!G867</f>
        <v>0</v>
      </c>
      <c r="G1003" s="489">
        <f>'Пр.4.1 ведом.23-24 '!H867</f>
        <v>0</v>
      </c>
    </row>
    <row r="1004" spans="1:7" ht="63" hidden="1" x14ac:dyDescent="0.25">
      <c r="A1004" s="494" t="s">
        <v>1192</v>
      </c>
      <c r="B1004" s="495" t="s">
        <v>491</v>
      </c>
      <c r="C1004" s="495" t="s">
        <v>118</v>
      </c>
      <c r="D1004" s="495" t="s">
        <v>1270</v>
      </c>
      <c r="E1004" s="495"/>
      <c r="F1004" s="488">
        <f t="shared" ref="F1004:G1006" si="156">F1005</f>
        <v>0</v>
      </c>
      <c r="G1004" s="488">
        <f t="shared" si="156"/>
        <v>0</v>
      </c>
    </row>
    <row r="1005" spans="1:7" ht="63" hidden="1" x14ac:dyDescent="0.25">
      <c r="A1005" s="579" t="s">
        <v>1194</v>
      </c>
      <c r="B1005" s="580" t="s">
        <v>491</v>
      </c>
      <c r="C1005" s="580" t="s">
        <v>118</v>
      </c>
      <c r="D1005" s="580" t="s">
        <v>1325</v>
      </c>
      <c r="E1005" s="580"/>
      <c r="F1005" s="489">
        <f t="shared" si="156"/>
        <v>0</v>
      </c>
      <c r="G1005" s="489">
        <f t="shared" si="156"/>
        <v>0</v>
      </c>
    </row>
    <row r="1006" spans="1:7" ht="31.5" hidden="1" x14ac:dyDescent="0.25">
      <c r="A1006" s="579" t="s">
        <v>272</v>
      </c>
      <c r="B1006" s="580" t="s">
        <v>491</v>
      </c>
      <c r="C1006" s="580" t="s">
        <v>118</v>
      </c>
      <c r="D1006" s="580" t="s">
        <v>1325</v>
      </c>
      <c r="E1006" s="580" t="s">
        <v>273</v>
      </c>
      <c r="F1006" s="489">
        <f t="shared" si="156"/>
        <v>0</v>
      </c>
      <c r="G1006" s="489">
        <f t="shared" si="156"/>
        <v>0</v>
      </c>
    </row>
    <row r="1007" spans="1:7" ht="15.75" hidden="1" x14ac:dyDescent="0.25">
      <c r="A1007" s="579" t="s">
        <v>274</v>
      </c>
      <c r="B1007" s="580" t="s">
        <v>491</v>
      </c>
      <c r="C1007" s="580" t="s">
        <v>118</v>
      </c>
      <c r="D1007" s="580" t="s">
        <v>1325</v>
      </c>
      <c r="E1007" s="580" t="s">
        <v>275</v>
      </c>
      <c r="F1007" s="489">
        <f>'Пр.4 ведом.22'!G870</f>
        <v>0</v>
      </c>
      <c r="G1007" s="489">
        <f>'Пр.4 ведом.22'!H870</f>
        <v>0</v>
      </c>
    </row>
    <row r="1008" spans="1:7" ht="47.25" x14ac:dyDescent="0.25">
      <c r="A1008" s="572" t="s">
        <v>1352</v>
      </c>
      <c r="B1008" s="495" t="s">
        <v>491</v>
      </c>
      <c r="C1008" s="495" t="s">
        <v>118</v>
      </c>
      <c r="D1008" s="495" t="s">
        <v>705</v>
      </c>
      <c r="E1008" s="504"/>
      <c r="F1008" s="488">
        <f t="shared" si="154"/>
        <v>579.1</v>
      </c>
      <c r="G1008" s="488">
        <f t="shared" si="154"/>
        <v>579.1</v>
      </c>
    </row>
    <row r="1009" spans="1:12" ht="47.25" x14ac:dyDescent="0.25">
      <c r="A1009" s="572" t="s">
        <v>890</v>
      </c>
      <c r="B1009" s="495" t="s">
        <v>491</v>
      </c>
      <c r="C1009" s="495" t="s">
        <v>118</v>
      </c>
      <c r="D1009" s="495" t="s">
        <v>888</v>
      </c>
      <c r="E1009" s="504"/>
      <c r="F1009" s="488">
        <f t="shared" ref="F1009:G1011" si="157">F1010</f>
        <v>579.1</v>
      </c>
      <c r="G1009" s="488">
        <f t="shared" si="157"/>
        <v>579.1</v>
      </c>
    </row>
    <row r="1010" spans="1:12" ht="47.25" x14ac:dyDescent="0.25">
      <c r="A1010" s="98" t="s">
        <v>780</v>
      </c>
      <c r="B1010" s="580" t="s">
        <v>491</v>
      </c>
      <c r="C1010" s="580" t="s">
        <v>118</v>
      </c>
      <c r="D1010" s="580" t="s">
        <v>936</v>
      </c>
      <c r="E1010" s="498"/>
      <c r="F1010" s="489">
        <f t="shared" si="157"/>
        <v>579.1</v>
      </c>
      <c r="G1010" s="489">
        <f t="shared" si="157"/>
        <v>579.1</v>
      </c>
    </row>
    <row r="1011" spans="1:12" ht="31.5" x14ac:dyDescent="0.25">
      <c r="A1011" s="29" t="s">
        <v>272</v>
      </c>
      <c r="B1011" s="580" t="s">
        <v>491</v>
      </c>
      <c r="C1011" s="580" t="s">
        <v>118</v>
      </c>
      <c r="D1011" s="580" t="s">
        <v>936</v>
      </c>
      <c r="E1011" s="498" t="s">
        <v>273</v>
      </c>
      <c r="F1011" s="489">
        <f t="shared" si="157"/>
        <v>579.1</v>
      </c>
      <c r="G1011" s="489">
        <f t="shared" si="157"/>
        <v>579.1</v>
      </c>
    </row>
    <row r="1012" spans="1:12" ht="15.75" x14ac:dyDescent="0.25">
      <c r="A1012" s="182" t="s">
        <v>274</v>
      </c>
      <c r="B1012" s="580" t="s">
        <v>491</v>
      </c>
      <c r="C1012" s="580" t="s">
        <v>118</v>
      </c>
      <c r="D1012" s="580" t="s">
        <v>936</v>
      </c>
      <c r="E1012" s="498" t="s">
        <v>275</v>
      </c>
      <c r="F1012" s="489">
        <f>'Пр.4.1 ведом.23-24 '!G876</f>
        <v>579.1</v>
      </c>
      <c r="G1012" s="489">
        <f>'Пр.4.1 ведом.23-24 '!H876</f>
        <v>579.1</v>
      </c>
    </row>
    <row r="1013" spans="1:12" ht="31.5" x14ac:dyDescent="0.25">
      <c r="A1013" s="494" t="s">
        <v>500</v>
      </c>
      <c r="B1013" s="495" t="s">
        <v>491</v>
      </c>
      <c r="C1013" s="495" t="s">
        <v>234</v>
      </c>
      <c r="D1013" s="495"/>
      <c r="E1013" s="495"/>
      <c r="F1013" s="488">
        <f>F1014+F1029+F1041</f>
        <v>13673.1</v>
      </c>
      <c r="G1013" s="488">
        <f>G1014+G1029+G1041</f>
        <v>13673.1</v>
      </c>
    </row>
    <row r="1014" spans="1:12" ht="31.5" x14ac:dyDescent="0.25">
      <c r="A1014" s="494" t="s">
        <v>917</v>
      </c>
      <c r="B1014" s="495" t="s">
        <v>491</v>
      </c>
      <c r="C1014" s="495" t="s">
        <v>234</v>
      </c>
      <c r="D1014" s="495" t="s">
        <v>858</v>
      </c>
      <c r="E1014" s="495"/>
      <c r="F1014" s="488">
        <f>F1015</f>
        <v>10973.1</v>
      </c>
      <c r="G1014" s="488">
        <f>G1015</f>
        <v>10973.1</v>
      </c>
    </row>
    <row r="1015" spans="1:12" ht="15.75" x14ac:dyDescent="0.25">
      <c r="A1015" s="494" t="s">
        <v>918</v>
      </c>
      <c r="B1015" s="495" t="s">
        <v>491</v>
      </c>
      <c r="C1015" s="495" t="s">
        <v>234</v>
      </c>
      <c r="D1015" s="495" t="s">
        <v>859</v>
      </c>
      <c r="E1015" s="495"/>
      <c r="F1015" s="488">
        <f>F1016+F1026+F1019</f>
        <v>10973.1</v>
      </c>
      <c r="G1015" s="488">
        <f>G1016+G1026+G1019</f>
        <v>10973.1</v>
      </c>
    </row>
    <row r="1016" spans="1:12" ht="31.5" x14ac:dyDescent="0.25">
      <c r="A1016" s="579" t="s">
        <v>897</v>
      </c>
      <c r="B1016" s="580" t="s">
        <v>491</v>
      </c>
      <c r="C1016" s="580" t="s">
        <v>234</v>
      </c>
      <c r="D1016" s="580" t="s">
        <v>860</v>
      </c>
      <c r="E1016" s="580"/>
      <c r="F1016" s="489">
        <f>F1017</f>
        <v>5113.3</v>
      </c>
      <c r="G1016" s="489">
        <f>G1017</f>
        <v>5113.3</v>
      </c>
    </row>
    <row r="1017" spans="1:12" s="578" customFormat="1" ht="78.75" x14ac:dyDescent="0.25">
      <c r="A1017" s="579" t="s">
        <v>127</v>
      </c>
      <c r="B1017" s="580" t="s">
        <v>491</v>
      </c>
      <c r="C1017" s="580" t="s">
        <v>234</v>
      </c>
      <c r="D1017" s="580" t="s">
        <v>860</v>
      </c>
      <c r="E1017" s="580" t="s">
        <v>128</v>
      </c>
      <c r="F1017" s="489">
        <f>F1018</f>
        <v>5113.3</v>
      </c>
      <c r="G1017" s="489">
        <f>G1018</f>
        <v>5113.3</v>
      </c>
      <c r="L1017" s="576"/>
    </row>
    <row r="1018" spans="1:12" s="578" customFormat="1" ht="31.5" x14ac:dyDescent="0.25">
      <c r="A1018" s="579" t="s">
        <v>129</v>
      </c>
      <c r="B1018" s="580" t="s">
        <v>491</v>
      </c>
      <c r="C1018" s="580" t="s">
        <v>234</v>
      </c>
      <c r="D1018" s="580" t="s">
        <v>860</v>
      </c>
      <c r="E1018" s="580" t="s">
        <v>130</v>
      </c>
      <c r="F1018" s="489">
        <f>'Пр.4.1 ведом.23-24 '!G882</f>
        <v>5113.3</v>
      </c>
      <c r="G1018" s="489">
        <f>'Пр.4.1 ведом.23-24 '!H882</f>
        <v>5113.3</v>
      </c>
      <c r="L1018" s="576"/>
    </row>
    <row r="1019" spans="1:12" s="578" customFormat="1" ht="31.5" x14ac:dyDescent="0.25">
      <c r="A1019" s="579" t="s">
        <v>840</v>
      </c>
      <c r="B1019" s="580" t="s">
        <v>491</v>
      </c>
      <c r="C1019" s="580" t="s">
        <v>234</v>
      </c>
      <c r="D1019" s="580" t="s">
        <v>861</v>
      </c>
      <c r="E1019" s="580"/>
      <c r="F1019" s="489">
        <f>F1020+F1022+F1024</f>
        <v>5214.8</v>
      </c>
      <c r="G1019" s="489">
        <f>G1020+G1022+G1024</f>
        <v>5214.8</v>
      </c>
      <c r="L1019" s="576"/>
    </row>
    <row r="1020" spans="1:12" s="578" customFormat="1" ht="78.75" x14ac:dyDescent="0.25">
      <c r="A1020" s="579" t="s">
        <v>127</v>
      </c>
      <c r="B1020" s="580" t="s">
        <v>491</v>
      </c>
      <c r="C1020" s="580" t="s">
        <v>234</v>
      </c>
      <c r="D1020" s="580" t="s">
        <v>861</v>
      </c>
      <c r="E1020" s="580" t="s">
        <v>128</v>
      </c>
      <c r="F1020" s="489">
        <f>F1021</f>
        <v>4888.5</v>
      </c>
      <c r="G1020" s="489">
        <f>G1021</f>
        <v>4888.5</v>
      </c>
      <c r="L1020" s="576"/>
    </row>
    <row r="1021" spans="1:12" s="578" customFormat="1" ht="31.5" x14ac:dyDescent="0.25">
      <c r="A1021" s="579" t="s">
        <v>129</v>
      </c>
      <c r="B1021" s="580" t="s">
        <v>491</v>
      </c>
      <c r="C1021" s="580" t="s">
        <v>234</v>
      </c>
      <c r="D1021" s="580" t="s">
        <v>861</v>
      </c>
      <c r="E1021" s="580" t="s">
        <v>130</v>
      </c>
      <c r="F1021" s="489">
        <f>'Пр.4.1 ведом.23-24 '!G885</f>
        <v>4888.5</v>
      </c>
      <c r="G1021" s="489">
        <f>'Пр.4.1 ведом.23-24 '!H885</f>
        <v>4888.5</v>
      </c>
      <c r="L1021" s="576"/>
    </row>
    <row r="1022" spans="1:12" s="578" customFormat="1" ht="31.5" x14ac:dyDescent="0.25">
      <c r="A1022" s="579" t="s">
        <v>131</v>
      </c>
      <c r="B1022" s="580" t="s">
        <v>491</v>
      </c>
      <c r="C1022" s="580" t="s">
        <v>234</v>
      </c>
      <c r="D1022" s="580" t="s">
        <v>861</v>
      </c>
      <c r="E1022" s="580" t="s">
        <v>132</v>
      </c>
      <c r="F1022" s="489">
        <f>F1023</f>
        <v>275.3</v>
      </c>
      <c r="G1022" s="489">
        <f>G1023</f>
        <v>275.3</v>
      </c>
      <c r="L1022" s="576"/>
    </row>
    <row r="1023" spans="1:12" s="578" customFormat="1" ht="31.5" x14ac:dyDescent="0.25">
      <c r="A1023" s="579" t="s">
        <v>133</v>
      </c>
      <c r="B1023" s="580" t="s">
        <v>491</v>
      </c>
      <c r="C1023" s="580" t="s">
        <v>234</v>
      </c>
      <c r="D1023" s="580" t="s">
        <v>861</v>
      </c>
      <c r="E1023" s="580" t="s">
        <v>134</v>
      </c>
      <c r="F1023" s="489">
        <f>'Пр.4.1 ведом.23-24 '!G887</f>
        <v>275.3</v>
      </c>
      <c r="G1023" s="489">
        <f>'Пр.4.1 ведом.23-24 '!H887</f>
        <v>275.3</v>
      </c>
      <c r="L1023" s="576"/>
    </row>
    <row r="1024" spans="1:12" s="578" customFormat="1" ht="15.75" x14ac:dyDescent="0.25">
      <c r="A1024" s="579" t="s">
        <v>135</v>
      </c>
      <c r="B1024" s="580" t="s">
        <v>491</v>
      </c>
      <c r="C1024" s="580" t="s">
        <v>234</v>
      </c>
      <c r="D1024" s="580" t="s">
        <v>861</v>
      </c>
      <c r="E1024" s="580" t="s">
        <v>145</v>
      </c>
      <c r="F1024" s="489">
        <f>F1025</f>
        <v>51</v>
      </c>
      <c r="G1024" s="489">
        <f>G1025</f>
        <v>51</v>
      </c>
      <c r="L1024" s="576"/>
    </row>
    <row r="1025" spans="1:12" s="578" customFormat="1" ht="15.75" x14ac:dyDescent="0.25">
      <c r="A1025" s="579" t="s">
        <v>568</v>
      </c>
      <c r="B1025" s="580" t="s">
        <v>491</v>
      </c>
      <c r="C1025" s="580" t="s">
        <v>234</v>
      </c>
      <c r="D1025" s="580" t="s">
        <v>861</v>
      </c>
      <c r="E1025" s="580" t="s">
        <v>138</v>
      </c>
      <c r="F1025" s="489">
        <f>'Пр.4.1 ведом.23-24 '!G889</f>
        <v>51</v>
      </c>
      <c r="G1025" s="489">
        <f>'Пр.4.1 ведом.23-24 '!H889</f>
        <v>51</v>
      </c>
      <c r="L1025" s="576"/>
    </row>
    <row r="1026" spans="1:12" s="578" customFormat="1" ht="47.25" x14ac:dyDescent="0.25">
      <c r="A1026" s="579" t="s">
        <v>839</v>
      </c>
      <c r="B1026" s="580" t="s">
        <v>491</v>
      </c>
      <c r="C1026" s="580" t="s">
        <v>234</v>
      </c>
      <c r="D1026" s="580" t="s">
        <v>862</v>
      </c>
      <c r="E1026" s="580"/>
      <c r="F1026" s="489">
        <f>F1027</f>
        <v>645</v>
      </c>
      <c r="G1026" s="489">
        <f>G1027</f>
        <v>645</v>
      </c>
      <c r="L1026" s="576"/>
    </row>
    <row r="1027" spans="1:12" s="578" customFormat="1" ht="78.75" x14ac:dyDescent="0.25">
      <c r="A1027" s="579" t="s">
        <v>127</v>
      </c>
      <c r="B1027" s="580" t="s">
        <v>491</v>
      </c>
      <c r="C1027" s="580" t="s">
        <v>234</v>
      </c>
      <c r="D1027" s="580" t="s">
        <v>862</v>
      </c>
      <c r="E1027" s="580" t="s">
        <v>128</v>
      </c>
      <c r="F1027" s="489">
        <f>F1028</f>
        <v>645</v>
      </c>
      <c r="G1027" s="489">
        <f>G1028</f>
        <v>645</v>
      </c>
      <c r="L1027" s="576"/>
    </row>
    <row r="1028" spans="1:12" s="578" customFormat="1" ht="31.5" x14ac:dyDescent="0.25">
      <c r="A1028" s="579" t="s">
        <v>129</v>
      </c>
      <c r="B1028" s="580" t="s">
        <v>491</v>
      </c>
      <c r="C1028" s="580" t="s">
        <v>234</v>
      </c>
      <c r="D1028" s="580" t="s">
        <v>862</v>
      </c>
      <c r="E1028" s="580" t="s">
        <v>130</v>
      </c>
      <c r="F1028" s="489">
        <f>'Пр.4.1 ведом.23-24 '!G892</f>
        <v>645</v>
      </c>
      <c r="G1028" s="489">
        <f>'Пр.4.1 ведом.23-24 '!H892</f>
        <v>645</v>
      </c>
      <c r="L1028" s="576"/>
    </row>
    <row r="1029" spans="1:12" s="578" customFormat="1" ht="15.75" x14ac:dyDescent="0.25">
      <c r="A1029" s="494" t="s">
        <v>141</v>
      </c>
      <c r="B1029" s="495" t="s">
        <v>491</v>
      </c>
      <c r="C1029" s="495" t="s">
        <v>234</v>
      </c>
      <c r="D1029" s="495" t="s">
        <v>866</v>
      </c>
      <c r="E1029" s="495"/>
      <c r="F1029" s="488">
        <f>F1030</f>
        <v>0</v>
      </c>
      <c r="G1029" s="488">
        <f>G1030</f>
        <v>0</v>
      </c>
      <c r="L1029" s="576"/>
    </row>
    <row r="1030" spans="1:12" s="578" customFormat="1" ht="31.5" x14ac:dyDescent="0.25">
      <c r="A1030" s="494" t="s">
        <v>929</v>
      </c>
      <c r="B1030" s="495" t="s">
        <v>491</v>
      </c>
      <c r="C1030" s="495" t="s">
        <v>234</v>
      </c>
      <c r="D1030" s="495" t="s">
        <v>914</v>
      </c>
      <c r="E1030" s="495"/>
      <c r="F1030" s="488">
        <f>F1031+F1038</f>
        <v>0</v>
      </c>
      <c r="G1030" s="488">
        <f>G1031+G1038</f>
        <v>0</v>
      </c>
      <c r="L1030" s="576"/>
    </row>
    <row r="1031" spans="1:12" s="578" customFormat="1" ht="31.5" hidden="1" x14ac:dyDescent="0.25">
      <c r="A1031" s="579" t="s">
        <v>903</v>
      </c>
      <c r="B1031" s="580" t="s">
        <v>491</v>
      </c>
      <c r="C1031" s="580" t="s">
        <v>234</v>
      </c>
      <c r="D1031" s="580" t="s">
        <v>915</v>
      </c>
      <c r="E1031" s="580"/>
      <c r="F1031" s="489">
        <f>F1032+F1034+F1036</f>
        <v>0</v>
      </c>
      <c r="G1031" s="489">
        <f>G1032+G1034+G1036</f>
        <v>0</v>
      </c>
      <c r="L1031" s="576"/>
    </row>
    <row r="1032" spans="1:12" s="578" customFormat="1" ht="78.75" hidden="1" x14ac:dyDescent="0.25">
      <c r="A1032" s="579" t="s">
        <v>127</v>
      </c>
      <c r="B1032" s="580" t="s">
        <v>491</v>
      </c>
      <c r="C1032" s="580" t="s">
        <v>234</v>
      </c>
      <c r="D1032" s="580" t="s">
        <v>915</v>
      </c>
      <c r="E1032" s="580" t="s">
        <v>128</v>
      </c>
      <c r="F1032" s="489">
        <f>F1033</f>
        <v>0</v>
      </c>
      <c r="G1032" s="489">
        <f>G1033</f>
        <v>0</v>
      </c>
      <c r="L1032" s="576"/>
    </row>
    <row r="1033" spans="1:12" s="578" customFormat="1" ht="21.75" hidden="1" customHeight="1" x14ac:dyDescent="0.25">
      <c r="A1033" s="579" t="s">
        <v>342</v>
      </c>
      <c r="B1033" s="580" t="s">
        <v>491</v>
      </c>
      <c r="C1033" s="580" t="s">
        <v>234</v>
      </c>
      <c r="D1033" s="580" t="s">
        <v>915</v>
      </c>
      <c r="E1033" s="580" t="s">
        <v>209</v>
      </c>
      <c r="F1033" s="489">
        <f>'Пр.4.1 ведом.23-24 '!G897</f>
        <v>0</v>
      </c>
      <c r="G1033" s="489">
        <f>'Пр.4.1 ведом.23-24 '!H897</f>
        <v>0</v>
      </c>
      <c r="L1033" s="576"/>
    </row>
    <row r="1034" spans="1:12" s="578" customFormat="1" ht="31.5" hidden="1" x14ac:dyDescent="0.25">
      <c r="A1034" s="579" t="s">
        <v>131</v>
      </c>
      <c r="B1034" s="580" t="s">
        <v>491</v>
      </c>
      <c r="C1034" s="580" t="s">
        <v>234</v>
      </c>
      <c r="D1034" s="580" t="s">
        <v>915</v>
      </c>
      <c r="E1034" s="580" t="s">
        <v>132</v>
      </c>
      <c r="F1034" s="489">
        <f t="shared" ref="F1034:G1034" si="158">F1035</f>
        <v>0</v>
      </c>
      <c r="G1034" s="489">
        <f t="shared" si="158"/>
        <v>0</v>
      </c>
      <c r="L1034" s="576"/>
    </row>
    <row r="1035" spans="1:12" s="578" customFormat="1" ht="31.5" hidden="1" x14ac:dyDescent="0.25">
      <c r="A1035" s="579" t="s">
        <v>133</v>
      </c>
      <c r="B1035" s="580" t="s">
        <v>491</v>
      </c>
      <c r="C1035" s="580" t="s">
        <v>234</v>
      </c>
      <c r="D1035" s="580" t="s">
        <v>915</v>
      </c>
      <c r="E1035" s="580" t="s">
        <v>134</v>
      </c>
      <c r="F1035" s="489">
        <f>'Пр.4.1 ведом.23-24 '!G899</f>
        <v>0</v>
      </c>
      <c r="G1035" s="489">
        <f>'Пр.4.1 ведом.23-24 '!H899</f>
        <v>0</v>
      </c>
      <c r="L1035" s="576"/>
    </row>
    <row r="1036" spans="1:12" s="578" customFormat="1" ht="15.75" hidden="1" x14ac:dyDescent="0.25">
      <c r="A1036" s="579" t="s">
        <v>135</v>
      </c>
      <c r="B1036" s="580" t="s">
        <v>491</v>
      </c>
      <c r="C1036" s="580" t="s">
        <v>234</v>
      </c>
      <c r="D1036" s="580" t="s">
        <v>915</v>
      </c>
      <c r="E1036" s="580" t="s">
        <v>145</v>
      </c>
      <c r="F1036" s="489">
        <f>F1037</f>
        <v>0</v>
      </c>
      <c r="G1036" s="489">
        <f>G1037</f>
        <v>0</v>
      </c>
      <c r="L1036" s="576"/>
    </row>
    <row r="1037" spans="1:12" s="578" customFormat="1" ht="15.75" hidden="1" x14ac:dyDescent="0.25">
      <c r="A1037" s="579" t="s">
        <v>568</v>
      </c>
      <c r="B1037" s="580" t="s">
        <v>491</v>
      </c>
      <c r="C1037" s="580" t="s">
        <v>234</v>
      </c>
      <c r="D1037" s="580" t="s">
        <v>915</v>
      </c>
      <c r="E1037" s="580" t="s">
        <v>138</v>
      </c>
      <c r="F1037" s="489">
        <f>'Пр.4.1 ведом.23-24 '!G901</f>
        <v>0</v>
      </c>
      <c r="G1037" s="489">
        <f>'Пр.4.1 ведом.23-24 '!H901</f>
        <v>0</v>
      </c>
      <c r="L1037" s="576"/>
    </row>
    <row r="1038" spans="1:12" s="578" customFormat="1" ht="47.25" hidden="1" x14ac:dyDescent="0.25">
      <c r="A1038" s="579" t="s">
        <v>839</v>
      </c>
      <c r="B1038" s="580" t="s">
        <v>491</v>
      </c>
      <c r="C1038" s="580" t="s">
        <v>234</v>
      </c>
      <c r="D1038" s="580" t="s">
        <v>916</v>
      </c>
      <c r="E1038" s="580"/>
      <c r="F1038" s="489">
        <f>F1039</f>
        <v>0</v>
      </c>
      <c r="G1038" s="489">
        <f>G1039</f>
        <v>0</v>
      </c>
      <c r="L1038" s="576"/>
    </row>
    <row r="1039" spans="1:12" s="578" customFormat="1" ht="78.75" hidden="1" x14ac:dyDescent="0.25">
      <c r="A1039" s="579" t="s">
        <v>127</v>
      </c>
      <c r="B1039" s="580" t="s">
        <v>491</v>
      </c>
      <c r="C1039" s="580" t="s">
        <v>234</v>
      </c>
      <c r="D1039" s="580" t="s">
        <v>916</v>
      </c>
      <c r="E1039" s="580" t="s">
        <v>128</v>
      </c>
      <c r="F1039" s="489">
        <f t="shared" ref="F1039:G1039" si="159">F1040</f>
        <v>0</v>
      </c>
      <c r="G1039" s="489">
        <f t="shared" si="159"/>
        <v>0</v>
      </c>
      <c r="L1039" s="576"/>
    </row>
    <row r="1040" spans="1:12" s="578" customFormat="1" ht="31.5" hidden="1" x14ac:dyDescent="0.25">
      <c r="A1040" s="579" t="s">
        <v>129</v>
      </c>
      <c r="B1040" s="580" t="s">
        <v>491</v>
      </c>
      <c r="C1040" s="580" t="s">
        <v>234</v>
      </c>
      <c r="D1040" s="580" t="s">
        <v>916</v>
      </c>
      <c r="E1040" s="580" t="s">
        <v>130</v>
      </c>
      <c r="F1040" s="489">
        <f>'Пр.4.1 ведом.23-24 '!G904</f>
        <v>0</v>
      </c>
      <c r="G1040" s="489">
        <f>'Пр.4.1 ведом.23-24 '!H904</f>
        <v>0</v>
      </c>
      <c r="L1040" s="576"/>
    </row>
    <row r="1041" spans="1:12" s="578" customFormat="1" ht="47.25" x14ac:dyDescent="0.25">
      <c r="A1041" s="572" t="s">
        <v>1369</v>
      </c>
      <c r="B1041" s="495" t="s">
        <v>491</v>
      </c>
      <c r="C1041" s="495" t="s">
        <v>234</v>
      </c>
      <c r="D1041" s="7" t="s">
        <v>482</v>
      </c>
      <c r="E1041" s="495"/>
      <c r="F1041" s="488">
        <f>F1042</f>
        <v>2700</v>
      </c>
      <c r="G1041" s="488">
        <f>G1042</f>
        <v>2700</v>
      </c>
      <c r="L1041" s="576"/>
    </row>
    <row r="1042" spans="1:12" s="578" customFormat="1" ht="33.75" customHeight="1" x14ac:dyDescent="0.25">
      <c r="A1042" s="58" t="s">
        <v>951</v>
      </c>
      <c r="B1042" s="495" t="s">
        <v>491</v>
      </c>
      <c r="C1042" s="495" t="s">
        <v>234</v>
      </c>
      <c r="D1042" s="7" t="s">
        <v>1271</v>
      </c>
      <c r="E1042" s="495"/>
      <c r="F1042" s="488">
        <f>F1043</f>
        <v>2700</v>
      </c>
      <c r="G1042" s="488">
        <f>G1043</f>
        <v>2700</v>
      </c>
      <c r="L1042" s="576"/>
    </row>
    <row r="1043" spans="1:12" s="578" customFormat="1" ht="15.75" x14ac:dyDescent="0.25">
      <c r="A1043" s="29" t="s">
        <v>952</v>
      </c>
      <c r="B1043" s="580" t="s">
        <v>491</v>
      </c>
      <c r="C1043" s="580" t="s">
        <v>234</v>
      </c>
      <c r="D1043" s="573" t="s">
        <v>1272</v>
      </c>
      <c r="E1043" s="580"/>
      <c r="F1043" s="386">
        <f>F1044+F1046</f>
        <v>2700</v>
      </c>
      <c r="G1043" s="386">
        <f>G1044+G1046</f>
        <v>2700</v>
      </c>
      <c r="L1043" s="576"/>
    </row>
    <row r="1044" spans="1:12" s="578" customFormat="1" ht="78.75" x14ac:dyDescent="0.25">
      <c r="A1044" s="579" t="s">
        <v>127</v>
      </c>
      <c r="B1044" s="580" t="s">
        <v>491</v>
      </c>
      <c r="C1044" s="580" t="s">
        <v>234</v>
      </c>
      <c r="D1044" s="573" t="s">
        <v>1272</v>
      </c>
      <c r="E1044" s="580" t="s">
        <v>128</v>
      </c>
      <c r="F1044" s="386">
        <f>F1045</f>
        <v>2286</v>
      </c>
      <c r="G1044" s="386">
        <f>G1045</f>
        <v>2286</v>
      </c>
      <c r="L1044" s="576"/>
    </row>
    <row r="1045" spans="1:12" s="578" customFormat="1" ht="21.75" customHeight="1" x14ac:dyDescent="0.25">
      <c r="A1045" s="579" t="s">
        <v>342</v>
      </c>
      <c r="B1045" s="580" t="s">
        <v>491</v>
      </c>
      <c r="C1045" s="580" t="s">
        <v>234</v>
      </c>
      <c r="D1045" s="573" t="s">
        <v>1272</v>
      </c>
      <c r="E1045" s="580" t="s">
        <v>209</v>
      </c>
      <c r="F1045" s="386">
        <f>'Пр.4.1 ведом.23-24 '!G909</f>
        <v>2286</v>
      </c>
      <c r="G1045" s="386">
        <f>'Пр.4.1 ведом.23-24 '!H909</f>
        <v>2286</v>
      </c>
      <c r="L1045" s="576"/>
    </row>
    <row r="1046" spans="1:12" s="578" customFormat="1" ht="36" customHeight="1" x14ac:dyDescent="0.25">
      <c r="A1046" s="29" t="s">
        <v>131</v>
      </c>
      <c r="B1046" s="580" t="s">
        <v>491</v>
      </c>
      <c r="C1046" s="580" t="s">
        <v>234</v>
      </c>
      <c r="D1046" s="573" t="s">
        <v>1272</v>
      </c>
      <c r="E1046" s="580" t="s">
        <v>132</v>
      </c>
      <c r="F1046" s="386">
        <f>F1047</f>
        <v>414</v>
      </c>
      <c r="G1046" s="386">
        <f>G1047</f>
        <v>414</v>
      </c>
      <c r="L1046" s="576"/>
    </row>
    <row r="1047" spans="1:12" s="578" customFormat="1" ht="31.5" x14ac:dyDescent="0.25">
      <c r="A1047" s="29" t="s">
        <v>133</v>
      </c>
      <c r="B1047" s="580" t="s">
        <v>491</v>
      </c>
      <c r="C1047" s="580" t="s">
        <v>234</v>
      </c>
      <c r="D1047" s="573" t="s">
        <v>1272</v>
      </c>
      <c r="E1047" s="580" t="s">
        <v>134</v>
      </c>
      <c r="F1047" s="489">
        <f>'Пр.4.1 ведом.23-24 '!G911</f>
        <v>414</v>
      </c>
      <c r="G1047" s="489">
        <f>'Пр.4.1 ведом.23-24 '!H911</f>
        <v>414</v>
      </c>
      <c r="L1047" s="576"/>
    </row>
    <row r="1048" spans="1:12" s="578" customFormat="1" ht="15.75" x14ac:dyDescent="0.25">
      <c r="A1048" s="572" t="s">
        <v>582</v>
      </c>
      <c r="B1048" s="7" t="s">
        <v>238</v>
      </c>
      <c r="C1048" s="573"/>
      <c r="D1048" s="573"/>
      <c r="E1048" s="573"/>
      <c r="F1048" s="488">
        <f t="shared" ref="F1048:G1048" si="160">F1049</f>
        <v>6358.15</v>
      </c>
      <c r="G1048" s="488">
        <f t="shared" si="160"/>
        <v>6358.15</v>
      </c>
      <c r="L1048" s="576"/>
    </row>
    <row r="1049" spans="1:12" s="578" customFormat="1" ht="15.75" x14ac:dyDescent="0.25">
      <c r="A1049" s="572" t="s">
        <v>583</v>
      </c>
      <c r="B1049" s="7" t="s">
        <v>238</v>
      </c>
      <c r="C1049" s="7" t="s">
        <v>213</v>
      </c>
      <c r="D1049" s="7"/>
      <c r="E1049" s="7"/>
      <c r="F1049" s="488">
        <f>F1050+F1062</f>
        <v>6358.15</v>
      </c>
      <c r="G1049" s="488">
        <f>G1050+G1062</f>
        <v>6358.15</v>
      </c>
      <c r="L1049" s="576"/>
    </row>
    <row r="1050" spans="1:12" s="578" customFormat="1" ht="15.75" x14ac:dyDescent="0.25">
      <c r="A1050" s="494" t="s">
        <v>141</v>
      </c>
      <c r="B1050" s="495" t="s">
        <v>238</v>
      </c>
      <c r="C1050" s="495" t="s">
        <v>213</v>
      </c>
      <c r="D1050" s="495" t="s">
        <v>267</v>
      </c>
      <c r="E1050" s="495"/>
      <c r="F1050" s="488">
        <f>F1051</f>
        <v>6283.25</v>
      </c>
      <c r="G1050" s="488">
        <f>G1051</f>
        <v>6283.25</v>
      </c>
      <c r="L1050" s="576"/>
    </row>
    <row r="1051" spans="1:12" s="578" customFormat="1" ht="15.75" x14ac:dyDescent="0.25">
      <c r="A1051" s="494" t="s">
        <v>954</v>
      </c>
      <c r="B1051" s="495" t="s">
        <v>238</v>
      </c>
      <c r="C1051" s="495" t="s">
        <v>213</v>
      </c>
      <c r="D1051" s="495" t="s">
        <v>1203</v>
      </c>
      <c r="E1051" s="495"/>
      <c r="F1051" s="488">
        <f>F1052+F1059</f>
        <v>6283.25</v>
      </c>
      <c r="G1051" s="488">
        <f>G1052+G1059</f>
        <v>6283.25</v>
      </c>
      <c r="L1051" s="576"/>
    </row>
    <row r="1052" spans="1:12" s="578" customFormat="1" ht="15.75" x14ac:dyDescent="0.25">
      <c r="A1052" s="579" t="s">
        <v>801</v>
      </c>
      <c r="B1052" s="580" t="s">
        <v>238</v>
      </c>
      <c r="C1052" s="580" t="s">
        <v>213</v>
      </c>
      <c r="D1052" s="580" t="s">
        <v>1204</v>
      </c>
      <c r="E1052" s="580"/>
      <c r="F1052" s="489">
        <f>F1053+F1055+F1057</f>
        <v>6025.25</v>
      </c>
      <c r="G1052" s="489">
        <f>G1053+G1055+G1057</f>
        <v>6025.25</v>
      </c>
      <c r="L1052" s="576"/>
    </row>
    <row r="1053" spans="1:12" s="578" customFormat="1" ht="78.75" x14ac:dyDescent="0.25">
      <c r="A1053" s="579" t="s">
        <v>127</v>
      </c>
      <c r="B1053" s="580" t="s">
        <v>238</v>
      </c>
      <c r="C1053" s="580" t="s">
        <v>213</v>
      </c>
      <c r="D1053" s="580" t="s">
        <v>1204</v>
      </c>
      <c r="E1053" s="580" t="s">
        <v>128</v>
      </c>
      <c r="F1053" s="489">
        <f>F1054</f>
        <v>5124.5</v>
      </c>
      <c r="G1053" s="489">
        <f>G1054</f>
        <v>5124.5</v>
      </c>
      <c r="L1053" s="576"/>
    </row>
    <row r="1054" spans="1:12" s="578" customFormat="1" ht="15.75" x14ac:dyDescent="0.25">
      <c r="A1054" s="579" t="s">
        <v>208</v>
      </c>
      <c r="B1054" s="580" t="s">
        <v>238</v>
      </c>
      <c r="C1054" s="580" t="s">
        <v>213</v>
      </c>
      <c r="D1054" s="580" t="s">
        <v>1204</v>
      </c>
      <c r="E1054" s="580" t="s">
        <v>209</v>
      </c>
      <c r="F1054" s="489">
        <f>'Пр.4.1 ведом.23-24 '!G505</f>
        <v>5124.5</v>
      </c>
      <c r="G1054" s="489">
        <f>'Пр.4.1 ведом.23-24 '!H505</f>
        <v>5124.5</v>
      </c>
      <c r="L1054" s="576"/>
    </row>
    <row r="1055" spans="1:12" s="578" customFormat="1" ht="31.5" x14ac:dyDescent="0.25">
      <c r="A1055" s="579" t="s">
        <v>131</v>
      </c>
      <c r="B1055" s="580" t="s">
        <v>238</v>
      </c>
      <c r="C1055" s="580" t="s">
        <v>213</v>
      </c>
      <c r="D1055" s="580" t="s">
        <v>1204</v>
      </c>
      <c r="E1055" s="580" t="s">
        <v>132</v>
      </c>
      <c r="F1055" s="489">
        <f t="shared" ref="F1055:G1055" si="161">F1056</f>
        <v>890.25</v>
      </c>
      <c r="G1055" s="489">
        <f t="shared" si="161"/>
        <v>890.25</v>
      </c>
      <c r="L1055" s="576"/>
    </row>
    <row r="1056" spans="1:12" ht="31.5" x14ac:dyDescent="0.25">
      <c r="A1056" s="579" t="s">
        <v>133</v>
      </c>
      <c r="B1056" s="580" t="s">
        <v>238</v>
      </c>
      <c r="C1056" s="580" t="s">
        <v>213</v>
      </c>
      <c r="D1056" s="580" t="s">
        <v>1204</v>
      </c>
      <c r="E1056" s="580" t="s">
        <v>134</v>
      </c>
      <c r="F1056" s="489">
        <f>'Пр.4.1 ведом.23-24 '!G507</f>
        <v>890.25</v>
      </c>
      <c r="G1056" s="489">
        <f>'Пр.4.1 ведом.23-24 '!H507</f>
        <v>890.25</v>
      </c>
    </row>
    <row r="1057" spans="1:8" ht="15.75" x14ac:dyDescent="0.25">
      <c r="A1057" s="579" t="s">
        <v>135</v>
      </c>
      <c r="B1057" s="580" t="s">
        <v>238</v>
      </c>
      <c r="C1057" s="580" t="s">
        <v>213</v>
      </c>
      <c r="D1057" s="580" t="s">
        <v>1204</v>
      </c>
      <c r="E1057" s="580" t="s">
        <v>145</v>
      </c>
      <c r="F1057" s="386">
        <f t="shared" ref="F1057:G1057" si="162">F1058</f>
        <v>10.5</v>
      </c>
      <c r="G1057" s="386">
        <f t="shared" si="162"/>
        <v>10.5</v>
      </c>
    </row>
    <row r="1058" spans="1:8" ht="15.75" x14ac:dyDescent="0.25">
      <c r="A1058" s="579" t="s">
        <v>568</v>
      </c>
      <c r="B1058" s="580" t="s">
        <v>238</v>
      </c>
      <c r="C1058" s="580" t="s">
        <v>213</v>
      </c>
      <c r="D1058" s="580" t="s">
        <v>1204</v>
      </c>
      <c r="E1058" s="580" t="s">
        <v>138</v>
      </c>
      <c r="F1058" s="386">
        <f>'Пр.4.1 ведом.23-24 '!G509</f>
        <v>10.5</v>
      </c>
      <c r="G1058" s="386">
        <f>'Пр.4.1 ведом.23-24 '!H509</f>
        <v>10.5</v>
      </c>
    </row>
    <row r="1059" spans="1:8" ht="47.25" x14ac:dyDescent="0.25">
      <c r="A1059" s="579" t="s">
        <v>839</v>
      </c>
      <c r="B1059" s="580" t="s">
        <v>238</v>
      </c>
      <c r="C1059" s="580" t="s">
        <v>213</v>
      </c>
      <c r="D1059" s="580" t="s">
        <v>1312</v>
      </c>
      <c r="E1059" s="580"/>
      <c r="F1059" s="489">
        <f>F1060</f>
        <v>258</v>
      </c>
      <c r="G1059" s="489">
        <f>G1060</f>
        <v>258</v>
      </c>
    </row>
    <row r="1060" spans="1:8" ht="78.75" x14ac:dyDescent="0.25">
      <c r="A1060" s="579" t="s">
        <v>127</v>
      </c>
      <c r="B1060" s="580" t="s">
        <v>238</v>
      </c>
      <c r="C1060" s="580" t="s">
        <v>213</v>
      </c>
      <c r="D1060" s="580" t="s">
        <v>1312</v>
      </c>
      <c r="E1060" s="580" t="s">
        <v>128</v>
      </c>
      <c r="F1060" s="489">
        <f>F1061</f>
        <v>258</v>
      </c>
      <c r="G1060" s="489">
        <f>G1061</f>
        <v>258</v>
      </c>
    </row>
    <row r="1061" spans="1:8" ht="31.5" x14ac:dyDescent="0.25">
      <c r="A1061" s="579" t="s">
        <v>129</v>
      </c>
      <c r="B1061" s="580" t="s">
        <v>238</v>
      </c>
      <c r="C1061" s="580" t="s">
        <v>213</v>
      </c>
      <c r="D1061" s="580" t="s">
        <v>1312</v>
      </c>
      <c r="E1061" s="580" t="s">
        <v>209</v>
      </c>
      <c r="F1061" s="489">
        <f>'Пр.4.1 ведом.23-24 '!G513</f>
        <v>258</v>
      </c>
      <c r="G1061" s="489">
        <f>'Пр.4.1 ведом.23-24 '!H513</f>
        <v>258</v>
      </c>
    </row>
    <row r="1062" spans="1:8" ht="47.25" x14ac:dyDescent="0.25">
      <c r="A1062" s="572" t="s">
        <v>1352</v>
      </c>
      <c r="B1062" s="495" t="s">
        <v>238</v>
      </c>
      <c r="C1062" s="495" t="s">
        <v>213</v>
      </c>
      <c r="D1062" s="495" t="s">
        <v>705</v>
      </c>
      <c r="E1062" s="504"/>
      <c r="F1062" s="488">
        <f t="shared" ref="F1062:G1065" si="163">F1063</f>
        <v>74.900000000000006</v>
      </c>
      <c r="G1062" s="488">
        <f t="shared" si="163"/>
        <v>74.900000000000006</v>
      </c>
    </row>
    <row r="1063" spans="1:8" ht="47.25" x14ac:dyDescent="0.25">
      <c r="A1063" s="572" t="s">
        <v>890</v>
      </c>
      <c r="B1063" s="495" t="s">
        <v>238</v>
      </c>
      <c r="C1063" s="495" t="s">
        <v>213</v>
      </c>
      <c r="D1063" s="495" t="s">
        <v>888</v>
      </c>
      <c r="E1063" s="504"/>
      <c r="F1063" s="488">
        <f t="shared" si="163"/>
        <v>74.900000000000006</v>
      </c>
      <c r="G1063" s="488">
        <f t="shared" si="163"/>
        <v>74.900000000000006</v>
      </c>
    </row>
    <row r="1064" spans="1:8" ht="47.25" x14ac:dyDescent="0.25">
      <c r="A1064" s="98" t="s">
        <v>1004</v>
      </c>
      <c r="B1064" s="580" t="s">
        <v>238</v>
      </c>
      <c r="C1064" s="580" t="s">
        <v>213</v>
      </c>
      <c r="D1064" s="580" t="s">
        <v>889</v>
      </c>
      <c r="E1064" s="498"/>
      <c r="F1064" s="489">
        <f t="shared" si="163"/>
        <v>74.900000000000006</v>
      </c>
      <c r="G1064" s="489">
        <f t="shared" si="163"/>
        <v>74.900000000000006</v>
      </c>
    </row>
    <row r="1065" spans="1:8" ht="31.5" x14ac:dyDescent="0.25">
      <c r="A1065" s="579" t="s">
        <v>131</v>
      </c>
      <c r="B1065" s="580" t="s">
        <v>238</v>
      </c>
      <c r="C1065" s="580" t="s">
        <v>213</v>
      </c>
      <c r="D1065" s="580" t="s">
        <v>889</v>
      </c>
      <c r="E1065" s="498" t="s">
        <v>132</v>
      </c>
      <c r="F1065" s="489">
        <f t="shared" si="163"/>
        <v>74.900000000000006</v>
      </c>
      <c r="G1065" s="489">
        <f t="shared" si="163"/>
        <v>74.900000000000006</v>
      </c>
    </row>
    <row r="1066" spans="1:8" ht="31.5" x14ac:dyDescent="0.25">
      <c r="A1066" s="579" t="s">
        <v>133</v>
      </c>
      <c r="B1066" s="580" t="s">
        <v>238</v>
      </c>
      <c r="C1066" s="580" t="s">
        <v>213</v>
      </c>
      <c r="D1066" s="580" t="s">
        <v>889</v>
      </c>
      <c r="E1066" s="498" t="s">
        <v>134</v>
      </c>
      <c r="F1066" s="489">
        <f>'Пр.4.1 ведом.23-24 '!G518</f>
        <v>74.900000000000006</v>
      </c>
      <c r="G1066" s="489">
        <f>'Пр.4.1 ведом.23-24 '!H518</f>
        <v>74.900000000000006</v>
      </c>
    </row>
    <row r="1067" spans="1:8" ht="15.75" x14ac:dyDescent="0.25">
      <c r="A1067" s="61" t="s">
        <v>587</v>
      </c>
      <c r="B1067" s="7"/>
      <c r="C1067" s="7"/>
      <c r="D1067" s="7"/>
      <c r="E1067" s="7"/>
      <c r="F1067" s="390">
        <f>F9+F237+F264+F326+F517+F804+F965+F1048+F911+F8</f>
        <v>807839.76000000024</v>
      </c>
      <c r="G1067" s="390">
        <f>G9+G237+G264+G326+G517+G804+G965+G1048+G911+G8</f>
        <v>777654.66000000015</v>
      </c>
      <c r="H1067" s="115"/>
    </row>
    <row r="1068" spans="1:8" x14ac:dyDescent="0.25">
      <c r="F1068" s="115">
        <f>'Пр.4 ведом.22'!G1171</f>
        <v>802553.19000000029</v>
      </c>
      <c r="G1068" s="115">
        <f>'Пр.4 ведом.22'!H1171</f>
        <v>2.0000000251457095E-2</v>
      </c>
    </row>
    <row r="1069" spans="1:8" x14ac:dyDescent="0.25">
      <c r="F1069" s="115">
        <f>F1068-F1067</f>
        <v>-5286.5699999999488</v>
      </c>
      <c r="G1069" s="115">
        <f>G1068-G1067</f>
        <v>-777654.6399999999</v>
      </c>
    </row>
  </sheetData>
  <mergeCells count="4">
    <mergeCell ref="F1:G1"/>
    <mergeCell ref="F2:G2"/>
    <mergeCell ref="F3:G3"/>
    <mergeCell ref="A5:G5"/>
  </mergeCells>
  <pageMargins left="0.23622047244094491" right="0.23622047244094491" top="0.74803149606299213" bottom="0.74803149606299213" header="0.31496062992125984" footer="0.31496062992125984"/>
  <pageSetup paperSize="9" scale="8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1231"/>
  <sheetViews>
    <sheetView view="pageBreakPreview" zoomScaleNormal="100" zoomScaleSheetLayoutView="100" workbookViewId="0">
      <selection activeCell="G923" sqref="G923"/>
    </sheetView>
  </sheetViews>
  <sheetFormatPr defaultColWidth="9.140625" defaultRowHeight="15" x14ac:dyDescent="0.25"/>
  <cols>
    <col min="1" max="1" width="62.28515625" style="578" customWidth="1"/>
    <col min="2" max="2" width="7" style="204" customWidth="1"/>
    <col min="3" max="3" width="4.28515625" style="204" customWidth="1"/>
    <col min="4" max="4" width="4.85546875" style="204" customWidth="1"/>
    <col min="5" max="5" width="15.42578125" style="204" customWidth="1"/>
    <col min="6" max="6" width="5.7109375" style="204" customWidth="1"/>
    <col min="7" max="7" width="15" style="115" customWidth="1"/>
    <col min="8" max="8" width="13.42578125" style="1" customWidth="1"/>
    <col min="9" max="9" width="21.85546875" style="527" customWidth="1"/>
    <col min="10" max="10" width="24.140625" style="1" customWidth="1"/>
    <col min="11" max="11" width="12.42578125" style="1" customWidth="1"/>
    <col min="12" max="12" width="10.5703125" style="1" customWidth="1"/>
    <col min="13" max="13" width="12.7109375" style="1" customWidth="1"/>
    <col min="14" max="14" width="16.42578125" style="1" customWidth="1"/>
    <col min="15" max="15" width="9.140625" style="1"/>
    <col min="16" max="16" width="10" style="1" customWidth="1"/>
    <col min="17" max="17" width="9.140625" style="1" customWidth="1"/>
    <col min="18" max="18" width="10.28515625" style="1" customWidth="1"/>
    <col min="19" max="19" width="9.140625" style="1" customWidth="1"/>
    <col min="20" max="26" width="9.140625" style="1"/>
    <col min="27" max="27" width="11.42578125" style="1" customWidth="1"/>
    <col min="28" max="29" width="9.140625" style="1"/>
    <col min="30" max="37" width="9.140625" style="204"/>
    <col min="38" max="39" width="9.140625" style="1"/>
    <col min="40" max="41" width="9.140625" style="204"/>
    <col min="42" max="42" width="9.140625" style="1"/>
    <col min="43" max="43" width="9.140625" style="204"/>
    <col min="44" max="44" width="9.140625" style="1"/>
    <col min="45" max="45" width="11.42578125" style="1" customWidth="1"/>
    <col min="46" max="16384" width="9.140625" style="1"/>
  </cols>
  <sheetData>
    <row r="1" spans="1:11" ht="15.75" x14ac:dyDescent="0.25">
      <c r="A1" s="63"/>
      <c r="B1" s="63"/>
      <c r="C1" s="63"/>
      <c r="D1" s="63"/>
      <c r="E1" s="714" t="s">
        <v>1784</v>
      </c>
      <c r="F1" s="714"/>
      <c r="G1" s="714"/>
      <c r="H1" s="204"/>
      <c r="J1" s="204"/>
      <c r="K1" s="204"/>
    </row>
    <row r="2" spans="1:11" ht="15.75" x14ac:dyDescent="0.25">
      <c r="A2" s="63"/>
      <c r="B2" s="63"/>
      <c r="C2" s="63"/>
      <c r="D2" s="63"/>
      <c r="E2" s="714" t="s">
        <v>0</v>
      </c>
      <c r="F2" s="714"/>
      <c r="G2" s="714"/>
      <c r="H2" s="204"/>
      <c r="J2" s="204"/>
      <c r="K2" s="204"/>
    </row>
    <row r="3" spans="1:11" ht="15.75" x14ac:dyDescent="0.25">
      <c r="A3" s="130"/>
      <c r="B3" s="130"/>
      <c r="C3" s="130"/>
      <c r="D3" s="130"/>
      <c r="E3" s="714" t="s">
        <v>1807</v>
      </c>
      <c r="F3" s="714"/>
      <c r="G3" s="714"/>
      <c r="H3" s="204"/>
      <c r="J3" s="204"/>
      <c r="K3" s="204"/>
    </row>
    <row r="4" spans="1:11" s="204" customFormat="1" ht="15.75" x14ac:dyDescent="0.25">
      <c r="A4" s="701"/>
      <c r="B4" s="555"/>
      <c r="C4" s="555"/>
      <c r="D4" s="555"/>
      <c r="E4" s="555"/>
      <c r="F4" s="555"/>
      <c r="G4" s="552"/>
      <c r="I4" s="527"/>
    </row>
    <row r="5" spans="1:11" ht="15.75" customHeight="1" x14ac:dyDescent="0.25">
      <c r="A5" s="731" t="s">
        <v>1724</v>
      </c>
      <c r="B5" s="731"/>
      <c r="C5" s="731"/>
      <c r="D5" s="731"/>
      <c r="E5" s="731"/>
      <c r="F5" s="731"/>
      <c r="G5" s="731"/>
      <c r="H5" s="204"/>
      <c r="J5" s="204"/>
      <c r="K5" s="204"/>
    </row>
    <row r="6" spans="1:11" ht="15.75" x14ac:dyDescent="0.25">
      <c r="A6" s="700"/>
      <c r="B6" s="554"/>
      <c r="C6" s="554"/>
      <c r="D6" s="554"/>
      <c r="E6" s="554"/>
      <c r="F6" s="554"/>
      <c r="H6" s="204"/>
      <c r="J6" s="204"/>
      <c r="K6" s="204"/>
    </row>
    <row r="7" spans="1:11" ht="15.75" x14ac:dyDescent="0.25">
      <c r="A7" s="13"/>
      <c r="B7" s="13"/>
      <c r="C7" s="13"/>
      <c r="D7" s="13"/>
      <c r="E7" s="13"/>
      <c r="F7" s="13"/>
      <c r="G7" s="275" t="s">
        <v>1</v>
      </c>
      <c r="H7" s="204"/>
      <c r="J7" s="204"/>
      <c r="K7" s="204"/>
    </row>
    <row r="8" spans="1:11" ht="47.25" x14ac:dyDescent="0.25">
      <c r="A8" s="692" t="s">
        <v>110</v>
      </c>
      <c r="B8" s="553" t="s">
        <v>111</v>
      </c>
      <c r="C8" s="15" t="s">
        <v>112</v>
      </c>
      <c r="D8" s="15" t="s">
        <v>113</v>
      </c>
      <c r="E8" s="15" t="s">
        <v>114</v>
      </c>
      <c r="F8" s="15" t="s">
        <v>115</v>
      </c>
      <c r="G8" s="392" t="s">
        <v>1027</v>
      </c>
      <c r="H8" s="501"/>
      <c r="I8" s="526"/>
      <c r="J8" s="501"/>
      <c r="K8" s="204"/>
    </row>
    <row r="9" spans="1:11" ht="31.5" x14ac:dyDescent="0.25">
      <c r="A9" s="491" t="s">
        <v>116</v>
      </c>
      <c r="B9" s="491">
        <v>901</v>
      </c>
      <c r="C9" s="492"/>
      <c r="D9" s="492"/>
      <c r="E9" s="492"/>
      <c r="F9" s="492"/>
      <c r="G9" s="493">
        <f>G10</f>
        <v>14030.1</v>
      </c>
      <c r="H9" s="501"/>
      <c r="I9" s="526"/>
      <c r="J9" s="501"/>
      <c r="K9" s="204"/>
    </row>
    <row r="10" spans="1:11" ht="15.75" x14ac:dyDescent="0.25">
      <c r="A10" s="494" t="s">
        <v>117</v>
      </c>
      <c r="B10" s="491">
        <v>901</v>
      </c>
      <c r="C10" s="495" t="s">
        <v>118</v>
      </c>
      <c r="D10" s="492"/>
      <c r="E10" s="492"/>
      <c r="F10" s="492"/>
      <c r="G10" s="493">
        <f>G11+G24</f>
        <v>14030.1</v>
      </c>
      <c r="H10" s="113">
        <f>G10+G31+G241+G520+G535+G586+G821+G912+G1154</f>
        <v>158005.62</v>
      </c>
      <c r="I10" s="526"/>
      <c r="J10" s="501"/>
      <c r="K10" s="204"/>
    </row>
    <row r="11" spans="1:11" ht="47.25" x14ac:dyDescent="0.25">
      <c r="A11" s="494" t="s">
        <v>119</v>
      </c>
      <c r="B11" s="491">
        <v>901</v>
      </c>
      <c r="C11" s="495" t="s">
        <v>118</v>
      </c>
      <c r="D11" s="495" t="s">
        <v>120</v>
      </c>
      <c r="E11" s="495"/>
      <c r="F11" s="495"/>
      <c r="G11" s="493">
        <f>G12</f>
        <v>13980.1</v>
      </c>
      <c r="H11" s="113">
        <f>G120+G242+G553+G821+G913</f>
        <v>57982.64</v>
      </c>
      <c r="I11" s="526"/>
      <c r="J11" s="501"/>
      <c r="K11" s="204"/>
    </row>
    <row r="12" spans="1:11" ht="31.5" x14ac:dyDescent="0.25">
      <c r="A12" s="494" t="s">
        <v>917</v>
      </c>
      <c r="B12" s="491">
        <v>901</v>
      </c>
      <c r="C12" s="495" t="s">
        <v>118</v>
      </c>
      <c r="D12" s="495" t="s">
        <v>120</v>
      </c>
      <c r="E12" s="495" t="s">
        <v>858</v>
      </c>
      <c r="F12" s="495"/>
      <c r="G12" s="493">
        <f>G13</f>
        <v>13980.1</v>
      </c>
      <c r="H12" s="501"/>
      <c r="I12" s="526"/>
      <c r="J12" s="501"/>
      <c r="K12" s="204"/>
    </row>
    <row r="13" spans="1:11" ht="15.75" x14ac:dyDescent="0.25">
      <c r="A13" s="494" t="s">
        <v>918</v>
      </c>
      <c r="B13" s="491">
        <v>901</v>
      </c>
      <c r="C13" s="495" t="s">
        <v>118</v>
      </c>
      <c r="D13" s="495" t="s">
        <v>120</v>
      </c>
      <c r="E13" s="495" t="s">
        <v>859</v>
      </c>
      <c r="F13" s="495"/>
      <c r="G13" s="493">
        <f>G14+G21</f>
        <v>13980.1</v>
      </c>
      <c r="H13" s="501"/>
      <c r="I13" s="526"/>
      <c r="J13" s="501"/>
      <c r="K13" s="204"/>
    </row>
    <row r="14" spans="1:11" ht="31.5" x14ac:dyDescent="0.25">
      <c r="A14" s="579" t="s">
        <v>897</v>
      </c>
      <c r="B14" s="490">
        <v>901</v>
      </c>
      <c r="C14" s="492" t="s">
        <v>118</v>
      </c>
      <c r="D14" s="492" t="s">
        <v>120</v>
      </c>
      <c r="E14" s="492" t="s">
        <v>860</v>
      </c>
      <c r="F14" s="492"/>
      <c r="G14" s="497">
        <f>G15+G17+G19</f>
        <v>13530.1</v>
      </c>
      <c r="H14" s="501"/>
      <c r="I14" s="526"/>
      <c r="J14" s="501"/>
      <c r="K14" s="204"/>
    </row>
    <row r="15" spans="1:11" ht="63" x14ac:dyDescent="0.25">
      <c r="A15" s="579" t="s">
        <v>127</v>
      </c>
      <c r="B15" s="490">
        <v>901</v>
      </c>
      <c r="C15" s="492" t="s">
        <v>118</v>
      </c>
      <c r="D15" s="492" t="s">
        <v>120</v>
      </c>
      <c r="E15" s="492" t="s">
        <v>860</v>
      </c>
      <c r="F15" s="492" t="s">
        <v>128</v>
      </c>
      <c r="G15" s="497">
        <f>G16</f>
        <v>12532.6</v>
      </c>
      <c r="H15" s="501"/>
      <c r="I15" s="526"/>
      <c r="J15" s="501"/>
      <c r="K15" s="204"/>
    </row>
    <row r="16" spans="1:11" ht="31.5" x14ac:dyDescent="0.25">
      <c r="A16" s="579" t="s">
        <v>129</v>
      </c>
      <c r="B16" s="490">
        <v>901</v>
      </c>
      <c r="C16" s="492" t="s">
        <v>118</v>
      </c>
      <c r="D16" s="492" t="s">
        <v>120</v>
      </c>
      <c r="E16" s="492" t="s">
        <v>860</v>
      </c>
      <c r="F16" s="492" t="s">
        <v>130</v>
      </c>
      <c r="G16" s="27">
        <v>12532.6</v>
      </c>
      <c r="H16" s="501"/>
      <c r="I16" s="526"/>
      <c r="J16" s="526"/>
      <c r="K16" s="204"/>
    </row>
    <row r="17" spans="1:11" ht="31.5" x14ac:dyDescent="0.25">
      <c r="A17" s="579" t="s">
        <v>131</v>
      </c>
      <c r="B17" s="490">
        <v>901</v>
      </c>
      <c r="C17" s="492" t="s">
        <v>118</v>
      </c>
      <c r="D17" s="492" t="s">
        <v>120</v>
      </c>
      <c r="E17" s="492" t="s">
        <v>860</v>
      </c>
      <c r="F17" s="492" t="s">
        <v>132</v>
      </c>
      <c r="G17" s="497">
        <f>G18</f>
        <v>969.5</v>
      </c>
      <c r="H17" s="501"/>
      <c r="I17" s="526"/>
      <c r="J17" s="501"/>
      <c r="K17" s="204"/>
    </row>
    <row r="18" spans="1:11" ht="31.5" x14ac:dyDescent="0.25">
      <c r="A18" s="579" t="s">
        <v>133</v>
      </c>
      <c r="B18" s="490">
        <v>901</v>
      </c>
      <c r="C18" s="492" t="s">
        <v>118</v>
      </c>
      <c r="D18" s="492" t="s">
        <v>120</v>
      </c>
      <c r="E18" s="492" t="s">
        <v>860</v>
      </c>
      <c r="F18" s="492" t="s">
        <v>134</v>
      </c>
      <c r="G18" s="27">
        <v>969.5</v>
      </c>
      <c r="H18" s="501"/>
      <c r="I18" s="526"/>
      <c r="J18" s="501"/>
      <c r="K18" s="204"/>
    </row>
    <row r="19" spans="1:11" ht="15.75" x14ac:dyDescent="0.25">
      <c r="A19" s="579" t="s">
        <v>135</v>
      </c>
      <c r="B19" s="490">
        <v>901</v>
      </c>
      <c r="C19" s="492" t="s">
        <v>118</v>
      </c>
      <c r="D19" s="492" t="s">
        <v>120</v>
      </c>
      <c r="E19" s="492" t="s">
        <v>860</v>
      </c>
      <c r="F19" s="492" t="s">
        <v>136</v>
      </c>
      <c r="G19" s="497">
        <f>G20</f>
        <v>28</v>
      </c>
      <c r="H19" s="501"/>
      <c r="I19" s="526"/>
      <c r="J19" s="501"/>
      <c r="K19" s="204"/>
    </row>
    <row r="20" spans="1:11" ht="15.75" x14ac:dyDescent="0.25">
      <c r="A20" s="579" t="s">
        <v>568</v>
      </c>
      <c r="B20" s="490">
        <v>901</v>
      </c>
      <c r="C20" s="492" t="s">
        <v>118</v>
      </c>
      <c r="D20" s="492" t="s">
        <v>120</v>
      </c>
      <c r="E20" s="492" t="s">
        <v>860</v>
      </c>
      <c r="F20" s="492" t="s">
        <v>138</v>
      </c>
      <c r="G20" s="497">
        <v>28</v>
      </c>
      <c r="H20" s="501"/>
      <c r="I20" s="526"/>
      <c r="J20" s="501"/>
      <c r="K20" s="204"/>
    </row>
    <row r="21" spans="1:11" s="204" customFormat="1" ht="31.5" x14ac:dyDescent="0.25">
      <c r="A21" s="579" t="s">
        <v>839</v>
      </c>
      <c r="B21" s="490">
        <v>901</v>
      </c>
      <c r="C21" s="492" t="s">
        <v>118</v>
      </c>
      <c r="D21" s="492" t="s">
        <v>120</v>
      </c>
      <c r="E21" s="492" t="s">
        <v>862</v>
      </c>
      <c r="F21" s="492"/>
      <c r="G21" s="497">
        <f>G22</f>
        <v>450</v>
      </c>
      <c r="H21" s="501"/>
      <c r="I21" s="526"/>
      <c r="J21" s="501"/>
    </row>
    <row r="22" spans="1:11" s="204" customFormat="1" ht="63" x14ac:dyDescent="0.25">
      <c r="A22" s="579" t="s">
        <v>127</v>
      </c>
      <c r="B22" s="490">
        <v>901</v>
      </c>
      <c r="C22" s="492" t="s">
        <v>118</v>
      </c>
      <c r="D22" s="492" t="s">
        <v>120</v>
      </c>
      <c r="E22" s="492" t="s">
        <v>862</v>
      </c>
      <c r="F22" s="492" t="s">
        <v>128</v>
      </c>
      <c r="G22" s="497">
        <f>G23</f>
        <v>450</v>
      </c>
      <c r="H22" s="501"/>
      <c r="I22" s="526"/>
      <c r="J22" s="501"/>
    </row>
    <row r="23" spans="1:11" s="204" customFormat="1" ht="31.5" x14ac:dyDescent="0.25">
      <c r="A23" s="579" t="s">
        <v>129</v>
      </c>
      <c r="B23" s="490">
        <v>901</v>
      </c>
      <c r="C23" s="492" t="s">
        <v>118</v>
      </c>
      <c r="D23" s="492" t="s">
        <v>120</v>
      </c>
      <c r="E23" s="492" t="s">
        <v>862</v>
      </c>
      <c r="F23" s="492" t="s">
        <v>130</v>
      </c>
      <c r="G23" s="497">
        <v>450</v>
      </c>
      <c r="H23" s="501"/>
      <c r="I23" s="526"/>
      <c r="J23" s="501"/>
    </row>
    <row r="24" spans="1:11" s="204" customFormat="1" ht="15.75" x14ac:dyDescent="0.25">
      <c r="A24" s="494" t="s">
        <v>1400</v>
      </c>
      <c r="B24" s="491">
        <v>901</v>
      </c>
      <c r="C24" s="495" t="s">
        <v>118</v>
      </c>
      <c r="D24" s="495" t="s">
        <v>491</v>
      </c>
      <c r="E24" s="495"/>
      <c r="F24" s="495"/>
      <c r="G24" s="493">
        <f t="shared" ref="G24:G28" si="0">G25</f>
        <v>50</v>
      </c>
      <c r="H24" s="501"/>
      <c r="I24" s="526"/>
      <c r="J24" s="501"/>
    </row>
    <row r="25" spans="1:11" s="204" customFormat="1" ht="15.75" x14ac:dyDescent="0.25">
      <c r="A25" s="494" t="s">
        <v>141</v>
      </c>
      <c r="B25" s="491">
        <v>901</v>
      </c>
      <c r="C25" s="495" t="s">
        <v>118</v>
      </c>
      <c r="D25" s="495" t="s">
        <v>491</v>
      </c>
      <c r="E25" s="495" t="s">
        <v>866</v>
      </c>
      <c r="F25" s="495"/>
      <c r="G25" s="493">
        <f t="shared" si="0"/>
        <v>50</v>
      </c>
      <c r="H25" s="501"/>
      <c r="I25" s="526"/>
      <c r="J25" s="501"/>
    </row>
    <row r="26" spans="1:11" s="204" customFormat="1" ht="31.5" x14ac:dyDescent="0.25">
      <c r="A26" s="494" t="s">
        <v>870</v>
      </c>
      <c r="B26" s="491">
        <v>901</v>
      </c>
      <c r="C26" s="495" t="s">
        <v>118</v>
      </c>
      <c r="D26" s="495" t="s">
        <v>491</v>
      </c>
      <c r="E26" s="495" t="s">
        <v>865</v>
      </c>
      <c r="F26" s="495"/>
      <c r="G26" s="493">
        <f t="shared" si="0"/>
        <v>50</v>
      </c>
      <c r="H26" s="501"/>
      <c r="I26" s="526"/>
      <c r="J26" s="501"/>
    </row>
    <row r="27" spans="1:11" s="204" customFormat="1" ht="15.75" x14ac:dyDescent="0.25">
      <c r="A27" s="579" t="s">
        <v>1137</v>
      </c>
      <c r="B27" s="490">
        <v>901</v>
      </c>
      <c r="C27" s="492" t="s">
        <v>118</v>
      </c>
      <c r="D27" s="492" t="s">
        <v>491</v>
      </c>
      <c r="E27" s="492" t="s">
        <v>1138</v>
      </c>
      <c r="F27" s="492"/>
      <c r="G27" s="497">
        <f t="shared" si="0"/>
        <v>50</v>
      </c>
      <c r="H27" s="501"/>
      <c r="I27" s="526"/>
      <c r="J27" s="501"/>
    </row>
    <row r="28" spans="1:11" s="204" customFormat="1" ht="15.75" x14ac:dyDescent="0.25">
      <c r="A28" s="579" t="s">
        <v>135</v>
      </c>
      <c r="B28" s="490">
        <v>901</v>
      </c>
      <c r="C28" s="492" t="s">
        <v>118</v>
      </c>
      <c r="D28" s="492" t="s">
        <v>491</v>
      </c>
      <c r="E28" s="492" t="s">
        <v>1138</v>
      </c>
      <c r="F28" s="492" t="s">
        <v>145</v>
      </c>
      <c r="G28" s="497">
        <f t="shared" si="0"/>
        <v>50</v>
      </c>
      <c r="H28" s="501"/>
      <c r="I28" s="526"/>
      <c r="J28" s="501"/>
    </row>
    <row r="29" spans="1:11" s="204" customFormat="1" ht="15.75" x14ac:dyDescent="0.25">
      <c r="A29" s="579" t="s">
        <v>1137</v>
      </c>
      <c r="B29" s="490">
        <v>901</v>
      </c>
      <c r="C29" s="492" t="s">
        <v>118</v>
      </c>
      <c r="D29" s="492" t="s">
        <v>491</v>
      </c>
      <c r="E29" s="492" t="s">
        <v>1138</v>
      </c>
      <c r="F29" s="492" t="s">
        <v>1139</v>
      </c>
      <c r="G29" s="497">
        <v>50</v>
      </c>
      <c r="H29" s="501"/>
      <c r="I29" s="526"/>
      <c r="J29" s="501"/>
    </row>
    <row r="30" spans="1:11" ht="15.75" x14ac:dyDescent="0.25">
      <c r="A30" s="491" t="s">
        <v>148</v>
      </c>
      <c r="B30" s="491">
        <v>902</v>
      </c>
      <c r="C30" s="492"/>
      <c r="D30" s="492"/>
      <c r="E30" s="492"/>
      <c r="F30" s="492"/>
      <c r="G30" s="493">
        <f>G31+G165+G195+G219+G158</f>
        <v>92220.930000000008</v>
      </c>
      <c r="H30" s="113"/>
      <c r="I30" s="526"/>
      <c r="J30" s="501"/>
      <c r="K30" s="230"/>
    </row>
    <row r="31" spans="1:11" ht="15.75" x14ac:dyDescent="0.25">
      <c r="A31" s="494" t="s">
        <v>117</v>
      </c>
      <c r="B31" s="491">
        <v>902</v>
      </c>
      <c r="C31" s="495" t="s">
        <v>118</v>
      </c>
      <c r="D31" s="492"/>
      <c r="E31" s="492"/>
      <c r="F31" s="492"/>
      <c r="G31" s="493">
        <f>G48+G103+G120+G112+G32</f>
        <v>70719.13</v>
      </c>
      <c r="H31" s="501"/>
      <c r="I31" s="526"/>
      <c r="J31" s="501"/>
      <c r="K31" s="204"/>
    </row>
    <row r="32" spans="1:11" s="204" customFormat="1" ht="31.9" customHeight="1" x14ac:dyDescent="0.25">
      <c r="A32" s="494" t="s">
        <v>575</v>
      </c>
      <c r="B32" s="491">
        <v>902</v>
      </c>
      <c r="C32" s="495" t="s">
        <v>118</v>
      </c>
      <c r="D32" s="495" t="s">
        <v>213</v>
      </c>
      <c r="E32" s="492"/>
      <c r="F32" s="492"/>
      <c r="G32" s="493">
        <f>G33</f>
        <v>5025</v>
      </c>
      <c r="H32" s="501"/>
      <c r="I32" s="526"/>
      <c r="J32" s="501"/>
    </row>
    <row r="33" spans="1:11" s="204" customFormat="1" ht="31.5" x14ac:dyDescent="0.25">
      <c r="A33" s="494" t="s">
        <v>917</v>
      </c>
      <c r="B33" s="491">
        <v>902</v>
      </c>
      <c r="C33" s="495" t="s">
        <v>118</v>
      </c>
      <c r="D33" s="495" t="s">
        <v>213</v>
      </c>
      <c r="E33" s="495" t="s">
        <v>858</v>
      </c>
      <c r="F33" s="492"/>
      <c r="G33" s="493">
        <f>G34+G43</f>
        <v>5025</v>
      </c>
      <c r="H33" s="501"/>
      <c r="I33" s="526"/>
      <c r="J33" s="501"/>
    </row>
    <row r="34" spans="1:11" s="204" customFormat="1" ht="15.75" x14ac:dyDescent="0.25">
      <c r="A34" s="494" t="s">
        <v>918</v>
      </c>
      <c r="B34" s="491">
        <v>902</v>
      </c>
      <c r="C34" s="495" t="s">
        <v>118</v>
      </c>
      <c r="D34" s="495" t="s">
        <v>213</v>
      </c>
      <c r="E34" s="495" t="s">
        <v>859</v>
      </c>
      <c r="F34" s="492"/>
      <c r="G34" s="493">
        <f>G35+G40</f>
        <v>5024.5</v>
      </c>
      <c r="H34" s="501"/>
      <c r="I34" s="526"/>
      <c r="J34" s="501"/>
    </row>
    <row r="35" spans="1:11" s="204" customFormat="1" ht="31.5" x14ac:dyDescent="0.25">
      <c r="A35" s="579" t="s">
        <v>576</v>
      </c>
      <c r="B35" s="490">
        <v>902</v>
      </c>
      <c r="C35" s="492" t="s">
        <v>118</v>
      </c>
      <c r="D35" s="492" t="s">
        <v>213</v>
      </c>
      <c r="E35" s="492" t="s">
        <v>1330</v>
      </c>
      <c r="F35" s="492"/>
      <c r="G35" s="497">
        <f>G36+G38</f>
        <v>5024.5</v>
      </c>
      <c r="H35" s="501"/>
      <c r="I35" s="526"/>
      <c r="J35" s="501"/>
    </row>
    <row r="36" spans="1:11" s="204" customFormat="1" ht="63" x14ac:dyDescent="0.25">
      <c r="A36" s="579" t="s">
        <v>127</v>
      </c>
      <c r="B36" s="490">
        <v>902</v>
      </c>
      <c r="C36" s="492" t="s">
        <v>118</v>
      </c>
      <c r="D36" s="492" t="s">
        <v>213</v>
      </c>
      <c r="E36" s="492" t="s">
        <v>1330</v>
      </c>
      <c r="F36" s="492" t="s">
        <v>128</v>
      </c>
      <c r="G36" s="497">
        <f>G37</f>
        <v>4934.5</v>
      </c>
      <c r="H36" s="501"/>
      <c r="I36" s="526"/>
      <c r="J36" s="501"/>
    </row>
    <row r="37" spans="1:11" s="204" customFormat="1" ht="31.5" x14ac:dyDescent="0.25">
      <c r="A37" s="579" t="s">
        <v>129</v>
      </c>
      <c r="B37" s="490">
        <v>902</v>
      </c>
      <c r="C37" s="492" t="s">
        <v>118</v>
      </c>
      <c r="D37" s="492" t="s">
        <v>213</v>
      </c>
      <c r="E37" s="492" t="s">
        <v>1330</v>
      </c>
      <c r="F37" s="492" t="s">
        <v>130</v>
      </c>
      <c r="G37" s="27">
        <v>4934.5</v>
      </c>
      <c r="H37" s="162"/>
      <c r="I37" s="526"/>
      <c r="J37" s="501"/>
      <c r="K37" s="537"/>
    </row>
    <row r="38" spans="1:11" s="204" customFormat="1" ht="31.5" x14ac:dyDescent="0.25">
      <c r="A38" s="579" t="s">
        <v>198</v>
      </c>
      <c r="B38" s="490">
        <v>902</v>
      </c>
      <c r="C38" s="492" t="s">
        <v>118</v>
      </c>
      <c r="D38" s="492" t="s">
        <v>213</v>
      </c>
      <c r="E38" s="492" t="s">
        <v>1330</v>
      </c>
      <c r="F38" s="492" t="s">
        <v>132</v>
      </c>
      <c r="G38" s="497">
        <f>G39</f>
        <v>90</v>
      </c>
      <c r="H38" s="501"/>
      <c r="I38" s="526"/>
      <c r="J38" s="501"/>
    </row>
    <row r="39" spans="1:11" s="204" customFormat="1" ht="31.5" x14ac:dyDescent="0.25">
      <c r="A39" s="579" t="s">
        <v>133</v>
      </c>
      <c r="B39" s="490">
        <v>902</v>
      </c>
      <c r="C39" s="492" t="s">
        <v>118</v>
      </c>
      <c r="D39" s="492" t="s">
        <v>213</v>
      </c>
      <c r="E39" s="492" t="s">
        <v>1330</v>
      </c>
      <c r="F39" s="492" t="s">
        <v>134</v>
      </c>
      <c r="G39" s="497">
        <f>90</f>
        <v>90</v>
      </c>
      <c r="H39" s="501"/>
      <c r="I39" s="526"/>
      <c r="J39" s="501"/>
    </row>
    <row r="40" spans="1:11" s="204" customFormat="1" ht="31.5" hidden="1" x14ac:dyDescent="0.25">
      <c r="A40" s="496" t="s">
        <v>839</v>
      </c>
      <c r="B40" s="490">
        <v>902</v>
      </c>
      <c r="C40" s="492" t="s">
        <v>118</v>
      </c>
      <c r="D40" s="492" t="s">
        <v>213</v>
      </c>
      <c r="E40" s="492" t="s">
        <v>862</v>
      </c>
      <c r="F40" s="492"/>
      <c r="G40" s="497">
        <f>G41</f>
        <v>0</v>
      </c>
      <c r="H40" s="501"/>
      <c r="I40" s="526"/>
      <c r="J40" s="501"/>
    </row>
    <row r="41" spans="1:11" s="204" customFormat="1" ht="63" hidden="1" x14ac:dyDescent="0.25">
      <c r="A41" s="496" t="s">
        <v>127</v>
      </c>
      <c r="B41" s="490">
        <v>902</v>
      </c>
      <c r="C41" s="492" t="s">
        <v>118</v>
      </c>
      <c r="D41" s="492" t="s">
        <v>213</v>
      </c>
      <c r="E41" s="492" t="s">
        <v>862</v>
      </c>
      <c r="F41" s="492" t="s">
        <v>128</v>
      </c>
      <c r="G41" s="497">
        <f>G42</f>
        <v>0</v>
      </c>
      <c r="H41" s="501"/>
      <c r="I41" s="526"/>
      <c r="J41" s="501"/>
    </row>
    <row r="42" spans="1:11" s="204" customFormat="1" ht="31.5" hidden="1" x14ac:dyDescent="0.25">
      <c r="A42" s="496" t="s">
        <v>129</v>
      </c>
      <c r="B42" s="490">
        <v>902</v>
      </c>
      <c r="C42" s="492" t="s">
        <v>118</v>
      </c>
      <c r="D42" s="492" t="s">
        <v>213</v>
      </c>
      <c r="E42" s="492" t="s">
        <v>862</v>
      </c>
      <c r="F42" s="492" t="s">
        <v>130</v>
      </c>
      <c r="G42" s="497"/>
      <c r="H42" s="501"/>
      <c r="I42" s="526"/>
      <c r="J42" s="501"/>
    </row>
    <row r="43" spans="1:11" s="204" customFormat="1" ht="31.5" x14ac:dyDescent="0.25">
      <c r="A43" s="494" t="s">
        <v>1338</v>
      </c>
      <c r="B43" s="491">
        <v>902</v>
      </c>
      <c r="C43" s="495" t="s">
        <v>118</v>
      </c>
      <c r="D43" s="495" t="s">
        <v>213</v>
      </c>
      <c r="E43" s="495" t="s">
        <v>162</v>
      </c>
      <c r="F43" s="495"/>
      <c r="G43" s="493">
        <f t="shared" ref="G43:G46" si="1">G44</f>
        <v>0.5</v>
      </c>
      <c r="H43" s="501"/>
      <c r="I43" s="526"/>
      <c r="J43" s="501"/>
    </row>
    <row r="44" spans="1:11" s="204" customFormat="1" ht="63" x14ac:dyDescent="0.25">
      <c r="A44" s="216" t="s">
        <v>1340</v>
      </c>
      <c r="B44" s="277">
        <v>902</v>
      </c>
      <c r="C44" s="495" t="s">
        <v>118</v>
      </c>
      <c r="D44" s="495" t="s">
        <v>213</v>
      </c>
      <c r="E44" s="7" t="s">
        <v>850</v>
      </c>
      <c r="F44" s="495"/>
      <c r="G44" s="493">
        <f t="shared" si="1"/>
        <v>0.5</v>
      </c>
      <c r="H44" s="501"/>
      <c r="I44" s="526"/>
      <c r="J44" s="501"/>
    </row>
    <row r="45" spans="1:11" s="204" customFormat="1" ht="59.1" customHeight="1" x14ac:dyDescent="0.25">
      <c r="A45" s="31" t="s">
        <v>695</v>
      </c>
      <c r="B45" s="490">
        <v>902</v>
      </c>
      <c r="C45" s="492" t="s">
        <v>118</v>
      </c>
      <c r="D45" s="492" t="s">
        <v>213</v>
      </c>
      <c r="E45" s="499" t="s">
        <v>993</v>
      </c>
      <c r="F45" s="492"/>
      <c r="G45" s="497">
        <f t="shared" si="1"/>
        <v>0.5</v>
      </c>
      <c r="H45" s="501"/>
      <c r="I45" s="526"/>
      <c r="J45" s="501"/>
    </row>
    <row r="46" spans="1:11" s="204" customFormat="1" ht="31.5" x14ac:dyDescent="0.25">
      <c r="A46" s="579" t="s">
        <v>131</v>
      </c>
      <c r="B46" s="490">
        <v>902</v>
      </c>
      <c r="C46" s="492" t="s">
        <v>118</v>
      </c>
      <c r="D46" s="492" t="s">
        <v>213</v>
      </c>
      <c r="E46" s="499" t="s">
        <v>993</v>
      </c>
      <c r="F46" s="492" t="s">
        <v>132</v>
      </c>
      <c r="G46" s="497">
        <f t="shared" si="1"/>
        <v>0.5</v>
      </c>
      <c r="H46" s="501"/>
      <c r="I46" s="526"/>
      <c r="J46" s="501"/>
    </row>
    <row r="47" spans="1:11" s="204" customFormat="1" ht="31.5" x14ac:dyDescent="0.25">
      <c r="A47" s="579" t="s">
        <v>133</v>
      </c>
      <c r="B47" s="490">
        <v>902</v>
      </c>
      <c r="C47" s="492" t="s">
        <v>118</v>
      </c>
      <c r="D47" s="492" t="s">
        <v>213</v>
      </c>
      <c r="E47" s="499" t="s">
        <v>993</v>
      </c>
      <c r="F47" s="492" t="s">
        <v>134</v>
      </c>
      <c r="G47" s="497">
        <v>0.5</v>
      </c>
      <c r="H47" s="501"/>
      <c r="I47" s="526"/>
      <c r="J47" s="501"/>
    </row>
    <row r="48" spans="1:11" ht="46.15" customHeight="1" x14ac:dyDescent="0.25">
      <c r="A48" s="494" t="s">
        <v>149</v>
      </c>
      <c r="B48" s="491">
        <v>902</v>
      </c>
      <c r="C48" s="495" t="s">
        <v>118</v>
      </c>
      <c r="D48" s="495" t="s">
        <v>150</v>
      </c>
      <c r="E48" s="495"/>
      <c r="F48" s="495"/>
      <c r="G48" s="493">
        <f>G49+G85</f>
        <v>58126.430000000008</v>
      </c>
      <c r="H48" s="501"/>
      <c r="I48" s="526"/>
      <c r="J48" s="501"/>
      <c r="K48" s="204"/>
    </row>
    <row r="49" spans="1:11" ht="31.5" x14ac:dyDescent="0.25">
      <c r="A49" s="494" t="s">
        <v>917</v>
      </c>
      <c r="B49" s="491">
        <v>902</v>
      </c>
      <c r="C49" s="495" t="s">
        <v>118</v>
      </c>
      <c r="D49" s="495" t="s">
        <v>150</v>
      </c>
      <c r="E49" s="495" t="s">
        <v>858</v>
      </c>
      <c r="F49" s="495"/>
      <c r="G49" s="44">
        <f>G50+G66</f>
        <v>57522.930000000008</v>
      </c>
      <c r="H49" s="501"/>
      <c r="I49" s="526"/>
      <c r="J49" s="501"/>
      <c r="K49" s="204"/>
    </row>
    <row r="50" spans="1:11" s="204" customFormat="1" ht="15.75" x14ac:dyDescent="0.25">
      <c r="A50" s="494" t="s">
        <v>918</v>
      </c>
      <c r="B50" s="491">
        <v>902</v>
      </c>
      <c r="C50" s="495" t="s">
        <v>118</v>
      </c>
      <c r="D50" s="495" t="s">
        <v>150</v>
      </c>
      <c r="E50" s="495" t="s">
        <v>859</v>
      </c>
      <c r="F50" s="495"/>
      <c r="G50" s="44">
        <f>G51+G60+G63</f>
        <v>53852.630000000005</v>
      </c>
      <c r="H50" s="501"/>
      <c r="I50" s="526"/>
      <c r="J50" s="501"/>
    </row>
    <row r="51" spans="1:11" ht="31.5" x14ac:dyDescent="0.25">
      <c r="A51" s="579" t="s">
        <v>897</v>
      </c>
      <c r="B51" s="490">
        <v>902</v>
      </c>
      <c r="C51" s="492" t="s">
        <v>118</v>
      </c>
      <c r="D51" s="492" t="s">
        <v>150</v>
      </c>
      <c r="E51" s="492" t="s">
        <v>860</v>
      </c>
      <c r="F51" s="492"/>
      <c r="G51" s="497">
        <f>G52+G54+G58+G56</f>
        <v>49704.100000000006</v>
      </c>
      <c r="H51" s="501"/>
      <c r="I51" s="526"/>
      <c r="J51" s="501"/>
      <c r="K51" s="204"/>
    </row>
    <row r="52" spans="1:11" ht="62.1" customHeight="1" x14ac:dyDescent="0.25">
      <c r="A52" s="579" t="s">
        <v>127</v>
      </c>
      <c r="B52" s="490">
        <v>902</v>
      </c>
      <c r="C52" s="492" t="s">
        <v>118</v>
      </c>
      <c r="D52" s="492" t="s">
        <v>150</v>
      </c>
      <c r="E52" s="492" t="s">
        <v>860</v>
      </c>
      <c r="F52" s="492" t="s">
        <v>128</v>
      </c>
      <c r="G52" s="497">
        <f>G53</f>
        <v>43968.800000000003</v>
      </c>
      <c r="H52" s="501"/>
      <c r="I52" s="526"/>
      <c r="J52" s="501"/>
      <c r="K52" s="204"/>
    </row>
    <row r="53" spans="1:11" ht="31.5" x14ac:dyDescent="0.25">
      <c r="A53" s="579" t="s">
        <v>129</v>
      </c>
      <c r="B53" s="490">
        <v>902</v>
      </c>
      <c r="C53" s="492" t="s">
        <v>118</v>
      </c>
      <c r="D53" s="492" t="s">
        <v>150</v>
      </c>
      <c r="E53" s="492" t="s">
        <v>860</v>
      </c>
      <c r="F53" s="492" t="s">
        <v>130</v>
      </c>
      <c r="G53" s="27">
        <v>43968.800000000003</v>
      </c>
      <c r="H53" s="162"/>
      <c r="I53" s="526"/>
      <c r="J53" s="501"/>
      <c r="K53" s="537"/>
    </row>
    <row r="54" spans="1:11" ht="31.5" x14ac:dyDescent="0.25">
      <c r="A54" s="579" t="s">
        <v>131</v>
      </c>
      <c r="B54" s="490">
        <v>902</v>
      </c>
      <c r="C54" s="492" t="s">
        <v>118</v>
      </c>
      <c r="D54" s="492" t="s">
        <v>150</v>
      </c>
      <c r="E54" s="492" t="s">
        <v>860</v>
      </c>
      <c r="F54" s="492" t="s">
        <v>132</v>
      </c>
      <c r="G54" s="497">
        <f>G55</f>
        <v>5660.3</v>
      </c>
      <c r="H54" s="501"/>
      <c r="I54" s="526"/>
      <c r="J54" s="501"/>
      <c r="K54" s="204"/>
    </row>
    <row r="55" spans="1:11" ht="31.5" x14ac:dyDescent="0.25">
      <c r="A55" s="579" t="s">
        <v>133</v>
      </c>
      <c r="B55" s="490">
        <v>902</v>
      </c>
      <c r="C55" s="492" t="s">
        <v>118</v>
      </c>
      <c r="D55" s="492" t="s">
        <v>150</v>
      </c>
      <c r="E55" s="492" t="s">
        <v>860</v>
      </c>
      <c r="F55" s="492" t="s">
        <v>134</v>
      </c>
      <c r="G55" s="27">
        <v>5660.3</v>
      </c>
      <c r="H55" s="502"/>
      <c r="I55" s="528"/>
      <c r="J55" s="501"/>
      <c r="K55" s="204"/>
    </row>
    <row r="56" spans="1:11" s="204" customFormat="1" ht="15.75" hidden="1" x14ac:dyDescent="0.25">
      <c r="A56" s="496" t="s">
        <v>248</v>
      </c>
      <c r="B56" s="490">
        <v>902</v>
      </c>
      <c r="C56" s="492" t="s">
        <v>118</v>
      </c>
      <c r="D56" s="492" t="s">
        <v>150</v>
      </c>
      <c r="E56" s="492" t="s">
        <v>860</v>
      </c>
      <c r="F56" s="492" t="s">
        <v>249</v>
      </c>
      <c r="G56" s="27">
        <f>G57</f>
        <v>0</v>
      </c>
      <c r="H56" s="501"/>
      <c r="I56" s="526"/>
      <c r="J56" s="501"/>
    </row>
    <row r="57" spans="1:11" s="204" customFormat="1" ht="31.5" hidden="1" x14ac:dyDescent="0.25">
      <c r="A57" s="496" t="s">
        <v>250</v>
      </c>
      <c r="B57" s="490">
        <v>902</v>
      </c>
      <c r="C57" s="492" t="s">
        <v>118</v>
      </c>
      <c r="D57" s="492" t="s">
        <v>150</v>
      </c>
      <c r="E57" s="492" t="s">
        <v>860</v>
      </c>
      <c r="F57" s="492" t="s">
        <v>251</v>
      </c>
      <c r="G57" s="27">
        <f>755-755</f>
        <v>0</v>
      </c>
      <c r="H57" s="501"/>
      <c r="I57" s="526"/>
      <c r="J57" s="501"/>
    </row>
    <row r="58" spans="1:11" ht="15.75" x14ac:dyDescent="0.25">
      <c r="A58" s="579" t="s">
        <v>135</v>
      </c>
      <c r="B58" s="490">
        <v>902</v>
      </c>
      <c r="C58" s="492" t="s">
        <v>118</v>
      </c>
      <c r="D58" s="492" t="s">
        <v>150</v>
      </c>
      <c r="E58" s="492" t="s">
        <v>860</v>
      </c>
      <c r="F58" s="492" t="s">
        <v>145</v>
      </c>
      <c r="G58" s="497">
        <f>G59</f>
        <v>75</v>
      </c>
      <c r="H58" s="501"/>
      <c r="I58" s="528"/>
      <c r="J58" s="501"/>
      <c r="K58" s="204"/>
    </row>
    <row r="59" spans="1:11" ht="15.75" x14ac:dyDescent="0.25">
      <c r="A59" s="579" t="s">
        <v>568</v>
      </c>
      <c r="B59" s="490">
        <v>902</v>
      </c>
      <c r="C59" s="492" t="s">
        <v>118</v>
      </c>
      <c r="D59" s="492" t="s">
        <v>150</v>
      </c>
      <c r="E59" s="492" t="s">
        <v>860</v>
      </c>
      <c r="F59" s="492" t="s">
        <v>138</v>
      </c>
      <c r="G59" s="27">
        <v>75</v>
      </c>
      <c r="H59" s="501"/>
      <c r="I59" s="526"/>
      <c r="J59" s="501"/>
      <c r="K59" s="204"/>
    </row>
    <row r="60" spans="1:11" s="204" customFormat="1" ht="31.5" x14ac:dyDescent="0.25">
      <c r="A60" s="579" t="s">
        <v>840</v>
      </c>
      <c r="B60" s="490">
        <v>902</v>
      </c>
      <c r="C60" s="492" t="s">
        <v>118</v>
      </c>
      <c r="D60" s="492" t="s">
        <v>150</v>
      </c>
      <c r="E60" s="492" t="s">
        <v>861</v>
      </c>
      <c r="F60" s="492"/>
      <c r="G60" s="27">
        <f>G61</f>
        <v>2557.5300000000002</v>
      </c>
      <c r="H60" s="501"/>
      <c r="I60" s="526"/>
      <c r="J60" s="501"/>
    </row>
    <row r="61" spans="1:11" s="204" customFormat="1" ht="67.7" customHeight="1" x14ac:dyDescent="0.25">
      <c r="A61" s="579" t="s">
        <v>127</v>
      </c>
      <c r="B61" s="490">
        <v>902</v>
      </c>
      <c r="C61" s="492" t="s">
        <v>118</v>
      </c>
      <c r="D61" s="492" t="s">
        <v>150</v>
      </c>
      <c r="E61" s="492" t="s">
        <v>861</v>
      </c>
      <c r="F61" s="492" t="s">
        <v>128</v>
      </c>
      <c r="G61" s="27">
        <f>G62</f>
        <v>2557.5300000000002</v>
      </c>
      <c r="H61" s="501"/>
      <c r="I61" s="526"/>
      <c r="J61" s="501"/>
    </row>
    <row r="62" spans="1:11" s="204" customFormat="1" ht="31.5" x14ac:dyDescent="0.25">
      <c r="A62" s="579" t="s">
        <v>129</v>
      </c>
      <c r="B62" s="490">
        <v>902</v>
      </c>
      <c r="C62" s="492" t="s">
        <v>118</v>
      </c>
      <c r="D62" s="492" t="s">
        <v>150</v>
      </c>
      <c r="E62" s="492" t="s">
        <v>861</v>
      </c>
      <c r="F62" s="492" t="s">
        <v>130</v>
      </c>
      <c r="G62" s="27">
        <v>2557.5300000000002</v>
      </c>
      <c r="H62" s="501"/>
      <c r="I62" s="526"/>
      <c r="J62" s="501"/>
    </row>
    <row r="63" spans="1:11" s="204" customFormat="1" ht="31.5" x14ac:dyDescent="0.25">
      <c r="A63" s="579" t="s">
        <v>839</v>
      </c>
      <c r="B63" s="490">
        <v>902</v>
      </c>
      <c r="C63" s="492" t="s">
        <v>118</v>
      </c>
      <c r="D63" s="492" t="s">
        <v>150</v>
      </c>
      <c r="E63" s="492" t="s">
        <v>862</v>
      </c>
      <c r="F63" s="492"/>
      <c r="G63" s="497">
        <f>G64</f>
        <v>1591</v>
      </c>
      <c r="H63" s="501"/>
      <c r="I63" s="526"/>
      <c r="J63" s="501"/>
    </row>
    <row r="64" spans="1:11" s="204" customFormat="1" ht="63" x14ac:dyDescent="0.25">
      <c r="A64" s="579" t="s">
        <v>127</v>
      </c>
      <c r="B64" s="490">
        <v>902</v>
      </c>
      <c r="C64" s="492" t="s">
        <v>118</v>
      </c>
      <c r="D64" s="492" t="s">
        <v>150</v>
      </c>
      <c r="E64" s="492" t="s">
        <v>862</v>
      </c>
      <c r="F64" s="492" t="s">
        <v>128</v>
      </c>
      <c r="G64" s="497">
        <f>G65</f>
        <v>1591</v>
      </c>
      <c r="H64" s="501"/>
      <c r="I64" s="526"/>
      <c r="J64" s="501"/>
    </row>
    <row r="65" spans="1:11" s="204" customFormat="1" ht="31.5" x14ac:dyDescent="0.25">
      <c r="A65" s="579" t="s">
        <v>129</v>
      </c>
      <c r="B65" s="490">
        <v>902</v>
      </c>
      <c r="C65" s="492" t="s">
        <v>118</v>
      </c>
      <c r="D65" s="492" t="s">
        <v>150</v>
      </c>
      <c r="E65" s="492" t="s">
        <v>862</v>
      </c>
      <c r="F65" s="492" t="s">
        <v>130</v>
      </c>
      <c r="G65" s="497">
        <v>1591</v>
      </c>
      <c r="H65" s="162"/>
      <c r="I65" s="526"/>
      <c r="J65" s="501"/>
      <c r="K65" s="537"/>
    </row>
    <row r="66" spans="1:11" s="204" customFormat="1" ht="31.5" x14ac:dyDescent="0.25">
      <c r="A66" s="494" t="s">
        <v>885</v>
      </c>
      <c r="B66" s="491">
        <v>902</v>
      </c>
      <c r="C66" s="495" t="s">
        <v>118</v>
      </c>
      <c r="D66" s="495" t="s">
        <v>150</v>
      </c>
      <c r="E66" s="495" t="s">
        <v>863</v>
      </c>
      <c r="F66" s="495"/>
      <c r="G66" s="493">
        <f>G67+G70+G75+G80</f>
        <v>3670.3</v>
      </c>
      <c r="H66" s="501"/>
      <c r="I66" s="526"/>
      <c r="J66" s="501"/>
    </row>
    <row r="67" spans="1:11" s="204" customFormat="1" ht="35.450000000000003" hidden="1" customHeight="1" x14ac:dyDescent="0.25">
      <c r="A67" s="496" t="s">
        <v>779</v>
      </c>
      <c r="B67" s="490">
        <v>902</v>
      </c>
      <c r="C67" s="492" t="s">
        <v>118</v>
      </c>
      <c r="D67" s="492" t="s">
        <v>150</v>
      </c>
      <c r="E67" s="492" t="s">
        <v>919</v>
      </c>
      <c r="F67" s="495"/>
      <c r="G67" s="497">
        <f>G68</f>
        <v>0</v>
      </c>
      <c r="H67" s="501"/>
      <c r="I67" s="526"/>
      <c r="J67" s="501"/>
    </row>
    <row r="68" spans="1:11" s="204" customFormat="1" ht="31.5" hidden="1" x14ac:dyDescent="0.25">
      <c r="A68" s="496" t="s">
        <v>131</v>
      </c>
      <c r="B68" s="490">
        <v>902</v>
      </c>
      <c r="C68" s="492" t="s">
        <v>118</v>
      </c>
      <c r="D68" s="492" t="s">
        <v>150</v>
      </c>
      <c r="E68" s="492" t="s">
        <v>919</v>
      </c>
      <c r="F68" s="492" t="s">
        <v>132</v>
      </c>
      <c r="G68" s="497">
        <f>G69</f>
        <v>0</v>
      </c>
      <c r="H68" s="501"/>
      <c r="I68" s="526"/>
      <c r="J68" s="501"/>
    </row>
    <row r="69" spans="1:11" s="204" customFormat="1" ht="31.5" hidden="1" x14ac:dyDescent="0.25">
      <c r="A69" s="496" t="s">
        <v>133</v>
      </c>
      <c r="B69" s="490">
        <v>902</v>
      </c>
      <c r="C69" s="492" t="s">
        <v>118</v>
      </c>
      <c r="D69" s="492" t="s">
        <v>150</v>
      </c>
      <c r="E69" s="492" t="s">
        <v>919</v>
      </c>
      <c r="F69" s="492" t="s">
        <v>134</v>
      </c>
      <c r="G69" s="497">
        <v>0</v>
      </c>
      <c r="H69" s="501"/>
      <c r="I69" s="526"/>
      <c r="J69" s="501"/>
    </row>
    <row r="70" spans="1:11" s="204" customFormat="1" ht="47.25" x14ac:dyDescent="0.25">
      <c r="A70" s="31" t="s">
        <v>189</v>
      </c>
      <c r="B70" s="490">
        <v>902</v>
      </c>
      <c r="C70" s="492" t="s">
        <v>118</v>
      </c>
      <c r="D70" s="492" t="s">
        <v>150</v>
      </c>
      <c r="E70" s="492" t="s">
        <v>920</v>
      </c>
      <c r="F70" s="492"/>
      <c r="G70" s="497">
        <f>G71+G73</f>
        <v>671</v>
      </c>
      <c r="H70" s="501"/>
      <c r="I70" s="526"/>
      <c r="J70" s="501"/>
    </row>
    <row r="71" spans="1:11" s="204" customFormat="1" ht="63" x14ac:dyDescent="0.25">
      <c r="A71" s="579" t="s">
        <v>127</v>
      </c>
      <c r="B71" s="490">
        <v>902</v>
      </c>
      <c r="C71" s="492" t="s">
        <v>118</v>
      </c>
      <c r="D71" s="492" t="s">
        <v>150</v>
      </c>
      <c r="E71" s="492" t="s">
        <v>920</v>
      </c>
      <c r="F71" s="492" t="s">
        <v>128</v>
      </c>
      <c r="G71" s="497">
        <f>G72</f>
        <v>671</v>
      </c>
      <c r="H71" s="501"/>
      <c r="I71" s="526"/>
      <c r="J71" s="501"/>
    </row>
    <row r="72" spans="1:11" s="204" customFormat="1" ht="31.5" x14ac:dyDescent="0.25">
      <c r="A72" s="579" t="s">
        <v>129</v>
      </c>
      <c r="B72" s="490">
        <v>902</v>
      </c>
      <c r="C72" s="492" t="s">
        <v>118</v>
      </c>
      <c r="D72" s="492" t="s">
        <v>150</v>
      </c>
      <c r="E72" s="492" t="s">
        <v>920</v>
      </c>
      <c r="F72" s="492" t="s">
        <v>130</v>
      </c>
      <c r="G72" s="497">
        <v>671</v>
      </c>
      <c r="H72" s="501"/>
      <c r="I72" s="526"/>
      <c r="J72" s="501"/>
    </row>
    <row r="73" spans="1:11" s="204" customFormat="1" ht="31.5" hidden="1" x14ac:dyDescent="0.25">
      <c r="A73" s="496" t="s">
        <v>131</v>
      </c>
      <c r="B73" s="490">
        <v>902</v>
      </c>
      <c r="C73" s="492" t="s">
        <v>118</v>
      </c>
      <c r="D73" s="492" t="s">
        <v>150</v>
      </c>
      <c r="E73" s="492" t="s">
        <v>920</v>
      </c>
      <c r="F73" s="492" t="s">
        <v>132</v>
      </c>
      <c r="G73" s="497">
        <f>G74</f>
        <v>0</v>
      </c>
      <c r="H73" s="501"/>
      <c r="I73" s="526"/>
      <c r="J73" s="501"/>
    </row>
    <row r="74" spans="1:11" s="204" customFormat="1" ht="31.5" hidden="1" x14ac:dyDescent="0.25">
      <c r="A74" s="496" t="s">
        <v>133</v>
      </c>
      <c r="B74" s="490">
        <v>902</v>
      </c>
      <c r="C74" s="492" t="s">
        <v>118</v>
      </c>
      <c r="D74" s="492" t="s">
        <v>150</v>
      </c>
      <c r="E74" s="492" t="s">
        <v>920</v>
      </c>
      <c r="F74" s="492" t="s">
        <v>134</v>
      </c>
      <c r="G74" s="497">
        <v>0</v>
      </c>
      <c r="H74" s="501"/>
      <c r="I74" s="526"/>
      <c r="J74" s="501"/>
    </row>
    <row r="75" spans="1:11" s="204" customFormat="1" ht="31.5" x14ac:dyDescent="0.25">
      <c r="A75" s="31" t="s">
        <v>196</v>
      </c>
      <c r="B75" s="490">
        <v>902</v>
      </c>
      <c r="C75" s="492" t="s">
        <v>118</v>
      </c>
      <c r="D75" s="492" t="s">
        <v>150</v>
      </c>
      <c r="E75" s="492" t="s">
        <v>921</v>
      </c>
      <c r="F75" s="492"/>
      <c r="G75" s="497">
        <f>G76+G78</f>
        <v>1420.8</v>
      </c>
      <c r="H75" s="501"/>
      <c r="I75" s="526"/>
      <c r="J75" s="501"/>
    </row>
    <row r="76" spans="1:11" s="204" customFormat="1" ht="63" x14ac:dyDescent="0.25">
      <c r="A76" s="579" t="s">
        <v>127</v>
      </c>
      <c r="B76" s="490">
        <v>902</v>
      </c>
      <c r="C76" s="492" t="s">
        <v>118</v>
      </c>
      <c r="D76" s="492" t="s">
        <v>150</v>
      </c>
      <c r="E76" s="492" t="s">
        <v>921</v>
      </c>
      <c r="F76" s="492" t="s">
        <v>128</v>
      </c>
      <c r="G76" s="497">
        <f>G77</f>
        <v>1340.5</v>
      </c>
      <c r="H76" s="501"/>
      <c r="I76" s="526"/>
      <c r="J76" s="501"/>
    </row>
    <row r="77" spans="1:11" s="204" customFormat="1" ht="31.5" x14ac:dyDescent="0.25">
      <c r="A77" s="579" t="s">
        <v>129</v>
      </c>
      <c r="B77" s="490">
        <v>902</v>
      </c>
      <c r="C77" s="492" t="s">
        <v>118</v>
      </c>
      <c r="D77" s="492" t="s">
        <v>150</v>
      </c>
      <c r="E77" s="492" t="s">
        <v>921</v>
      </c>
      <c r="F77" s="492" t="s">
        <v>130</v>
      </c>
      <c r="G77" s="712">
        <v>1340.5</v>
      </c>
      <c r="H77" s="501"/>
      <c r="I77" s="526"/>
      <c r="J77" s="501"/>
    </row>
    <row r="78" spans="1:11" s="204" customFormat="1" ht="31.5" x14ac:dyDescent="0.25">
      <c r="A78" s="579" t="s">
        <v>198</v>
      </c>
      <c r="B78" s="490">
        <v>902</v>
      </c>
      <c r="C78" s="492" t="s">
        <v>118</v>
      </c>
      <c r="D78" s="492" t="s">
        <v>150</v>
      </c>
      <c r="E78" s="492" t="s">
        <v>921</v>
      </c>
      <c r="F78" s="492" t="s">
        <v>132</v>
      </c>
      <c r="G78" s="497">
        <f>G79</f>
        <v>80.3</v>
      </c>
      <c r="H78" s="501"/>
      <c r="I78" s="526"/>
      <c r="J78" s="501"/>
    </row>
    <row r="79" spans="1:11" s="204" customFormat="1" ht="31.5" x14ac:dyDescent="0.25">
      <c r="A79" s="579" t="s">
        <v>133</v>
      </c>
      <c r="B79" s="490">
        <v>902</v>
      </c>
      <c r="C79" s="492" t="s">
        <v>118</v>
      </c>
      <c r="D79" s="492" t="s">
        <v>150</v>
      </c>
      <c r="E79" s="492" t="s">
        <v>921</v>
      </c>
      <c r="F79" s="492" t="s">
        <v>134</v>
      </c>
      <c r="G79" s="712">
        <v>80.3</v>
      </c>
      <c r="H79" s="501"/>
      <c r="I79" s="526"/>
      <c r="J79" s="501"/>
    </row>
    <row r="80" spans="1:11" s="578" customFormat="1" ht="31.5" x14ac:dyDescent="0.25">
      <c r="A80" s="579" t="s">
        <v>1766</v>
      </c>
      <c r="B80" s="490">
        <v>902</v>
      </c>
      <c r="C80" s="580" t="s">
        <v>118</v>
      </c>
      <c r="D80" s="580" t="s">
        <v>150</v>
      </c>
      <c r="E80" s="580" t="s">
        <v>1777</v>
      </c>
      <c r="F80" s="580"/>
      <c r="G80" s="497">
        <f>G81+G83</f>
        <v>1578.5</v>
      </c>
      <c r="H80" s="501"/>
      <c r="I80" s="526"/>
      <c r="J80" s="501"/>
    </row>
    <row r="81" spans="1:10" s="578" customFormat="1" ht="63" x14ac:dyDescent="0.25">
      <c r="A81" s="579" t="s">
        <v>127</v>
      </c>
      <c r="B81" s="490">
        <v>902</v>
      </c>
      <c r="C81" s="580" t="s">
        <v>118</v>
      </c>
      <c r="D81" s="580" t="s">
        <v>150</v>
      </c>
      <c r="E81" s="580" t="s">
        <v>1777</v>
      </c>
      <c r="F81" s="580" t="s">
        <v>128</v>
      </c>
      <c r="G81" s="497">
        <f>G82</f>
        <v>1504.1</v>
      </c>
      <c r="H81" s="501"/>
      <c r="I81" s="526"/>
      <c r="J81" s="501"/>
    </row>
    <row r="82" spans="1:10" s="578" customFormat="1" ht="31.5" x14ac:dyDescent="0.25">
      <c r="A82" s="579" t="s">
        <v>129</v>
      </c>
      <c r="B82" s="490">
        <v>902</v>
      </c>
      <c r="C82" s="580" t="s">
        <v>118</v>
      </c>
      <c r="D82" s="580" t="s">
        <v>150</v>
      </c>
      <c r="E82" s="580" t="s">
        <v>1777</v>
      </c>
      <c r="F82" s="580" t="s">
        <v>130</v>
      </c>
      <c r="G82" s="712">
        <v>1504.1</v>
      </c>
      <c r="H82" s="501"/>
      <c r="I82" s="526"/>
      <c r="J82" s="501"/>
    </row>
    <row r="83" spans="1:10" s="578" customFormat="1" ht="31.5" x14ac:dyDescent="0.25">
      <c r="A83" s="579" t="s">
        <v>131</v>
      </c>
      <c r="B83" s="490">
        <v>902</v>
      </c>
      <c r="C83" s="580" t="s">
        <v>118</v>
      </c>
      <c r="D83" s="580" t="s">
        <v>150</v>
      </c>
      <c r="E83" s="580" t="s">
        <v>1777</v>
      </c>
      <c r="F83" s="580" t="s">
        <v>132</v>
      </c>
      <c r="G83" s="497">
        <f>G84</f>
        <v>74.400000000000006</v>
      </c>
      <c r="H83" s="501"/>
      <c r="I83" s="526"/>
      <c r="J83" s="501"/>
    </row>
    <row r="84" spans="1:10" s="578" customFormat="1" ht="31.5" x14ac:dyDescent="0.25">
      <c r="A84" s="579" t="s">
        <v>133</v>
      </c>
      <c r="B84" s="490">
        <v>902</v>
      </c>
      <c r="C84" s="580" t="s">
        <v>118</v>
      </c>
      <c r="D84" s="580" t="s">
        <v>150</v>
      </c>
      <c r="E84" s="580" t="s">
        <v>1777</v>
      </c>
      <c r="F84" s="580" t="s">
        <v>134</v>
      </c>
      <c r="G84" s="712">
        <v>74.400000000000006</v>
      </c>
      <c r="H84" s="501"/>
      <c r="I84" s="526"/>
      <c r="J84" s="501"/>
    </row>
    <row r="85" spans="1:10" s="204" customFormat="1" ht="31.5" x14ac:dyDescent="0.25">
      <c r="A85" s="494" t="s">
        <v>1338</v>
      </c>
      <c r="B85" s="491">
        <v>902</v>
      </c>
      <c r="C85" s="495" t="s">
        <v>118</v>
      </c>
      <c r="D85" s="495" t="s">
        <v>150</v>
      </c>
      <c r="E85" s="495" t="s">
        <v>162</v>
      </c>
      <c r="F85" s="495"/>
      <c r="G85" s="493">
        <f>G86+G90+G99</f>
        <v>603.5</v>
      </c>
      <c r="H85" s="501"/>
      <c r="I85" s="526"/>
      <c r="J85" s="501"/>
    </row>
    <row r="86" spans="1:10" s="204" customFormat="1" ht="63" x14ac:dyDescent="0.25">
      <c r="A86" s="305" t="s">
        <v>1339</v>
      </c>
      <c r="B86" s="491">
        <v>902</v>
      </c>
      <c r="C86" s="495" t="s">
        <v>118</v>
      </c>
      <c r="D86" s="495" t="s">
        <v>150</v>
      </c>
      <c r="E86" s="7" t="s">
        <v>849</v>
      </c>
      <c r="F86" s="495"/>
      <c r="G86" s="493">
        <f t="shared" ref="G86:G88" si="2">G87</f>
        <v>526</v>
      </c>
      <c r="H86" s="501"/>
      <c r="I86" s="526"/>
      <c r="J86" s="501"/>
    </row>
    <row r="87" spans="1:10" s="204" customFormat="1" ht="47.25" x14ac:dyDescent="0.25">
      <c r="A87" s="29" t="s">
        <v>1308</v>
      </c>
      <c r="B87" s="490">
        <v>902</v>
      </c>
      <c r="C87" s="492" t="s">
        <v>118</v>
      </c>
      <c r="D87" s="492" t="s">
        <v>150</v>
      </c>
      <c r="E87" s="499" t="s">
        <v>841</v>
      </c>
      <c r="F87" s="492"/>
      <c r="G87" s="497">
        <f t="shared" si="2"/>
        <v>526</v>
      </c>
      <c r="H87" s="501"/>
      <c r="I87" s="526"/>
      <c r="J87" s="501"/>
    </row>
    <row r="88" spans="1:10" s="204" customFormat="1" ht="31.5" x14ac:dyDescent="0.25">
      <c r="A88" s="579" t="s">
        <v>131</v>
      </c>
      <c r="B88" s="490">
        <v>902</v>
      </c>
      <c r="C88" s="492" t="s">
        <v>118</v>
      </c>
      <c r="D88" s="492" t="s">
        <v>150</v>
      </c>
      <c r="E88" s="499" t="s">
        <v>841</v>
      </c>
      <c r="F88" s="492" t="s">
        <v>132</v>
      </c>
      <c r="G88" s="497">
        <f t="shared" si="2"/>
        <v>526</v>
      </c>
      <c r="H88" s="501"/>
      <c r="I88" s="526"/>
      <c r="J88" s="501"/>
    </row>
    <row r="89" spans="1:10" s="204" customFormat="1" ht="31.5" x14ac:dyDescent="0.25">
      <c r="A89" s="579" t="s">
        <v>133</v>
      </c>
      <c r="B89" s="490">
        <v>902</v>
      </c>
      <c r="C89" s="492" t="s">
        <v>118</v>
      </c>
      <c r="D89" s="492" t="s">
        <v>150</v>
      </c>
      <c r="E89" s="499" t="s">
        <v>841</v>
      </c>
      <c r="F89" s="492" t="s">
        <v>134</v>
      </c>
      <c r="G89" s="497">
        <v>526</v>
      </c>
      <c r="H89" s="501"/>
      <c r="I89" s="526"/>
      <c r="J89" s="501"/>
    </row>
    <row r="90" spans="1:10" s="204" customFormat="1" ht="69.75" customHeight="1" x14ac:dyDescent="0.25">
      <c r="A90" s="216" t="s">
        <v>1340</v>
      </c>
      <c r="B90" s="277">
        <v>902</v>
      </c>
      <c r="C90" s="495" t="s">
        <v>118</v>
      </c>
      <c r="D90" s="495" t="s">
        <v>150</v>
      </c>
      <c r="E90" s="7" t="s">
        <v>850</v>
      </c>
      <c r="F90" s="495"/>
      <c r="G90" s="493">
        <f>G91+G96</f>
        <v>77</v>
      </c>
      <c r="H90" s="501"/>
      <c r="I90" s="526"/>
      <c r="J90" s="501"/>
    </row>
    <row r="91" spans="1:10" s="204" customFormat="1" ht="47.25" x14ac:dyDescent="0.25">
      <c r="A91" s="174" t="s">
        <v>165</v>
      </c>
      <c r="B91" s="490">
        <v>902</v>
      </c>
      <c r="C91" s="492" t="s">
        <v>118</v>
      </c>
      <c r="D91" s="492" t="s">
        <v>150</v>
      </c>
      <c r="E91" s="499" t="s">
        <v>842</v>
      </c>
      <c r="F91" s="492"/>
      <c r="G91" s="497">
        <f>G92+G94</f>
        <v>77</v>
      </c>
      <c r="H91" s="501"/>
      <c r="I91" s="526"/>
      <c r="J91" s="501"/>
    </row>
    <row r="92" spans="1:10" s="204" customFormat="1" ht="63" x14ac:dyDescent="0.25">
      <c r="A92" s="579" t="s">
        <v>127</v>
      </c>
      <c r="B92" s="490">
        <v>902</v>
      </c>
      <c r="C92" s="492" t="s">
        <v>118</v>
      </c>
      <c r="D92" s="492" t="s">
        <v>150</v>
      </c>
      <c r="E92" s="499" t="s">
        <v>842</v>
      </c>
      <c r="F92" s="492" t="s">
        <v>128</v>
      </c>
      <c r="G92" s="497">
        <f>G93</f>
        <v>37.200000000000003</v>
      </c>
      <c r="H92" s="501"/>
      <c r="I92" s="526"/>
      <c r="J92" s="501"/>
    </row>
    <row r="93" spans="1:10" s="204" customFormat="1" ht="31.5" x14ac:dyDescent="0.25">
      <c r="A93" s="579" t="s">
        <v>129</v>
      </c>
      <c r="B93" s="490">
        <v>902</v>
      </c>
      <c r="C93" s="492" t="s">
        <v>118</v>
      </c>
      <c r="D93" s="492" t="s">
        <v>150</v>
      </c>
      <c r="E93" s="499" t="s">
        <v>842</v>
      </c>
      <c r="F93" s="492" t="s">
        <v>130</v>
      </c>
      <c r="G93" s="497">
        <v>37.200000000000003</v>
      </c>
      <c r="H93" s="501"/>
      <c r="I93" s="526"/>
      <c r="J93" s="501"/>
    </row>
    <row r="94" spans="1:10" s="204" customFormat="1" ht="31.5" x14ac:dyDescent="0.25">
      <c r="A94" s="579" t="s">
        <v>131</v>
      </c>
      <c r="B94" s="490">
        <v>902</v>
      </c>
      <c r="C94" s="492" t="s">
        <v>118</v>
      </c>
      <c r="D94" s="492" t="s">
        <v>150</v>
      </c>
      <c r="E94" s="499" t="s">
        <v>842</v>
      </c>
      <c r="F94" s="492" t="s">
        <v>132</v>
      </c>
      <c r="G94" s="497">
        <f>G95</f>
        <v>39.799999999999997</v>
      </c>
      <c r="H94" s="501"/>
      <c r="I94" s="526"/>
      <c r="J94" s="501"/>
    </row>
    <row r="95" spans="1:10" s="204" customFormat="1" ht="31.5" x14ac:dyDescent="0.25">
      <c r="A95" s="579" t="s">
        <v>133</v>
      </c>
      <c r="B95" s="490">
        <v>902</v>
      </c>
      <c r="C95" s="492" t="s">
        <v>118</v>
      </c>
      <c r="D95" s="492" t="s">
        <v>150</v>
      </c>
      <c r="E95" s="499" t="s">
        <v>842</v>
      </c>
      <c r="F95" s="492" t="s">
        <v>134</v>
      </c>
      <c r="G95" s="497">
        <v>39.799999999999997</v>
      </c>
      <c r="H95" s="501"/>
      <c r="I95" s="526"/>
      <c r="J95" s="501"/>
    </row>
    <row r="96" spans="1:10" s="204" customFormat="1" ht="47.25" hidden="1" x14ac:dyDescent="0.25">
      <c r="A96" s="31" t="s">
        <v>1094</v>
      </c>
      <c r="B96" s="490">
        <v>902</v>
      </c>
      <c r="C96" s="492" t="s">
        <v>118</v>
      </c>
      <c r="D96" s="492" t="s">
        <v>150</v>
      </c>
      <c r="E96" s="499" t="s">
        <v>993</v>
      </c>
      <c r="F96" s="492"/>
      <c r="G96" s="497">
        <f>G97</f>
        <v>0</v>
      </c>
      <c r="H96" s="501"/>
      <c r="I96" s="526"/>
      <c r="J96" s="501"/>
    </row>
    <row r="97" spans="1:11" s="204" customFormat="1" ht="31.5" hidden="1" x14ac:dyDescent="0.25">
      <c r="A97" s="496" t="s">
        <v>131</v>
      </c>
      <c r="B97" s="490">
        <v>902</v>
      </c>
      <c r="C97" s="492" t="s">
        <v>118</v>
      </c>
      <c r="D97" s="492" t="s">
        <v>150</v>
      </c>
      <c r="E97" s="499" t="s">
        <v>993</v>
      </c>
      <c r="F97" s="492" t="s">
        <v>132</v>
      </c>
      <c r="G97" s="497">
        <f>G98</f>
        <v>0</v>
      </c>
      <c r="H97" s="501"/>
      <c r="I97" s="526"/>
      <c r="J97" s="501"/>
    </row>
    <row r="98" spans="1:11" s="204" customFormat="1" ht="31.5" hidden="1" x14ac:dyDescent="0.25">
      <c r="A98" s="496" t="s">
        <v>133</v>
      </c>
      <c r="B98" s="490">
        <v>902</v>
      </c>
      <c r="C98" s="492" t="s">
        <v>118</v>
      </c>
      <c r="D98" s="492" t="s">
        <v>150</v>
      </c>
      <c r="E98" s="499" t="s">
        <v>696</v>
      </c>
      <c r="F98" s="492" t="s">
        <v>134</v>
      </c>
      <c r="G98" s="497">
        <v>0</v>
      </c>
      <c r="H98" s="501"/>
      <c r="I98" s="526"/>
      <c r="J98" s="501"/>
    </row>
    <row r="99" spans="1:11" s="204" customFormat="1" ht="51" customHeight="1" x14ac:dyDescent="0.25">
      <c r="A99" s="221" t="s">
        <v>1003</v>
      </c>
      <c r="B99" s="491">
        <v>902</v>
      </c>
      <c r="C99" s="495" t="s">
        <v>118</v>
      </c>
      <c r="D99" s="495" t="s">
        <v>150</v>
      </c>
      <c r="E99" s="7" t="s">
        <v>851</v>
      </c>
      <c r="F99" s="495"/>
      <c r="G99" s="493">
        <f>G100</f>
        <v>0.5</v>
      </c>
      <c r="H99" s="501"/>
      <c r="I99" s="526"/>
      <c r="J99" s="501"/>
    </row>
    <row r="100" spans="1:11" s="204" customFormat="1" ht="31.5" x14ac:dyDescent="0.25">
      <c r="A100" s="33" t="s">
        <v>191</v>
      </c>
      <c r="B100" s="490">
        <v>902</v>
      </c>
      <c r="C100" s="492" t="s">
        <v>118</v>
      </c>
      <c r="D100" s="492" t="s">
        <v>150</v>
      </c>
      <c r="E100" s="499" t="s">
        <v>844</v>
      </c>
      <c r="F100" s="492"/>
      <c r="G100" s="497">
        <f>G101</f>
        <v>0.5</v>
      </c>
      <c r="H100" s="501"/>
      <c r="I100" s="526"/>
      <c r="J100" s="501"/>
    </row>
    <row r="101" spans="1:11" s="204" customFormat="1" ht="31.5" x14ac:dyDescent="0.25">
      <c r="A101" s="579" t="s">
        <v>131</v>
      </c>
      <c r="B101" s="490">
        <v>902</v>
      </c>
      <c r="C101" s="492" t="s">
        <v>118</v>
      </c>
      <c r="D101" s="492" t="s">
        <v>150</v>
      </c>
      <c r="E101" s="499" t="s">
        <v>844</v>
      </c>
      <c r="F101" s="492" t="s">
        <v>132</v>
      </c>
      <c r="G101" s="497">
        <f>G102</f>
        <v>0.5</v>
      </c>
      <c r="H101" s="501"/>
      <c r="I101" s="526"/>
      <c r="J101" s="501"/>
    </row>
    <row r="102" spans="1:11" s="204" customFormat="1" ht="31.5" x14ac:dyDescent="0.25">
      <c r="A102" s="579" t="s">
        <v>133</v>
      </c>
      <c r="B102" s="490">
        <v>902</v>
      </c>
      <c r="C102" s="492" t="s">
        <v>118</v>
      </c>
      <c r="D102" s="492" t="s">
        <v>150</v>
      </c>
      <c r="E102" s="499" t="s">
        <v>844</v>
      </c>
      <c r="F102" s="492" t="s">
        <v>134</v>
      </c>
      <c r="G102" s="497">
        <v>0.5</v>
      </c>
      <c r="H102" s="501"/>
      <c r="I102" s="526"/>
      <c r="J102" s="501"/>
    </row>
    <row r="103" spans="1:11" ht="47.25" x14ac:dyDescent="0.25">
      <c r="A103" s="494" t="s">
        <v>119</v>
      </c>
      <c r="B103" s="491">
        <v>902</v>
      </c>
      <c r="C103" s="495" t="s">
        <v>118</v>
      </c>
      <c r="D103" s="495" t="s">
        <v>120</v>
      </c>
      <c r="E103" s="495"/>
      <c r="F103" s="492"/>
      <c r="G103" s="493">
        <f>G104</f>
        <v>1352</v>
      </c>
      <c r="H103" s="501"/>
      <c r="I103" s="526"/>
      <c r="J103" s="501"/>
      <c r="K103" s="204"/>
    </row>
    <row r="104" spans="1:11" ht="39.200000000000003" customHeight="1" x14ac:dyDescent="0.25">
      <c r="A104" s="494" t="s">
        <v>917</v>
      </c>
      <c r="B104" s="491">
        <v>902</v>
      </c>
      <c r="C104" s="495" t="s">
        <v>118</v>
      </c>
      <c r="D104" s="495" t="s">
        <v>120</v>
      </c>
      <c r="E104" s="495" t="s">
        <v>858</v>
      </c>
      <c r="F104" s="495"/>
      <c r="G104" s="493">
        <f>G105</f>
        <v>1352</v>
      </c>
      <c r="H104" s="501"/>
      <c r="I104" s="526"/>
      <c r="J104" s="501"/>
      <c r="K104" s="204"/>
    </row>
    <row r="105" spans="1:11" ht="15.75" x14ac:dyDescent="0.25">
      <c r="A105" s="494" t="s">
        <v>918</v>
      </c>
      <c r="B105" s="491">
        <v>902</v>
      </c>
      <c r="C105" s="495" t="s">
        <v>118</v>
      </c>
      <c r="D105" s="495" t="s">
        <v>120</v>
      </c>
      <c r="E105" s="495" t="s">
        <v>859</v>
      </c>
      <c r="F105" s="495"/>
      <c r="G105" s="493">
        <f>G106+G109</f>
        <v>1352</v>
      </c>
      <c r="H105" s="501"/>
      <c r="I105" s="526"/>
      <c r="J105" s="501"/>
      <c r="K105" s="204"/>
    </row>
    <row r="106" spans="1:11" ht="31.5" x14ac:dyDescent="0.25">
      <c r="A106" s="579" t="s">
        <v>897</v>
      </c>
      <c r="B106" s="490">
        <v>902</v>
      </c>
      <c r="C106" s="492" t="s">
        <v>118</v>
      </c>
      <c r="D106" s="492" t="s">
        <v>120</v>
      </c>
      <c r="E106" s="492" t="s">
        <v>860</v>
      </c>
      <c r="F106" s="492"/>
      <c r="G106" s="497">
        <f>G107</f>
        <v>1352</v>
      </c>
      <c r="H106" s="501"/>
      <c r="I106" s="526"/>
      <c r="J106" s="501"/>
      <c r="K106" s="204"/>
    </row>
    <row r="107" spans="1:11" ht="63" x14ac:dyDescent="0.25">
      <c r="A107" s="579" t="s">
        <v>127</v>
      </c>
      <c r="B107" s="490">
        <v>902</v>
      </c>
      <c r="C107" s="492" t="s">
        <v>118</v>
      </c>
      <c r="D107" s="492" t="s">
        <v>120</v>
      </c>
      <c r="E107" s="492" t="s">
        <v>860</v>
      </c>
      <c r="F107" s="492" t="s">
        <v>128</v>
      </c>
      <c r="G107" s="497">
        <f>G108</f>
        <v>1352</v>
      </c>
      <c r="H107" s="501"/>
      <c r="I107" s="526"/>
      <c r="J107" s="501"/>
      <c r="K107" s="204"/>
    </row>
    <row r="108" spans="1:11" ht="31.5" x14ac:dyDescent="0.25">
      <c r="A108" s="579" t="s">
        <v>129</v>
      </c>
      <c r="B108" s="490">
        <v>902</v>
      </c>
      <c r="C108" s="492" t="s">
        <v>118</v>
      </c>
      <c r="D108" s="492" t="s">
        <v>120</v>
      </c>
      <c r="E108" s="492" t="s">
        <v>860</v>
      </c>
      <c r="F108" s="492" t="s">
        <v>130</v>
      </c>
      <c r="G108" s="27">
        <v>1352</v>
      </c>
      <c r="H108" s="501"/>
      <c r="I108" s="526"/>
      <c r="J108" s="501"/>
      <c r="K108" s="204"/>
    </row>
    <row r="109" spans="1:11" ht="31.7" hidden="1" customHeight="1" x14ac:dyDescent="0.25">
      <c r="A109" s="496" t="s">
        <v>839</v>
      </c>
      <c r="B109" s="490">
        <v>902</v>
      </c>
      <c r="C109" s="492" t="s">
        <v>118</v>
      </c>
      <c r="D109" s="492" t="s">
        <v>120</v>
      </c>
      <c r="E109" s="492" t="s">
        <v>862</v>
      </c>
      <c r="F109" s="492"/>
      <c r="G109" s="497">
        <f>G110</f>
        <v>0</v>
      </c>
      <c r="H109" s="501"/>
      <c r="I109" s="526"/>
      <c r="J109" s="501"/>
      <c r="K109" s="204"/>
    </row>
    <row r="110" spans="1:11" s="204" customFormat="1" ht="31.7" hidden="1" customHeight="1" x14ac:dyDescent="0.25">
      <c r="A110" s="496" t="s">
        <v>127</v>
      </c>
      <c r="B110" s="490">
        <v>902</v>
      </c>
      <c r="C110" s="492" t="s">
        <v>118</v>
      </c>
      <c r="D110" s="492" t="s">
        <v>120</v>
      </c>
      <c r="E110" s="492" t="s">
        <v>862</v>
      </c>
      <c r="F110" s="492" t="s">
        <v>128</v>
      </c>
      <c r="G110" s="497">
        <f>G111</f>
        <v>0</v>
      </c>
      <c r="H110" s="501"/>
      <c r="I110" s="526"/>
      <c r="J110" s="501"/>
    </row>
    <row r="111" spans="1:11" ht="34.5" hidden="1" customHeight="1" x14ac:dyDescent="0.25">
      <c r="A111" s="496" t="s">
        <v>129</v>
      </c>
      <c r="B111" s="490">
        <v>902</v>
      </c>
      <c r="C111" s="492" t="s">
        <v>118</v>
      </c>
      <c r="D111" s="492" t="s">
        <v>120</v>
      </c>
      <c r="E111" s="492" t="s">
        <v>862</v>
      </c>
      <c r="F111" s="492" t="s">
        <v>130</v>
      </c>
      <c r="G111" s="497"/>
      <c r="H111" s="501"/>
      <c r="I111" s="526"/>
      <c r="J111" s="501"/>
      <c r="K111" s="204"/>
    </row>
    <row r="112" spans="1:11" s="204" customFormat="1" ht="17.45" hidden="1" customHeight="1" x14ac:dyDescent="0.25">
      <c r="A112" s="494" t="s">
        <v>1147</v>
      </c>
      <c r="B112" s="491">
        <v>902</v>
      </c>
      <c r="C112" s="495" t="s">
        <v>118</v>
      </c>
      <c r="D112" s="495" t="s">
        <v>264</v>
      </c>
      <c r="E112" s="495"/>
      <c r="F112" s="492"/>
      <c r="G112" s="493">
        <f t="shared" ref="G112:G114" si="3">G113</f>
        <v>0</v>
      </c>
      <c r="H112" s="501"/>
      <c r="I112" s="526"/>
      <c r="J112" s="501"/>
    </row>
    <row r="113" spans="1:11" s="204" customFormat="1" ht="21.75" hidden="1" customHeight="1" x14ac:dyDescent="0.25">
      <c r="A113" s="494" t="s">
        <v>141</v>
      </c>
      <c r="B113" s="491">
        <v>902</v>
      </c>
      <c r="C113" s="495" t="s">
        <v>118</v>
      </c>
      <c r="D113" s="495" t="s">
        <v>264</v>
      </c>
      <c r="E113" s="495" t="s">
        <v>866</v>
      </c>
      <c r="F113" s="492"/>
      <c r="G113" s="493">
        <f t="shared" si="3"/>
        <v>0</v>
      </c>
      <c r="H113" s="501"/>
      <c r="I113" s="526"/>
      <c r="J113" s="501"/>
    </row>
    <row r="114" spans="1:11" s="204" customFormat="1" ht="34.5" hidden="1" customHeight="1" x14ac:dyDescent="0.25">
      <c r="A114" s="494" t="s">
        <v>870</v>
      </c>
      <c r="B114" s="491">
        <v>902</v>
      </c>
      <c r="C114" s="495" t="s">
        <v>118</v>
      </c>
      <c r="D114" s="495" t="s">
        <v>264</v>
      </c>
      <c r="E114" s="495" t="s">
        <v>865</v>
      </c>
      <c r="F114" s="492"/>
      <c r="G114" s="493">
        <f t="shared" si="3"/>
        <v>0</v>
      </c>
      <c r="H114" s="501"/>
      <c r="I114" s="526"/>
      <c r="J114" s="501"/>
    </row>
    <row r="115" spans="1:11" s="204" customFormat="1" ht="18" hidden="1" customHeight="1" x14ac:dyDescent="0.25">
      <c r="A115" s="45" t="s">
        <v>199</v>
      </c>
      <c r="B115" s="490">
        <v>902</v>
      </c>
      <c r="C115" s="492" t="s">
        <v>118</v>
      </c>
      <c r="D115" s="492" t="s">
        <v>264</v>
      </c>
      <c r="E115" s="492" t="s">
        <v>1146</v>
      </c>
      <c r="F115" s="492"/>
      <c r="G115" s="497">
        <f>G116+G118</f>
        <v>0</v>
      </c>
      <c r="H115" s="501"/>
      <c r="I115" s="526"/>
      <c r="J115" s="501"/>
    </row>
    <row r="116" spans="1:11" s="204" customFormat="1" ht="69.75" hidden="1" customHeight="1" x14ac:dyDescent="0.25">
      <c r="A116" s="496" t="s">
        <v>127</v>
      </c>
      <c r="B116" s="490">
        <v>902</v>
      </c>
      <c r="C116" s="492" t="s">
        <v>118</v>
      </c>
      <c r="D116" s="492" t="s">
        <v>264</v>
      </c>
      <c r="E116" s="492" t="s">
        <v>1146</v>
      </c>
      <c r="F116" s="492" t="s">
        <v>128</v>
      </c>
      <c r="G116" s="497">
        <f>G117</f>
        <v>0</v>
      </c>
      <c r="H116" s="501"/>
      <c r="I116" s="526"/>
      <c r="J116" s="501"/>
    </row>
    <row r="117" spans="1:11" s="204" customFormat="1" ht="34.5" hidden="1" customHeight="1" x14ac:dyDescent="0.25">
      <c r="A117" s="496" t="s">
        <v>129</v>
      </c>
      <c r="B117" s="490">
        <v>902</v>
      </c>
      <c r="C117" s="492" t="s">
        <v>118</v>
      </c>
      <c r="D117" s="492" t="s">
        <v>264</v>
      </c>
      <c r="E117" s="492" t="s">
        <v>1146</v>
      </c>
      <c r="F117" s="492" t="s">
        <v>130</v>
      </c>
      <c r="G117" s="497">
        <v>0</v>
      </c>
      <c r="H117" s="501"/>
      <c r="I117" s="526"/>
      <c r="J117" s="501"/>
    </row>
    <row r="118" spans="1:11" s="204" customFormat="1" ht="34.5" hidden="1" customHeight="1" x14ac:dyDescent="0.25">
      <c r="A118" s="496" t="s">
        <v>198</v>
      </c>
      <c r="B118" s="490">
        <v>902</v>
      </c>
      <c r="C118" s="492" t="s">
        <v>118</v>
      </c>
      <c r="D118" s="492" t="s">
        <v>264</v>
      </c>
      <c r="E118" s="492" t="s">
        <v>1146</v>
      </c>
      <c r="F118" s="492" t="s">
        <v>132</v>
      </c>
      <c r="G118" s="497">
        <f>G119</f>
        <v>0</v>
      </c>
      <c r="H118" s="501"/>
      <c r="I118" s="526"/>
      <c r="J118" s="501"/>
    </row>
    <row r="119" spans="1:11" s="204" customFormat="1" ht="34.5" hidden="1" customHeight="1" x14ac:dyDescent="0.25">
      <c r="A119" s="496" t="s">
        <v>133</v>
      </c>
      <c r="B119" s="490">
        <v>902</v>
      </c>
      <c r="C119" s="492" t="s">
        <v>118</v>
      </c>
      <c r="D119" s="492" t="s">
        <v>264</v>
      </c>
      <c r="E119" s="492" t="s">
        <v>1146</v>
      </c>
      <c r="F119" s="492" t="s">
        <v>134</v>
      </c>
      <c r="G119" s="497">
        <v>0</v>
      </c>
      <c r="H119" s="501"/>
      <c r="I119" s="526"/>
      <c r="J119" s="501"/>
    </row>
    <row r="120" spans="1:11" ht="15.75" x14ac:dyDescent="0.25">
      <c r="A120" s="494" t="s">
        <v>139</v>
      </c>
      <c r="B120" s="491">
        <v>902</v>
      </c>
      <c r="C120" s="495" t="s">
        <v>118</v>
      </c>
      <c r="D120" s="495" t="s">
        <v>140</v>
      </c>
      <c r="E120" s="495"/>
      <c r="F120" s="495"/>
      <c r="G120" s="493">
        <f>G139+G148+G121+G153+G135</f>
        <v>6215.7</v>
      </c>
      <c r="H120" s="113"/>
      <c r="I120" s="526"/>
      <c r="J120" s="501"/>
      <c r="K120" s="204"/>
    </row>
    <row r="121" spans="1:11" s="204" customFormat="1" ht="19.5" customHeight="1" x14ac:dyDescent="0.25">
      <c r="A121" s="494" t="s">
        <v>141</v>
      </c>
      <c r="B121" s="491">
        <v>902</v>
      </c>
      <c r="C121" s="495" t="s">
        <v>118</v>
      </c>
      <c r="D121" s="495" t="s">
        <v>140</v>
      </c>
      <c r="E121" s="495" t="s">
        <v>866</v>
      </c>
      <c r="F121" s="495"/>
      <c r="G121" s="493">
        <f>G126+G122</f>
        <v>6026.7</v>
      </c>
      <c r="H121" s="501"/>
      <c r="I121" s="526"/>
      <c r="J121" s="501"/>
    </row>
    <row r="122" spans="1:11" s="204" customFormat="1" ht="30.6" hidden="1" customHeight="1" x14ac:dyDescent="0.25">
      <c r="A122" s="494" t="s">
        <v>870</v>
      </c>
      <c r="B122" s="491">
        <v>902</v>
      </c>
      <c r="C122" s="495" t="s">
        <v>118</v>
      </c>
      <c r="D122" s="495" t="s">
        <v>140</v>
      </c>
      <c r="E122" s="495" t="s">
        <v>865</v>
      </c>
      <c r="F122" s="495"/>
      <c r="G122" s="493">
        <f t="shared" ref="G122:G124" si="4">G123</f>
        <v>0</v>
      </c>
      <c r="H122" s="501"/>
      <c r="I122" s="526"/>
      <c r="J122" s="501"/>
    </row>
    <row r="123" spans="1:11" s="204" customFormat="1" ht="19.5" hidden="1" customHeight="1" x14ac:dyDescent="0.25">
      <c r="A123" s="496" t="s">
        <v>199</v>
      </c>
      <c r="B123" s="490">
        <v>902</v>
      </c>
      <c r="C123" s="492" t="s">
        <v>118</v>
      </c>
      <c r="D123" s="492" t="s">
        <v>140</v>
      </c>
      <c r="E123" s="492" t="s">
        <v>1146</v>
      </c>
      <c r="F123" s="492"/>
      <c r="G123" s="497">
        <f t="shared" si="4"/>
        <v>0</v>
      </c>
      <c r="H123" s="501"/>
      <c r="I123" s="526"/>
      <c r="J123" s="501"/>
    </row>
    <row r="124" spans="1:11" s="204" customFormat="1" ht="19.5" hidden="1" customHeight="1" x14ac:dyDescent="0.25">
      <c r="A124" s="496" t="s">
        <v>135</v>
      </c>
      <c r="B124" s="490">
        <v>902</v>
      </c>
      <c r="C124" s="492" t="s">
        <v>118</v>
      </c>
      <c r="D124" s="492" t="s">
        <v>140</v>
      </c>
      <c r="E124" s="492" t="s">
        <v>1146</v>
      </c>
      <c r="F124" s="492" t="s">
        <v>145</v>
      </c>
      <c r="G124" s="497">
        <f t="shared" si="4"/>
        <v>0</v>
      </c>
      <c r="H124" s="501"/>
      <c r="I124" s="526"/>
      <c r="J124" s="501"/>
    </row>
    <row r="125" spans="1:11" s="204" customFormat="1" ht="19.5" hidden="1" customHeight="1" x14ac:dyDescent="0.25">
      <c r="A125" s="496" t="s">
        <v>568</v>
      </c>
      <c r="B125" s="490">
        <v>902</v>
      </c>
      <c r="C125" s="492" t="s">
        <v>118</v>
      </c>
      <c r="D125" s="492" t="s">
        <v>140</v>
      </c>
      <c r="E125" s="492" t="s">
        <v>1146</v>
      </c>
      <c r="F125" s="492" t="s">
        <v>138</v>
      </c>
      <c r="G125" s="497"/>
      <c r="H125" s="501"/>
      <c r="I125" s="526"/>
      <c r="J125" s="501"/>
    </row>
    <row r="126" spans="1:11" s="204" customFormat="1" ht="34.5" customHeight="1" x14ac:dyDescent="0.25">
      <c r="A126" s="494" t="s">
        <v>922</v>
      </c>
      <c r="B126" s="491">
        <v>902</v>
      </c>
      <c r="C126" s="495" t="s">
        <v>118</v>
      </c>
      <c r="D126" s="495" t="s">
        <v>140</v>
      </c>
      <c r="E126" s="495" t="s">
        <v>867</v>
      </c>
      <c r="F126" s="495"/>
      <c r="G126" s="493">
        <f>G127+G132</f>
        <v>6026.7</v>
      </c>
      <c r="H126" s="501"/>
      <c r="I126" s="526"/>
      <c r="J126" s="501"/>
    </row>
    <row r="127" spans="1:11" s="204" customFormat="1" ht="21.75" customHeight="1" x14ac:dyDescent="0.25">
      <c r="A127" s="579" t="s">
        <v>928</v>
      </c>
      <c r="B127" s="490">
        <v>902</v>
      </c>
      <c r="C127" s="492" t="s">
        <v>118</v>
      </c>
      <c r="D127" s="492" t="s">
        <v>140</v>
      </c>
      <c r="E127" s="492" t="s">
        <v>868</v>
      </c>
      <c r="F127" s="492"/>
      <c r="G127" s="497">
        <f>G128+G130</f>
        <v>5897.7</v>
      </c>
      <c r="H127" s="501"/>
      <c r="I127" s="526"/>
      <c r="J127" s="501"/>
    </row>
    <row r="128" spans="1:11" s="204" customFormat="1" ht="66.75" customHeight="1" x14ac:dyDescent="0.25">
      <c r="A128" s="579" t="s">
        <v>127</v>
      </c>
      <c r="B128" s="490">
        <v>902</v>
      </c>
      <c r="C128" s="492" t="s">
        <v>118</v>
      </c>
      <c r="D128" s="492" t="s">
        <v>140</v>
      </c>
      <c r="E128" s="492" t="s">
        <v>868</v>
      </c>
      <c r="F128" s="492" t="s">
        <v>128</v>
      </c>
      <c r="G128" s="497">
        <f>G129</f>
        <v>4548.3999999999996</v>
      </c>
      <c r="H128" s="501"/>
      <c r="I128" s="526"/>
      <c r="J128" s="501"/>
    </row>
    <row r="129" spans="1:15" s="204" customFormat="1" ht="31.5" customHeight="1" x14ac:dyDescent="0.25">
      <c r="A129" s="579" t="s">
        <v>129</v>
      </c>
      <c r="B129" s="490">
        <v>902</v>
      </c>
      <c r="C129" s="492" t="s">
        <v>118</v>
      </c>
      <c r="D129" s="492" t="s">
        <v>140</v>
      </c>
      <c r="E129" s="492" t="s">
        <v>868</v>
      </c>
      <c r="F129" s="492" t="s">
        <v>130</v>
      </c>
      <c r="G129" s="27">
        <v>4548.3999999999996</v>
      </c>
      <c r="H129" s="501"/>
      <c r="I129" s="526"/>
      <c r="J129" s="501"/>
    </row>
    <row r="130" spans="1:15" s="204" customFormat="1" ht="39.200000000000003" customHeight="1" x14ac:dyDescent="0.25">
      <c r="A130" s="579" t="s">
        <v>198</v>
      </c>
      <c r="B130" s="490">
        <v>902</v>
      </c>
      <c r="C130" s="492" t="s">
        <v>118</v>
      </c>
      <c r="D130" s="492" t="s">
        <v>140</v>
      </c>
      <c r="E130" s="492" t="s">
        <v>868</v>
      </c>
      <c r="F130" s="492" t="s">
        <v>132</v>
      </c>
      <c r="G130" s="497">
        <f>G131</f>
        <v>1349.3</v>
      </c>
      <c r="H130" s="501"/>
      <c r="I130" s="526"/>
      <c r="J130" s="501"/>
    </row>
    <row r="131" spans="1:15" s="204" customFormat="1" ht="39.200000000000003" customHeight="1" x14ac:dyDescent="0.25">
      <c r="A131" s="579" t="s">
        <v>133</v>
      </c>
      <c r="B131" s="490">
        <v>902</v>
      </c>
      <c r="C131" s="492" t="s">
        <v>118</v>
      </c>
      <c r="D131" s="492" t="s">
        <v>140</v>
      </c>
      <c r="E131" s="492" t="s">
        <v>868</v>
      </c>
      <c r="F131" s="492" t="s">
        <v>134</v>
      </c>
      <c r="G131" s="27">
        <v>1349.3</v>
      </c>
      <c r="H131" s="501"/>
      <c r="I131" s="526"/>
      <c r="J131" s="501"/>
    </row>
    <row r="132" spans="1:15" s="204" customFormat="1" ht="28.5" customHeight="1" x14ac:dyDescent="0.25">
      <c r="A132" s="579" t="s">
        <v>839</v>
      </c>
      <c r="B132" s="490">
        <v>902</v>
      </c>
      <c r="C132" s="492" t="s">
        <v>118</v>
      </c>
      <c r="D132" s="492" t="s">
        <v>140</v>
      </c>
      <c r="E132" s="492" t="s">
        <v>869</v>
      </c>
      <c r="F132" s="492"/>
      <c r="G132" s="497">
        <f>G133</f>
        <v>129</v>
      </c>
      <c r="H132" s="501"/>
      <c r="I132" s="526"/>
      <c r="J132" s="501"/>
    </row>
    <row r="133" spans="1:15" s="204" customFormat="1" ht="63" customHeight="1" x14ac:dyDescent="0.25">
      <c r="A133" s="579" t="s">
        <v>127</v>
      </c>
      <c r="B133" s="490">
        <v>902</v>
      </c>
      <c r="C133" s="492" t="s">
        <v>118</v>
      </c>
      <c r="D133" s="492" t="s">
        <v>140</v>
      </c>
      <c r="E133" s="492" t="s">
        <v>869</v>
      </c>
      <c r="F133" s="492" t="s">
        <v>128</v>
      </c>
      <c r="G133" s="497">
        <f>G134</f>
        <v>129</v>
      </c>
      <c r="H133" s="501"/>
      <c r="I133" s="526"/>
      <c r="J133" s="501"/>
    </row>
    <row r="134" spans="1:15" s="204" customFormat="1" ht="33" customHeight="1" x14ac:dyDescent="0.25">
      <c r="A134" s="579" t="s">
        <v>129</v>
      </c>
      <c r="B134" s="490">
        <v>902</v>
      </c>
      <c r="C134" s="492" t="s">
        <v>118</v>
      </c>
      <c r="D134" s="492" t="s">
        <v>140</v>
      </c>
      <c r="E134" s="492" t="s">
        <v>869</v>
      </c>
      <c r="F134" s="492" t="s">
        <v>130</v>
      </c>
      <c r="G134" s="497">
        <v>129</v>
      </c>
      <c r="H134" s="501"/>
      <c r="I134" s="526"/>
      <c r="J134" s="501"/>
      <c r="K134" s="537"/>
      <c r="M134" s="537"/>
      <c r="O134" s="537"/>
    </row>
    <row r="135" spans="1:15" s="204" customFormat="1" ht="45" customHeight="1" x14ac:dyDescent="0.25">
      <c r="A135" s="494" t="s">
        <v>1357</v>
      </c>
      <c r="B135" s="491">
        <v>902</v>
      </c>
      <c r="C135" s="495" t="s">
        <v>118</v>
      </c>
      <c r="D135" s="495" t="s">
        <v>140</v>
      </c>
      <c r="E135" s="495" t="s">
        <v>324</v>
      </c>
      <c r="F135" s="495"/>
      <c r="G135" s="493">
        <f>G136</f>
        <v>12</v>
      </c>
      <c r="H135" s="501"/>
      <c r="I135" s="526"/>
      <c r="J135" s="501"/>
      <c r="K135" s="537"/>
      <c r="M135" s="537"/>
      <c r="O135" s="537"/>
    </row>
    <row r="136" spans="1:15" s="204" customFormat="1" ht="51" customHeight="1" x14ac:dyDescent="0.25">
      <c r="A136" s="579" t="s">
        <v>1080</v>
      </c>
      <c r="B136" s="490">
        <v>902</v>
      </c>
      <c r="C136" s="492" t="s">
        <v>118</v>
      </c>
      <c r="D136" s="492" t="s">
        <v>140</v>
      </c>
      <c r="E136" s="492" t="s">
        <v>1026</v>
      </c>
      <c r="F136" s="492"/>
      <c r="G136" s="497">
        <f>G137</f>
        <v>12</v>
      </c>
      <c r="H136" s="501"/>
      <c r="I136" s="526"/>
      <c r="J136" s="501"/>
      <c r="K136" s="537"/>
      <c r="M136" s="537"/>
      <c r="O136" s="537"/>
    </row>
    <row r="137" spans="1:15" s="204" customFormat="1" ht="32.450000000000003" customHeight="1" x14ac:dyDescent="0.25">
      <c r="A137" s="579" t="s">
        <v>198</v>
      </c>
      <c r="B137" s="490">
        <v>902</v>
      </c>
      <c r="C137" s="492" t="s">
        <v>118</v>
      </c>
      <c r="D137" s="492" t="s">
        <v>140</v>
      </c>
      <c r="E137" s="492" t="s">
        <v>1026</v>
      </c>
      <c r="F137" s="492" t="s">
        <v>132</v>
      </c>
      <c r="G137" s="497">
        <f>G138</f>
        <v>12</v>
      </c>
      <c r="H137" s="501"/>
      <c r="I137" s="526"/>
      <c r="J137" s="501"/>
      <c r="K137" s="537"/>
      <c r="M137" s="537"/>
      <c r="O137" s="537"/>
    </row>
    <row r="138" spans="1:15" s="204" customFormat="1" ht="33.6" customHeight="1" x14ac:dyDescent="0.25">
      <c r="A138" s="579" t="s">
        <v>133</v>
      </c>
      <c r="B138" s="490">
        <v>902</v>
      </c>
      <c r="C138" s="492" t="s">
        <v>118</v>
      </c>
      <c r="D138" s="492" t="s">
        <v>140</v>
      </c>
      <c r="E138" s="492" t="s">
        <v>1026</v>
      </c>
      <c r="F138" s="492" t="s">
        <v>134</v>
      </c>
      <c r="G138" s="497">
        <v>12</v>
      </c>
      <c r="H138" s="501"/>
      <c r="I138" s="526"/>
      <c r="J138" s="501"/>
      <c r="K138" s="537"/>
      <c r="M138" s="537"/>
      <c r="O138" s="537"/>
    </row>
    <row r="139" spans="1:15" ht="47.25" x14ac:dyDescent="0.25">
      <c r="A139" s="572" t="s">
        <v>1341</v>
      </c>
      <c r="B139" s="491">
        <v>902</v>
      </c>
      <c r="C139" s="495" t="s">
        <v>118</v>
      </c>
      <c r="D139" s="495" t="s">
        <v>140</v>
      </c>
      <c r="E139" s="495" t="s">
        <v>705</v>
      </c>
      <c r="F139" s="504"/>
      <c r="G139" s="493">
        <f>G140+G144</f>
        <v>52</v>
      </c>
      <c r="H139" s="501"/>
      <c r="I139" s="526"/>
      <c r="J139" s="501"/>
      <c r="K139" s="204"/>
    </row>
    <row r="140" spans="1:15" s="204" customFormat="1" ht="47.25" customHeight="1" x14ac:dyDescent="0.25">
      <c r="A140" s="571" t="s">
        <v>846</v>
      </c>
      <c r="B140" s="491">
        <v>902</v>
      </c>
      <c r="C140" s="495" t="s">
        <v>118</v>
      </c>
      <c r="D140" s="495" t="s">
        <v>140</v>
      </c>
      <c r="E140" s="495" t="s">
        <v>852</v>
      </c>
      <c r="F140" s="504"/>
      <c r="G140" s="493">
        <f t="shared" ref="G140:G142" si="5">G141</f>
        <v>37</v>
      </c>
      <c r="H140" s="501"/>
      <c r="I140" s="526"/>
      <c r="J140" s="501"/>
    </row>
    <row r="141" spans="1:15" ht="36.75" customHeight="1" x14ac:dyDescent="0.25">
      <c r="A141" s="98" t="s">
        <v>776</v>
      </c>
      <c r="B141" s="490">
        <v>902</v>
      </c>
      <c r="C141" s="492" t="s">
        <v>118</v>
      </c>
      <c r="D141" s="492" t="s">
        <v>140</v>
      </c>
      <c r="E141" s="492" t="s">
        <v>847</v>
      </c>
      <c r="F141" s="498"/>
      <c r="G141" s="497">
        <f t="shared" si="5"/>
        <v>37</v>
      </c>
      <c r="H141" s="501"/>
      <c r="I141" s="526"/>
      <c r="J141" s="501"/>
      <c r="K141" s="204"/>
    </row>
    <row r="142" spans="1:15" ht="31.5" x14ac:dyDescent="0.25">
      <c r="A142" s="579" t="s">
        <v>131</v>
      </c>
      <c r="B142" s="490">
        <v>902</v>
      </c>
      <c r="C142" s="492" t="s">
        <v>118</v>
      </c>
      <c r="D142" s="492" t="s">
        <v>140</v>
      </c>
      <c r="E142" s="492" t="s">
        <v>847</v>
      </c>
      <c r="F142" s="498" t="s">
        <v>132</v>
      </c>
      <c r="G142" s="497">
        <f t="shared" si="5"/>
        <v>37</v>
      </c>
      <c r="H142" s="501"/>
      <c r="I142" s="526"/>
      <c r="J142" s="501"/>
      <c r="K142" s="204"/>
    </row>
    <row r="143" spans="1:15" ht="31.5" x14ac:dyDescent="0.25">
      <c r="A143" s="579" t="s">
        <v>133</v>
      </c>
      <c r="B143" s="490">
        <v>902</v>
      </c>
      <c r="C143" s="492" t="s">
        <v>118</v>
      </c>
      <c r="D143" s="492" t="s">
        <v>140</v>
      </c>
      <c r="E143" s="492" t="s">
        <v>847</v>
      </c>
      <c r="F143" s="498" t="s">
        <v>134</v>
      </c>
      <c r="G143" s="497">
        <v>37</v>
      </c>
      <c r="H143" s="501"/>
      <c r="I143" s="526"/>
      <c r="J143" s="501"/>
      <c r="K143" s="204"/>
    </row>
    <row r="144" spans="1:15" s="204" customFormat="1" ht="34.5" customHeight="1" x14ac:dyDescent="0.25">
      <c r="A144" s="503" t="s">
        <v>1023</v>
      </c>
      <c r="B144" s="491">
        <v>902</v>
      </c>
      <c r="C144" s="495" t="s">
        <v>118</v>
      </c>
      <c r="D144" s="495" t="s">
        <v>140</v>
      </c>
      <c r="E144" s="495" t="s">
        <v>853</v>
      </c>
      <c r="F144" s="504"/>
      <c r="G144" s="493">
        <f t="shared" ref="G144:G146" si="6">G145</f>
        <v>15</v>
      </c>
      <c r="H144" s="501"/>
      <c r="I144" s="526"/>
      <c r="J144" s="501"/>
    </row>
    <row r="145" spans="1:11" ht="39.200000000000003" customHeight="1" x14ac:dyDescent="0.25">
      <c r="A145" s="98" t="s">
        <v>777</v>
      </c>
      <c r="B145" s="490">
        <v>902</v>
      </c>
      <c r="C145" s="492" t="s">
        <v>118</v>
      </c>
      <c r="D145" s="492" t="s">
        <v>140</v>
      </c>
      <c r="E145" s="492" t="s">
        <v>848</v>
      </c>
      <c r="F145" s="498"/>
      <c r="G145" s="497">
        <f t="shared" si="6"/>
        <v>15</v>
      </c>
      <c r="H145" s="501"/>
      <c r="I145" s="526"/>
      <c r="J145" s="501"/>
      <c r="K145" s="204"/>
    </row>
    <row r="146" spans="1:11" ht="31.7" customHeight="1" x14ac:dyDescent="0.25">
      <c r="A146" s="579" t="s">
        <v>131</v>
      </c>
      <c r="B146" s="490">
        <v>902</v>
      </c>
      <c r="C146" s="492" t="s">
        <v>118</v>
      </c>
      <c r="D146" s="492" t="s">
        <v>140</v>
      </c>
      <c r="E146" s="492" t="s">
        <v>848</v>
      </c>
      <c r="F146" s="498" t="s">
        <v>132</v>
      </c>
      <c r="G146" s="497">
        <f t="shared" si="6"/>
        <v>15</v>
      </c>
      <c r="H146" s="501"/>
      <c r="I146" s="526"/>
      <c r="J146" s="501"/>
      <c r="K146" s="204"/>
    </row>
    <row r="147" spans="1:11" ht="32.25" customHeight="1" x14ac:dyDescent="0.25">
      <c r="A147" s="579" t="s">
        <v>133</v>
      </c>
      <c r="B147" s="490">
        <v>902</v>
      </c>
      <c r="C147" s="492" t="s">
        <v>118</v>
      </c>
      <c r="D147" s="492" t="s">
        <v>140</v>
      </c>
      <c r="E147" s="492" t="s">
        <v>848</v>
      </c>
      <c r="F147" s="498" t="s">
        <v>134</v>
      </c>
      <c r="G147" s="497">
        <v>15</v>
      </c>
      <c r="H147" s="501"/>
      <c r="I147" s="526"/>
      <c r="J147" s="501"/>
      <c r="K147" s="204"/>
    </row>
    <row r="148" spans="1:11" ht="68.25" customHeight="1" x14ac:dyDescent="0.25">
      <c r="A148" s="572" t="s">
        <v>1342</v>
      </c>
      <c r="B148" s="491">
        <v>902</v>
      </c>
      <c r="C148" s="8" t="s">
        <v>118</v>
      </c>
      <c r="D148" s="8" t="s">
        <v>140</v>
      </c>
      <c r="E148" s="194" t="s">
        <v>817</v>
      </c>
      <c r="F148" s="8"/>
      <c r="G148" s="493">
        <f>G150</f>
        <v>45</v>
      </c>
      <c r="H148" s="501"/>
      <c r="I148" s="526"/>
      <c r="J148" s="501"/>
      <c r="K148" s="204"/>
    </row>
    <row r="149" spans="1:11" s="204" customFormat="1" ht="35.450000000000003" customHeight="1" x14ac:dyDescent="0.25">
      <c r="A149" s="213" t="s">
        <v>854</v>
      </c>
      <c r="B149" s="491">
        <v>902</v>
      </c>
      <c r="C149" s="8" t="s">
        <v>118</v>
      </c>
      <c r="D149" s="8" t="s">
        <v>140</v>
      </c>
      <c r="E149" s="194" t="s">
        <v>1075</v>
      </c>
      <c r="F149" s="8"/>
      <c r="G149" s="493">
        <f t="shared" ref="G149:G151" si="7">G150</f>
        <v>45</v>
      </c>
      <c r="H149" s="501"/>
      <c r="I149" s="526"/>
      <c r="J149" s="501"/>
    </row>
    <row r="150" spans="1:11" ht="31.7" customHeight="1" x14ac:dyDescent="0.25">
      <c r="A150" s="97" t="s">
        <v>171</v>
      </c>
      <c r="B150" s="490">
        <v>902</v>
      </c>
      <c r="C150" s="9" t="s">
        <v>118</v>
      </c>
      <c r="D150" s="9" t="s">
        <v>140</v>
      </c>
      <c r="E150" s="5" t="s">
        <v>855</v>
      </c>
      <c r="F150" s="9"/>
      <c r="G150" s="497">
        <f t="shared" si="7"/>
        <v>45</v>
      </c>
      <c r="H150" s="501"/>
      <c r="I150" s="526"/>
      <c r="J150" s="501"/>
      <c r="K150" s="204"/>
    </row>
    <row r="151" spans="1:11" ht="35.450000000000003" customHeight="1" x14ac:dyDescent="0.25">
      <c r="A151" s="579" t="s">
        <v>131</v>
      </c>
      <c r="B151" s="490">
        <v>902</v>
      </c>
      <c r="C151" s="9" t="s">
        <v>118</v>
      </c>
      <c r="D151" s="9" t="s">
        <v>140</v>
      </c>
      <c r="E151" s="5" t="s">
        <v>855</v>
      </c>
      <c r="F151" s="9" t="s">
        <v>132</v>
      </c>
      <c r="G151" s="497">
        <f t="shared" si="7"/>
        <v>45</v>
      </c>
      <c r="H151" s="501"/>
      <c r="I151" s="526"/>
      <c r="J151" s="501"/>
      <c r="K151" s="204"/>
    </row>
    <row r="152" spans="1:11" ht="33" customHeight="1" x14ac:dyDescent="0.25">
      <c r="A152" s="579" t="s">
        <v>133</v>
      </c>
      <c r="B152" s="490">
        <v>902</v>
      </c>
      <c r="C152" s="9" t="s">
        <v>118</v>
      </c>
      <c r="D152" s="9" t="s">
        <v>140</v>
      </c>
      <c r="E152" s="5" t="s">
        <v>855</v>
      </c>
      <c r="F152" s="9" t="s">
        <v>134</v>
      </c>
      <c r="G152" s="497">
        <v>45</v>
      </c>
      <c r="H152" s="501"/>
      <c r="I152" s="526"/>
      <c r="J152" s="501"/>
      <c r="K152" s="204"/>
    </row>
    <row r="153" spans="1:11" s="204" customFormat="1" ht="63" x14ac:dyDescent="0.25">
      <c r="A153" s="572" t="s">
        <v>1343</v>
      </c>
      <c r="B153" s="491">
        <v>902</v>
      </c>
      <c r="C153" s="8" t="s">
        <v>118</v>
      </c>
      <c r="D153" s="8" t="s">
        <v>140</v>
      </c>
      <c r="E153" s="194" t="s">
        <v>818</v>
      </c>
      <c r="F153" s="8"/>
      <c r="G153" s="493">
        <f>G155</f>
        <v>80</v>
      </c>
      <c r="H153" s="501"/>
      <c r="I153" s="526"/>
      <c r="J153" s="501"/>
    </row>
    <row r="154" spans="1:11" s="204" customFormat="1" ht="31.5" x14ac:dyDescent="0.25">
      <c r="A154" s="58" t="s">
        <v>856</v>
      </c>
      <c r="B154" s="491">
        <v>902</v>
      </c>
      <c r="C154" s="8" t="s">
        <v>118</v>
      </c>
      <c r="D154" s="8" t="s">
        <v>140</v>
      </c>
      <c r="E154" s="194" t="s">
        <v>864</v>
      </c>
      <c r="F154" s="8"/>
      <c r="G154" s="493">
        <f t="shared" ref="G154:G156" si="8">G155</f>
        <v>80</v>
      </c>
      <c r="H154" s="501"/>
      <c r="I154" s="526"/>
      <c r="J154" s="501"/>
    </row>
    <row r="155" spans="1:11" s="204" customFormat="1" ht="15.75" x14ac:dyDescent="0.25">
      <c r="A155" s="45" t="s">
        <v>822</v>
      </c>
      <c r="B155" s="490">
        <v>902</v>
      </c>
      <c r="C155" s="9" t="s">
        <v>118</v>
      </c>
      <c r="D155" s="9" t="s">
        <v>140</v>
      </c>
      <c r="E155" s="5" t="s">
        <v>857</v>
      </c>
      <c r="F155" s="9"/>
      <c r="G155" s="497">
        <f t="shared" si="8"/>
        <v>80</v>
      </c>
      <c r="H155" s="501"/>
      <c r="I155" s="526"/>
      <c r="J155" s="501"/>
    </row>
    <row r="156" spans="1:11" s="204" customFormat="1" ht="31.5" x14ac:dyDescent="0.25">
      <c r="A156" s="579" t="s">
        <v>131</v>
      </c>
      <c r="B156" s="490">
        <v>902</v>
      </c>
      <c r="C156" s="9" t="s">
        <v>118</v>
      </c>
      <c r="D156" s="9" t="s">
        <v>140</v>
      </c>
      <c r="E156" s="5" t="s">
        <v>857</v>
      </c>
      <c r="F156" s="9" t="s">
        <v>132</v>
      </c>
      <c r="G156" s="497">
        <f t="shared" si="8"/>
        <v>80</v>
      </c>
      <c r="H156" s="501"/>
      <c r="I156" s="526"/>
      <c r="J156" s="501"/>
    </row>
    <row r="157" spans="1:11" s="204" customFormat="1" ht="31.5" x14ac:dyDescent="0.25">
      <c r="A157" s="579" t="s">
        <v>133</v>
      </c>
      <c r="B157" s="490">
        <v>902</v>
      </c>
      <c r="C157" s="9" t="s">
        <v>118</v>
      </c>
      <c r="D157" s="9" t="s">
        <v>140</v>
      </c>
      <c r="E157" s="5" t="s">
        <v>857</v>
      </c>
      <c r="F157" s="9" t="s">
        <v>134</v>
      </c>
      <c r="G157" s="497">
        <v>80</v>
      </c>
      <c r="H157" s="501"/>
      <c r="I157" s="526"/>
      <c r="J157" s="501"/>
    </row>
    <row r="158" spans="1:11" ht="15.75" hidden="1" customHeight="1" x14ac:dyDescent="0.25">
      <c r="A158" s="494" t="s">
        <v>212</v>
      </c>
      <c r="B158" s="491">
        <v>902</v>
      </c>
      <c r="C158" s="495" t="s">
        <v>213</v>
      </c>
      <c r="D158" s="495"/>
      <c r="E158" s="495"/>
      <c r="F158" s="495"/>
      <c r="G158" s="493">
        <f t="shared" ref="G158:G163" si="9">G159</f>
        <v>0</v>
      </c>
      <c r="H158" s="501"/>
      <c r="I158" s="526"/>
      <c r="J158" s="501"/>
      <c r="K158" s="204"/>
    </row>
    <row r="159" spans="1:11" ht="20.25" hidden="1" customHeight="1" x14ac:dyDescent="0.25">
      <c r="A159" s="494" t="s">
        <v>218</v>
      </c>
      <c r="B159" s="491">
        <v>902</v>
      </c>
      <c r="C159" s="495" t="s">
        <v>213</v>
      </c>
      <c r="D159" s="495" t="s">
        <v>219</v>
      </c>
      <c r="E159" s="495"/>
      <c r="F159" s="495"/>
      <c r="G159" s="493">
        <f t="shared" si="9"/>
        <v>0</v>
      </c>
      <c r="H159" s="501"/>
      <c r="I159" s="526"/>
      <c r="J159" s="501"/>
      <c r="K159" s="204"/>
    </row>
    <row r="160" spans="1:11" ht="15.75" hidden="1" customHeight="1" x14ac:dyDescent="0.25">
      <c r="A160" s="494" t="s">
        <v>141</v>
      </c>
      <c r="B160" s="491">
        <v>902</v>
      </c>
      <c r="C160" s="495" t="s">
        <v>213</v>
      </c>
      <c r="D160" s="495" t="s">
        <v>219</v>
      </c>
      <c r="E160" s="495" t="s">
        <v>866</v>
      </c>
      <c r="F160" s="495"/>
      <c r="G160" s="493">
        <f t="shared" si="9"/>
        <v>0</v>
      </c>
      <c r="H160" s="501"/>
      <c r="I160" s="526"/>
      <c r="J160" s="501"/>
      <c r="K160" s="204"/>
    </row>
    <row r="161" spans="1:11" ht="33.75" hidden="1" customHeight="1" x14ac:dyDescent="0.25">
      <c r="A161" s="494" t="s">
        <v>870</v>
      </c>
      <c r="B161" s="491">
        <v>902</v>
      </c>
      <c r="C161" s="495" t="s">
        <v>213</v>
      </c>
      <c r="D161" s="495" t="s">
        <v>219</v>
      </c>
      <c r="E161" s="495" t="s">
        <v>865</v>
      </c>
      <c r="F161" s="495"/>
      <c r="G161" s="493">
        <f t="shared" si="9"/>
        <v>0</v>
      </c>
      <c r="H161" s="501"/>
      <c r="I161" s="526"/>
      <c r="J161" s="501"/>
      <c r="K161" s="204"/>
    </row>
    <row r="162" spans="1:11" ht="15.75" hidden="1" customHeight="1" x14ac:dyDescent="0.25">
      <c r="A162" s="496" t="s">
        <v>220</v>
      </c>
      <c r="B162" s="490">
        <v>902</v>
      </c>
      <c r="C162" s="492" t="s">
        <v>213</v>
      </c>
      <c r="D162" s="492" t="s">
        <v>219</v>
      </c>
      <c r="E162" s="492" t="s">
        <v>871</v>
      </c>
      <c r="F162" s="492"/>
      <c r="G162" s="497">
        <f t="shared" si="9"/>
        <v>0</v>
      </c>
      <c r="H162" s="501"/>
      <c r="I162" s="526"/>
      <c r="J162" s="501"/>
      <c r="K162" s="204"/>
    </row>
    <row r="163" spans="1:11" ht="33.75" hidden="1" customHeight="1" x14ac:dyDescent="0.25">
      <c r="A163" s="496" t="s">
        <v>198</v>
      </c>
      <c r="B163" s="490">
        <v>902</v>
      </c>
      <c r="C163" s="492" t="s">
        <v>213</v>
      </c>
      <c r="D163" s="492" t="s">
        <v>219</v>
      </c>
      <c r="E163" s="492" t="s">
        <v>871</v>
      </c>
      <c r="F163" s="492" t="s">
        <v>132</v>
      </c>
      <c r="G163" s="497">
        <f t="shared" si="9"/>
        <v>0</v>
      </c>
      <c r="H163" s="501"/>
      <c r="I163" s="526"/>
      <c r="J163" s="501"/>
      <c r="K163" s="204"/>
    </row>
    <row r="164" spans="1:11" ht="40.700000000000003" hidden="1" customHeight="1" x14ac:dyDescent="0.25">
      <c r="A164" s="496" t="s">
        <v>133</v>
      </c>
      <c r="B164" s="490">
        <v>902</v>
      </c>
      <c r="C164" s="492" t="s">
        <v>213</v>
      </c>
      <c r="D164" s="492" t="s">
        <v>219</v>
      </c>
      <c r="E164" s="492" t="s">
        <v>871</v>
      </c>
      <c r="F164" s="492" t="s">
        <v>134</v>
      </c>
      <c r="G164" s="27">
        <v>0</v>
      </c>
      <c r="H164" s="501"/>
      <c r="I164" s="526"/>
      <c r="J164" s="501"/>
      <c r="K164" s="204"/>
    </row>
    <row r="165" spans="1:11" ht="31.5" x14ac:dyDescent="0.25">
      <c r="A165" s="494" t="s">
        <v>222</v>
      </c>
      <c r="B165" s="491">
        <v>902</v>
      </c>
      <c r="C165" s="495" t="s">
        <v>215</v>
      </c>
      <c r="D165" s="495"/>
      <c r="E165" s="495"/>
      <c r="F165" s="495"/>
      <c r="G165" s="493">
        <f>G166</f>
        <v>7287</v>
      </c>
      <c r="H165" s="113">
        <f>G165+G926</f>
        <v>7394</v>
      </c>
      <c r="I165" s="526"/>
      <c r="J165" s="501"/>
      <c r="K165" s="204"/>
    </row>
    <row r="166" spans="1:11" ht="47.25" customHeight="1" x14ac:dyDescent="0.25">
      <c r="A166" s="494" t="s">
        <v>1345</v>
      </c>
      <c r="B166" s="491">
        <v>902</v>
      </c>
      <c r="C166" s="495" t="s">
        <v>215</v>
      </c>
      <c r="D166" s="495" t="s">
        <v>244</v>
      </c>
      <c r="E166" s="492"/>
      <c r="F166" s="492"/>
      <c r="G166" s="493">
        <f>G167+G184</f>
        <v>7287</v>
      </c>
      <c r="H166" s="501"/>
      <c r="I166" s="526"/>
      <c r="J166" s="501"/>
      <c r="K166" s="204"/>
    </row>
    <row r="167" spans="1:11" ht="15.75" x14ac:dyDescent="0.25">
      <c r="A167" s="494" t="s">
        <v>141</v>
      </c>
      <c r="B167" s="491">
        <v>902</v>
      </c>
      <c r="C167" s="495" t="s">
        <v>215</v>
      </c>
      <c r="D167" s="495" t="s">
        <v>244</v>
      </c>
      <c r="E167" s="495" t="s">
        <v>866</v>
      </c>
      <c r="F167" s="495"/>
      <c r="G167" s="493">
        <f>G168+G175</f>
        <v>7287</v>
      </c>
      <c r="H167" s="501"/>
      <c r="I167" s="526"/>
      <c r="J167" s="501"/>
      <c r="K167" s="204"/>
    </row>
    <row r="168" spans="1:11" s="204" customFormat="1" ht="31.5" x14ac:dyDescent="0.25">
      <c r="A168" s="494" t="s">
        <v>870</v>
      </c>
      <c r="B168" s="491">
        <v>902</v>
      </c>
      <c r="C168" s="495" t="s">
        <v>215</v>
      </c>
      <c r="D168" s="495" t="s">
        <v>244</v>
      </c>
      <c r="E168" s="495" t="s">
        <v>865</v>
      </c>
      <c r="F168" s="495"/>
      <c r="G168" s="493">
        <f>G169+G172</f>
        <v>982</v>
      </c>
      <c r="H168" s="501"/>
      <c r="I168" s="526"/>
      <c r="J168" s="501"/>
    </row>
    <row r="169" spans="1:11" s="204" customFormat="1" ht="31.5" x14ac:dyDescent="0.25">
      <c r="A169" s="579" t="s">
        <v>224</v>
      </c>
      <c r="B169" s="490">
        <v>902</v>
      </c>
      <c r="C169" s="492" t="s">
        <v>215</v>
      </c>
      <c r="D169" s="492" t="s">
        <v>244</v>
      </c>
      <c r="E169" s="492" t="s">
        <v>875</v>
      </c>
      <c r="F169" s="492"/>
      <c r="G169" s="497">
        <f>G170</f>
        <v>785</v>
      </c>
      <c r="H169" s="501"/>
      <c r="I169" s="526"/>
      <c r="J169" s="501"/>
    </row>
    <row r="170" spans="1:11" s="204" customFormat="1" ht="31.5" x14ac:dyDescent="0.25">
      <c r="A170" s="579" t="s">
        <v>198</v>
      </c>
      <c r="B170" s="490">
        <v>902</v>
      </c>
      <c r="C170" s="492" t="s">
        <v>215</v>
      </c>
      <c r="D170" s="492" t="s">
        <v>244</v>
      </c>
      <c r="E170" s="492" t="s">
        <v>875</v>
      </c>
      <c r="F170" s="492" t="s">
        <v>132</v>
      </c>
      <c r="G170" s="497">
        <f>G171</f>
        <v>785</v>
      </c>
      <c r="H170" s="501"/>
      <c r="I170" s="526"/>
      <c r="J170" s="501"/>
    </row>
    <row r="171" spans="1:11" s="204" customFormat="1" ht="31.5" x14ac:dyDescent="0.25">
      <c r="A171" s="579" t="s">
        <v>133</v>
      </c>
      <c r="B171" s="490">
        <v>902</v>
      </c>
      <c r="C171" s="492" t="s">
        <v>215</v>
      </c>
      <c r="D171" s="492" t="s">
        <v>244</v>
      </c>
      <c r="E171" s="492" t="s">
        <v>875</v>
      </c>
      <c r="F171" s="492" t="s">
        <v>134</v>
      </c>
      <c r="G171" s="254">
        <f>1285-1000+500</f>
        <v>785</v>
      </c>
      <c r="H171" s="501"/>
      <c r="I171" s="526"/>
      <c r="J171" s="501"/>
    </row>
    <row r="172" spans="1:11" s="204" customFormat="1" ht="15.75" x14ac:dyDescent="0.25">
      <c r="A172" s="579" t="s">
        <v>230</v>
      </c>
      <c r="B172" s="490">
        <v>902</v>
      </c>
      <c r="C172" s="492" t="s">
        <v>215</v>
      </c>
      <c r="D172" s="492" t="s">
        <v>244</v>
      </c>
      <c r="E172" s="492" t="s">
        <v>876</v>
      </c>
      <c r="F172" s="492"/>
      <c r="G172" s="27">
        <f>G173</f>
        <v>197</v>
      </c>
      <c r="H172" s="501"/>
      <c r="I172" s="526"/>
      <c r="J172" s="501"/>
    </row>
    <row r="173" spans="1:11" s="204" customFormat="1" ht="31.5" x14ac:dyDescent="0.25">
      <c r="A173" s="579" t="s">
        <v>198</v>
      </c>
      <c r="B173" s="490">
        <v>902</v>
      </c>
      <c r="C173" s="492" t="s">
        <v>215</v>
      </c>
      <c r="D173" s="492" t="s">
        <v>244</v>
      </c>
      <c r="E173" s="492" t="s">
        <v>876</v>
      </c>
      <c r="F173" s="492" t="s">
        <v>132</v>
      </c>
      <c r="G173" s="27">
        <f>G174</f>
        <v>197</v>
      </c>
      <c r="H173" s="501"/>
      <c r="I173" s="526"/>
      <c r="J173" s="501"/>
    </row>
    <row r="174" spans="1:11" s="204" customFormat="1" ht="31.5" x14ac:dyDescent="0.25">
      <c r="A174" s="579" t="s">
        <v>133</v>
      </c>
      <c r="B174" s="490">
        <v>902</v>
      </c>
      <c r="C174" s="492" t="s">
        <v>215</v>
      </c>
      <c r="D174" s="492" t="s">
        <v>244</v>
      </c>
      <c r="E174" s="492" t="s">
        <v>876</v>
      </c>
      <c r="F174" s="492" t="s">
        <v>134</v>
      </c>
      <c r="G174" s="27">
        <v>197</v>
      </c>
      <c r="H174" s="501"/>
      <c r="I174" s="526"/>
      <c r="J174" s="501"/>
    </row>
    <row r="175" spans="1:11" s="204" customFormat="1" ht="34.5" customHeight="1" x14ac:dyDescent="0.25">
      <c r="A175" s="494" t="s">
        <v>923</v>
      </c>
      <c r="B175" s="491">
        <v>902</v>
      </c>
      <c r="C175" s="495" t="s">
        <v>215</v>
      </c>
      <c r="D175" s="495" t="s">
        <v>244</v>
      </c>
      <c r="E175" s="495" t="s">
        <v>872</v>
      </c>
      <c r="F175" s="495"/>
      <c r="G175" s="493">
        <f>G176+G181</f>
        <v>6305</v>
      </c>
      <c r="H175" s="501"/>
      <c r="I175" s="526"/>
      <c r="J175" s="501"/>
    </row>
    <row r="176" spans="1:11" s="204" customFormat="1" ht="31.5" x14ac:dyDescent="0.25">
      <c r="A176" s="579" t="s">
        <v>927</v>
      </c>
      <c r="B176" s="490">
        <v>902</v>
      </c>
      <c r="C176" s="492" t="s">
        <v>215</v>
      </c>
      <c r="D176" s="492" t="s">
        <v>244</v>
      </c>
      <c r="E176" s="492" t="s">
        <v>873</v>
      </c>
      <c r="F176" s="492"/>
      <c r="G176" s="497">
        <f>G177+G179</f>
        <v>6047</v>
      </c>
      <c r="H176" s="501"/>
      <c r="I176" s="526"/>
      <c r="J176" s="501"/>
    </row>
    <row r="177" spans="1:10" s="204" customFormat="1" ht="63" x14ac:dyDescent="0.25">
      <c r="A177" s="579" t="s">
        <v>127</v>
      </c>
      <c r="B177" s="490">
        <v>902</v>
      </c>
      <c r="C177" s="492" t="s">
        <v>215</v>
      </c>
      <c r="D177" s="492" t="s">
        <v>244</v>
      </c>
      <c r="E177" s="492" t="s">
        <v>873</v>
      </c>
      <c r="F177" s="492" t="s">
        <v>128</v>
      </c>
      <c r="G177" s="497">
        <f>G178</f>
        <v>5884</v>
      </c>
      <c r="H177" s="501"/>
      <c r="I177" s="526"/>
      <c r="J177" s="501"/>
    </row>
    <row r="178" spans="1:10" s="204" customFormat="1" ht="15.75" x14ac:dyDescent="0.25">
      <c r="A178" s="579" t="s">
        <v>208</v>
      </c>
      <c r="B178" s="490">
        <v>902</v>
      </c>
      <c r="C178" s="492" t="s">
        <v>215</v>
      </c>
      <c r="D178" s="492" t="s">
        <v>244</v>
      </c>
      <c r="E178" s="492" t="s">
        <v>873</v>
      </c>
      <c r="F178" s="492" t="s">
        <v>209</v>
      </c>
      <c r="G178" s="27">
        <v>5884</v>
      </c>
      <c r="H178" s="501"/>
      <c r="I178" s="526"/>
      <c r="J178" s="501"/>
    </row>
    <row r="179" spans="1:10" s="204" customFormat="1" ht="31.5" x14ac:dyDescent="0.25">
      <c r="A179" s="579" t="s">
        <v>198</v>
      </c>
      <c r="B179" s="490">
        <v>902</v>
      </c>
      <c r="C179" s="492" t="s">
        <v>215</v>
      </c>
      <c r="D179" s="492" t="s">
        <v>244</v>
      </c>
      <c r="E179" s="492" t="s">
        <v>873</v>
      </c>
      <c r="F179" s="492" t="s">
        <v>132</v>
      </c>
      <c r="G179" s="497">
        <f>G180</f>
        <v>163</v>
      </c>
      <c r="H179" s="501"/>
      <c r="I179" s="526"/>
      <c r="J179" s="501"/>
    </row>
    <row r="180" spans="1:10" s="204" customFormat="1" ht="31.5" x14ac:dyDescent="0.25">
      <c r="A180" s="579" t="s">
        <v>133</v>
      </c>
      <c r="B180" s="490">
        <v>902</v>
      </c>
      <c r="C180" s="492" t="s">
        <v>215</v>
      </c>
      <c r="D180" s="492" t="s">
        <v>244</v>
      </c>
      <c r="E180" s="492" t="s">
        <v>873</v>
      </c>
      <c r="F180" s="492" t="s">
        <v>134</v>
      </c>
      <c r="G180" s="27">
        <v>163</v>
      </c>
      <c r="H180" s="501"/>
      <c r="I180" s="526"/>
      <c r="J180" s="501"/>
    </row>
    <row r="181" spans="1:10" s="204" customFormat="1" ht="31.5" x14ac:dyDescent="0.25">
      <c r="A181" s="579" t="s">
        <v>839</v>
      </c>
      <c r="B181" s="490">
        <v>902</v>
      </c>
      <c r="C181" s="492" t="s">
        <v>215</v>
      </c>
      <c r="D181" s="492" t="s">
        <v>244</v>
      </c>
      <c r="E181" s="492" t="s">
        <v>874</v>
      </c>
      <c r="F181" s="492"/>
      <c r="G181" s="497">
        <f>G182</f>
        <v>258</v>
      </c>
      <c r="H181" s="501"/>
      <c r="I181" s="526"/>
      <c r="J181" s="501"/>
    </row>
    <row r="182" spans="1:10" s="204" customFormat="1" ht="63" x14ac:dyDescent="0.25">
      <c r="A182" s="579" t="s">
        <v>127</v>
      </c>
      <c r="B182" s="490">
        <v>902</v>
      </c>
      <c r="C182" s="492" t="s">
        <v>215</v>
      </c>
      <c r="D182" s="492" t="s">
        <v>244</v>
      </c>
      <c r="E182" s="492" t="s">
        <v>874</v>
      </c>
      <c r="F182" s="492" t="s">
        <v>128</v>
      </c>
      <c r="G182" s="497">
        <f>G183</f>
        <v>258</v>
      </c>
      <c r="H182" s="501"/>
      <c r="I182" s="526"/>
      <c r="J182" s="501"/>
    </row>
    <row r="183" spans="1:10" s="204" customFormat="1" ht="15.75" x14ac:dyDescent="0.25">
      <c r="A183" s="579" t="s">
        <v>208</v>
      </c>
      <c r="B183" s="490">
        <v>902</v>
      </c>
      <c r="C183" s="492" t="s">
        <v>215</v>
      </c>
      <c r="D183" s="492" t="s">
        <v>244</v>
      </c>
      <c r="E183" s="492" t="s">
        <v>874</v>
      </c>
      <c r="F183" s="492" t="s">
        <v>209</v>
      </c>
      <c r="G183" s="497">
        <v>258</v>
      </c>
      <c r="H183" s="501"/>
      <c r="I183" s="526"/>
      <c r="J183" s="501"/>
    </row>
    <row r="184" spans="1:10" s="204" customFormat="1" ht="47.25" hidden="1" x14ac:dyDescent="0.25">
      <c r="A184" s="500" t="s">
        <v>1341</v>
      </c>
      <c r="B184" s="491">
        <v>902</v>
      </c>
      <c r="C184" s="495" t="s">
        <v>215</v>
      </c>
      <c r="D184" s="495" t="s">
        <v>244</v>
      </c>
      <c r="E184" s="495" t="s">
        <v>705</v>
      </c>
      <c r="F184" s="492"/>
      <c r="G184" s="493">
        <f>G185</f>
        <v>0</v>
      </c>
      <c r="H184" s="501"/>
      <c r="I184" s="526"/>
      <c r="J184" s="501"/>
    </row>
    <row r="185" spans="1:10" s="204" customFormat="1" ht="31.5" hidden="1" x14ac:dyDescent="0.25">
      <c r="A185" s="503" t="s">
        <v>1624</v>
      </c>
      <c r="B185" s="491">
        <v>902</v>
      </c>
      <c r="C185" s="495" t="s">
        <v>215</v>
      </c>
      <c r="D185" s="495" t="s">
        <v>244</v>
      </c>
      <c r="E185" s="495" t="s">
        <v>1625</v>
      </c>
      <c r="F185" s="504"/>
      <c r="G185" s="493">
        <f>G186+G189+G192</f>
        <v>0</v>
      </c>
      <c r="H185" s="501"/>
      <c r="I185" s="526"/>
      <c r="J185" s="501"/>
    </row>
    <row r="186" spans="1:10" s="204" customFormat="1" ht="15.75" hidden="1" x14ac:dyDescent="0.25">
      <c r="A186" s="496" t="s">
        <v>230</v>
      </c>
      <c r="B186" s="490">
        <v>902</v>
      </c>
      <c r="C186" s="492" t="s">
        <v>215</v>
      </c>
      <c r="D186" s="492" t="s">
        <v>244</v>
      </c>
      <c r="E186" s="492" t="s">
        <v>1626</v>
      </c>
      <c r="F186" s="498"/>
      <c r="G186" s="497">
        <f>G187</f>
        <v>0</v>
      </c>
      <c r="H186" s="501"/>
      <c r="I186" s="526"/>
      <c r="J186" s="501"/>
    </row>
    <row r="187" spans="1:10" s="204" customFormat="1" ht="31.5" hidden="1" x14ac:dyDescent="0.25">
      <c r="A187" s="496" t="s">
        <v>131</v>
      </c>
      <c r="B187" s="490">
        <v>902</v>
      </c>
      <c r="C187" s="492" t="s">
        <v>215</v>
      </c>
      <c r="D187" s="492" t="s">
        <v>244</v>
      </c>
      <c r="E187" s="492" t="s">
        <v>1626</v>
      </c>
      <c r="F187" s="498" t="s">
        <v>132</v>
      </c>
      <c r="G187" s="497">
        <f>G188</f>
        <v>0</v>
      </c>
      <c r="H187" s="501"/>
      <c r="I187" s="526"/>
      <c r="J187" s="501"/>
    </row>
    <row r="188" spans="1:10" s="204" customFormat="1" ht="31.5" hidden="1" x14ac:dyDescent="0.25">
      <c r="A188" s="496" t="s">
        <v>133</v>
      </c>
      <c r="B188" s="490">
        <v>902</v>
      </c>
      <c r="C188" s="492" t="s">
        <v>215</v>
      </c>
      <c r="D188" s="492" t="s">
        <v>244</v>
      </c>
      <c r="E188" s="492" t="s">
        <v>1626</v>
      </c>
      <c r="F188" s="498" t="s">
        <v>134</v>
      </c>
      <c r="G188" s="497">
        <f>100-100</f>
        <v>0</v>
      </c>
      <c r="H188" s="501"/>
      <c r="I188" s="526"/>
      <c r="J188" s="501"/>
    </row>
    <row r="189" spans="1:10" s="204" customFormat="1" ht="31.5" hidden="1" x14ac:dyDescent="0.25">
      <c r="A189" s="496" t="s">
        <v>1659</v>
      </c>
      <c r="B189" s="490">
        <v>902</v>
      </c>
      <c r="C189" s="492" t="s">
        <v>215</v>
      </c>
      <c r="D189" s="492" t="s">
        <v>244</v>
      </c>
      <c r="E189" s="492" t="s">
        <v>1660</v>
      </c>
      <c r="F189" s="498"/>
      <c r="G189" s="497">
        <f>G190+G193</f>
        <v>0</v>
      </c>
      <c r="H189" s="501"/>
      <c r="I189" s="526"/>
      <c r="J189" s="501"/>
    </row>
    <row r="190" spans="1:10" s="204" customFormat="1" ht="31.5" hidden="1" x14ac:dyDescent="0.25">
      <c r="A190" s="496" t="s">
        <v>131</v>
      </c>
      <c r="B190" s="490">
        <v>902</v>
      </c>
      <c r="C190" s="492" t="s">
        <v>215</v>
      </c>
      <c r="D190" s="492" t="s">
        <v>244</v>
      </c>
      <c r="E190" s="492" t="s">
        <v>1660</v>
      </c>
      <c r="F190" s="498" t="s">
        <v>132</v>
      </c>
      <c r="G190" s="497">
        <f>G191</f>
        <v>0</v>
      </c>
      <c r="H190" s="501"/>
      <c r="I190" s="526"/>
      <c r="J190" s="501"/>
    </row>
    <row r="191" spans="1:10" s="204" customFormat="1" ht="31.5" hidden="1" x14ac:dyDescent="0.25">
      <c r="A191" s="496" t="s">
        <v>133</v>
      </c>
      <c r="B191" s="490">
        <v>902</v>
      </c>
      <c r="C191" s="492" t="s">
        <v>215</v>
      </c>
      <c r="D191" s="492" t="s">
        <v>244</v>
      </c>
      <c r="E191" s="492" t="s">
        <v>1660</v>
      </c>
      <c r="F191" s="498" t="s">
        <v>134</v>
      </c>
      <c r="G191" s="497">
        <f>448+100-548</f>
        <v>0</v>
      </c>
      <c r="H191" s="501"/>
      <c r="I191" s="526"/>
      <c r="J191" s="501"/>
    </row>
    <row r="192" spans="1:10" s="204" customFormat="1" ht="31.5" hidden="1" x14ac:dyDescent="0.25">
      <c r="A192" s="496" t="s">
        <v>1659</v>
      </c>
      <c r="B192" s="490">
        <v>902</v>
      </c>
      <c r="C192" s="492" t="s">
        <v>215</v>
      </c>
      <c r="D192" s="492" t="s">
        <v>244</v>
      </c>
      <c r="E192" s="492" t="s">
        <v>1660</v>
      </c>
      <c r="F192" s="498"/>
      <c r="G192" s="497"/>
      <c r="H192" s="501"/>
      <c r="I192" s="526"/>
      <c r="J192" s="501"/>
    </row>
    <row r="193" spans="1:11" s="204" customFormat="1" ht="15.75" hidden="1" x14ac:dyDescent="0.25">
      <c r="A193" s="496" t="s">
        <v>248</v>
      </c>
      <c r="B193" s="490">
        <v>902</v>
      </c>
      <c r="C193" s="492" t="s">
        <v>215</v>
      </c>
      <c r="D193" s="492" t="s">
        <v>244</v>
      </c>
      <c r="E193" s="492" t="s">
        <v>1660</v>
      </c>
      <c r="F193" s="498" t="s">
        <v>249</v>
      </c>
      <c r="G193" s="497">
        <f>G194</f>
        <v>0</v>
      </c>
      <c r="H193" s="501"/>
      <c r="I193" s="526"/>
      <c r="J193" s="501"/>
    </row>
    <row r="194" spans="1:11" s="204" customFormat="1" ht="30" hidden="1" customHeight="1" x14ac:dyDescent="0.25">
      <c r="A194" s="496" t="s">
        <v>250</v>
      </c>
      <c r="B194" s="490">
        <v>902</v>
      </c>
      <c r="C194" s="492" t="s">
        <v>215</v>
      </c>
      <c r="D194" s="492" t="s">
        <v>244</v>
      </c>
      <c r="E194" s="492" t="s">
        <v>1660</v>
      </c>
      <c r="F194" s="498" t="s">
        <v>251</v>
      </c>
      <c r="G194" s="497"/>
      <c r="H194" s="501"/>
      <c r="I194" s="526"/>
      <c r="J194" s="501"/>
    </row>
    <row r="195" spans="1:11" ht="15.75" x14ac:dyDescent="0.25">
      <c r="A195" s="494" t="s">
        <v>232</v>
      </c>
      <c r="B195" s="491">
        <v>902</v>
      </c>
      <c r="C195" s="495" t="s">
        <v>150</v>
      </c>
      <c r="D195" s="495"/>
      <c r="E195" s="495"/>
      <c r="F195" s="492"/>
      <c r="G195" s="493">
        <f>G206+G196</f>
        <v>739.8</v>
      </c>
      <c r="H195" s="113">
        <f>G195+G277+G933</f>
        <v>7329.4000000000005</v>
      </c>
      <c r="I195" s="526"/>
      <c r="J195" s="501"/>
      <c r="K195" s="204"/>
    </row>
    <row r="196" spans="1:11" ht="15.75" x14ac:dyDescent="0.25">
      <c r="A196" s="494" t="s">
        <v>233</v>
      </c>
      <c r="B196" s="491">
        <v>902</v>
      </c>
      <c r="C196" s="495" t="s">
        <v>150</v>
      </c>
      <c r="D196" s="495" t="s">
        <v>234</v>
      </c>
      <c r="E196" s="495"/>
      <c r="F196" s="492"/>
      <c r="G196" s="493">
        <f>G197</f>
        <v>274</v>
      </c>
      <c r="H196" s="501"/>
      <c r="I196" s="526"/>
      <c r="J196" s="501"/>
      <c r="K196" s="204"/>
    </row>
    <row r="197" spans="1:11" ht="42.4" customHeight="1" x14ac:dyDescent="0.25">
      <c r="A197" s="34" t="s">
        <v>1344</v>
      </c>
      <c r="B197" s="491">
        <v>902</v>
      </c>
      <c r="C197" s="495" t="s">
        <v>150</v>
      </c>
      <c r="D197" s="495" t="s">
        <v>234</v>
      </c>
      <c r="E197" s="194" t="s">
        <v>182</v>
      </c>
      <c r="F197" s="504"/>
      <c r="G197" s="493">
        <f>G198+G202</f>
        <v>274</v>
      </c>
      <c r="H197" s="501"/>
      <c r="I197" s="526"/>
      <c r="J197" s="501"/>
      <c r="K197" s="204"/>
    </row>
    <row r="198" spans="1:11" s="204" customFormat="1" ht="35.450000000000003" customHeight="1" x14ac:dyDescent="0.25">
      <c r="A198" s="34" t="s">
        <v>1006</v>
      </c>
      <c r="B198" s="491">
        <v>902</v>
      </c>
      <c r="C198" s="495" t="s">
        <v>150</v>
      </c>
      <c r="D198" s="495" t="s">
        <v>234</v>
      </c>
      <c r="E198" s="251" t="s">
        <v>877</v>
      </c>
      <c r="F198" s="504"/>
      <c r="G198" s="493">
        <f t="shared" ref="G198:G200" si="10">G199</f>
        <v>274</v>
      </c>
      <c r="H198" s="501"/>
      <c r="I198" s="526"/>
      <c r="J198" s="501"/>
    </row>
    <row r="199" spans="1:11" ht="31.5" x14ac:dyDescent="0.25">
      <c r="A199" s="579" t="s">
        <v>235</v>
      </c>
      <c r="B199" s="490">
        <v>902</v>
      </c>
      <c r="C199" s="492" t="s">
        <v>150</v>
      </c>
      <c r="D199" s="492" t="s">
        <v>234</v>
      </c>
      <c r="E199" s="492" t="s">
        <v>898</v>
      </c>
      <c r="F199" s="498"/>
      <c r="G199" s="497">
        <f t="shared" si="10"/>
        <v>274</v>
      </c>
      <c r="H199" s="501"/>
      <c r="I199" s="526"/>
      <c r="J199" s="501"/>
      <c r="K199" s="204"/>
    </row>
    <row r="200" spans="1:11" ht="15.75" x14ac:dyDescent="0.25">
      <c r="A200" s="29" t="s">
        <v>135</v>
      </c>
      <c r="B200" s="490">
        <v>902</v>
      </c>
      <c r="C200" s="492" t="s">
        <v>150</v>
      </c>
      <c r="D200" s="492" t="s">
        <v>234</v>
      </c>
      <c r="E200" s="492" t="s">
        <v>898</v>
      </c>
      <c r="F200" s="498" t="s">
        <v>145</v>
      </c>
      <c r="G200" s="497">
        <f t="shared" si="10"/>
        <v>274</v>
      </c>
      <c r="H200" s="501"/>
      <c r="I200" s="526"/>
      <c r="J200" s="501"/>
      <c r="K200" s="204"/>
    </row>
    <row r="201" spans="1:11" ht="47.25" x14ac:dyDescent="0.25">
      <c r="A201" s="29" t="s">
        <v>184</v>
      </c>
      <c r="B201" s="490">
        <v>902</v>
      </c>
      <c r="C201" s="492" t="s">
        <v>150</v>
      </c>
      <c r="D201" s="492" t="s">
        <v>234</v>
      </c>
      <c r="E201" s="492" t="s">
        <v>898</v>
      </c>
      <c r="F201" s="498" t="s">
        <v>160</v>
      </c>
      <c r="G201" s="497">
        <f>19+255</f>
        <v>274</v>
      </c>
      <c r="H201" s="501"/>
      <c r="I201" s="526"/>
      <c r="J201" s="501"/>
      <c r="K201" s="204"/>
    </row>
    <row r="202" spans="1:11" s="204" customFormat="1" ht="31.5" hidden="1" x14ac:dyDescent="0.25">
      <c r="A202" s="243" t="s">
        <v>1007</v>
      </c>
      <c r="B202" s="491">
        <v>902</v>
      </c>
      <c r="C202" s="495" t="s">
        <v>150</v>
      </c>
      <c r="D202" s="495" t="s">
        <v>234</v>
      </c>
      <c r="E202" s="194" t="s">
        <v>879</v>
      </c>
      <c r="F202" s="504"/>
      <c r="G202" s="493">
        <f t="shared" ref="G202:G204" si="11">G203</f>
        <v>0</v>
      </c>
      <c r="H202" s="501"/>
      <c r="I202" s="526"/>
      <c r="J202" s="501"/>
    </row>
    <row r="203" spans="1:11" s="204" customFormat="1" ht="15.75" hidden="1" x14ac:dyDescent="0.25">
      <c r="A203" s="496" t="s">
        <v>878</v>
      </c>
      <c r="B203" s="490">
        <v>902</v>
      </c>
      <c r="C203" s="492" t="s">
        <v>150</v>
      </c>
      <c r="D203" s="492" t="s">
        <v>234</v>
      </c>
      <c r="E203" s="5" t="s">
        <v>899</v>
      </c>
      <c r="F203" s="498"/>
      <c r="G203" s="497">
        <f t="shared" si="11"/>
        <v>0</v>
      </c>
      <c r="H203" s="501"/>
      <c r="I203" s="526"/>
      <c r="J203" s="501"/>
    </row>
    <row r="204" spans="1:11" s="204" customFormat="1" ht="15.75" hidden="1" x14ac:dyDescent="0.25">
      <c r="A204" s="29" t="s">
        <v>135</v>
      </c>
      <c r="B204" s="490">
        <v>902</v>
      </c>
      <c r="C204" s="492" t="s">
        <v>150</v>
      </c>
      <c r="D204" s="492" t="s">
        <v>234</v>
      </c>
      <c r="E204" s="5" t="s">
        <v>899</v>
      </c>
      <c r="F204" s="498" t="s">
        <v>145</v>
      </c>
      <c r="G204" s="497">
        <f t="shared" si="11"/>
        <v>0</v>
      </c>
      <c r="H204" s="501"/>
      <c r="I204" s="526"/>
      <c r="J204" s="501"/>
    </row>
    <row r="205" spans="1:11" s="204" customFormat="1" ht="47.25" hidden="1" x14ac:dyDescent="0.25">
      <c r="A205" s="29" t="s">
        <v>184</v>
      </c>
      <c r="B205" s="490">
        <v>902</v>
      </c>
      <c r="C205" s="492" t="s">
        <v>150</v>
      </c>
      <c r="D205" s="492" t="s">
        <v>234</v>
      </c>
      <c r="E205" s="5" t="s">
        <v>899</v>
      </c>
      <c r="F205" s="498" t="s">
        <v>160</v>
      </c>
      <c r="G205" s="497">
        <v>0</v>
      </c>
      <c r="H205" s="501"/>
      <c r="I205" s="526"/>
      <c r="J205" s="501"/>
    </row>
    <row r="206" spans="1:11" ht="15.75" x14ac:dyDescent="0.25">
      <c r="A206" s="494" t="s">
        <v>237</v>
      </c>
      <c r="B206" s="491">
        <v>902</v>
      </c>
      <c r="C206" s="495" t="s">
        <v>150</v>
      </c>
      <c r="D206" s="495" t="s">
        <v>238</v>
      </c>
      <c r="E206" s="495"/>
      <c r="F206" s="495"/>
      <c r="G206" s="493">
        <f>G207+G214</f>
        <v>465.8</v>
      </c>
      <c r="H206" s="501"/>
      <c r="I206" s="526"/>
      <c r="J206" s="501"/>
      <c r="K206" s="204"/>
    </row>
    <row r="207" spans="1:11" ht="31.5" x14ac:dyDescent="0.25">
      <c r="A207" s="494" t="s">
        <v>917</v>
      </c>
      <c r="B207" s="491">
        <v>902</v>
      </c>
      <c r="C207" s="495" t="s">
        <v>150</v>
      </c>
      <c r="D207" s="495" t="s">
        <v>238</v>
      </c>
      <c r="E207" s="495" t="s">
        <v>858</v>
      </c>
      <c r="F207" s="495"/>
      <c r="G207" s="493">
        <f>G208</f>
        <v>315.8</v>
      </c>
      <c r="H207" s="501"/>
      <c r="I207" s="526"/>
      <c r="J207" s="501"/>
      <c r="K207" s="204"/>
    </row>
    <row r="208" spans="1:11" ht="31.5" x14ac:dyDescent="0.25">
      <c r="A208" s="494" t="s">
        <v>885</v>
      </c>
      <c r="B208" s="491">
        <v>902</v>
      </c>
      <c r="C208" s="495" t="s">
        <v>150</v>
      </c>
      <c r="D208" s="495" t="s">
        <v>238</v>
      </c>
      <c r="E208" s="495" t="s">
        <v>863</v>
      </c>
      <c r="F208" s="495"/>
      <c r="G208" s="493">
        <f>G209</f>
        <v>315.8</v>
      </c>
      <c r="H208" s="501"/>
      <c r="I208" s="526"/>
      <c r="J208" s="501"/>
      <c r="K208" s="204"/>
    </row>
    <row r="209" spans="1:11" ht="69.75" customHeight="1" x14ac:dyDescent="0.25">
      <c r="A209" s="31" t="s">
        <v>241</v>
      </c>
      <c r="B209" s="490">
        <v>902</v>
      </c>
      <c r="C209" s="492" t="s">
        <v>150</v>
      </c>
      <c r="D209" s="492" t="s">
        <v>238</v>
      </c>
      <c r="E209" s="492" t="s">
        <v>924</v>
      </c>
      <c r="F209" s="492"/>
      <c r="G209" s="497">
        <f>G210+G212</f>
        <v>315.8</v>
      </c>
      <c r="H209" s="501"/>
      <c r="I209" s="526"/>
      <c r="J209" s="501"/>
      <c r="K209" s="204"/>
    </row>
    <row r="210" spans="1:11" ht="63" x14ac:dyDescent="0.25">
      <c r="A210" s="579" t="s">
        <v>127</v>
      </c>
      <c r="B210" s="490">
        <v>902</v>
      </c>
      <c r="C210" s="492" t="s">
        <v>150</v>
      </c>
      <c r="D210" s="492" t="s">
        <v>238</v>
      </c>
      <c r="E210" s="492" t="s">
        <v>924</v>
      </c>
      <c r="F210" s="492" t="s">
        <v>128</v>
      </c>
      <c r="G210" s="497">
        <f>G211</f>
        <v>287.10000000000002</v>
      </c>
      <c r="H210" s="501"/>
      <c r="I210" s="526"/>
      <c r="J210" s="501"/>
      <c r="K210" s="204"/>
    </row>
    <row r="211" spans="1:11" ht="31.5" x14ac:dyDescent="0.25">
      <c r="A211" s="579" t="s">
        <v>129</v>
      </c>
      <c r="B211" s="490">
        <v>902</v>
      </c>
      <c r="C211" s="492" t="s">
        <v>150</v>
      </c>
      <c r="D211" s="492" t="s">
        <v>238</v>
      </c>
      <c r="E211" s="492" t="s">
        <v>924</v>
      </c>
      <c r="F211" s="492" t="s">
        <v>130</v>
      </c>
      <c r="G211" s="712">
        <v>287.10000000000002</v>
      </c>
      <c r="H211" s="501"/>
      <c r="I211" s="526"/>
      <c r="J211" s="501"/>
      <c r="K211" s="204"/>
    </row>
    <row r="212" spans="1:11" ht="31.5" x14ac:dyDescent="0.25">
      <c r="A212" s="579" t="s">
        <v>131</v>
      </c>
      <c r="B212" s="490">
        <v>902</v>
      </c>
      <c r="C212" s="492" t="s">
        <v>150</v>
      </c>
      <c r="D212" s="492" t="s">
        <v>238</v>
      </c>
      <c r="E212" s="492" t="s">
        <v>924</v>
      </c>
      <c r="F212" s="492" t="s">
        <v>132</v>
      </c>
      <c r="G212" s="497">
        <f>G213</f>
        <v>28.7</v>
      </c>
      <c r="H212" s="501"/>
      <c r="I212" s="526"/>
      <c r="J212" s="501"/>
      <c r="K212" s="204"/>
    </row>
    <row r="213" spans="1:11" ht="31.5" x14ac:dyDescent="0.25">
      <c r="A213" s="579" t="s">
        <v>133</v>
      </c>
      <c r="B213" s="490">
        <v>902</v>
      </c>
      <c r="C213" s="492" t="s">
        <v>150</v>
      </c>
      <c r="D213" s="492" t="s">
        <v>238</v>
      </c>
      <c r="E213" s="492" t="s">
        <v>924</v>
      </c>
      <c r="F213" s="492" t="s">
        <v>134</v>
      </c>
      <c r="G213" s="712">
        <v>28.7</v>
      </c>
      <c r="H213" s="501"/>
      <c r="I213" s="526"/>
      <c r="J213" s="501"/>
      <c r="K213" s="204"/>
    </row>
    <row r="214" spans="1:11" s="204" customFormat="1" ht="33.4" customHeight="1" x14ac:dyDescent="0.25">
      <c r="A214" s="494" t="s">
        <v>1336</v>
      </c>
      <c r="B214" s="491">
        <v>902</v>
      </c>
      <c r="C214" s="495" t="s">
        <v>150</v>
      </c>
      <c r="D214" s="495" t="s">
        <v>238</v>
      </c>
      <c r="E214" s="495" t="s">
        <v>156</v>
      </c>
      <c r="F214" s="495"/>
      <c r="G214" s="493">
        <f t="shared" ref="G214:G217" si="12">G215</f>
        <v>150</v>
      </c>
      <c r="H214" s="501"/>
      <c r="I214" s="526"/>
      <c r="J214" s="501"/>
    </row>
    <row r="215" spans="1:11" s="204" customFormat="1" ht="31.5" x14ac:dyDescent="0.25">
      <c r="A215" s="494" t="s">
        <v>1064</v>
      </c>
      <c r="B215" s="491">
        <v>902</v>
      </c>
      <c r="C215" s="495" t="s">
        <v>150</v>
      </c>
      <c r="D215" s="495" t="s">
        <v>238</v>
      </c>
      <c r="E215" s="495" t="s">
        <v>1061</v>
      </c>
      <c r="F215" s="495"/>
      <c r="G215" s="493">
        <f t="shared" si="12"/>
        <v>150</v>
      </c>
      <c r="H215" s="501"/>
      <c r="I215" s="526"/>
      <c r="J215" s="501"/>
    </row>
    <row r="216" spans="1:11" s="204" customFormat="1" ht="31.5" x14ac:dyDescent="0.25">
      <c r="A216" s="579" t="s">
        <v>1065</v>
      </c>
      <c r="B216" s="490">
        <v>902</v>
      </c>
      <c r="C216" s="492" t="s">
        <v>150</v>
      </c>
      <c r="D216" s="492" t="s">
        <v>238</v>
      </c>
      <c r="E216" s="492" t="s">
        <v>1062</v>
      </c>
      <c r="F216" s="492"/>
      <c r="G216" s="497">
        <f t="shared" si="12"/>
        <v>150</v>
      </c>
      <c r="H216" s="501"/>
      <c r="I216" s="526"/>
      <c r="J216" s="501"/>
    </row>
    <row r="217" spans="1:11" s="204" customFormat="1" ht="15.75" x14ac:dyDescent="0.25">
      <c r="A217" s="579" t="s">
        <v>135</v>
      </c>
      <c r="B217" s="490">
        <v>902</v>
      </c>
      <c r="C217" s="492" t="s">
        <v>150</v>
      </c>
      <c r="D217" s="492" t="s">
        <v>238</v>
      </c>
      <c r="E217" s="492" t="s">
        <v>1062</v>
      </c>
      <c r="F217" s="492" t="s">
        <v>145</v>
      </c>
      <c r="G217" s="497">
        <f t="shared" si="12"/>
        <v>150</v>
      </c>
      <c r="H217" s="501"/>
      <c r="I217" s="526"/>
      <c r="J217" s="501"/>
    </row>
    <row r="218" spans="1:11" s="204" customFormat="1" ht="47.25" x14ac:dyDescent="0.25">
      <c r="A218" s="579" t="s">
        <v>184</v>
      </c>
      <c r="B218" s="490">
        <v>902</v>
      </c>
      <c r="C218" s="492" t="s">
        <v>150</v>
      </c>
      <c r="D218" s="492" t="s">
        <v>238</v>
      </c>
      <c r="E218" s="492" t="s">
        <v>1062</v>
      </c>
      <c r="F218" s="492" t="s">
        <v>160</v>
      </c>
      <c r="G218" s="497">
        <v>150</v>
      </c>
      <c r="H218" s="501"/>
      <c r="I218" s="526"/>
      <c r="J218" s="501"/>
    </row>
    <row r="219" spans="1:11" ht="16.5" customHeight="1" x14ac:dyDescent="0.25">
      <c r="A219" s="494" t="s">
        <v>243</v>
      </c>
      <c r="B219" s="491">
        <v>902</v>
      </c>
      <c r="C219" s="495" t="s">
        <v>244</v>
      </c>
      <c r="D219" s="495"/>
      <c r="E219" s="495"/>
      <c r="F219" s="495"/>
      <c r="G219" s="493">
        <f>G220+G226+G232</f>
        <v>13475</v>
      </c>
      <c r="H219" s="113">
        <f>G219+G473+G1145</f>
        <v>15126.01</v>
      </c>
      <c r="I219" s="526"/>
      <c r="J219" s="501"/>
      <c r="K219" s="204"/>
    </row>
    <row r="220" spans="1:11" ht="15.75" x14ac:dyDescent="0.25">
      <c r="A220" s="494" t="s">
        <v>245</v>
      </c>
      <c r="B220" s="491">
        <v>902</v>
      </c>
      <c r="C220" s="495" t="s">
        <v>244</v>
      </c>
      <c r="D220" s="495" t="s">
        <v>118</v>
      </c>
      <c r="E220" s="495"/>
      <c r="F220" s="495"/>
      <c r="G220" s="493">
        <f t="shared" ref="G220:G224" si="13">G221</f>
        <v>9913.5</v>
      </c>
      <c r="H220" s="501"/>
      <c r="I220" s="526"/>
      <c r="J220" s="501"/>
      <c r="K220" s="204"/>
    </row>
    <row r="221" spans="1:11" ht="15.75" x14ac:dyDescent="0.25">
      <c r="A221" s="494" t="s">
        <v>141</v>
      </c>
      <c r="B221" s="491">
        <v>902</v>
      </c>
      <c r="C221" s="495" t="s">
        <v>244</v>
      </c>
      <c r="D221" s="495" t="s">
        <v>118</v>
      </c>
      <c r="E221" s="495" t="s">
        <v>866</v>
      </c>
      <c r="F221" s="495"/>
      <c r="G221" s="493">
        <f t="shared" si="13"/>
        <v>9913.5</v>
      </c>
      <c r="H221" s="501"/>
      <c r="I221" s="526"/>
      <c r="J221" s="501"/>
      <c r="K221" s="204"/>
    </row>
    <row r="222" spans="1:11" ht="31.5" x14ac:dyDescent="0.25">
      <c r="A222" s="494" t="s">
        <v>870</v>
      </c>
      <c r="B222" s="491">
        <v>902</v>
      </c>
      <c r="C222" s="495" t="s">
        <v>244</v>
      </c>
      <c r="D222" s="495" t="s">
        <v>118</v>
      </c>
      <c r="E222" s="495" t="s">
        <v>865</v>
      </c>
      <c r="F222" s="495"/>
      <c r="G222" s="493">
        <f t="shared" si="13"/>
        <v>9913.5</v>
      </c>
      <c r="H222" s="501"/>
      <c r="I222" s="526"/>
      <c r="J222" s="501"/>
      <c r="K222" s="204"/>
    </row>
    <row r="223" spans="1:11" ht="15.75" x14ac:dyDescent="0.25">
      <c r="A223" s="579" t="s">
        <v>246</v>
      </c>
      <c r="B223" s="490">
        <v>902</v>
      </c>
      <c r="C223" s="492" t="s">
        <v>244</v>
      </c>
      <c r="D223" s="492" t="s">
        <v>118</v>
      </c>
      <c r="E223" s="492" t="s">
        <v>881</v>
      </c>
      <c r="F223" s="492"/>
      <c r="G223" s="497">
        <f t="shared" si="13"/>
        <v>9913.5</v>
      </c>
      <c r="H223" s="501"/>
      <c r="I223" s="526"/>
      <c r="J223" s="501"/>
      <c r="K223" s="204"/>
    </row>
    <row r="224" spans="1:11" ht="15.75" x14ac:dyDescent="0.25">
      <c r="A224" s="579" t="s">
        <v>248</v>
      </c>
      <c r="B224" s="490">
        <v>902</v>
      </c>
      <c r="C224" s="492" t="s">
        <v>244</v>
      </c>
      <c r="D224" s="492" t="s">
        <v>118</v>
      </c>
      <c r="E224" s="492" t="s">
        <v>881</v>
      </c>
      <c r="F224" s="492" t="s">
        <v>249</v>
      </c>
      <c r="G224" s="497">
        <f t="shared" si="13"/>
        <v>9913.5</v>
      </c>
      <c r="H224" s="501"/>
      <c r="I224" s="526"/>
      <c r="J224" s="501"/>
      <c r="K224" s="204"/>
    </row>
    <row r="225" spans="1:11" ht="15.75" x14ac:dyDescent="0.25">
      <c r="A225" s="579" t="s">
        <v>348</v>
      </c>
      <c r="B225" s="490">
        <v>902</v>
      </c>
      <c r="C225" s="492" t="s">
        <v>244</v>
      </c>
      <c r="D225" s="492" t="s">
        <v>118</v>
      </c>
      <c r="E225" s="492" t="s">
        <v>881</v>
      </c>
      <c r="F225" s="492" t="s">
        <v>349</v>
      </c>
      <c r="G225" s="27">
        <v>9913.5</v>
      </c>
      <c r="H225" s="501"/>
      <c r="I225" s="526"/>
      <c r="J225" s="501"/>
      <c r="K225" s="204"/>
    </row>
    <row r="226" spans="1:11" ht="15.75" x14ac:dyDescent="0.25">
      <c r="A226" s="494" t="s">
        <v>252</v>
      </c>
      <c r="B226" s="491">
        <v>902</v>
      </c>
      <c r="C226" s="495" t="s">
        <v>244</v>
      </c>
      <c r="D226" s="495" t="s">
        <v>215</v>
      </c>
      <c r="E226" s="492"/>
      <c r="F226" s="492"/>
      <c r="G226" s="493">
        <f t="shared" ref="G226:G230" si="14">G227</f>
        <v>10</v>
      </c>
      <c r="H226" s="501"/>
      <c r="I226" s="526"/>
      <c r="J226" s="501"/>
      <c r="K226" s="204"/>
    </row>
    <row r="227" spans="1:11" ht="47.25" x14ac:dyDescent="0.25">
      <c r="A227" s="494" t="s">
        <v>1346</v>
      </c>
      <c r="B227" s="491">
        <v>902</v>
      </c>
      <c r="C227" s="495" t="s">
        <v>244</v>
      </c>
      <c r="D227" s="495" t="s">
        <v>215</v>
      </c>
      <c r="E227" s="495" t="s">
        <v>254</v>
      </c>
      <c r="F227" s="495"/>
      <c r="G227" s="493">
        <f t="shared" si="14"/>
        <v>10</v>
      </c>
      <c r="H227" s="501"/>
      <c r="I227" s="526"/>
      <c r="J227" s="501"/>
      <c r="K227" s="204"/>
    </row>
    <row r="228" spans="1:11" s="204" customFormat="1" ht="31.5" x14ac:dyDescent="0.25">
      <c r="A228" s="34" t="s">
        <v>884</v>
      </c>
      <c r="B228" s="491">
        <v>902</v>
      </c>
      <c r="C228" s="495" t="s">
        <v>244</v>
      </c>
      <c r="D228" s="495" t="s">
        <v>215</v>
      </c>
      <c r="E228" s="495" t="s">
        <v>882</v>
      </c>
      <c r="F228" s="495"/>
      <c r="G228" s="493">
        <f t="shared" si="14"/>
        <v>10</v>
      </c>
      <c r="H228" s="501"/>
      <c r="I228" s="526"/>
      <c r="J228" s="501"/>
    </row>
    <row r="229" spans="1:11" ht="28.5" customHeight="1" x14ac:dyDescent="0.25">
      <c r="A229" s="579" t="s">
        <v>1190</v>
      </c>
      <c r="B229" s="490">
        <v>902</v>
      </c>
      <c r="C229" s="492" t="s">
        <v>244</v>
      </c>
      <c r="D229" s="492" t="s">
        <v>215</v>
      </c>
      <c r="E229" s="492" t="s">
        <v>1188</v>
      </c>
      <c r="F229" s="492"/>
      <c r="G229" s="497">
        <f t="shared" si="14"/>
        <v>10</v>
      </c>
      <c r="H229" s="501"/>
      <c r="I229" s="526"/>
      <c r="J229" s="501"/>
      <c r="K229" s="204"/>
    </row>
    <row r="230" spans="1:11" ht="19.5" customHeight="1" x14ac:dyDescent="0.25">
      <c r="A230" s="579" t="s">
        <v>248</v>
      </c>
      <c r="B230" s="490">
        <v>902</v>
      </c>
      <c r="C230" s="492" t="s">
        <v>244</v>
      </c>
      <c r="D230" s="492" t="s">
        <v>215</v>
      </c>
      <c r="E230" s="492" t="s">
        <v>1188</v>
      </c>
      <c r="F230" s="492" t="s">
        <v>249</v>
      </c>
      <c r="G230" s="497">
        <f t="shared" si="14"/>
        <v>10</v>
      </c>
      <c r="H230" s="501"/>
      <c r="I230" s="526"/>
      <c r="J230" s="501"/>
      <c r="K230" s="204"/>
    </row>
    <row r="231" spans="1:11" ht="15.75" x14ac:dyDescent="0.25">
      <c r="A231" s="579" t="s">
        <v>348</v>
      </c>
      <c r="B231" s="490">
        <v>902</v>
      </c>
      <c r="C231" s="492" t="s">
        <v>244</v>
      </c>
      <c r="D231" s="492" t="s">
        <v>215</v>
      </c>
      <c r="E231" s="492" t="s">
        <v>1188</v>
      </c>
      <c r="F231" s="492" t="s">
        <v>349</v>
      </c>
      <c r="G231" s="497">
        <v>10</v>
      </c>
      <c r="H231" s="501"/>
      <c r="I231" s="526"/>
      <c r="J231" s="501"/>
      <c r="K231" s="204"/>
    </row>
    <row r="232" spans="1:11" ht="15.75" x14ac:dyDescent="0.25">
      <c r="A232" s="494" t="s">
        <v>258</v>
      </c>
      <c r="B232" s="491">
        <v>902</v>
      </c>
      <c r="C232" s="495" t="s">
        <v>244</v>
      </c>
      <c r="D232" s="495" t="s">
        <v>120</v>
      </c>
      <c r="E232" s="495"/>
      <c r="F232" s="495"/>
      <c r="G232" s="493">
        <f t="shared" ref="G232:G234" si="15">G233</f>
        <v>3551.5</v>
      </c>
      <c r="H232" s="501"/>
      <c r="I232" s="526"/>
      <c r="J232" s="501"/>
      <c r="K232" s="204"/>
    </row>
    <row r="233" spans="1:11" ht="31.5" x14ac:dyDescent="0.25">
      <c r="A233" s="494" t="s">
        <v>917</v>
      </c>
      <c r="B233" s="491">
        <v>902</v>
      </c>
      <c r="C233" s="495" t="s">
        <v>244</v>
      </c>
      <c r="D233" s="495" t="s">
        <v>120</v>
      </c>
      <c r="E233" s="495" t="s">
        <v>858</v>
      </c>
      <c r="F233" s="495"/>
      <c r="G233" s="493">
        <f t="shared" si="15"/>
        <v>3551.5</v>
      </c>
      <c r="H233" s="501"/>
      <c r="I233" s="526"/>
      <c r="J233" s="501"/>
      <c r="K233" s="204"/>
    </row>
    <row r="234" spans="1:11" ht="31.5" x14ac:dyDescent="0.25">
      <c r="A234" s="494" t="s">
        <v>885</v>
      </c>
      <c r="B234" s="491">
        <v>902</v>
      </c>
      <c r="C234" s="495" t="s">
        <v>244</v>
      </c>
      <c r="D234" s="495" t="s">
        <v>120</v>
      </c>
      <c r="E234" s="495" t="s">
        <v>863</v>
      </c>
      <c r="F234" s="495"/>
      <c r="G234" s="493">
        <f t="shared" si="15"/>
        <v>3551.5</v>
      </c>
      <c r="H234" s="501"/>
      <c r="I234" s="526"/>
      <c r="J234" s="501"/>
      <c r="K234" s="204"/>
    </row>
    <row r="235" spans="1:11" ht="47.25" customHeight="1" x14ac:dyDescent="0.25">
      <c r="A235" s="31" t="s">
        <v>259</v>
      </c>
      <c r="B235" s="490">
        <v>902</v>
      </c>
      <c r="C235" s="492" t="s">
        <v>244</v>
      </c>
      <c r="D235" s="492" t="s">
        <v>120</v>
      </c>
      <c r="E235" s="492" t="s">
        <v>925</v>
      </c>
      <c r="F235" s="492"/>
      <c r="G235" s="497">
        <f>G236+G238</f>
        <v>3551.5</v>
      </c>
      <c r="H235" s="501"/>
      <c r="I235" s="526"/>
      <c r="J235" s="501"/>
      <c r="K235" s="204"/>
    </row>
    <row r="236" spans="1:11" ht="63" x14ac:dyDescent="0.25">
      <c r="A236" s="579" t="s">
        <v>127</v>
      </c>
      <c r="B236" s="490">
        <v>902</v>
      </c>
      <c r="C236" s="492" t="s">
        <v>244</v>
      </c>
      <c r="D236" s="492" t="s">
        <v>120</v>
      </c>
      <c r="E236" s="492" t="s">
        <v>925</v>
      </c>
      <c r="F236" s="492" t="s">
        <v>128</v>
      </c>
      <c r="G236" s="497">
        <f>G237</f>
        <v>3288.6</v>
      </c>
      <c r="H236" s="501"/>
      <c r="I236" s="526"/>
      <c r="J236" s="501"/>
      <c r="K236" s="204"/>
    </row>
    <row r="237" spans="1:11" ht="31.5" x14ac:dyDescent="0.25">
      <c r="A237" s="579" t="s">
        <v>129</v>
      </c>
      <c r="B237" s="490">
        <v>902</v>
      </c>
      <c r="C237" s="492" t="s">
        <v>244</v>
      </c>
      <c r="D237" s="492" t="s">
        <v>120</v>
      </c>
      <c r="E237" s="492" t="s">
        <v>925</v>
      </c>
      <c r="F237" s="492" t="s">
        <v>130</v>
      </c>
      <c r="G237" s="713">
        <v>3288.6</v>
      </c>
      <c r="H237" s="501"/>
      <c r="I237" s="526"/>
      <c r="J237" s="501"/>
      <c r="K237" s="204"/>
    </row>
    <row r="238" spans="1:11" ht="31.5" x14ac:dyDescent="0.25">
      <c r="A238" s="579" t="s">
        <v>131</v>
      </c>
      <c r="B238" s="490">
        <v>902</v>
      </c>
      <c r="C238" s="492" t="s">
        <v>244</v>
      </c>
      <c r="D238" s="492" t="s">
        <v>120</v>
      </c>
      <c r="E238" s="492" t="s">
        <v>925</v>
      </c>
      <c r="F238" s="492" t="s">
        <v>132</v>
      </c>
      <c r="G238" s="497">
        <f>G239</f>
        <v>262.89999999999998</v>
      </c>
      <c r="H238" s="501"/>
      <c r="I238" s="526"/>
      <c r="J238" s="501"/>
      <c r="K238" s="204"/>
    </row>
    <row r="239" spans="1:11" ht="31.5" x14ac:dyDescent="0.25">
      <c r="A239" s="579" t="s">
        <v>133</v>
      </c>
      <c r="B239" s="490">
        <v>902</v>
      </c>
      <c r="C239" s="492" t="s">
        <v>244</v>
      </c>
      <c r="D239" s="492" t="s">
        <v>120</v>
      </c>
      <c r="E239" s="492" t="s">
        <v>925</v>
      </c>
      <c r="F239" s="492" t="s">
        <v>134</v>
      </c>
      <c r="G239" s="713">
        <v>262.89999999999998</v>
      </c>
      <c r="H239" s="501"/>
      <c r="I239" s="526"/>
      <c r="J239" s="501"/>
      <c r="K239" s="204"/>
    </row>
    <row r="240" spans="1:11" ht="48.75" customHeight="1" x14ac:dyDescent="0.25">
      <c r="A240" s="491" t="s">
        <v>261</v>
      </c>
      <c r="B240" s="491">
        <v>903</v>
      </c>
      <c r="C240" s="492"/>
      <c r="D240" s="492"/>
      <c r="E240" s="492"/>
      <c r="F240" s="492"/>
      <c r="G240" s="493">
        <f>G297+G366+G473+G241+G277+G498</f>
        <v>119513.76999999999</v>
      </c>
      <c r="H240" s="113"/>
      <c r="I240" s="526"/>
      <c r="J240" s="501"/>
      <c r="K240" s="204"/>
    </row>
    <row r="241" spans="1:11" ht="15.75" x14ac:dyDescent="0.25">
      <c r="A241" s="494" t="s">
        <v>117</v>
      </c>
      <c r="B241" s="491">
        <v>903</v>
      </c>
      <c r="C241" s="495" t="s">
        <v>118</v>
      </c>
      <c r="D241" s="492"/>
      <c r="E241" s="492"/>
      <c r="F241" s="492"/>
      <c r="G241" s="493">
        <f>G242</f>
        <v>790.8</v>
      </c>
      <c r="H241" s="501"/>
      <c r="I241" s="526"/>
      <c r="J241" s="501"/>
      <c r="K241" s="204"/>
    </row>
    <row r="242" spans="1:11" ht="15.75" x14ac:dyDescent="0.25">
      <c r="A242" s="494" t="s">
        <v>139</v>
      </c>
      <c r="B242" s="491">
        <v>903</v>
      </c>
      <c r="C242" s="495" t="s">
        <v>118</v>
      </c>
      <c r="D242" s="495" t="s">
        <v>140</v>
      </c>
      <c r="E242" s="492"/>
      <c r="F242" s="492"/>
      <c r="G242" s="493">
        <f>G243+G255+G272</f>
        <v>790.8</v>
      </c>
      <c r="H242" s="501"/>
      <c r="I242" s="526"/>
      <c r="J242" s="501"/>
      <c r="K242" s="204"/>
    </row>
    <row r="243" spans="1:11" ht="47.25" x14ac:dyDescent="0.25">
      <c r="A243" s="494" t="s">
        <v>1347</v>
      </c>
      <c r="B243" s="491">
        <v>903</v>
      </c>
      <c r="C243" s="8" t="s">
        <v>118</v>
      </c>
      <c r="D243" s="8" t="s">
        <v>140</v>
      </c>
      <c r="E243" s="194" t="s">
        <v>344</v>
      </c>
      <c r="F243" s="8"/>
      <c r="G243" s="493">
        <f>G244</f>
        <v>764.8</v>
      </c>
      <c r="H243" s="501"/>
      <c r="I243" s="526"/>
      <c r="J243" s="501"/>
      <c r="K243" s="204"/>
    </row>
    <row r="244" spans="1:11" ht="73.5" customHeight="1" x14ac:dyDescent="0.25">
      <c r="A244" s="572" t="s">
        <v>1348</v>
      </c>
      <c r="B244" s="491">
        <v>903</v>
      </c>
      <c r="C244" s="7" t="s">
        <v>118</v>
      </c>
      <c r="D244" s="7" t="s">
        <v>140</v>
      </c>
      <c r="E244" s="7" t="s">
        <v>359</v>
      </c>
      <c r="F244" s="7"/>
      <c r="G244" s="493">
        <f>G245</f>
        <v>764.8</v>
      </c>
      <c r="H244" s="501"/>
      <c r="I244" s="526"/>
      <c r="J244" s="501"/>
      <c r="K244" s="204"/>
    </row>
    <row r="245" spans="1:11" s="204" customFormat="1" ht="47.25" x14ac:dyDescent="0.25">
      <c r="A245" s="250" t="s">
        <v>1044</v>
      </c>
      <c r="B245" s="491">
        <v>903</v>
      </c>
      <c r="C245" s="7" t="s">
        <v>118</v>
      </c>
      <c r="D245" s="7" t="s">
        <v>140</v>
      </c>
      <c r="E245" s="7" t="s">
        <v>909</v>
      </c>
      <c r="F245" s="7"/>
      <c r="G245" s="493">
        <f>G246+G249+G252</f>
        <v>764.8</v>
      </c>
      <c r="H245" s="501"/>
      <c r="I245" s="526"/>
      <c r="J245" s="501"/>
    </row>
    <row r="246" spans="1:11" ht="31.5" x14ac:dyDescent="0.25">
      <c r="A246" s="98" t="s">
        <v>1095</v>
      </c>
      <c r="B246" s="490">
        <v>903</v>
      </c>
      <c r="C246" s="499" t="s">
        <v>118</v>
      </c>
      <c r="D246" s="499" t="s">
        <v>140</v>
      </c>
      <c r="E246" s="499" t="s">
        <v>1198</v>
      </c>
      <c r="F246" s="499"/>
      <c r="G246" s="497">
        <f>G247</f>
        <v>447.3</v>
      </c>
      <c r="H246" s="501"/>
      <c r="I246" s="526"/>
      <c r="J246" s="501"/>
      <c r="K246" s="204"/>
    </row>
    <row r="247" spans="1:11" ht="31.5" x14ac:dyDescent="0.25">
      <c r="A247" s="29" t="s">
        <v>131</v>
      </c>
      <c r="B247" s="490">
        <v>903</v>
      </c>
      <c r="C247" s="499" t="s">
        <v>118</v>
      </c>
      <c r="D247" s="499" t="s">
        <v>140</v>
      </c>
      <c r="E247" s="499" t="s">
        <v>1198</v>
      </c>
      <c r="F247" s="499" t="s">
        <v>132</v>
      </c>
      <c r="G247" s="497">
        <f>G248</f>
        <v>447.3</v>
      </c>
      <c r="H247" s="501"/>
      <c r="I247" s="526"/>
      <c r="J247" s="501"/>
      <c r="K247" s="204"/>
    </row>
    <row r="248" spans="1:11" ht="31.5" x14ac:dyDescent="0.25">
      <c r="A248" s="29" t="s">
        <v>133</v>
      </c>
      <c r="B248" s="490">
        <v>903</v>
      </c>
      <c r="C248" s="499" t="s">
        <v>118</v>
      </c>
      <c r="D248" s="499" t="s">
        <v>140</v>
      </c>
      <c r="E248" s="499" t="s">
        <v>1198</v>
      </c>
      <c r="F248" s="499" t="s">
        <v>134</v>
      </c>
      <c r="G248" s="497">
        <f>247.3+200</f>
        <v>447.3</v>
      </c>
      <c r="H248" s="501"/>
      <c r="I248" s="526"/>
      <c r="J248" s="501"/>
      <c r="K248" s="204"/>
    </row>
    <row r="249" spans="1:11" s="204" customFormat="1" ht="31.5" x14ac:dyDescent="0.25">
      <c r="A249" s="45" t="s">
        <v>1622</v>
      </c>
      <c r="B249" s="490">
        <v>903</v>
      </c>
      <c r="C249" s="499" t="s">
        <v>118</v>
      </c>
      <c r="D249" s="499" t="s">
        <v>140</v>
      </c>
      <c r="E249" s="499" t="s">
        <v>1656</v>
      </c>
      <c r="F249" s="499"/>
      <c r="G249" s="497">
        <f>G250</f>
        <v>208.6</v>
      </c>
      <c r="H249" s="501"/>
      <c r="I249" s="526"/>
      <c r="J249" s="501"/>
    </row>
    <row r="250" spans="1:11" s="204" customFormat="1" ht="31.5" x14ac:dyDescent="0.25">
      <c r="A250" s="29" t="s">
        <v>131</v>
      </c>
      <c r="B250" s="490">
        <v>903</v>
      </c>
      <c r="C250" s="499" t="s">
        <v>118</v>
      </c>
      <c r="D250" s="499" t="s">
        <v>140</v>
      </c>
      <c r="E250" s="499" t="s">
        <v>1656</v>
      </c>
      <c r="F250" s="499" t="s">
        <v>132</v>
      </c>
      <c r="G250" s="497">
        <f>G251</f>
        <v>208.6</v>
      </c>
      <c r="H250" s="501"/>
      <c r="I250" s="526"/>
      <c r="J250" s="501"/>
    </row>
    <row r="251" spans="1:11" s="204" customFormat="1" ht="31.5" x14ac:dyDescent="0.25">
      <c r="A251" s="29" t="s">
        <v>133</v>
      </c>
      <c r="B251" s="490">
        <v>903</v>
      </c>
      <c r="C251" s="499" t="s">
        <v>118</v>
      </c>
      <c r="D251" s="499" t="s">
        <v>140</v>
      </c>
      <c r="E251" s="499" t="s">
        <v>1656</v>
      </c>
      <c r="F251" s="499" t="s">
        <v>134</v>
      </c>
      <c r="G251" s="497">
        <f>200+8.6</f>
        <v>208.6</v>
      </c>
      <c r="H251" s="481"/>
      <c r="I251" s="526"/>
      <c r="J251" s="501"/>
    </row>
    <row r="252" spans="1:11" s="570" customFormat="1" ht="30.6" customHeight="1" x14ac:dyDescent="0.25">
      <c r="A252" s="29" t="s">
        <v>1750</v>
      </c>
      <c r="B252" s="490">
        <v>903</v>
      </c>
      <c r="C252" s="573" t="s">
        <v>118</v>
      </c>
      <c r="D252" s="573" t="s">
        <v>140</v>
      </c>
      <c r="E252" s="9" t="s">
        <v>1751</v>
      </c>
      <c r="F252" s="573"/>
      <c r="G252" s="497">
        <f>G254</f>
        <v>108.9</v>
      </c>
      <c r="H252" s="481"/>
      <c r="I252" s="526"/>
      <c r="J252" s="501"/>
    </row>
    <row r="253" spans="1:11" s="570" customFormat="1" ht="31.5" x14ac:dyDescent="0.25">
      <c r="A253" s="29" t="s">
        <v>131</v>
      </c>
      <c r="B253" s="490">
        <v>903</v>
      </c>
      <c r="C253" s="573" t="s">
        <v>118</v>
      </c>
      <c r="D253" s="573" t="s">
        <v>140</v>
      </c>
      <c r="E253" s="9" t="s">
        <v>1751</v>
      </c>
      <c r="F253" s="573" t="s">
        <v>132</v>
      </c>
      <c r="G253" s="497">
        <f>G254</f>
        <v>108.9</v>
      </c>
      <c r="H253" s="481"/>
      <c r="I253" s="526"/>
      <c r="J253" s="501"/>
    </row>
    <row r="254" spans="1:11" s="570" customFormat="1" ht="31.5" x14ac:dyDescent="0.25">
      <c r="A254" s="29" t="s">
        <v>133</v>
      </c>
      <c r="B254" s="490">
        <v>903</v>
      </c>
      <c r="C254" s="573" t="s">
        <v>118</v>
      </c>
      <c r="D254" s="573" t="s">
        <v>140</v>
      </c>
      <c r="E254" s="9" t="s">
        <v>1751</v>
      </c>
      <c r="F254" s="573" t="s">
        <v>134</v>
      </c>
      <c r="G254" s="497">
        <f>99+9.9</f>
        <v>108.9</v>
      </c>
      <c r="H254" s="481"/>
      <c r="I254" s="526"/>
      <c r="J254" s="501"/>
    </row>
    <row r="255" spans="1:11" ht="31.5" x14ac:dyDescent="0.25">
      <c r="A255" s="494" t="s">
        <v>1349</v>
      </c>
      <c r="B255" s="491">
        <v>903</v>
      </c>
      <c r="C255" s="495" t="s">
        <v>118</v>
      </c>
      <c r="D255" s="495" t="s">
        <v>140</v>
      </c>
      <c r="E255" s="495" t="s">
        <v>335</v>
      </c>
      <c r="F255" s="495"/>
      <c r="G255" s="493">
        <f>G256</f>
        <v>20</v>
      </c>
      <c r="H255" s="481"/>
      <c r="I255" s="526"/>
      <c r="J255" s="501"/>
      <c r="K255" s="204"/>
    </row>
    <row r="256" spans="1:11" s="204" customFormat="1" ht="31.5" x14ac:dyDescent="0.25">
      <c r="A256" s="494" t="s">
        <v>1049</v>
      </c>
      <c r="B256" s="491">
        <v>903</v>
      </c>
      <c r="C256" s="495" t="s">
        <v>118</v>
      </c>
      <c r="D256" s="495" t="s">
        <v>140</v>
      </c>
      <c r="E256" s="495" t="s">
        <v>1050</v>
      </c>
      <c r="F256" s="495"/>
      <c r="G256" s="493">
        <f>G257+G260+G263+G266+G269</f>
        <v>20</v>
      </c>
      <c r="H256" s="501"/>
      <c r="I256" s="526"/>
      <c r="J256" s="501"/>
    </row>
    <row r="257" spans="1:11" ht="31.5" hidden="1" x14ac:dyDescent="0.25">
      <c r="A257" s="97" t="s">
        <v>336</v>
      </c>
      <c r="B257" s="490">
        <v>903</v>
      </c>
      <c r="C257" s="492" t="s">
        <v>118</v>
      </c>
      <c r="D257" s="492" t="s">
        <v>140</v>
      </c>
      <c r="E257" s="492" t="s">
        <v>1051</v>
      </c>
      <c r="F257" s="492"/>
      <c r="G257" s="497">
        <f>G258</f>
        <v>0</v>
      </c>
      <c r="H257" s="501"/>
      <c r="I257" s="526"/>
      <c r="J257" s="501"/>
      <c r="K257" s="204"/>
    </row>
    <row r="258" spans="1:11" ht="31.5" hidden="1" x14ac:dyDescent="0.25">
      <c r="A258" s="496" t="s">
        <v>131</v>
      </c>
      <c r="B258" s="490">
        <v>903</v>
      </c>
      <c r="C258" s="492" t="s">
        <v>118</v>
      </c>
      <c r="D258" s="492" t="s">
        <v>140</v>
      </c>
      <c r="E258" s="492" t="s">
        <v>1051</v>
      </c>
      <c r="F258" s="492" t="s">
        <v>132</v>
      </c>
      <c r="G258" s="497">
        <f>G259</f>
        <v>0</v>
      </c>
      <c r="H258" s="501"/>
      <c r="I258" s="526"/>
      <c r="J258" s="501"/>
      <c r="K258" s="204"/>
    </row>
    <row r="259" spans="1:11" ht="31.5" hidden="1" x14ac:dyDescent="0.25">
      <c r="A259" s="496" t="s">
        <v>133</v>
      </c>
      <c r="B259" s="490">
        <v>903</v>
      </c>
      <c r="C259" s="492" t="s">
        <v>118</v>
      </c>
      <c r="D259" s="492" t="s">
        <v>140</v>
      </c>
      <c r="E259" s="492" t="s">
        <v>1051</v>
      </c>
      <c r="F259" s="492" t="s">
        <v>134</v>
      </c>
      <c r="G259" s="497">
        <v>0</v>
      </c>
      <c r="H259" s="501"/>
      <c r="I259" s="526"/>
      <c r="J259" s="501"/>
      <c r="K259" s="204"/>
    </row>
    <row r="260" spans="1:11" ht="15.75" x14ac:dyDescent="0.25">
      <c r="A260" s="579" t="s">
        <v>338</v>
      </c>
      <c r="B260" s="490">
        <v>903</v>
      </c>
      <c r="C260" s="492" t="s">
        <v>118</v>
      </c>
      <c r="D260" s="492" t="s">
        <v>140</v>
      </c>
      <c r="E260" s="492" t="s">
        <v>1052</v>
      </c>
      <c r="F260" s="492"/>
      <c r="G260" s="497">
        <f>G261</f>
        <v>20</v>
      </c>
      <c r="H260" s="501"/>
      <c r="I260" s="526"/>
      <c r="J260" s="501"/>
      <c r="K260" s="204"/>
    </row>
    <row r="261" spans="1:11" ht="31.5" x14ac:dyDescent="0.25">
      <c r="A261" s="579" t="s">
        <v>131</v>
      </c>
      <c r="B261" s="490">
        <v>903</v>
      </c>
      <c r="C261" s="492" t="s">
        <v>118</v>
      </c>
      <c r="D261" s="492" t="s">
        <v>140</v>
      </c>
      <c r="E261" s="492" t="s">
        <v>1052</v>
      </c>
      <c r="F261" s="492" t="s">
        <v>132</v>
      </c>
      <c r="G261" s="497">
        <f>G262</f>
        <v>20</v>
      </c>
      <c r="H261" s="501"/>
      <c r="I261" s="526"/>
      <c r="J261" s="501"/>
      <c r="K261" s="204"/>
    </row>
    <row r="262" spans="1:11" ht="31.5" x14ac:dyDescent="0.25">
      <c r="A262" s="579" t="s">
        <v>133</v>
      </c>
      <c r="B262" s="490">
        <v>903</v>
      </c>
      <c r="C262" s="492" t="s">
        <v>118</v>
      </c>
      <c r="D262" s="492" t="s">
        <v>140</v>
      </c>
      <c r="E262" s="492" t="s">
        <v>1052</v>
      </c>
      <c r="F262" s="492" t="s">
        <v>134</v>
      </c>
      <c r="G262" s="497">
        <v>20</v>
      </c>
      <c r="H262" s="501"/>
      <c r="I262" s="526"/>
      <c r="J262" s="501"/>
      <c r="K262" s="204"/>
    </row>
    <row r="263" spans="1:11" ht="36.75" hidden="1" customHeight="1" x14ac:dyDescent="0.25">
      <c r="A263" s="31" t="s">
        <v>771</v>
      </c>
      <c r="B263" s="490">
        <v>903</v>
      </c>
      <c r="C263" s="492" t="s">
        <v>118</v>
      </c>
      <c r="D263" s="492" t="s">
        <v>140</v>
      </c>
      <c r="E263" s="492" t="s">
        <v>1053</v>
      </c>
      <c r="F263" s="492"/>
      <c r="G263" s="497">
        <f>G264</f>
        <v>0</v>
      </c>
      <c r="H263" s="501"/>
      <c r="I263" s="526"/>
      <c r="J263" s="501"/>
      <c r="K263" s="204"/>
    </row>
    <row r="264" spans="1:11" ht="31.15" hidden="1" customHeight="1" x14ac:dyDescent="0.25">
      <c r="A264" s="496" t="s">
        <v>131</v>
      </c>
      <c r="B264" s="490">
        <v>903</v>
      </c>
      <c r="C264" s="492" t="s">
        <v>118</v>
      </c>
      <c r="D264" s="492" t="s">
        <v>140</v>
      </c>
      <c r="E264" s="492" t="s">
        <v>1053</v>
      </c>
      <c r="F264" s="492" t="s">
        <v>132</v>
      </c>
      <c r="G264" s="497">
        <f>G265</f>
        <v>0</v>
      </c>
      <c r="H264" s="501"/>
      <c r="I264" s="526"/>
      <c r="J264" s="501"/>
      <c r="K264" s="204"/>
    </row>
    <row r="265" spans="1:11" ht="31.15" hidden="1" customHeight="1" x14ac:dyDescent="0.25">
      <c r="A265" s="496" t="s">
        <v>133</v>
      </c>
      <c r="B265" s="490">
        <v>903</v>
      </c>
      <c r="C265" s="492" t="s">
        <v>118</v>
      </c>
      <c r="D265" s="492" t="s">
        <v>140</v>
      </c>
      <c r="E265" s="492" t="s">
        <v>1053</v>
      </c>
      <c r="F265" s="492" t="s">
        <v>134</v>
      </c>
      <c r="G265" s="497">
        <v>0</v>
      </c>
      <c r="H265" s="501"/>
      <c r="I265" s="526"/>
      <c r="J265" s="501"/>
      <c r="K265" s="204"/>
    </row>
    <row r="266" spans="1:11" ht="15.6" hidden="1" customHeight="1" x14ac:dyDescent="0.25">
      <c r="A266" s="496" t="s">
        <v>994</v>
      </c>
      <c r="B266" s="490">
        <v>903</v>
      </c>
      <c r="C266" s="492" t="s">
        <v>118</v>
      </c>
      <c r="D266" s="492" t="s">
        <v>140</v>
      </c>
      <c r="E266" s="492" t="s">
        <v>1054</v>
      </c>
      <c r="F266" s="492"/>
      <c r="G266" s="497">
        <f>G267</f>
        <v>0</v>
      </c>
      <c r="H266" s="501"/>
      <c r="I266" s="526"/>
      <c r="J266" s="501"/>
      <c r="K266" s="204"/>
    </row>
    <row r="267" spans="1:11" ht="31.15" hidden="1" customHeight="1" x14ac:dyDescent="0.25">
      <c r="A267" s="496" t="s">
        <v>131</v>
      </c>
      <c r="B267" s="490">
        <v>903</v>
      </c>
      <c r="C267" s="492" t="s">
        <v>118</v>
      </c>
      <c r="D267" s="492" t="s">
        <v>140</v>
      </c>
      <c r="E267" s="492" t="s">
        <v>1054</v>
      </c>
      <c r="F267" s="492" t="s">
        <v>132</v>
      </c>
      <c r="G267" s="497">
        <f>G268</f>
        <v>0</v>
      </c>
      <c r="H267" s="501"/>
      <c r="I267" s="526"/>
      <c r="J267" s="501"/>
      <c r="K267" s="204"/>
    </row>
    <row r="268" spans="1:11" ht="31.15" hidden="1" customHeight="1" x14ac:dyDescent="0.25">
      <c r="A268" s="496" t="s">
        <v>133</v>
      </c>
      <c r="B268" s="490">
        <v>903</v>
      </c>
      <c r="C268" s="492" t="s">
        <v>118</v>
      </c>
      <c r="D268" s="492" t="s">
        <v>140</v>
      </c>
      <c r="E268" s="492" t="s">
        <v>1054</v>
      </c>
      <c r="F268" s="492" t="s">
        <v>134</v>
      </c>
      <c r="G268" s="497">
        <v>0</v>
      </c>
      <c r="H268" s="501"/>
      <c r="I268" s="526"/>
      <c r="J268" s="501"/>
      <c r="K268" s="204"/>
    </row>
    <row r="269" spans="1:11" ht="40.700000000000003" hidden="1" customHeight="1" x14ac:dyDescent="0.25">
      <c r="A269" s="31" t="s">
        <v>772</v>
      </c>
      <c r="B269" s="490">
        <v>903</v>
      </c>
      <c r="C269" s="492" t="s">
        <v>118</v>
      </c>
      <c r="D269" s="492" t="s">
        <v>140</v>
      </c>
      <c r="E269" s="492" t="s">
        <v>1055</v>
      </c>
      <c r="F269" s="492"/>
      <c r="G269" s="497">
        <f>G270</f>
        <v>0</v>
      </c>
      <c r="H269" s="501"/>
      <c r="I269" s="526"/>
      <c r="J269" s="501"/>
      <c r="K269" s="204"/>
    </row>
    <row r="270" spans="1:11" ht="31.15" hidden="1" customHeight="1" x14ac:dyDescent="0.25">
      <c r="A270" s="496" t="s">
        <v>131</v>
      </c>
      <c r="B270" s="490">
        <v>903</v>
      </c>
      <c r="C270" s="492" t="s">
        <v>118</v>
      </c>
      <c r="D270" s="492" t="s">
        <v>140</v>
      </c>
      <c r="E270" s="492" t="s">
        <v>1055</v>
      </c>
      <c r="F270" s="492" t="s">
        <v>132</v>
      </c>
      <c r="G270" s="497">
        <f>G271</f>
        <v>0</v>
      </c>
      <c r="H270" s="501"/>
      <c r="I270" s="526"/>
      <c r="J270" s="501"/>
      <c r="K270" s="204"/>
    </row>
    <row r="271" spans="1:11" ht="31.15" hidden="1" customHeight="1" x14ac:dyDescent="0.25">
      <c r="A271" s="496" t="s">
        <v>133</v>
      </c>
      <c r="B271" s="490">
        <v>903</v>
      </c>
      <c r="C271" s="492" t="s">
        <v>118</v>
      </c>
      <c r="D271" s="492" t="s">
        <v>140</v>
      </c>
      <c r="E271" s="492" t="s">
        <v>1055</v>
      </c>
      <c r="F271" s="492" t="s">
        <v>134</v>
      </c>
      <c r="G271" s="497">
        <v>0</v>
      </c>
      <c r="H271" s="501"/>
      <c r="I271" s="526"/>
      <c r="J271" s="501"/>
      <c r="K271" s="204"/>
    </row>
    <row r="272" spans="1:11" ht="47.25" x14ac:dyDescent="0.25">
      <c r="A272" s="572" t="s">
        <v>1350</v>
      </c>
      <c r="B272" s="491">
        <v>903</v>
      </c>
      <c r="C272" s="495" t="s">
        <v>118</v>
      </c>
      <c r="D272" s="495" t="s">
        <v>140</v>
      </c>
      <c r="E272" s="495" t="s">
        <v>705</v>
      </c>
      <c r="F272" s="495"/>
      <c r="G272" s="493">
        <f>G274</f>
        <v>6</v>
      </c>
      <c r="H272" s="501"/>
      <c r="I272" s="526"/>
      <c r="J272" s="501"/>
      <c r="K272" s="204"/>
    </row>
    <row r="273" spans="1:11" s="204" customFormat="1" ht="44.45" customHeight="1" x14ac:dyDescent="0.25">
      <c r="A273" s="571" t="s">
        <v>846</v>
      </c>
      <c r="B273" s="491">
        <v>903</v>
      </c>
      <c r="C273" s="495" t="s">
        <v>118</v>
      </c>
      <c r="D273" s="495" t="s">
        <v>140</v>
      </c>
      <c r="E273" s="495" t="s">
        <v>852</v>
      </c>
      <c r="F273" s="495"/>
      <c r="G273" s="493">
        <f t="shared" ref="G273:G275" si="16">G274</f>
        <v>6</v>
      </c>
      <c r="H273" s="501"/>
      <c r="I273" s="526"/>
      <c r="J273" s="501"/>
    </row>
    <row r="274" spans="1:11" ht="31.5" x14ac:dyDescent="0.25">
      <c r="A274" s="98" t="s">
        <v>776</v>
      </c>
      <c r="B274" s="490">
        <v>903</v>
      </c>
      <c r="C274" s="492" t="s">
        <v>118</v>
      </c>
      <c r="D274" s="492" t="s">
        <v>140</v>
      </c>
      <c r="E274" s="492" t="s">
        <v>847</v>
      </c>
      <c r="F274" s="492"/>
      <c r="G274" s="497">
        <f t="shared" si="16"/>
        <v>6</v>
      </c>
      <c r="H274" s="501"/>
      <c r="I274" s="526"/>
      <c r="J274" s="501"/>
      <c r="K274" s="204"/>
    </row>
    <row r="275" spans="1:11" ht="31.5" x14ac:dyDescent="0.25">
      <c r="A275" s="579" t="s">
        <v>131</v>
      </c>
      <c r="B275" s="490">
        <v>903</v>
      </c>
      <c r="C275" s="492" t="s">
        <v>118</v>
      </c>
      <c r="D275" s="492" t="s">
        <v>140</v>
      </c>
      <c r="E275" s="492" t="s">
        <v>847</v>
      </c>
      <c r="F275" s="492" t="s">
        <v>132</v>
      </c>
      <c r="G275" s="497">
        <f t="shared" si="16"/>
        <v>6</v>
      </c>
      <c r="H275" s="501"/>
      <c r="I275" s="526"/>
      <c r="J275" s="501"/>
      <c r="K275" s="204"/>
    </row>
    <row r="276" spans="1:11" ht="31.5" x14ac:dyDescent="0.25">
      <c r="A276" s="579" t="s">
        <v>133</v>
      </c>
      <c r="B276" s="490">
        <v>903</v>
      </c>
      <c r="C276" s="492" t="s">
        <v>118</v>
      </c>
      <c r="D276" s="492" t="s">
        <v>140</v>
      </c>
      <c r="E276" s="492" t="s">
        <v>847</v>
      </c>
      <c r="F276" s="492" t="s">
        <v>134</v>
      </c>
      <c r="G276" s="497">
        <v>6</v>
      </c>
      <c r="H276" s="501"/>
      <c r="I276" s="526"/>
      <c r="J276" s="501"/>
      <c r="K276" s="204"/>
    </row>
    <row r="277" spans="1:11" ht="21.2" customHeight="1" x14ac:dyDescent="0.25">
      <c r="A277" s="217" t="s">
        <v>232</v>
      </c>
      <c r="B277" s="491">
        <v>903</v>
      </c>
      <c r="C277" s="495" t="s">
        <v>150</v>
      </c>
      <c r="D277" s="492"/>
      <c r="E277" s="492"/>
      <c r="F277" s="498"/>
      <c r="G277" s="493">
        <f t="shared" ref="G277:G279" si="17">G278</f>
        <v>260</v>
      </c>
      <c r="H277" s="501"/>
      <c r="I277" s="526"/>
      <c r="J277" s="501"/>
      <c r="K277" s="204"/>
    </row>
    <row r="278" spans="1:11" ht="21.2" customHeight="1" x14ac:dyDescent="0.25">
      <c r="A278" s="494" t="s">
        <v>237</v>
      </c>
      <c r="B278" s="491">
        <v>903</v>
      </c>
      <c r="C278" s="495" t="s">
        <v>150</v>
      </c>
      <c r="D278" s="495" t="s">
        <v>238</v>
      </c>
      <c r="E278" s="492"/>
      <c r="F278" s="498"/>
      <c r="G278" s="493">
        <f t="shared" si="17"/>
        <v>260</v>
      </c>
      <c r="H278" s="501"/>
      <c r="I278" s="526"/>
      <c r="J278" s="501"/>
      <c r="K278" s="204"/>
    </row>
    <row r="279" spans="1:11" ht="54" customHeight="1" x14ac:dyDescent="0.25">
      <c r="A279" s="494" t="s">
        <v>1347</v>
      </c>
      <c r="B279" s="491">
        <v>903</v>
      </c>
      <c r="C279" s="495" t="s">
        <v>150</v>
      </c>
      <c r="D279" s="495" t="s">
        <v>238</v>
      </c>
      <c r="E279" s="495" t="s">
        <v>344</v>
      </c>
      <c r="F279" s="504"/>
      <c r="G279" s="493">
        <f t="shared" si="17"/>
        <v>260</v>
      </c>
      <c r="H279" s="501"/>
      <c r="I279" s="526"/>
      <c r="J279" s="501"/>
      <c r="K279" s="204"/>
    </row>
    <row r="280" spans="1:11" ht="53.45" customHeight="1" x14ac:dyDescent="0.25">
      <c r="A280" s="494" t="s">
        <v>367</v>
      </c>
      <c r="B280" s="491">
        <v>903</v>
      </c>
      <c r="C280" s="495" t="s">
        <v>150</v>
      </c>
      <c r="D280" s="495" t="s">
        <v>238</v>
      </c>
      <c r="E280" s="495" t="s">
        <v>356</v>
      </c>
      <c r="F280" s="495"/>
      <c r="G280" s="493">
        <f>G281+G285+G289+G293</f>
        <v>260</v>
      </c>
      <c r="H280" s="501"/>
      <c r="I280" s="526"/>
      <c r="J280" s="501"/>
      <c r="K280" s="204"/>
    </row>
    <row r="281" spans="1:11" s="204" customFormat="1" ht="33" hidden="1" customHeight="1" x14ac:dyDescent="0.25">
      <c r="A281" s="215" t="s">
        <v>1042</v>
      </c>
      <c r="B281" s="491">
        <v>903</v>
      </c>
      <c r="C281" s="495" t="s">
        <v>150</v>
      </c>
      <c r="D281" s="495" t="s">
        <v>238</v>
      </c>
      <c r="E281" s="495" t="s">
        <v>907</v>
      </c>
      <c r="F281" s="495"/>
      <c r="G281" s="493">
        <f t="shared" ref="G281:G283" si="18">G282</f>
        <v>0</v>
      </c>
      <c r="H281" s="501"/>
      <c r="I281" s="526"/>
      <c r="J281" s="501"/>
    </row>
    <row r="282" spans="1:11" ht="47.25" hidden="1" customHeight="1" x14ac:dyDescent="0.25">
      <c r="A282" s="496" t="s">
        <v>1093</v>
      </c>
      <c r="B282" s="490">
        <v>903</v>
      </c>
      <c r="C282" s="492" t="s">
        <v>150</v>
      </c>
      <c r="D282" s="492" t="s">
        <v>238</v>
      </c>
      <c r="E282" s="492" t="s">
        <v>1316</v>
      </c>
      <c r="F282" s="492"/>
      <c r="G282" s="497">
        <f t="shared" si="18"/>
        <v>0</v>
      </c>
      <c r="H282" s="501"/>
      <c r="I282" s="526"/>
      <c r="J282" s="501"/>
      <c r="K282" s="204"/>
    </row>
    <row r="283" spans="1:11" ht="21.2" hidden="1" customHeight="1" x14ac:dyDescent="0.25">
      <c r="A283" s="496" t="s">
        <v>248</v>
      </c>
      <c r="B283" s="490">
        <v>903</v>
      </c>
      <c r="C283" s="492" t="s">
        <v>150</v>
      </c>
      <c r="D283" s="492" t="s">
        <v>238</v>
      </c>
      <c r="E283" s="492" t="s">
        <v>1316</v>
      </c>
      <c r="F283" s="492" t="s">
        <v>249</v>
      </c>
      <c r="G283" s="497">
        <f t="shared" si="18"/>
        <v>0</v>
      </c>
      <c r="H283" s="501"/>
      <c r="I283" s="526"/>
      <c r="J283" s="501"/>
      <c r="K283" s="204"/>
    </row>
    <row r="284" spans="1:11" ht="29.25" hidden="1" customHeight="1" x14ac:dyDescent="0.25">
      <c r="A284" s="496" t="s">
        <v>250</v>
      </c>
      <c r="B284" s="490">
        <v>903</v>
      </c>
      <c r="C284" s="492" t="s">
        <v>150</v>
      </c>
      <c r="D284" s="492" t="s">
        <v>238</v>
      </c>
      <c r="E284" s="492" t="s">
        <v>1316</v>
      </c>
      <c r="F284" s="492" t="s">
        <v>251</v>
      </c>
      <c r="G284" s="497">
        <v>0</v>
      </c>
      <c r="H284" s="501"/>
      <c r="I284" s="526"/>
      <c r="J284" s="501"/>
      <c r="K284" s="204"/>
    </row>
    <row r="285" spans="1:11" s="204" customFormat="1" ht="33" customHeight="1" x14ac:dyDescent="0.25">
      <c r="A285" s="494" t="s">
        <v>1041</v>
      </c>
      <c r="B285" s="491">
        <v>903</v>
      </c>
      <c r="C285" s="495" t="s">
        <v>150</v>
      </c>
      <c r="D285" s="495" t="s">
        <v>238</v>
      </c>
      <c r="E285" s="495" t="s">
        <v>1199</v>
      </c>
      <c r="F285" s="495"/>
      <c r="G285" s="493">
        <f t="shared" ref="G285:G287" si="19">G286</f>
        <v>260</v>
      </c>
      <c r="H285" s="501"/>
      <c r="I285" s="526"/>
      <c r="J285" s="501"/>
    </row>
    <row r="286" spans="1:11" s="204" customFormat="1" ht="94.5" x14ac:dyDescent="0.25">
      <c r="A286" s="579" t="s">
        <v>373</v>
      </c>
      <c r="B286" s="490">
        <v>903</v>
      </c>
      <c r="C286" s="492" t="s">
        <v>150</v>
      </c>
      <c r="D286" s="492" t="s">
        <v>238</v>
      </c>
      <c r="E286" s="492" t="s">
        <v>1200</v>
      </c>
      <c r="F286" s="492"/>
      <c r="G286" s="497">
        <f t="shared" si="19"/>
        <v>260</v>
      </c>
      <c r="H286" s="501"/>
      <c r="I286" s="526"/>
      <c r="J286" s="501"/>
    </row>
    <row r="287" spans="1:11" s="204" customFormat="1" ht="39.200000000000003" customHeight="1" x14ac:dyDescent="0.25">
      <c r="A287" s="579" t="s">
        <v>272</v>
      </c>
      <c r="B287" s="490">
        <v>903</v>
      </c>
      <c r="C287" s="492" t="s">
        <v>150</v>
      </c>
      <c r="D287" s="492" t="s">
        <v>238</v>
      </c>
      <c r="E287" s="492" t="s">
        <v>1200</v>
      </c>
      <c r="F287" s="492" t="s">
        <v>273</v>
      </c>
      <c r="G287" s="497">
        <f t="shared" si="19"/>
        <v>260</v>
      </c>
      <c r="H287" s="501"/>
      <c r="I287" s="526"/>
      <c r="J287" s="501"/>
    </row>
    <row r="288" spans="1:11" s="204" customFormat="1" ht="63" x14ac:dyDescent="0.25">
      <c r="A288" s="579" t="s">
        <v>1089</v>
      </c>
      <c r="B288" s="490">
        <v>903</v>
      </c>
      <c r="C288" s="492" t="s">
        <v>150</v>
      </c>
      <c r="D288" s="492" t="s">
        <v>238</v>
      </c>
      <c r="E288" s="492" t="s">
        <v>1200</v>
      </c>
      <c r="F288" s="492" t="s">
        <v>372</v>
      </c>
      <c r="G288" s="497">
        <f>200+60</f>
        <v>260</v>
      </c>
      <c r="H288" s="501"/>
      <c r="I288" s="526"/>
      <c r="J288" s="501"/>
    </row>
    <row r="289" spans="1:11" s="204" customFormat="1" ht="21.2" hidden="1" customHeight="1" x14ac:dyDescent="0.25">
      <c r="A289" s="494" t="s">
        <v>995</v>
      </c>
      <c r="B289" s="491">
        <v>903</v>
      </c>
      <c r="C289" s="495" t="s">
        <v>150</v>
      </c>
      <c r="D289" s="495" t="s">
        <v>238</v>
      </c>
      <c r="E289" s="495" t="s">
        <v>1309</v>
      </c>
      <c r="F289" s="495"/>
      <c r="G289" s="493">
        <f t="shared" ref="G289:G291" si="20">G290</f>
        <v>0</v>
      </c>
      <c r="H289" s="501"/>
      <c r="I289" s="526"/>
      <c r="J289" s="501"/>
    </row>
    <row r="290" spans="1:11" s="204" customFormat="1" ht="41.25" hidden="1" customHeight="1" x14ac:dyDescent="0.25">
      <c r="A290" s="496" t="s">
        <v>377</v>
      </c>
      <c r="B290" s="490">
        <v>903</v>
      </c>
      <c r="C290" s="492" t="s">
        <v>150</v>
      </c>
      <c r="D290" s="492" t="s">
        <v>238</v>
      </c>
      <c r="E290" s="492" t="s">
        <v>1310</v>
      </c>
      <c r="F290" s="492"/>
      <c r="G290" s="497">
        <f t="shared" si="20"/>
        <v>0</v>
      </c>
      <c r="H290" s="501"/>
      <c r="I290" s="526"/>
      <c r="J290" s="501"/>
    </row>
    <row r="291" spans="1:11" s="204" customFormat="1" ht="29.25" hidden="1" customHeight="1" x14ac:dyDescent="0.25">
      <c r="A291" s="496" t="s">
        <v>131</v>
      </c>
      <c r="B291" s="490">
        <v>903</v>
      </c>
      <c r="C291" s="492" t="s">
        <v>150</v>
      </c>
      <c r="D291" s="492" t="s">
        <v>238</v>
      </c>
      <c r="E291" s="492" t="s">
        <v>1310</v>
      </c>
      <c r="F291" s="492" t="s">
        <v>132</v>
      </c>
      <c r="G291" s="497">
        <f t="shared" si="20"/>
        <v>0</v>
      </c>
      <c r="H291" s="501"/>
      <c r="I291" s="526"/>
      <c r="J291" s="501"/>
    </row>
    <row r="292" spans="1:11" s="204" customFormat="1" ht="29.25" hidden="1" customHeight="1" x14ac:dyDescent="0.25">
      <c r="A292" s="496" t="s">
        <v>133</v>
      </c>
      <c r="B292" s="490">
        <v>903</v>
      </c>
      <c r="C292" s="492" t="s">
        <v>150</v>
      </c>
      <c r="D292" s="492" t="s">
        <v>238</v>
      </c>
      <c r="E292" s="492" t="s">
        <v>1310</v>
      </c>
      <c r="F292" s="492" t="s">
        <v>134</v>
      </c>
      <c r="G292" s="497">
        <v>0</v>
      </c>
      <c r="H292" s="501"/>
      <c r="I292" s="526"/>
      <c r="J292" s="501"/>
    </row>
    <row r="293" spans="1:11" s="204" customFormat="1" ht="33.75" hidden="1" customHeight="1" x14ac:dyDescent="0.25">
      <c r="A293" s="503" t="s">
        <v>1102</v>
      </c>
      <c r="B293" s="491">
        <v>903</v>
      </c>
      <c r="C293" s="495" t="s">
        <v>150</v>
      </c>
      <c r="D293" s="495" t="s">
        <v>238</v>
      </c>
      <c r="E293" s="495" t="s">
        <v>1201</v>
      </c>
      <c r="F293" s="495"/>
      <c r="G293" s="493">
        <f t="shared" ref="G293:G295" si="21">G294</f>
        <v>0</v>
      </c>
      <c r="H293" s="501"/>
      <c r="I293" s="526"/>
      <c r="J293" s="501"/>
    </row>
    <row r="294" spans="1:11" s="204" customFormat="1" ht="29.25" hidden="1" customHeight="1" x14ac:dyDescent="0.25">
      <c r="A294" s="231" t="s">
        <v>1148</v>
      </c>
      <c r="B294" s="490">
        <v>903</v>
      </c>
      <c r="C294" s="492" t="s">
        <v>150</v>
      </c>
      <c r="D294" s="492" t="s">
        <v>238</v>
      </c>
      <c r="E294" s="492" t="s">
        <v>1202</v>
      </c>
      <c r="F294" s="492"/>
      <c r="G294" s="497">
        <f t="shared" si="21"/>
        <v>0</v>
      </c>
      <c r="H294" s="501"/>
      <c r="I294" s="526"/>
      <c r="J294" s="501"/>
    </row>
    <row r="295" spans="1:11" s="204" customFormat="1" ht="29.25" hidden="1" customHeight="1" x14ac:dyDescent="0.25">
      <c r="A295" s="496" t="s">
        <v>131</v>
      </c>
      <c r="B295" s="490">
        <v>903</v>
      </c>
      <c r="C295" s="492" t="s">
        <v>150</v>
      </c>
      <c r="D295" s="492" t="s">
        <v>238</v>
      </c>
      <c r="E295" s="492" t="s">
        <v>1202</v>
      </c>
      <c r="F295" s="492" t="s">
        <v>132</v>
      </c>
      <c r="G295" s="497">
        <f t="shared" si="21"/>
        <v>0</v>
      </c>
      <c r="H295" s="501"/>
      <c r="I295" s="526"/>
      <c r="J295" s="501"/>
    </row>
    <row r="296" spans="1:11" s="204" customFormat="1" ht="29.25" hidden="1" customHeight="1" x14ac:dyDescent="0.25">
      <c r="A296" s="496" t="s">
        <v>133</v>
      </c>
      <c r="B296" s="490">
        <v>903</v>
      </c>
      <c r="C296" s="492" t="s">
        <v>150</v>
      </c>
      <c r="D296" s="492" t="s">
        <v>238</v>
      </c>
      <c r="E296" s="492" t="s">
        <v>1202</v>
      </c>
      <c r="F296" s="492" t="s">
        <v>134</v>
      </c>
      <c r="G296" s="497">
        <v>0</v>
      </c>
      <c r="H296" s="501"/>
      <c r="I296" s="526"/>
      <c r="J296" s="501"/>
    </row>
    <row r="297" spans="1:11" ht="15.75" x14ac:dyDescent="0.25">
      <c r="A297" s="494" t="s">
        <v>263</v>
      </c>
      <c r="B297" s="491">
        <v>903</v>
      </c>
      <c r="C297" s="495" t="s">
        <v>264</v>
      </c>
      <c r="D297" s="492"/>
      <c r="E297" s="492"/>
      <c r="F297" s="492"/>
      <c r="G297" s="493">
        <f>G298+G341+G361</f>
        <v>21510.600000000002</v>
      </c>
      <c r="H297" s="113">
        <f>G297+G593</f>
        <v>384414.46000000008</v>
      </c>
      <c r="I297" s="526"/>
      <c r="J297" s="501"/>
      <c r="K297" s="204"/>
    </row>
    <row r="298" spans="1:11" ht="15.75" x14ac:dyDescent="0.25">
      <c r="A298" s="494" t="s">
        <v>265</v>
      </c>
      <c r="B298" s="491">
        <v>903</v>
      </c>
      <c r="C298" s="495" t="s">
        <v>264</v>
      </c>
      <c r="D298" s="495" t="s">
        <v>215</v>
      </c>
      <c r="E298" s="495"/>
      <c r="F298" s="495"/>
      <c r="G298" s="493">
        <f>G299+G336+G331</f>
        <v>20750.500000000004</v>
      </c>
      <c r="H298" s="501"/>
      <c r="I298" s="526"/>
      <c r="J298" s="501"/>
      <c r="K298" s="204"/>
    </row>
    <row r="299" spans="1:11" ht="31.5" x14ac:dyDescent="0.25">
      <c r="A299" s="494" t="s">
        <v>1351</v>
      </c>
      <c r="B299" s="491">
        <v>903</v>
      </c>
      <c r="C299" s="495" t="s">
        <v>264</v>
      </c>
      <c r="D299" s="495" t="s">
        <v>215</v>
      </c>
      <c r="E299" s="495" t="s">
        <v>267</v>
      </c>
      <c r="F299" s="495"/>
      <c r="G299" s="493">
        <f>G300+G311+G320+G324</f>
        <v>20253.600000000002</v>
      </c>
      <c r="H299" s="501"/>
      <c r="I299" s="526"/>
      <c r="J299" s="501"/>
      <c r="K299" s="204"/>
    </row>
    <row r="300" spans="1:11" s="204" customFormat="1" ht="31.5" x14ac:dyDescent="0.25">
      <c r="A300" s="494" t="s">
        <v>1299</v>
      </c>
      <c r="B300" s="491">
        <v>903</v>
      </c>
      <c r="C300" s="495" t="s">
        <v>264</v>
      </c>
      <c r="D300" s="495" t="s">
        <v>215</v>
      </c>
      <c r="E300" s="495" t="s">
        <v>1203</v>
      </c>
      <c r="F300" s="495"/>
      <c r="G300" s="44">
        <f>G301+G308</f>
        <v>18323.2</v>
      </c>
      <c r="H300" s="501"/>
      <c r="I300" s="526"/>
      <c r="J300" s="501"/>
    </row>
    <row r="301" spans="1:11" s="204" customFormat="1" ht="15.75" x14ac:dyDescent="0.25">
      <c r="A301" s="579" t="s">
        <v>800</v>
      </c>
      <c r="B301" s="490">
        <v>903</v>
      </c>
      <c r="C301" s="492" t="s">
        <v>264</v>
      </c>
      <c r="D301" s="492" t="s">
        <v>215</v>
      </c>
      <c r="E301" s="492" t="s">
        <v>1204</v>
      </c>
      <c r="F301" s="492"/>
      <c r="G301" s="27">
        <f>G302+G304+G306</f>
        <v>18323.2</v>
      </c>
      <c r="H301" s="501"/>
      <c r="I301" s="526"/>
      <c r="J301" s="501"/>
    </row>
    <row r="302" spans="1:11" s="204" customFormat="1" ht="63" x14ac:dyDescent="0.25">
      <c r="A302" s="579" t="s">
        <v>127</v>
      </c>
      <c r="B302" s="490">
        <v>903</v>
      </c>
      <c r="C302" s="492" t="s">
        <v>264</v>
      </c>
      <c r="D302" s="492" t="s">
        <v>215</v>
      </c>
      <c r="E302" s="492" t="s">
        <v>1204</v>
      </c>
      <c r="F302" s="492" t="s">
        <v>128</v>
      </c>
      <c r="G302" s="27">
        <f>G303</f>
        <v>16276.039999999999</v>
      </c>
      <c r="H302" s="501"/>
      <c r="I302" s="526"/>
      <c r="J302" s="501"/>
    </row>
    <row r="303" spans="1:11" s="204" customFormat="1" ht="15.75" x14ac:dyDescent="0.25">
      <c r="A303" s="46" t="s">
        <v>342</v>
      </c>
      <c r="B303" s="490">
        <v>903</v>
      </c>
      <c r="C303" s="492" t="s">
        <v>264</v>
      </c>
      <c r="D303" s="492" t="s">
        <v>215</v>
      </c>
      <c r="E303" s="492" t="s">
        <v>1204</v>
      </c>
      <c r="F303" s="492" t="s">
        <v>209</v>
      </c>
      <c r="G303" s="27">
        <f>15357.24+918.8</f>
        <v>16276.039999999999</v>
      </c>
      <c r="H303" s="501"/>
      <c r="I303" s="526"/>
      <c r="J303" s="501"/>
    </row>
    <row r="304" spans="1:11" s="204" customFormat="1" ht="31.5" x14ac:dyDescent="0.25">
      <c r="A304" s="579" t="s">
        <v>131</v>
      </c>
      <c r="B304" s="490">
        <v>903</v>
      </c>
      <c r="C304" s="492" t="s">
        <v>264</v>
      </c>
      <c r="D304" s="492" t="s">
        <v>215</v>
      </c>
      <c r="E304" s="492" t="s">
        <v>1204</v>
      </c>
      <c r="F304" s="492" t="s">
        <v>132</v>
      </c>
      <c r="G304" s="27">
        <f>G305</f>
        <v>1974.16</v>
      </c>
      <c r="H304" s="501"/>
      <c r="I304" s="526"/>
      <c r="J304" s="501"/>
    </row>
    <row r="305" spans="1:11" s="204" customFormat="1" ht="31.5" x14ac:dyDescent="0.25">
      <c r="A305" s="579" t="s">
        <v>133</v>
      </c>
      <c r="B305" s="490">
        <v>903</v>
      </c>
      <c r="C305" s="492" t="s">
        <v>264</v>
      </c>
      <c r="D305" s="492" t="s">
        <v>215</v>
      </c>
      <c r="E305" s="492" t="s">
        <v>1204</v>
      </c>
      <c r="F305" s="492" t="s">
        <v>134</v>
      </c>
      <c r="G305" s="27">
        <v>1974.16</v>
      </c>
      <c r="H305" s="162"/>
      <c r="I305" s="526"/>
      <c r="J305" s="501"/>
    </row>
    <row r="306" spans="1:11" s="204" customFormat="1" ht="15.75" x14ac:dyDescent="0.25">
      <c r="A306" s="579" t="s">
        <v>135</v>
      </c>
      <c r="B306" s="490">
        <v>903</v>
      </c>
      <c r="C306" s="492" t="s">
        <v>264</v>
      </c>
      <c r="D306" s="492" t="s">
        <v>215</v>
      </c>
      <c r="E306" s="492" t="s">
        <v>1204</v>
      </c>
      <c r="F306" s="492" t="s">
        <v>145</v>
      </c>
      <c r="G306" s="27">
        <f>G307</f>
        <v>73</v>
      </c>
      <c r="H306" s="119"/>
      <c r="I306" s="526"/>
      <c r="J306" s="501"/>
    </row>
    <row r="307" spans="1:11" s="204" customFormat="1" ht="15.75" x14ac:dyDescent="0.25">
      <c r="A307" s="579" t="s">
        <v>704</v>
      </c>
      <c r="B307" s="490">
        <v>903</v>
      </c>
      <c r="C307" s="492" t="s">
        <v>264</v>
      </c>
      <c r="D307" s="492" t="s">
        <v>215</v>
      </c>
      <c r="E307" s="492" t="s">
        <v>1204</v>
      </c>
      <c r="F307" s="492" t="s">
        <v>138</v>
      </c>
      <c r="G307" s="27">
        <v>73</v>
      </c>
      <c r="H307" s="501"/>
      <c r="I307" s="526"/>
      <c r="J307" s="501"/>
    </row>
    <row r="308" spans="1:11" s="204" customFormat="1" ht="22.7" hidden="1" customHeight="1" x14ac:dyDescent="0.25">
      <c r="A308" s="31" t="s">
        <v>1505</v>
      </c>
      <c r="B308" s="490">
        <v>903</v>
      </c>
      <c r="C308" s="492" t="s">
        <v>264</v>
      </c>
      <c r="D308" s="492" t="s">
        <v>215</v>
      </c>
      <c r="E308" s="492" t="s">
        <v>1481</v>
      </c>
      <c r="F308" s="492"/>
      <c r="G308" s="497">
        <f>G309</f>
        <v>0</v>
      </c>
      <c r="H308" s="501"/>
      <c r="I308" s="526"/>
      <c r="J308" s="501"/>
    </row>
    <row r="309" spans="1:11" s="204" customFormat="1" ht="63" hidden="1" x14ac:dyDescent="0.25">
      <c r="A309" s="496" t="s">
        <v>127</v>
      </c>
      <c r="B309" s="490">
        <v>903</v>
      </c>
      <c r="C309" s="492" t="s">
        <v>264</v>
      </c>
      <c r="D309" s="492" t="s">
        <v>215</v>
      </c>
      <c r="E309" s="492" t="s">
        <v>1481</v>
      </c>
      <c r="F309" s="492" t="s">
        <v>128</v>
      </c>
      <c r="G309" s="497">
        <f>G310</f>
        <v>0</v>
      </c>
      <c r="H309" s="501"/>
      <c r="I309" s="526"/>
      <c r="J309" s="501"/>
    </row>
    <row r="310" spans="1:11" s="204" customFormat="1" ht="15.75" hidden="1" x14ac:dyDescent="0.25">
      <c r="A310" s="496" t="s">
        <v>208</v>
      </c>
      <c r="B310" s="490">
        <v>903</v>
      </c>
      <c r="C310" s="492" t="s">
        <v>264</v>
      </c>
      <c r="D310" s="492" t="s">
        <v>215</v>
      </c>
      <c r="E310" s="492" t="s">
        <v>1481</v>
      </c>
      <c r="F310" s="492" t="s">
        <v>209</v>
      </c>
      <c r="G310" s="497"/>
      <c r="H310" s="501"/>
      <c r="I310" s="526"/>
      <c r="J310" s="501"/>
    </row>
    <row r="311" spans="1:11" s="204" customFormat="1" ht="29.25" customHeight="1" x14ac:dyDescent="0.25">
      <c r="A311" s="216" t="s">
        <v>1302</v>
      </c>
      <c r="B311" s="491">
        <v>903</v>
      </c>
      <c r="C311" s="495" t="s">
        <v>264</v>
      </c>
      <c r="D311" s="495" t="s">
        <v>215</v>
      </c>
      <c r="E311" s="495" t="s">
        <v>1205</v>
      </c>
      <c r="F311" s="495"/>
      <c r="G311" s="44">
        <f>G312+G315</f>
        <v>292</v>
      </c>
      <c r="H311" s="501"/>
      <c r="I311" s="526"/>
      <c r="J311" s="501"/>
    </row>
    <row r="312" spans="1:11" ht="15.75" x14ac:dyDescent="0.25">
      <c r="A312" s="195" t="s">
        <v>799</v>
      </c>
      <c r="B312" s="490">
        <v>903</v>
      </c>
      <c r="C312" s="492" t="s">
        <v>264</v>
      </c>
      <c r="D312" s="492" t="s">
        <v>215</v>
      </c>
      <c r="E312" s="492" t="s">
        <v>1206</v>
      </c>
      <c r="F312" s="492"/>
      <c r="G312" s="27">
        <f>G313</f>
        <v>42</v>
      </c>
      <c r="H312" s="501"/>
      <c r="I312" s="526"/>
      <c r="J312" s="501"/>
      <c r="K312" s="204"/>
    </row>
    <row r="313" spans="1:11" ht="15.75" x14ac:dyDescent="0.25">
      <c r="A313" s="579" t="s">
        <v>248</v>
      </c>
      <c r="B313" s="490">
        <v>903</v>
      </c>
      <c r="C313" s="492" t="s">
        <v>264</v>
      </c>
      <c r="D313" s="492" t="s">
        <v>215</v>
      </c>
      <c r="E313" s="492" t="s">
        <v>1206</v>
      </c>
      <c r="F313" s="492" t="s">
        <v>249</v>
      </c>
      <c r="G313" s="27">
        <f>G314</f>
        <v>42</v>
      </c>
      <c r="H313" s="501"/>
      <c r="I313" s="526"/>
      <c r="J313" s="501"/>
      <c r="K313" s="204"/>
    </row>
    <row r="314" spans="1:11" ht="15.75" x14ac:dyDescent="0.25">
      <c r="A314" s="579" t="s">
        <v>820</v>
      </c>
      <c r="B314" s="490">
        <v>903</v>
      </c>
      <c r="C314" s="492" t="s">
        <v>264</v>
      </c>
      <c r="D314" s="492" t="s">
        <v>215</v>
      </c>
      <c r="E314" s="492" t="s">
        <v>1206</v>
      </c>
      <c r="F314" s="492" t="s">
        <v>819</v>
      </c>
      <c r="G314" s="27">
        <v>42</v>
      </c>
      <c r="H314" s="501"/>
      <c r="I314" s="526"/>
      <c r="J314" s="501"/>
      <c r="K314" s="204"/>
    </row>
    <row r="315" spans="1:11" ht="36" customHeight="1" x14ac:dyDescent="0.25">
      <c r="A315" s="31" t="s">
        <v>816</v>
      </c>
      <c r="B315" s="490">
        <v>903</v>
      </c>
      <c r="C315" s="492" t="s">
        <v>264</v>
      </c>
      <c r="D315" s="492" t="s">
        <v>215</v>
      </c>
      <c r="E315" s="492" t="s">
        <v>1207</v>
      </c>
      <c r="F315" s="492"/>
      <c r="G315" s="27">
        <f>G318+G316</f>
        <v>250</v>
      </c>
      <c r="H315" s="501"/>
      <c r="I315" s="526"/>
      <c r="J315" s="501"/>
      <c r="K315" s="204"/>
    </row>
    <row r="316" spans="1:11" ht="63" x14ac:dyDescent="0.25">
      <c r="A316" s="579" t="s">
        <v>127</v>
      </c>
      <c r="B316" s="490">
        <v>903</v>
      </c>
      <c r="C316" s="492" t="s">
        <v>264</v>
      </c>
      <c r="D316" s="492" t="s">
        <v>215</v>
      </c>
      <c r="E316" s="492" t="s">
        <v>1207</v>
      </c>
      <c r="F316" s="492" t="s">
        <v>128</v>
      </c>
      <c r="G316" s="27">
        <f>G317</f>
        <v>250</v>
      </c>
      <c r="H316" s="501"/>
      <c r="I316" s="526"/>
      <c r="J316" s="501"/>
      <c r="K316" s="204"/>
    </row>
    <row r="317" spans="1:11" ht="24.75" customHeight="1" x14ac:dyDescent="0.25">
      <c r="A317" s="46" t="s">
        <v>342</v>
      </c>
      <c r="B317" s="490">
        <v>903</v>
      </c>
      <c r="C317" s="492" t="s">
        <v>264</v>
      </c>
      <c r="D317" s="492" t="s">
        <v>215</v>
      </c>
      <c r="E317" s="492" t="s">
        <v>1207</v>
      </c>
      <c r="F317" s="492" t="s">
        <v>209</v>
      </c>
      <c r="G317" s="27">
        <v>250</v>
      </c>
      <c r="H317" s="501"/>
      <c r="I317" s="526"/>
      <c r="J317" s="501"/>
      <c r="K317" s="204"/>
    </row>
    <row r="318" spans="1:11" ht="30.75" hidden="1" customHeight="1" x14ac:dyDescent="0.25">
      <c r="A318" s="496" t="s">
        <v>131</v>
      </c>
      <c r="B318" s="490">
        <v>903</v>
      </c>
      <c r="C318" s="492" t="s">
        <v>264</v>
      </c>
      <c r="D318" s="492" t="s">
        <v>215</v>
      </c>
      <c r="E318" s="492" t="s">
        <v>1207</v>
      </c>
      <c r="F318" s="492" t="s">
        <v>132</v>
      </c>
      <c r="G318" s="27">
        <f>G319</f>
        <v>0</v>
      </c>
      <c r="H318" s="501"/>
      <c r="I318" s="526"/>
      <c r="J318" s="501"/>
      <c r="K318" s="204"/>
    </row>
    <row r="319" spans="1:11" ht="39.200000000000003" hidden="1" customHeight="1" x14ac:dyDescent="0.25">
      <c r="A319" s="496" t="s">
        <v>133</v>
      </c>
      <c r="B319" s="490">
        <v>903</v>
      </c>
      <c r="C319" s="492" t="s">
        <v>264</v>
      </c>
      <c r="D319" s="492" t="s">
        <v>215</v>
      </c>
      <c r="E319" s="492" t="s">
        <v>1207</v>
      </c>
      <c r="F319" s="492" t="s">
        <v>134</v>
      </c>
      <c r="G319" s="27"/>
      <c r="H319" s="501"/>
      <c r="I319" s="526"/>
      <c r="J319" s="501"/>
      <c r="K319" s="204"/>
    </row>
    <row r="320" spans="1:11" s="204" customFormat="1" ht="39.200000000000003" customHeight="1" x14ac:dyDescent="0.25">
      <c r="A320" s="494" t="s">
        <v>947</v>
      </c>
      <c r="B320" s="491">
        <v>903</v>
      </c>
      <c r="C320" s="495" t="s">
        <v>264</v>
      </c>
      <c r="D320" s="495" t="s">
        <v>215</v>
      </c>
      <c r="E320" s="495" t="s">
        <v>1208</v>
      </c>
      <c r="F320" s="495"/>
      <c r="G320" s="44">
        <f t="shared" ref="G320:G322" si="22">G321</f>
        <v>473</v>
      </c>
      <c r="H320" s="501"/>
      <c r="I320" s="526"/>
      <c r="J320" s="501"/>
    </row>
    <row r="321" spans="1:11" s="204" customFormat="1" ht="39.200000000000003" customHeight="1" x14ac:dyDescent="0.25">
      <c r="A321" s="579" t="s">
        <v>839</v>
      </c>
      <c r="B321" s="490">
        <v>903</v>
      </c>
      <c r="C321" s="492" t="s">
        <v>264</v>
      </c>
      <c r="D321" s="492" t="s">
        <v>215</v>
      </c>
      <c r="E321" s="492" t="s">
        <v>1209</v>
      </c>
      <c r="F321" s="492"/>
      <c r="G321" s="497">
        <f t="shared" si="22"/>
        <v>473</v>
      </c>
      <c r="H321" s="501"/>
      <c r="I321" s="526"/>
      <c r="J321" s="501"/>
    </row>
    <row r="322" spans="1:11" s="204" customFormat="1" ht="70.5" customHeight="1" x14ac:dyDescent="0.25">
      <c r="A322" s="579" t="s">
        <v>127</v>
      </c>
      <c r="B322" s="490">
        <v>903</v>
      </c>
      <c r="C322" s="492" t="s">
        <v>264</v>
      </c>
      <c r="D322" s="492" t="s">
        <v>215</v>
      </c>
      <c r="E322" s="492" t="s">
        <v>1209</v>
      </c>
      <c r="F322" s="492" t="s">
        <v>128</v>
      </c>
      <c r="G322" s="497">
        <f t="shared" si="22"/>
        <v>473</v>
      </c>
      <c r="H322" s="501"/>
      <c r="I322" s="526"/>
      <c r="J322" s="501"/>
    </row>
    <row r="323" spans="1:11" s="204" customFormat="1" ht="19.7" customHeight="1" x14ac:dyDescent="0.25">
      <c r="A323" s="579" t="s">
        <v>342</v>
      </c>
      <c r="B323" s="490">
        <v>903</v>
      </c>
      <c r="C323" s="492" t="s">
        <v>264</v>
      </c>
      <c r="D323" s="492" t="s">
        <v>215</v>
      </c>
      <c r="E323" s="492" t="s">
        <v>1209</v>
      </c>
      <c r="F323" s="492" t="s">
        <v>209</v>
      </c>
      <c r="G323" s="497">
        <v>473</v>
      </c>
      <c r="H323" s="501"/>
      <c r="I323" s="526"/>
      <c r="J323" s="501"/>
    </row>
    <row r="324" spans="1:11" s="204" customFormat="1" ht="39.200000000000003" customHeight="1" x14ac:dyDescent="0.25">
      <c r="A324" s="494" t="s">
        <v>900</v>
      </c>
      <c r="B324" s="491">
        <v>903</v>
      </c>
      <c r="C324" s="495" t="s">
        <v>264</v>
      </c>
      <c r="D324" s="495" t="s">
        <v>215</v>
      </c>
      <c r="E324" s="495" t="s">
        <v>1210</v>
      </c>
      <c r="F324" s="495"/>
      <c r="G324" s="44">
        <f>G325+G328</f>
        <v>1165.4000000000001</v>
      </c>
      <c r="H324" s="501"/>
      <c r="I324" s="526"/>
      <c r="J324" s="501"/>
    </row>
    <row r="325" spans="1:11" s="204" customFormat="1" ht="85.7" customHeight="1" x14ac:dyDescent="0.25">
      <c r="A325" s="31" t="s">
        <v>293</v>
      </c>
      <c r="B325" s="490">
        <v>903</v>
      </c>
      <c r="C325" s="492" t="s">
        <v>264</v>
      </c>
      <c r="D325" s="492" t="s">
        <v>215</v>
      </c>
      <c r="E325" s="492" t="s">
        <v>1403</v>
      </c>
      <c r="F325" s="492"/>
      <c r="G325" s="497">
        <f>G326</f>
        <v>761</v>
      </c>
      <c r="H325" s="501"/>
      <c r="I325" s="526"/>
      <c r="J325" s="501"/>
    </row>
    <row r="326" spans="1:11" s="204" customFormat="1" ht="61.15" customHeight="1" x14ac:dyDescent="0.25">
      <c r="A326" s="579" t="s">
        <v>127</v>
      </c>
      <c r="B326" s="490">
        <v>903</v>
      </c>
      <c r="C326" s="492" t="s">
        <v>264</v>
      </c>
      <c r="D326" s="492" t="s">
        <v>215</v>
      </c>
      <c r="E326" s="492" t="s">
        <v>1403</v>
      </c>
      <c r="F326" s="492" t="s">
        <v>128</v>
      </c>
      <c r="G326" s="497">
        <f>G327</f>
        <v>761</v>
      </c>
      <c r="H326" s="501"/>
      <c r="I326" s="526"/>
      <c r="J326" s="501"/>
    </row>
    <row r="327" spans="1:11" s="204" customFormat="1" ht="19.149999999999999" customHeight="1" x14ac:dyDescent="0.25">
      <c r="A327" s="46" t="s">
        <v>342</v>
      </c>
      <c r="B327" s="490">
        <v>903</v>
      </c>
      <c r="C327" s="492" t="s">
        <v>264</v>
      </c>
      <c r="D327" s="492" t="s">
        <v>215</v>
      </c>
      <c r="E327" s="492" t="s">
        <v>1403</v>
      </c>
      <c r="F327" s="492" t="s">
        <v>209</v>
      </c>
      <c r="G327" s="497">
        <v>761</v>
      </c>
      <c r="H327" s="501"/>
      <c r="I327" s="526"/>
      <c r="J327" s="501"/>
    </row>
    <row r="328" spans="1:11" s="204" customFormat="1" ht="31.5" x14ac:dyDescent="0.25">
      <c r="A328" s="579" t="s">
        <v>1766</v>
      </c>
      <c r="B328" s="490">
        <v>903</v>
      </c>
      <c r="C328" s="492" t="s">
        <v>264</v>
      </c>
      <c r="D328" s="492" t="s">
        <v>215</v>
      </c>
      <c r="E328" s="492" t="s">
        <v>1768</v>
      </c>
      <c r="F328" s="492"/>
      <c r="G328" s="497">
        <f>G329</f>
        <v>404.4</v>
      </c>
      <c r="H328" s="501"/>
      <c r="I328" s="526"/>
      <c r="J328" s="501"/>
    </row>
    <row r="329" spans="1:11" s="204" customFormat="1" ht="69.75" customHeight="1" x14ac:dyDescent="0.25">
      <c r="A329" s="579" t="s">
        <v>127</v>
      </c>
      <c r="B329" s="490">
        <v>903</v>
      </c>
      <c r="C329" s="492" t="s">
        <v>264</v>
      </c>
      <c r="D329" s="492" t="s">
        <v>215</v>
      </c>
      <c r="E329" s="580" t="s">
        <v>1768</v>
      </c>
      <c r="F329" s="492" t="s">
        <v>128</v>
      </c>
      <c r="G329" s="497">
        <f>G330</f>
        <v>404.4</v>
      </c>
      <c r="H329" s="501"/>
      <c r="I329" s="526"/>
      <c r="J329" s="501"/>
    </row>
    <row r="330" spans="1:11" s="204" customFormat="1" ht="21.2" customHeight="1" x14ac:dyDescent="0.25">
      <c r="A330" s="46" t="s">
        <v>342</v>
      </c>
      <c r="B330" s="490">
        <v>903</v>
      </c>
      <c r="C330" s="492" t="s">
        <v>264</v>
      </c>
      <c r="D330" s="492" t="s">
        <v>215</v>
      </c>
      <c r="E330" s="580" t="s">
        <v>1768</v>
      </c>
      <c r="F330" s="492" t="s">
        <v>209</v>
      </c>
      <c r="G330" s="497">
        <v>404.4</v>
      </c>
      <c r="H330" s="501"/>
      <c r="I330" s="526"/>
      <c r="J330" s="501"/>
    </row>
    <row r="331" spans="1:11" s="204" customFormat="1" ht="50.25" customHeight="1" x14ac:dyDescent="0.25">
      <c r="A331" s="34" t="s">
        <v>1357</v>
      </c>
      <c r="B331" s="491">
        <v>903</v>
      </c>
      <c r="C331" s="495" t="s">
        <v>264</v>
      </c>
      <c r="D331" s="495" t="s">
        <v>215</v>
      </c>
      <c r="E331" s="495" t="s">
        <v>324</v>
      </c>
      <c r="F331" s="495"/>
      <c r="G331" s="493">
        <f>G333</f>
        <v>6</v>
      </c>
      <c r="H331" s="501"/>
      <c r="I331" s="526"/>
      <c r="J331" s="501"/>
    </row>
    <row r="332" spans="1:11" s="204" customFormat="1" ht="49.7" customHeight="1" x14ac:dyDescent="0.25">
      <c r="A332" s="34" t="s">
        <v>1025</v>
      </c>
      <c r="B332" s="491">
        <v>903</v>
      </c>
      <c r="C332" s="495" t="s">
        <v>264</v>
      </c>
      <c r="D332" s="495" t="s">
        <v>215</v>
      </c>
      <c r="E332" s="495" t="s">
        <v>934</v>
      </c>
      <c r="F332" s="495"/>
      <c r="G332" s="493">
        <f>G335</f>
        <v>6</v>
      </c>
      <c r="H332" s="501"/>
      <c r="I332" s="526"/>
      <c r="J332" s="501"/>
    </row>
    <row r="333" spans="1:11" s="204" customFormat="1" ht="48.2" customHeight="1" x14ac:dyDescent="0.25">
      <c r="A333" s="31" t="s">
        <v>1080</v>
      </c>
      <c r="B333" s="490">
        <v>903</v>
      </c>
      <c r="C333" s="492" t="s">
        <v>264</v>
      </c>
      <c r="D333" s="492" t="s">
        <v>215</v>
      </c>
      <c r="E333" s="492" t="s">
        <v>1026</v>
      </c>
      <c r="F333" s="492"/>
      <c r="G333" s="497">
        <f>G334</f>
        <v>6</v>
      </c>
      <c r="H333" s="501"/>
      <c r="I333" s="526"/>
      <c r="J333" s="501"/>
    </row>
    <row r="334" spans="1:11" s="204" customFormat="1" ht="31.9" customHeight="1" x14ac:dyDescent="0.25">
      <c r="A334" s="579" t="s">
        <v>131</v>
      </c>
      <c r="B334" s="490">
        <v>903</v>
      </c>
      <c r="C334" s="492" t="s">
        <v>264</v>
      </c>
      <c r="D334" s="492" t="s">
        <v>215</v>
      </c>
      <c r="E334" s="492" t="s">
        <v>1026</v>
      </c>
      <c r="F334" s="492" t="s">
        <v>132</v>
      </c>
      <c r="G334" s="497">
        <f>G335</f>
        <v>6</v>
      </c>
      <c r="H334" s="501"/>
      <c r="I334" s="526"/>
      <c r="J334" s="501"/>
    </row>
    <row r="335" spans="1:11" s="204" customFormat="1" ht="34.700000000000003" customHeight="1" x14ac:dyDescent="0.25">
      <c r="A335" s="579" t="s">
        <v>133</v>
      </c>
      <c r="B335" s="490">
        <v>903</v>
      </c>
      <c r="C335" s="492" t="s">
        <v>264</v>
      </c>
      <c r="D335" s="492" t="s">
        <v>215</v>
      </c>
      <c r="E335" s="492" t="s">
        <v>1026</v>
      </c>
      <c r="F335" s="492" t="s">
        <v>134</v>
      </c>
      <c r="G335" s="497">
        <v>6</v>
      </c>
      <c r="H335" s="501"/>
      <c r="I335" s="526"/>
      <c r="J335" s="501"/>
    </row>
    <row r="336" spans="1:11" ht="51" customHeight="1" x14ac:dyDescent="0.25">
      <c r="A336" s="572" t="s">
        <v>1352</v>
      </c>
      <c r="B336" s="491">
        <v>903</v>
      </c>
      <c r="C336" s="495" t="s">
        <v>264</v>
      </c>
      <c r="D336" s="495" t="s">
        <v>215</v>
      </c>
      <c r="E336" s="495" t="s">
        <v>705</v>
      </c>
      <c r="F336" s="495"/>
      <c r="G336" s="493">
        <f>G338</f>
        <v>490.9</v>
      </c>
      <c r="H336" s="501"/>
      <c r="I336" s="526"/>
      <c r="J336" s="501"/>
      <c r="K336" s="204"/>
    </row>
    <row r="337" spans="1:11" s="204" customFormat="1" ht="48.75" customHeight="1" x14ac:dyDescent="0.25">
      <c r="A337" s="572" t="s">
        <v>890</v>
      </c>
      <c r="B337" s="491">
        <v>903</v>
      </c>
      <c r="C337" s="495" t="s">
        <v>264</v>
      </c>
      <c r="D337" s="495" t="s">
        <v>215</v>
      </c>
      <c r="E337" s="495" t="s">
        <v>888</v>
      </c>
      <c r="F337" s="495"/>
      <c r="G337" s="493">
        <f t="shared" ref="G337:G339" si="23">G338</f>
        <v>490.9</v>
      </c>
      <c r="H337" s="501"/>
      <c r="I337" s="526"/>
      <c r="J337" s="501"/>
    </row>
    <row r="338" spans="1:11" ht="32.25" customHeight="1" x14ac:dyDescent="0.25">
      <c r="A338" s="98" t="s">
        <v>1004</v>
      </c>
      <c r="B338" s="492" t="s">
        <v>627</v>
      </c>
      <c r="C338" s="492" t="s">
        <v>264</v>
      </c>
      <c r="D338" s="492" t="s">
        <v>215</v>
      </c>
      <c r="E338" s="492" t="s">
        <v>889</v>
      </c>
      <c r="F338" s="498"/>
      <c r="G338" s="497">
        <f t="shared" si="23"/>
        <v>490.9</v>
      </c>
      <c r="H338" s="501"/>
      <c r="I338" s="526"/>
      <c r="J338" s="501"/>
      <c r="K338" s="204"/>
    </row>
    <row r="339" spans="1:11" ht="33" customHeight="1" x14ac:dyDescent="0.25">
      <c r="A339" s="579" t="s">
        <v>131</v>
      </c>
      <c r="B339" s="490">
        <v>903</v>
      </c>
      <c r="C339" s="492" t="s">
        <v>264</v>
      </c>
      <c r="D339" s="492" t="s">
        <v>215</v>
      </c>
      <c r="E339" s="492" t="s">
        <v>889</v>
      </c>
      <c r="F339" s="498" t="s">
        <v>132</v>
      </c>
      <c r="G339" s="497">
        <f t="shared" si="23"/>
        <v>490.9</v>
      </c>
      <c r="H339" s="501"/>
      <c r="I339" s="526"/>
      <c r="J339" s="501"/>
      <c r="K339" s="204"/>
    </row>
    <row r="340" spans="1:11" ht="34.5" customHeight="1" x14ac:dyDescent="0.25">
      <c r="A340" s="579" t="s">
        <v>133</v>
      </c>
      <c r="B340" s="490">
        <v>903</v>
      </c>
      <c r="C340" s="492" t="s">
        <v>264</v>
      </c>
      <c r="D340" s="492" t="s">
        <v>215</v>
      </c>
      <c r="E340" s="492" t="s">
        <v>889</v>
      </c>
      <c r="F340" s="498" t="s">
        <v>134</v>
      </c>
      <c r="G340" s="497">
        <v>490.9</v>
      </c>
      <c r="H340" s="501"/>
      <c r="I340" s="526"/>
      <c r="J340" s="526"/>
      <c r="K340" s="204"/>
    </row>
    <row r="341" spans="1:11" ht="19.5" customHeight="1" x14ac:dyDescent="0.25">
      <c r="A341" s="494" t="s">
        <v>466</v>
      </c>
      <c r="B341" s="491">
        <v>903</v>
      </c>
      <c r="C341" s="495" t="s">
        <v>264</v>
      </c>
      <c r="D341" s="495" t="s">
        <v>264</v>
      </c>
      <c r="E341" s="492"/>
      <c r="F341" s="492"/>
      <c r="G341" s="493">
        <f>G342</f>
        <v>760.1</v>
      </c>
      <c r="H341" s="501"/>
      <c r="I341" s="526"/>
      <c r="J341" s="501"/>
      <c r="K341" s="204"/>
    </row>
    <row r="342" spans="1:11" ht="50.25" customHeight="1" x14ac:dyDescent="0.25">
      <c r="A342" s="494" t="s">
        <v>1347</v>
      </c>
      <c r="B342" s="491">
        <v>903</v>
      </c>
      <c r="C342" s="495" t="s">
        <v>264</v>
      </c>
      <c r="D342" s="495" t="s">
        <v>264</v>
      </c>
      <c r="E342" s="495" t="s">
        <v>344</v>
      </c>
      <c r="F342" s="495"/>
      <c r="G342" s="493">
        <f>G343</f>
        <v>760.1</v>
      </c>
      <c r="H342" s="501"/>
      <c r="I342" s="526"/>
      <c r="J342" s="501"/>
      <c r="K342" s="204"/>
    </row>
    <row r="343" spans="1:11" ht="32.25" customHeight="1" x14ac:dyDescent="0.25">
      <c r="A343" s="494" t="s">
        <v>345</v>
      </c>
      <c r="B343" s="491">
        <v>903</v>
      </c>
      <c r="C343" s="495" t="s">
        <v>264</v>
      </c>
      <c r="D343" s="495" t="s">
        <v>264</v>
      </c>
      <c r="E343" s="495" t="s">
        <v>346</v>
      </c>
      <c r="F343" s="495"/>
      <c r="G343" s="493">
        <f>G344+G351+G357</f>
        <v>760.1</v>
      </c>
      <c r="H343" s="501"/>
      <c r="I343" s="526"/>
      <c r="J343" s="501"/>
      <c r="K343" s="204"/>
    </row>
    <row r="344" spans="1:11" s="204" customFormat="1" ht="48.75" customHeight="1" x14ac:dyDescent="0.25">
      <c r="A344" s="571" t="s">
        <v>1029</v>
      </c>
      <c r="B344" s="491">
        <v>903</v>
      </c>
      <c r="C344" s="495" t="s">
        <v>264</v>
      </c>
      <c r="D344" s="495" t="s">
        <v>264</v>
      </c>
      <c r="E344" s="495" t="s">
        <v>892</v>
      </c>
      <c r="F344" s="495"/>
      <c r="G344" s="493">
        <f>G345+G348</f>
        <v>280</v>
      </c>
      <c r="H344" s="501"/>
      <c r="I344" s="526"/>
      <c r="J344" s="501"/>
    </row>
    <row r="345" spans="1:11" s="204" customFormat="1" ht="23.25" customHeight="1" x14ac:dyDescent="0.25">
      <c r="A345" s="98" t="s">
        <v>1035</v>
      </c>
      <c r="B345" s="490">
        <v>903</v>
      </c>
      <c r="C345" s="492" t="s">
        <v>264</v>
      </c>
      <c r="D345" s="492" t="s">
        <v>264</v>
      </c>
      <c r="E345" s="492" t="s">
        <v>893</v>
      </c>
      <c r="F345" s="492"/>
      <c r="G345" s="497">
        <f>G346</f>
        <v>280</v>
      </c>
      <c r="H345" s="501"/>
      <c r="I345" s="526"/>
      <c r="J345" s="501"/>
    </row>
    <row r="346" spans="1:11" s="204" customFormat="1" ht="66.599999999999994" customHeight="1" x14ac:dyDescent="0.25">
      <c r="A346" s="579" t="s">
        <v>127</v>
      </c>
      <c r="B346" s="490">
        <v>903</v>
      </c>
      <c r="C346" s="492" t="s">
        <v>264</v>
      </c>
      <c r="D346" s="492" t="s">
        <v>264</v>
      </c>
      <c r="E346" s="492" t="s">
        <v>893</v>
      </c>
      <c r="F346" s="492" t="s">
        <v>128</v>
      </c>
      <c r="G346" s="497">
        <f>G347</f>
        <v>280</v>
      </c>
      <c r="H346" s="501"/>
      <c r="I346" s="526"/>
      <c r="J346" s="501"/>
    </row>
    <row r="347" spans="1:11" s="204" customFormat="1" ht="18" customHeight="1" x14ac:dyDescent="0.25">
      <c r="A347" s="579" t="s">
        <v>342</v>
      </c>
      <c r="B347" s="490">
        <v>903</v>
      </c>
      <c r="C347" s="492" t="s">
        <v>264</v>
      </c>
      <c r="D347" s="492" t="s">
        <v>264</v>
      </c>
      <c r="E347" s="492" t="s">
        <v>893</v>
      </c>
      <c r="F347" s="492" t="s">
        <v>209</v>
      </c>
      <c r="G347" s="497">
        <v>280</v>
      </c>
      <c r="H347" s="501"/>
      <c r="I347" s="526"/>
      <c r="J347" s="501"/>
    </row>
    <row r="348" spans="1:11" s="204" customFormat="1" ht="19.5" hidden="1" customHeight="1" x14ac:dyDescent="0.25">
      <c r="A348" s="496" t="s">
        <v>1030</v>
      </c>
      <c r="B348" s="490">
        <v>903</v>
      </c>
      <c r="C348" s="492" t="s">
        <v>264</v>
      </c>
      <c r="D348" s="492" t="s">
        <v>264</v>
      </c>
      <c r="E348" s="492" t="s">
        <v>1046</v>
      </c>
      <c r="F348" s="492"/>
      <c r="G348" s="497">
        <f>G349</f>
        <v>0</v>
      </c>
      <c r="H348" s="501"/>
      <c r="I348" s="526"/>
      <c r="J348" s="501"/>
    </row>
    <row r="349" spans="1:11" s="204" customFormat="1" ht="32.25" hidden="1" customHeight="1" x14ac:dyDescent="0.25">
      <c r="A349" s="496" t="s">
        <v>131</v>
      </c>
      <c r="B349" s="490">
        <v>903</v>
      </c>
      <c r="C349" s="492" t="s">
        <v>264</v>
      </c>
      <c r="D349" s="492" t="s">
        <v>264</v>
      </c>
      <c r="E349" s="492" t="s">
        <v>1046</v>
      </c>
      <c r="F349" s="492" t="s">
        <v>132</v>
      </c>
      <c r="G349" s="497">
        <f>G350</f>
        <v>0</v>
      </c>
      <c r="H349" s="501"/>
      <c r="I349" s="526"/>
      <c r="J349" s="501"/>
    </row>
    <row r="350" spans="1:11" s="204" customFormat="1" ht="37.5" hidden="1" customHeight="1" x14ac:dyDescent="0.25">
      <c r="A350" s="496" t="s">
        <v>133</v>
      </c>
      <c r="B350" s="490">
        <v>903</v>
      </c>
      <c r="C350" s="492" t="s">
        <v>264</v>
      </c>
      <c r="D350" s="492" t="s">
        <v>264</v>
      </c>
      <c r="E350" s="492" t="s">
        <v>1046</v>
      </c>
      <c r="F350" s="492" t="s">
        <v>134</v>
      </c>
      <c r="G350" s="497">
        <v>0</v>
      </c>
      <c r="H350" s="501"/>
      <c r="I350" s="526"/>
      <c r="J350" s="501"/>
    </row>
    <row r="351" spans="1:11" s="204" customFormat="1" ht="64.5" customHeight="1" x14ac:dyDescent="0.25">
      <c r="A351" s="494" t="s">
        <v>1031</v>
      </c>
      <c r="B351" s="491">
        <v>903</v>
      </c>
      <c r="C351" s="495" t="s">
        <v>264</v>
      </c>
      <c r="D351" s="495" t="s">
        <v>264</v>
      </c>
      <c r="E351" s="495" t="s">
        <v>894</v>
      </c>
      <c r="F351" s="495"/>
      <c r="G351" s="493">
        <f>G352</f>
        <v>455.1</v>
      </c>
      <c r="H351" s="501"/>
      <c r="I351" s="526"/>
      <c r="J351" s="501"/>
    </row>
    <row r="352" spans="1:11" ht="15.75" customHeight="1" x14ac:dyDescent="0.25">
      <c r="A352" s="579" t="s">
        <v>1032</v>
      </c>
      <c r="B352" s="490">
        <v>903</v>
      </c>
      <c r="C352" s="492" t="s">
        <v>264</v>
      </c>
      <c r="D352" s="492" t="s">
        <v>264</v>
      </c>
      <c r="E352" s="492" t="s">
        <v>901</v>
      </c>
      <c r="F352" s="492"/>
      <c r="G352" s="497">
        <f>G355+G354</f>
        <v>455.1</v>
      </c>
      <c r="H352" s="501"/>
      <c r="I352" s="526"/>
      <c r="J352" s="501"/>
      <c r="K352" s="204"/>
    </row>
    <row r="353" spans="1:11" ht="63" customHeight="1" x14ac:dyDescent="0.25">
      <c r="A353" s="579" t="s">
        <v>127</v>
      </c>
      <c r="B353" s="490">
        <v>903</v>
      </c>
      <c r="C353" s="492" t="s">
        <v>264</v>
      </c>
      <c r="D353" s="492" t="s">
        <v>264</v>
      </c>
      <c r="E353" s="492" t="s">
        <v>901</v>
      </c>
      <c r="F353" s="492" t="s">
        <v>128</v>
      </c>
      <c r="G353" s="497">
        <f>G354</f>
        <v>40.1</v>
      </c>
      <c r="H353" s="501"/>
      <c r="I353" s="526"/>
      <c r="J353" s="501"/>
      <c r="K353" s="204"/>
    </row>
    <row r="354" spans="1:11" ht="20.25" customHeight="1" x14ac:dyDescent="0.25">
      <c r="A354" s="579" t="s">
        <v>342</v>
      </c>
      <c r="B354" s="490">
        <v>903</v>
      </c>
      <c r="C354" s="492" t="s">
        <v>264</v>
      </c>
      <c r="D354" s="492" t="s">
        <v>264</v>
      </c>
      <c r="E354" s="492" t="s">
        <v>901</v>
      </c>
      <c r="F354" s="492" t="s">
        <v>209</v>
      </c>
      <c r="G354" s="497">
        <v>40.1</v>
      </c>
      <c r="H354" s="501"/>
      <c r="I354" s="526"/>
      <c r="J354" s="501"/>
      <c r="K354" s="204"/>
    </row>
    <row r="355" spans="1:11" ht="36.75" customHeight="1" x14ac:dyDescent="0.25">
      <c r="A355" s="579" t="s">
        <v>131</v>
      </c>
      <c r="B355" s="490">
        <v>903</v>
      </c>
      <c r="C355" s="492" t="s">
        <v>264</v>
      </c>
      <c r="D355" s="492" t="s">
        <v>264</v>
      </c>
      <c r="E355" s="492" t="s">
        <v>901</v>
      </c>
      <c r="F355" s="492" t="s">
        <v>132</v>
      </c>
      <c r="G355" s="497">
        <f>G356</f>
        <v>415</v>
      </c>
      <c r="H355" s="501"/>
      <c r="I355" s="526"/>
      <c r="J355" s="501"/>
      <c r="K355" s="204"/>
    </row>
    <row r="356" spans="1:11" ht="39.200000000000003" customHeight="1" x14ac:dyDescent="0.25">
      <c r="A356" s="579" t="s">
        <v>133</v>
      </c>
      <c r="B356" s="490">
        <v>903</v>
      </c>
      <c r="C356" s="492" t="s">
        <v>264</v>
      </c>
      <c r="D356" s="492" t="s">
        <v>264</v>
      </c>
      <c r="E356" s="492" t="s">
        <v>901</v>
      </c>
      <c r="F356" s="492" t="s">
        <v>134</v>
      </c>
      <c r="G356" s="497">
        <f>415-135.5+135.5</f>
        <v>415</v>
      </c>
      <c r="H356" s="501"/>
      <c r="I356" s="526"/>
      <c r="J356" s="501"/>
      <c r="K356" s="204"/>
    </row>
    <row r="357" spans="1:11" s="204" customFormat="1" ht="35.450000000000003" customHeight="1" x14ac:dyDescent="0.25">
      <c r="A357" s="494" t="s">
        <v>1037</v>
      </c>
      <c r="B357" s="491">
        <v>903</v>
      </c>
      <c r="C357" s="495" t="s">
        <v>264</v>
      </c>
      <c r="D357" s="495" t="s">
        <v>264</v>
      </c>
      <c r="E357" s="495" t="s">
        <v>1033</v>
      </c>
      <c r="F357" s="495"/>
      <c r="G357" s="493">
        <f t="shared" ref="G357:G359" si="24">G358</f>
        <v>25</v>
      </c>
      <c r="H357" s="501"/>
      <c r="I357" s="526"/>
      <c r="J357" s="501"/>
    </row>
    <row r="358" spans="1:11" s="204" customFormat="1" ht="39.75" customHeight="1" x14ac:dyDescent="0.25">
      <c r="A358" s="231" t="s">
        <v>1034</v>
      </c>
      <c r="B358" s="490">
        <v>903</v>
      </c>
      <c r="C358" s="492" t="s">
        <v>264</v>
      </c>
      <c r="D358" s="492" t="s">
        <v>264</v>
      </c>
      <c r="E358" s="492" t="s">
        <v>1047</v>
      </c>
      <c r="F358" s="492"/>
      <c r="G358" s="497">
        <f t="shared" si="24"/>
        <v>25</v>
      </c>
      <c r="H358" s="501"/>
      <c r="I358" s="526"/>
      <c r="J358" s="501"/>
    </row>
    <row r="359" spans="1:11" s="204" customFormat="1" ht="17.45" customHeight="1" x14ac:dyDescent="0.25">
      <c r="A359" s="579" t="s">
        <v>248</v>
      </c>
      <c r="B359" s="490">
        <v>903</v>
      </c>
      <c r="C359" s="492" t="s">
        <v>264</v>
      </c>
      <c r="D359" s="492" t="s">
        <v>264</v>
      </c>
      <c r="E359" s="492" t="s">
        <v>1047</v>
      </c>
      <c r="F359" s="492" t="s">
        <v>249</v>
      </c>
      <c r="G359" s="497">
        <f t="shared" si="24"/>
        <v>25</v>
      </c>
      <c r="H359" s="501"/>
      <c r="I359" s="526"/>
      <c r="J359" s="501"/>
    </row>
    <row r="360" spans="1:11" s="204" customFormat="1" ht="35.450000000000003" customHeight="1" x14ac:dyDescent="0.25">
      <c r="A360" s="579" t="s">
        <v>1196</v>
      </c>
      <c r="B360" s="490">
        <v>903</v>
      </c>
      <c r="C360" s="492" t="s">
        <v>264</v>
      </c>
      <c r="D360" s="492" t="s">
        <v>264</v>
      </c>
      <c r="E360" s="492" t="s">
        <v>1047</v>
      </c>
      <c r="F360" s="492" t="s">
        <v>1195</v>
      </c>
      <c r="G360" s="497">
        <v>25</v>
      </c>
      <c r="H360" s="501"/>
      <c r="I360" s="526"/>
      <c r="J360" s="501"/>
    </row>
    <row r="361" spans="1:11" s="204" customFormat="1" ht="21.75" hidden="1" customHeight="1" x14ac:dyDescent="0.25">
      <c r="A361" s="494" t="s">
        <v>295</v>
      </c>
      <c r="B361" s="491">
        <v>903</v>
      </c>
      <c r="C361" s="495" t="s">
        <v>264</v>
      </c>
      <c r="D361" s="495" t="s">
        <v>219</v>
      </c>
      <c r="E361" s="495"/>
      <c r="F361" s="495"/>
      <c r="G361" s="493">
        <f t="shared" ref="G361:G364" si="25">G362</f>
        <v>0</v>
      </c>
      <c r="H361" s="501"/>
      <c r="I361" s="526"/>
      <c r="J361" s="501"/>
    </row>
    <row r="362" spans="1:11" s="204" customFormat="1" ht="35.450000000000003" hidden="1" customHeight="1" x14ac:dyDescent="0.25">
      <c r="A362" s="34" t="s">
        <v>870</v>
      </c>
      <c r="B362" s="491">
        <v>903</v>
      </c>
      <c r="C362" s="495" t="s">
        <v>264</v>
      </c>
      <c r="D362" s="495" t="s">
        <v>219</v>
      </c>
      <c r="E362" s="495" t="s">
        <v>865</v>
      </c>
      <c r="F362" s="495"/>
      <c r="G362" s="493">
        <f t="shared" si="25"/>
        <v>0</v>
      </c>
      <c r="H362" s="501"/>
      <c r="I362" s="526"/>
      <c r="J362" s="501"/>
    </row>
    <row r="363" spans="1:11" s="204" customFormat="1" ht="54.4" hidden="1" customHeight="1" x14ac:dyDescent="0.25">
      <c r="A363" s="31" t="s">
        <v>1664</v>
      </c>
      <c r="B363" s="490">
        <v>903</v>
      </c>
      <c r="C363" s="492" t="s">
        <v>264</v>
      </c>
      <c r="D363" s="492" t="s">
        <v>219</v>
      </c>
      <c r="E363" s="492" t="s">
        <v>1663</v>
      </c>
      <c r="F363" s="492"/>
      <c r="G363" s="497">
        <f t="shared" si="25"/>
        <v>0</v>
      </c>
      <c r="H363" s="501"/>
      <c r="I363" s="526"/>
      <c r="J363" s="501"/>
    </row>
    <row r="364" spans="1:11" s="204" customFormat="1" ht="35.450000000000003" hidden="1" customHeight="1" x14ac:dyDescent="0.25">
      <c r="A364" s="496" t="s">
        <v>131</v>
      </c>
      <c r="B364" s="490">
        <v>903</v>
      </c>
      <c r="C364" s="492" t="s">
        <v>264</v>
      </c>
      <c r="D364" s="492" t="s">
        <v>219</v>
      </c>
      <c r="E364" s="492" t="s">
        <v>1663</v>
      </c>
      <c r="F364" s="492" t="s">
        <v>132</v>
      </c>
      <c r="G364" s="497">
        <f t="shared" si="25"/>
        <v>0</v>
      </c>
      <c r="H364" s="501"/>
      <c r="I364" s="526"/>
      <c r="J364" s="501"/>
    </row>
    <row r="365" spans="1:11" s="204" customFormat="1" ht="35.450000000000003" hidden="1" customHeight="1" x14ac:dyDescent="0.25">
      <c r="A365" s="496" t="s">
        <v>133</v>
      </c>
      <c r="B365" s="490">
        <v>903</v>
      </c>
      <c r="C365" s="492" t="s">
        <v>264</v>
      </c>
      <c r="D365" s="492" t="s">
        <v>219</v>
      </c>
      <c r="E365" s="492" t="s">
        <v>1663</v>
      </c>
      <c r="F365" s="492" t="s">
        <v>134</v>
      </c>
      <c r="G365" s="497"/>
      <c r="H365" s="501"/>
      <c r="I365" s="526"/>
      <c r="J365" s="501"/>
    </row>
    <row r="366" spans="1:11" ht="15.75" x14ac:dyDescent="0.25">
      <c r="A366" s="494" t="s">
        <v>298</v>
      </c>
      <c r="B366" s="491">
        <v>903</v>
      </c>
      <c r="C366" s="495" t="s">
        <v>299</v>
      </c>
      <c r="D366" s="495"/>
      <c r="E366" s="495"/>
      <c r="F366" s="495"/>
      <c r="G366" s="493">
        <f>G367+G432</f>
        <v>89258.319999999992</v>
      </c>
      <c r="H366" s="501"/>
      <c r="I366" s="526"/>
      <c r="J366" s="501"/>
      <c r="K366" s="204"/>
    </row>
    <row r="367" spans="1:11" ht="15.75" x14ac:dyDescent="0.25">
      <c r="A367" s="494" t="s">
        <v>300</v>
      </c>
      <c r="B367" s="491">
        <v>903</v>
      </c>
      <c r="C367" s="495" t="s">
        <v>299</v>
      </c>
      <c r="D367" s="495" t="s">
        <v>118</v>
      </c>
      <c r="E367" s="495"/>
      <c r="F367" s="495"/>
      <c r="G367" s="493">
        <f>G368+G427+G422</f>
        <v>68123.839999999997</v>
      </c>
      <c r="H367" s="117"/>
      <c r="I367" s="526"/>
      <c r="J367" s="501"/>
      <c r="K367" s="204"/>
    </row>
    <row r="368" spans="1:11" ht="35.450000000000003" customHeight="1" x14ac:dyDescent="0.25">
      <c r="A368" s="494" t="s">
        <v>1351</v>
      </c>
      <c r="B368" s="491">
        <v>903</v>
      </c>
      <c r="C368" s="495" t="s">
        <v>299</v>
      </c>
      <c r="D368" s="495" t="s">
        <v>118</v>
      </c>
      <c r="E368" s="495" t="s">
        <v>267</v>
      </c>
      <c r="F368" s="495"/>
      <c r="G368" s="493">
        <f>G369+G380+G386+G390+G397+G401+G412</f>
        <v>67235.14</v>
      </c>
      <c r="H368" s="501"/>
      <c r="I368" s="526"/>
      <c r="J368" s="501"/>
      <c r="K368" s="204"/>
    </row>
    <row r="369" spans="1:12" s="204" customFormat="1" ht="30.2" customHeight="1" x14ac:dyDescent="0.25">
      <c r="A369" s="494" t="s">
        <v>1299</v>
      </c>
      <c r="B369" s="491">
        <v>903</v>
      </c>
      <c r="C369" s="495" t="s">
        <v>299</v>
      </c>
      <c r="D369" s="495" t="s">
        <v>118</v>
      </c>
      <c r="E369" s="495" t="s">
        <v>1203</v>
      </c>
      <c r="F369" s="495"/>
      <c r="G369" s="493">
        <f>G370+G377</f>
        <v>52801.84</v>
      </c>
      <c r="H369" s="501"/>
      <c r="I369" s="526"/>
      <c r="J369" s="501"/>
    </row>
    <row r="370" spans="1:12" s="204" customFormat="1" ht="17.45" customHeight="1" x14ac:dyDescent="0.25">
      <c r="A370" s="579" t="s">
        <v>800</v>
      </c>
      <c r="B370" s="490">
        <v>903</v>
      </c>
      <c r="C370" s="492" t="s">
        <v>299</v>
      </c>
      <c r="D370" s="492" t="s">
        <v>118</v>
      </c>
      <c r="E370" s="492" t="s">
        <v>1204</v>
      </c>
      <c r="F370" s="492"/>
      <c r="G370" s="497">
        <f>G371+G373+G375</f>
        <v>52801.84</v>
      </c>
      <c r="H370" s="501"/>
      <c r="I370" s="526"/>
      <c r="J370" s="501"/>
    </row>
    <row r="371" spans="1:12" s="204" customFormat="1" ht="46.5" customHeight="1" x14ac:dyDescent="0.25">
      <c r="A371" s="579" t="s">
        <v>127</v>
      </c>
      <c r="B371" s="490">
        <v>903</v>
      </c>
      <c r="C371" s="492" t="s">
        <v>299</v>
      </c>
      <c r="D371" s="492" t="s">
        <v>118</v>
      </c>
      <c r="E371" s="492" t="s">
        <v>1204</v>
      </c>
      <c r="F371" s="492" t="s">
        <v>128</v>
      </c>
      <c r="G371" s="497">
        <f>G372</f>
        <v>42283.78</v>
      </c>
      <c r="H371" s="501"/>
      <c r="I371" s="526"/>
      <c r="J371" s="501"/>
    </row>
    <row r="372" spans="1:12" s="204" customFormat="1" ht="21.75" customHeight="1" x14ac:dyDescent="0.25">
      <c r="A372" s="579" t="s">
        <v>208</v>
      </c>
      <c r="B372" s="490">
        <v>903</v>
      </c>
      <c r="C372" s="492" t="s">
        <v>299</v>
      </c>
      <c r="D372" s="492" t="s">
        <v>118</v>
      </c>
      <c r="E372" s="492" t="s">
        <v>1204</v>
      </c>
      <c r="F372" s="492" t="s">
        <v>209</v>
      </c>
      <c r="G372" s="27">
        <f>22394.46+19889.32</f>
        <v>42283.78</v>
      </c>
      <c r="H372" s="501"/>
      <c r="I372" s="526"/>
      <c r="J372" s="526"/>
    </row>
    <row r="373" spans="1:12" s="204" customFormat="1" ht="36.75" customHeight="1" x14ac:dyDescent="0.25">
      <c r="A373" s="579" t="s">
        <v>131</v>
      </c>
      <c r="B373" s="490">
        <v>903</v>
      </c>
      <c r="C373" s="492" t="s">
        <v>299</v>
      </c>
      <c r="D373" s="492" t="s">
        <v>118</v>
      </c>
      <c r="E373" s="492" t="s">
        <v>1204</v>
      </c>
      <c r="F373" s="492" t="s">
        <v>132</v>
      </c>
      <c r="G373" s="497">
        <f>G374</f>
        <v>10455.060000000001</v>
      </c>
      <c r="H373" s="501"/>
      <c r="I373" s="526"/>
      <c r="J373" s="501"/>
    </row>
    <row r="374" spans="1:12" s="204" customFormat="1" ht="33" customHeight="1" x14ac:dyDescent="0.25">
      <c r="A374" s="579" t="s">
        <v>133</v>
      </c>
      <c r="B374" s="490">
        <v>903</v>
      </c>
      <c r="C374" s="492" t="s">
        <v>299</v>
      </c>
      <c r="D374" s="492" t="s">
        <v>118</v>
      </c>
      <c r="E374" s="492" t="s">
        <v>1204</v>
      </c>
      <c r="F374" s="492" t="s">
        <v>134</v>
      </c>
      <c r="G374" s="707">
        <f>6466.5+4105.86-445.5+328.2</f>
        <v>10455.060000000001</v>
      </c>
      <c r="H374" s="162"/>
      <c r="I374" s="526"/>
      <c r="J374" s="501"/>
      <c r="K374" s="451"/>
      <c r="L374" s="537"/>
    </row>
    <row r="375" spans="1:12" s="204" customFormat="1" ht="18" customHeight="1" x14ac:dyDescent="0.25">
      <c r="A375" s="579" t="s">
        <v>135</v>
      </c>
      <c r="B375" s="490">
        <v>903</v>
      </c>
      <c r="C375" s="492" t="s">
        <v>299</v>
      </c>
      <c r="D375" s="492" t="s">
        <v>118</v>
      </c>
      <c r="E375" s="492" t="s">
        <v>1204</v>
      </c>
      <c r="F375" s="492" t="s">
        <v>145</v>
      </c>
      <c r="G375" s="497">
        <f>G376</f>
        <v>63</v>
      </c>
      <c r="H375" s="501"/>
      <c r="I375" s="526"/>
      <c r="J375" s="501"/>
    </row>
    <row r="376" spans="1:12" s="204" customFormat="1" ht="16.5" customHeight="1" x14ac:dyDescent="0.25">
      <c r="A376" s="579" t="s">
        <v>568</v>
      </c>
      <c r="B376" s="490">
        <v>903</v>
      </c>
      <c r="C376" s="492" t="s">
        <v>299</v>
      </c>
      <c r="D376" s="492" t="s">
        <v>118</v>
      </c>
      <c r="E376" s="492" t="s">
        <v>1204</v>
      </c>
      <c r="F376" s="492" t="s">
        <v>138</v>
      </c>
      <c r="G376" s="497">
        <f>37+26</f>
        <v>63</v>
      </c>
      <c r="H376" s="501"/>
      <c r="I376" s="526"/>
      <c r="J376" s="526"/>
    </row>
    <row r="377" spans="1:12" s="204" customFormat="1" ht="21.75" hidden="1" customHeight="1" x14ac:dyDescent="0.25">
      <c r="A377" s="31" t="s">
        <v>1505</v>
      </c>
      <c r="B377" s="490">
        <v>903</v>
      </c>
      <c r="C377" s="492" t="s">
        <v>299</v>
      </c>
      <c r="D377" s="492" t="s">
        <v>118</v>
      </c>
      <c r="E377" s="492" t="s">
        <v>1481</v>
      </c>
      <c r="F377" s="492"/>
      <c r="G377" s="497">
        <f>G378</f>
        <v>0</v>
      </c>
      <c r="H377" s="501"/>
      <c r="I377" s="526"/>
      <c r="J377" s="501"/>
    </row>
    <row r="378" spans="1:12" s="204" customFormat="1" ht="60.4" hidden="1" customHeight="1" x14ac:dyDescent="0.25">
      <c r="A378" s="496" t="s">
        <v>127</v>
      </c>
      <c r="B378" s="490">
        <v>903</v>
      </c>
      <c r="C378" s="492" t="s">
        <v>299</v>
      </c>
      <c r="D378" s="492" t="s">
        <v>118</v>
      </c>
      <c r="E378" s="492" t="s">
        <v>1481</v>
      </c>
      <c r="F378" s="492" t="s">
        <v>128</v>
      </c>
      <c r="G378" s="497">
        <f>G379</f>
        <v>0</v>
      </c>
      <c r="H378" s="501"/>
      <c r="I378" s="526"/>
      <c r="J378" s="501"/>
    </row>
    <row r="379" spans="1:12" s="204" customFormat="1" ht="17.100000000000001" hidden="1" customHeight="1" x14ac:dyDescent="0.25">
      <c r="A379" s="496" t="s">
        <v>208</v>
      </c>
      <c r="B379" s="490">
        <v>903</v>
      </c>
      <c r="C379" s="492" t="s">
        <v>299</v>
      </c>
      <c r="D379" s="492" t="s">
        <v>118</v>
      </c>
      <c r="E379" s="492" t="s">
        <v>1481</v>
      </c>
      <c r="F379" s="492" t="s">
        <v>209</v>
      </c>
      <c r="G379" s="497"/>
      <c r="H379" s="501"/>
      <c r="I379" s="526"/>
      <c r="J379" s="501"/>
    </row>
    <row r="380" spans="1:12" s="204" customFormat="1" ht="35.450000000000003" customHeight="1" x14ac:dyDescent="0.25">
      <c r="A380" s="217" t="s">
        <v>1301</v>
      </c>
      <c r="B380" s="491">
        <v>903</v>
      </c>
      <c r="C380" s="495" t="s">
        <v>299</v>
      </c>
      <c r="D380" s="495" t="s">
        <v>118</v>
      </c>
      <c r="E380" s="495" t="s">
        <v>1205</v>
      </c>
      <c r="F380" s="495"/>
      <c r="G380" s="493">
        <f>G381</f>
        <v>280</v>
      </c>
      <c r="H380" s="501"/>
      <c r="I380" s="526"/>
      <c r="J380" s="501"/>
    </row>
    <row r="381" spans="1:12" ht="35.450000000000003" customHeight="1" x14ac:dyDescent="0.25">
      <c r="A381" s="31" t="s">
        <v>816</v>
      </c>
      <c r="B381" s="490">
        <v>903</v>
      </c>
      <c r="C381" s="492" t="s">
        <v>299</v>
      </c>
      <c r="D381" s="492" t="s">
        <v>118</v>
      </c>
      <c r="E381" s="492" t="s">
        <v>1207</v>
      </c>
      <c r="F381" s="492"/>
      <c r="G381" s="27">
        <f>G384+G382</f>
        <v>280</v>
      </c>
      <c r="H381" s="501"/>
      <c r="I381" s="526"/>
      <c r="J381" s="501"/>
      <c r="K381" s="204"/>
    </row>
    <row r="382" spans="1:12" ht="66.2" customHeight="1" x14ac:dyDescent="0.25">
      <c r="A382" s="579" t="s">
        <v>127</v>
      </c>
      <c r="B382" s="490">
        <v>903</v>
      </c>
      <c r="C382" s="492" t="s">
        <v>299</v>
      </c>
      <c r="D382" s="492" t="s">
        <v>118</v>
      </c>
      <c r="E382" s="492" t="s">
        <v>1207</v>
      </c>
      <c r="F382" s="492" t="s">
        <v>128</v>
      </c>
      <c r="G382" s="27">
        <f>G383</f>
        <v>280</v>
      </c>
      <c r="H382" s="501"/>
      <c r="I382" s="526"/>
      <c r="J382" s="501"/>
      <c r="K382" s="204"/>
    </row>
    <row r="383" spans="1:12" ht="20.25" customHeight="1" x14ac:dyDescent="0.25">
      <c r="A383" s="579" t="s">
        <v>208</v>
      </c>
      <c r="B383" s="490">
        <v>903</v>
      </c>
      <c r="C383" s="492" t="s">
        <v>299</v>
      </c>
      <c r="D383" s="492" t="s">
        <v>118</v>
      </c>
      <c r="E383" s="492" t="s">
        <v>1207</v>
      </c>
      <c r="F383" s="492" t="s">
        <v>209</v>
      </c>
      <c r="G383" s="27">
        <v>280</v>
      </c>
      <c r="H383" s="501"/>
      <c r="I383" s="526"/>
      <c r="J383" s="501"/>
      <c r="K383" s="204"/>
    </row>
    <row r="384" spans="1:12" ht="33.75" hidden="1" customHeight="1" x14ac:dyDescent="0.25">
      <c r="A384" s="496" t="s">
        <v>131</v>
      </c>
      <c r="B384" s="490">
        <v>903</v>
      </c>
      <c r="C384" s="492" t="s">
        <v>299</v>
      </c>
      <c r="D384" s="492" t="s">
        <v>118</v>
      </c>
      <c r="E384" s="492" t="s">
        <v>1207</v>
      </c>
      <c r="F384" s="492" t="s">
        <v>132</v>
      </c>
      <c r="G384" s="27">
        <f>G385</f>
        <v>0</v>
      </c>
      <c r="H384" s="501"/>
      <c r="I384" s="526"/>
      <c r="J384" s="501"/>
      <c r="K384" s="204"/>
    </row>
    <row r="385" spans="1:11" ht="36.75" hidden="1" customHeight="1" x14ac:dyDescent="0.25">
      <c r="A385" s="496" t="s">
        <v>133</v>
      </c>
      <c r="B385" s="490">
        <v>903</v>
      </c>
      <c r="C385" s="492" t="s">
        <v>299</v>
      </c>
      <c r="D385" s="492" t="s">
        <v>118</v>
      </c>
      <c r="E385" s="492" t="s">
        <v>1207</v>
      </c>
      <c r="F385" s="492" t="s">
        <v>134</v>
      </c>
      <c r="G385" s="27"/>
      <c r="H385" s="501"/>
      <c r="I385" s="526"/>
      <c r="J385" s="501"/>
      <c r="K385" s="204"/>
    </row>
    <row r="386" spans="1:11" s="204" customFormat="1" ht="36.75" customHeight="1" x14ac:dyDescent="0.25">
      <c r="A386" s="494" t="s">
        <v>947</v>
      </c>
      <c r="B386" s="491">
        <v>903</v>
      </c>
      <c r="C386" s="495" t="s">
        <v>299</v>
      </c>
      <c r="D386" s="495" t="s">
        <v>118</v>
      </c>
      <c r="E386" s="495" t="s">
        <v>1208</v>
      </c>
      <c r="F386" s="495"/>
      <c r="G386" s="44">
        <f t="shared" ref="G386:G388" si="26">G387</f>
        <v>903</v>
      </c>
      <c r="H386" s="501"/>
      <c r="I386" s="526"/>
      <c r="J386" s="501"/>
    </row>
    <row r="387" spans="1:11" s="204" customFormat="1" ht="36.75" customHeight="1" x14ac:dyDescent="0.25">
      <c r="A387" s="579" t="s">
        <v>839</v>
      </c>
      <c r="B387" s="490">
        <v>903</v>
      </c>
      <c r="C387" s="492" t="s">
        <v>299</v>
      </c>
      <c r="D387" s="492" t="s">
        <v>118</v>
      </c>
      <c r="E387" s="492" t="s">
        <v>1209</v>
      </c>
      <c r="F387" s="492"/>
      <c r="G387" s="497">
        <f t="shared" si="26"/>
        <v>903</v>
      </c>
      <c r="H387" s="501"/>
      <c r="I387" s="526"/>
      <c r="J387" s="501"/>
    </row>
    <row r="388" spans="1:11" s="204" customFormat="1" ht="62.45" customHeight="1" x14ac:dyDescent="0.25">
      <c r="A388" s="579" t="s">
        <v>127</v>
      </c>
      <c r="B388" s="490">
        <v>903</v>
      </c>
      <c r="C388" s="492" t="s">
        <v>299</v>
      </c>
      <c r="D388" s="492" t="s">
        <v>118</v>
      </c>
      <c r="E388" s="492" t="s">
        <v>1209</v>
      </c>
      <c r="F388" s="492" t="s">
        <v>128</v>
      </c>
      <c r="G388" s="497">
        <f t="shared" si="26"/>
        <v>903</v>
      </c>
      <c r="H388" s="501"/>
      <c r="I388" s="526"/>
      <c r="J388" s="501"/>
    </row>
    <row r="389" spans="1:11" s="204" customFormat="1" ht="36.75" customHeight="1" x14ac:dyDescent="0.25">
      <c r="A389" s="579" t="s">
        <v>129</v>
      </c>
      <c r="B389" s="490">
        <v>903</v>
      </c>
      <c r="C389" s="492" t="s">
        <v>299</v>
      </c>
      <c r="D389" s="492" t="s">
        <v>118</v>
      </c>
      <c r="E389" s="492" t="s">
        <v>1209</v>
      </c>
      <c r="F389" s="492" t="s">
        <v>209</v>
      </c>
      <c r="G389" s="497">
        <v>903</v>
      </c>
      <c r="H389" s="501"/>
      <c r="I389" s="526"/>
      <c r="J389" s="526"/>
    </row>
    <row r="390" spans="1:11" s="204" customFormat="1" ht="36.75" customHeight="1" x14ac:dyDescent="0.25">
      <c r="A390" s="218" t="s">
        <v>900</v>
      </c>
      <c r="B390" s="491">
        <v>903</v>
      </c>
      <c r="C390" s="495" t="s">
        <v>299</v>
      </c>
      <c r="D390" s="495" t="s">
        <v>118</v>
      </c>
      <c r="E390" s="495" t="s">
        <v>1210</v>
      </c>
      <c r="F390" s="495"/>
      <c r="G390" s="493">
        <f>G391+G394</f>
        <v>2485</v>
      </c>
      <c r="H390" s="501"/>
      <c r="I390" s="526"/>
      <c r="J390" s="501"/>
    </row>
    <row r="391" spans="1:11" s="204" customFormat="1" ht="87" customHeight="1" x14ac:dyDescent="0.25">
      <c r="A391" s="31" t="s">
        <v>293</v>
      </c>
      <c r="B391" s="490">
        <v>903</v>
      </c>
      <c r="C391" s="492" t="s">
        <v>299</v>
      </c>
      <c r="D391" s="492" t="s">
        <v>118</v>
      </c>
      <c r="E391" s="492" t="s">
        <v>1403</v>
      </c>
      <c r="F391" s="492"/>
      <c r="G391" s="497">
        <f>G392</f>
        <v>2100.5</v>
      </c>
      <c r="H391" s="501"/>
      <c r="I391" s="526"/>
      <c r="J391" s="501"/>
    </row>
    <row r="392" spans="1:11" s="204" customFormat="1" ht="66.599999999999994" customHeight="1" x14ac:dyDescent="0.25">
      <c r="A392" s="579" t="s">
        <v>127</v>
      </c>
      <c r="B392" s="490">
        <v>903</v>
      </c>
      <c r="C392" s="492" t="s">
        <v>299</v>
      </c>
      <c r="D392" s="492" t="s">
        <v>118</v>
      </c>
      <c r="E392" s="492" t="s">
        <v>1403</v>
      </c>
      <c r="F392" s="492" t="s">
        <v>128</v>
      </c>
      <c r="G392" s="497">
        <f>G393</f>
        <v>2100.5</v>
      </c>
      <c r="H392" s="501"/>
      <c r="I392" s="526"/>
      <c r="J392" s="501"/>
    </row>
    <row r="393" spans="1:11" s="204" customFormat="1" ht="21.75" customHeight="1" x14ac:dyDescent="0.25">
      <c r="A393" s="579" t="s">
        <v>208</v>
      </c>
      <c r="B393" s="490">
        <v>903</v>
      </c>
      <c r="C393" s="492" t="s">
        <v>299</v>
      </c>
      <c r="D393" s="492" t="s">
        <v>118</v>
      </c>
      <c r="E393" s="492" t="s">
        <v>1403</v>
      </c>
      <c r="F393" s="492" t="s">
        <v>209</v>
      </c>
      <c r="G393" s="497">
        <v>2100.5</v>
      </c>
      <c r="H393" s="501"/>
      <c r="I393" s="526"/>
      <c r="J393" s="501"/>
    </row>
    <row r="394" spans="1:11" s="204" customFormat="1" ht="69" customHeight="1" x14ac:dyDescent="0.25">
      <c r="A394" s="579" t="s">
        <v>331</v>
      </c>
      <c r="B394" s="490">
        <v>903</v>
      </c>
      <c r="C394" s="492" t="s">
        <v>299</v>
      </c>
      <c r="D394" s="492" t="s">
        <v>118</v>
      </c>
      <c r="E394" s="492" t="s">
        <v>1291</v>
      </c>
      <c r="F394" s="492"/>
      <c r="G394" s="497">
        <f>G395</f>
        <v>384.5</v>
      </c>
      <c r="H394" s="501"/>
      <c r="I394" s="526"/>
      <c r="J394" s="501"/>
    </row>
    <row r="395" spans="1:11" s="204" customFormat="1" ht="72" customHeight="1" x14ac:dyDescent="0.25">
      <c r="A395" s="579" t="s">
        <v>127</v>
      </c>
      <c r="B395" s="490">
        <v>903</v>
      </c>
      <c r="C395" s="492" t="s">
        <v>299</v>
      </c>
      <c r="D395" s="492" t="s">
        <v>118</v>
      </c>
      <c r="E395" s="492" t="s">
        <v>1291</v>
      </c>
      <c r="F395" s="492" t="s">
        <v>128</v>
      </c>
      <c r="G395" s="497">
        <f>G396</f>
        <v>384.5</v>
      </c>
      <c r="H395" s="501"/>
      <c r="I395" s="526"/>
      <c r="J395" s="501"/>
    </row>
    <row r="396" spans="1:11" s="204" customFormat="1" ht="19.5" customHeight="1" x14ac:dyDescent="0.25">
      <c r="A396" s="579" t="s">
        <v>208</v>
      </c>
      <c r="B396" s="490">
        <v>903</v>
      </c>
      <c r="C396" s="492" t="s">
        <v>299</v>
      </c>
      <c r="D396" s="492" t="s">
        <v>118</v>
      </c>
      <c r="E396" s="492" t="s">
        <v>1291</v>
      </c>
      <c r="F396" s="492" t="s">
        <v>209</v>
      </c>
      <c r="G396" s="497">
        <v>384.5</v>
      </c>
      <c r="H396" s="501"/>
      <c r="I396" s="526"/>
      <c r="J396" s="501"/>
    </row>
    <row r="397" spans="1:11" s="204" customFormat="1" ht="33" customHeight="1" x14ac:dyDescent="0.25">
      <c r="A397" s="494" t="s">
        <v>902</v>
      </c>
      <c r="B397" s="491">
        <v>903</v>
      </c>
      <c r="C397" s="495" t="s">
        <v>299</v>
      </c>
      <c r="D397" s="495" t="s">
        <v>118</v>
      </c>
      <c r="E397" s="495" t="s">
        <v>1215</v>
      </c>
      <c r="F397" s="495"/>
      <c r="G397" s="493">
        <f t="shared" ref="G397:G399" si="27">G398</f>
        <v>50</v>
      </c>
      <c r="H397" s="501"/>
      <c r="I397" s="526"/>
      <c r="J397" s="501"/>
    </row>
    <row r="398" spans="1:11" s="204" customFormat="1" ht="32.25" customHeight="1" x14ac:dyDescent="0.25">
      <c r="A398" s="579" t="s">
        <v>821</v>
      </c>
      <c r="B398" s="490">
        <v>903</v>
      </c>
      <c r="C398" s="492" t="s">
        <v>299</v>
      </c>
      <c r="D398" s="492" t="s">
        <v>118</v>
      </c>
      <c r="E398" s="492" t="s">
        <v>1216</v>
      </c>
      <c r="F398" s="492"/>
      <c r="G398" s="497">
        <f t="shared" si="27"/>
        <v>50</v>
      </c>
      <c r="H398" s="501"/>
      <c r="I398" s="526"/>
      <c r="J398" s="501"/>
    </row>
    <row r="399" spans="1:11" s="204" customFormat="1" ht="33.75" customHeight="1" x14ac:dyDescent="0.25">
      <c r="A399" s="579" t="s">
        <v>131</v>
      </c>
      <c r="B399" s="490">
        <v>903</v>
      </c>
      <c r="C399" s="492" t="s">
        <v>299</v>
      </c>
      <c r="D399" s="492" t="s">
        <v>118</v>
      </c>
      <c r="E399" s="492" t="s">
        <v>1216</v>
      </c>
      <c r="F399" s="492" t="s">
        <v>132</v>
      </c>
      <c r="G399" s="497">
        <f t="shared" si="27"/>
        <v>50</v>
      </c>
      <c r="H399" s="501"/>
      <c r="I399" s="526"/>
      <c r="J399" s="501"/>
    </row>
    <row r="400" spans="1:11" s="204" customFormat="1" ht="31.7" customHeight="1" x14ac:dyDescent="0.25">
      <c r="A400" s="579" t="s">
        <v>133</v>
      </c>
      <c r="B400" s="490">
        <v>903</v>
      </c>
      <c r="C400" s="492" t="s">
        <v>299</v>
      </c>
      <c r="D400" s="492" t="s">
        <v>118</v>
      </c>
      <c r="E400" s="492" t="s">
        <v>1216</v>
      </c>
      <c r="F400" s="492" t="s">
        <v>134</v>
      </c>
      <c r="G400" s="497">
        <v>50</v>
      </c>
      <c r="H400" s="501"/>
      <c r="I400" s="526"/>
      <c r="J400" s="501"/>
    </row>
    <row r="401" spans="1:11" s="204" customFormat="1" ht="21.2" customHeight="1" x14ac:dyDescent="0.25">
      <c r="A401" s="494" t="s">
        <v>1010</v>
      </c>
      <c r="B401" s="491">
        <v>903</v>
      </c>
      <c r="C401" s="495" t="s">
        <v>299</v>
      </c>
      <c r="D401" s="495" t="s">
        <v>118</v>
      </c>
      <c r="E401" s="495" t="s">
        <v>1217</v>
      </c>
      <c r="F401" s="495"/>
      <c r="G401" s="493">
        <f>G402+G405</f>
        <v>65.300000000000011</v>
      </c>
      <c r="H401" s="501"/>
      <c r="I401" s="526"/>
      <c r="J401" s="501"/>
    </row>
    <row r="402" spans="1:11" ht="31.5" x14ac:dyDescent="0.25">
      <c r="A402" s="579" t="s">
        <v>1484</v>
      </c>
      <c r="B402" s="490">
        <v>903</v>
      </c>
      <c r="C402" s="492" t="s">
        <v>299</v>
      </c>
      <c r="D402" s="492" t="s">
        <v>118</v>
      </c>
      <c r="E402" s="492" t="s">
        <v>1218</v>
      </c>
      <c r="F402" s="492"/>
      <c r="G402" s="497">
        <f t="shared" ref="G402:G403" si="28">G403</f>
        <v>3.5</v>
      </c>
      <c r="H402" s="501"/>
      <c r="I402" s="526"/>
      <c r="J402" s="501"/>
      <c r="K402" s="204"/>
    </row>
    <row r="403" spans="1:11" ht="31.5" x14ac:dyDescent="0.25">
      <c r="A403" s="579" t="s">
        <v>131</v>
      </c>
      <c r="B403" s="490">
        <v>903</v>
      </c>
      <c r="C403" s="492" t="s">
        <v>299</v>
      </c>
      <c r="D403" s="492" t="s">
        <v>118</v>
      </c>
      <c r="E403" s="492" t="s">
        <v>1218</v>
      </c>
      <c r="F403" s="492" t="s">
        <v>132</v>
      </c>
      <c r="G403" s="497">
        <f t="shared" si="28"/>
        <v>3.5</v>
      </c>
      <c r="H403" s="501"/>
      <c r="I403" s="526"/>
      <c r="J403" s="501"/>
      <c r="K403" s="204"/>
    </row>
    <row r="404" spans="1:11" ht="31.5" x14ac:dyDescent="0.25">
      <c r="A404" s="579" t="s">
        <v>133</v>
      </c>
      <c r="B404" s="490">
        <v>903</v>
      </c>
      <c r="C404" s="492" t="s">
        <v>299</v>
      </c>
      <c r="D404" s="492" t="s">
        <v>118</v>
      </c>
      <c r="E404" s="492" t="s">
        <v>1218</v>
      </c>
      <c r="F404" s="492" t="s">
        <v>134</v>
      </c>
      <c r="G404" s="497">
        <v>3.5</v>
      </c>
      <c r="H404" s="501"/>
      <c r="I404" s="526"/>
      <c r="J404" s="501"/>
      <c r="K404" s="204"/>
    </row>
    <row r="405" spans="1:11" s="578" customFormat="1" ht="27.75" customHeight="1" x14ac:dyDescent="0.25">
      <c r="A405" s="579" t="s">
        <v>1756</v>
      </c>
      <c r="B405" s="490">
        <v>903</v>
      </c>
      <c r="C405" s="580" t="s">
        <v>299</v>
      </c>
      <c r="D405" s="580" t="s">
        <v>118</v>
      </c>
      <c r="E405" s="580" t="s">
        <v>1757</v>
      </c>
      <c r="F405" s="580"/>
      <c r="G405" s="497">
        <f>G406</f>
        <v>61.800000000000004</v>
      </c>
      <c r="H405" s="501"/>
      <c r="I405" s="526"/>
      <c r="J405" s="501"/>
    </row>
    <row r="406" spans="1:11" s="578" customFormat="1" ht="31.5" x14ac:dyDescent="0.25">
      <c r="A406" s="579" t="s">
        <v>131</v>
      </c>
      <c r="B406" s="490">
        <v>903</v>
      </c>
      <c r="C406" s="580" t="s">
        <v>299</v>
      </c>
      <c r="D406" s="580" t="s">
        <v>118</v>
      </c>
      <c r="E406" s="580" t="s">
        <v>1757</v>
      </c>
      <c r="F406" s="580" t="s">
        <v>132</v>
      </c>
      <c r="G406" s="497">
        <f>G407</f>
        <v>61.800000000000004</v>
      </c>
      <c r="H406" s="501"/>
      <c r="I406" s="526"/>
      <c r="J406" s="501"/>
    </row>
    <row r="407" spans="1:11" s="578" customFormat="1" ht="31.5" x14ac:dyDescent="0.25">
      <c r="A407" s="579" t="s">
        <v>133</v>
      </c>
      <c r="B407" s="490">
        <v>903</v>
      </c>
      <c r="C407" s="580" t="s">
        <v>299</v>
      </c>
      <c r="D407" s="580" t="s">
        <v>118</v>
      </c>
      <c r="E407" s="580" t="s">
        <v>1757</v>
      </c>
      <c r="F407" s="580" t="s">
        <v>134</v>
      </c>
      <c r="G407" s="497">
        <f>56.2+5.6</f>
        <v>61.800000000000004</v>
      </c>
      <c r="H407" s="501"/>
      <c r="I407" s="526"/>
      <c r="J407" s="501"/>
    </row>
    <row r="408" spans="1:11" s="204" customFormat="1" ht="31.5" hidden="1" x14ac:dyDescent="0.25">
      <c r="A408" s="34" t="s">
        <v>1646</v>
      </c>
      <c r="B408" s="491">
        <v>903</v>
      </c>
      <c r="C408" s="495" t="s">
        <v>299</v>
      </c>
      <c r="D408" s="495" t="s">
        <v>118</v>
      </c>
      <c r="E408" s="495" t="s">
        <v>1648</v>
      </c>
      <c r="F408" s="495"/>
      <c r="G408" s="493">
        <f t="shared" ref="G408:G410" si="29">G409</f>
        <v>0</v>
      </c>
      <c r="H408" s="501"/>
      <c r="I408" s="526"/>
      <c r="J408" s="501"/>
    </row>
    <row r="409" spans="1:11" s="204" customFormat="1" ht="47.25" hidden="1" x14ac:dyDescent="0.25">
      <c r="A409" s="31" t="s">
        <v>1647</v>
      </c>
      <c r="B409" s="490">
        <v>903</v>
      </c>
      <c r="C409" s="492" t="s">
        <v>299</v>
      </c>
      <c r="D409" s="492" t="s">
        <v>118</v>
      </c>
      <c r="E409" s="492" t="s">
        <v>1649</v>
      </c>
      <c r="F409" s="492"/>
      <c r="G409" s="497">
        <f t="shared" si="29"/>
        <v>0</v>
      </c>
      <c r="H409" s="501"/>
      <c r="I409" s="526"/>
      <c r="J409" s="501"/>
    </row>
    <row r="410" spans="1:11" s="204" customFormat="1" ht="31.5" hidden="1" x14ac:dyDescent="0.25">
      <c r="A410" s="496" t="s">
        <v>131</v>
      </c>
      <c r="B410" s="490">
        <v>903</v>
      </c>
      <c r="C410" s="492" t="s">
        <v>299</v>
      </c>
      <c r="D410" s="492" t="s">
        <v>118</v>
      </c>
      <c r="E410" s="492" t="s">
        <v>1649</v>
      </c>
      <c r="F410" s="492" t="s">
        <v>132</v>
      </c>
      <c r="G410" s="497">
        <f t="shared" si="29"/>
        <v>0</v>
      </c>
      <c r="H410" s="501"/>
      <c r="I410" s="526"/>
      <c r="J410" s="501"/>
    </row>
    <row r="411" spans="1:11" s="204" customFormat="1" ht="31.5" hidden="1" x14ac:dyDescent="0.25">
      <c r="A411" s="496" t="s">
        <v>133</v>
      </c>
      <c r="B411" s="490">
        <v>903</v>
      </c>
      <c r="C411" s="492" t="s">
        <v>299</v>
      </c>
      <c r="D411" s="492" t="s">
        <v>118</v>
      </c>
      <c r="E411" s="492" t="s">
        <v>1649</v>
      </c>
      <c r="F411" s="492" t="s">
        <v>134</v>
      </c>
      <c r="G411" s="497">
        <f>1500-1500</f>
        <v>0</v>
      </c>
      <c r="H411" s="501"/>
      <c r="I411" s="526"/>
      <c r="J411" s="501"/>
    </row>
    <row r="412" spans="1:11" s="204" customFormat="1" ht="31.5" x14ac:dyDescent="0.25">
      <c r="A412" s="571" t="s">
        <v>1179</v>
      </c>
      <c r="B412" s="491">
        <v>903</v>
      </c>
      <c r="C412" s="495" t="s">
        <v>299</v>
      </c>
      <c r="D412" s="495" t="s">
        <v>118</v>
      </c>
      <c r="E412" s="495" t="s">
        <v>1213</v>
      </c>
      <c r="F412" s="495"/>
      <c r="G412" s="493">
        <f>G419+G416+G413</f>
        <v>10650.000000000002</v>
      </c>
      <c r="H412" s="501"/>
      <c r="I412" s="526"/>
      <c r="J412" s="501"/>
    </row>
    <row r="413" spans="1:11" s="578" customFormat="1" ht="31.5" hidden="1" x14ac:dyDescent="0.25">
      <c r="A413" s="557" t="s">
        <v>1711</v>
      </c>
      <c r="B413" s="490">
        <v>903</v>
      </c>
      <c r="C413" s="580" t="s">
        <v>299</v>
      </c>
      <c r="D413" s="580" t="s">
        <v>118</v>
      </c>
      <c r="E413" s="580" t="s">
        <v>1710</v>
      </c>
      <c r="F413" s="580"/>
      <c r="G413" s="497">
        <f>G414</f>
        <v>0</v>
      </c>
      <c r="H413" s="501"/>
      <c r="I413" s="526"/>
      <c r="J413" s="501"/>
    </row>
    <row r="414" spans="1:11" s="578" customFormat="1" ht="31.5" hidden="1" x14ac:dyDescent="0.25">
      <c r="A414" s="579" t="s">
        <v>131</v>
      </c>
      <c r="B414" s="490">
        <v>903</v>
      </c>
      <c r="C414" s="580" t="s">
        <v>299</v>
      </c>
      <c r="D414" s="580" t="s">
        <v>118</v>
      </c>
      <c r="E414" s="580" t="s">
        <v>1710</v>
      </c>
      <c r="F414" s="580" t="s">
        <v>132</v>
      </c>
      <c r="G414" s="497">
        <f>G415</f>
        <v>0</v>
      </c>
      <c r="H414" s="501"/>
      <c r="I414" s="526"/>
      <c r="J414" s="501"/>
    </row>
    <row r="415" spans="1:11" s="578" customFormat="1" ht="31.5" hidden="1" x14ac:dyDescent="0.25">
      <c r="A415" s="579" t="s">
        <v>133</v>
      </c>
      <c r="B415" s="490">
        <v>903</v>
      </c>
      <c r="C415" s="580" t="s">
        <v>299</v>
      </c>
      <c r="D415" s="580" t="s">
        <v>118</v>
      </c>
      <c r="E415" s="580" t="s">
        <v>1710</v>
      </c>
      <c r="F415" s="580" t="s">
        <v>134</v>
      </c>
      <c r="G415" s="493"/>
      <c r="H415" s="501"/>
      <c r="I415" s="526"/>
      <c r="J415" s="501"/>
    </row>
    <row r="416" spans="1:11" s="570" customFormat="1" ht="15.75" x14ac:dyDescent="0.25">
      <c r="A416" s="633" t="s">
        <v>1753</v>
      </c>
      <c r="B416" s="490">
        <v>903</v>
      </c>
      <c r="C416" s="577" t="s">
        <v>299</v>
      </c>
      <c r="D416" s="577" t="s">
        <v>118</v>
      </c>
      <c r="E416" s="577" t="s">
        <v>1754</v>
      </c>
      <c r="F416" s="495"/>
      <c r="G416" s="493">
        <f>G417</f>
        <v>10526.300000000001</v>
      </c>
      <c r="H416" s="501"/>
      <c r="I416" s="526"/>
      <c r="J416" s="501"/>
    </row>
    <row r="417" spans="1:11" s="570" customFormat="1" ht="31.5" x14ac:dyDescent="0.25">
      <c r="A417" s="579" t="s">
        <v>131</v>
      </c>
      <c r="B417" s="490">
        <v>903</v>
      </c>
      <c r="C417" s="577" t="s">
        <v>299</v>
      </c>
      <c r="D417" s="577" t="s">
        <v>118</v>
      </c>
      <c r="E417" s="577" t="s">
        <v>1754</v>
      </c>
      <c r="F417" s="577" t="s">
        <v>132</v>
      </c>
      <c r="G417" s="497">
        <f>G418</f>
        <v>10526.300000000001</v>
      </c>
      <c r="H417" s="501"/>
      <c r="I417" s="526"/>
      <c r="J417" s="501"/>
    </row>
    <row r="418" spans="1:11" s="570" customFormat="1" ht="31.5" x14ac:dyDescent="0.25">
      <c r="A418" s="579" t="s">
        <v>133</v>
      </c>
      <c r="B418" s="490">
        <v>903</v>
      </c>
      <c r="C418" s="577" t="s">
        <v>299</v>
      </c>
      <c r="D418" s="577" t="s">
        <v>118</v>
      </c>
      <c r="E418" s="577" t="s">
        <v>1754</v>
      </c>
      <c r="F418" s="577" t="s">
        <v>134</v>
      </c>
      <c r="G418" s="708">
        <f>10094.7+431.6</f>
        <v>10526.300000000001</v>
      </c>
      <c r="H418" s="501"/>
      <c r="I418" s="526"/>
      <c r="J418" s="501"/>
    </row>
    <row r="419" spans="1:11" s="204" customFormat="1" ht="15.75" x14ac:dyDescent="0.25">
      <c r="A419" s="98" t="s">
        <v>1186</v>
      </c>
      <c r="B419" s="490">
        <v>903</v>
      </c>
      <c r="C419" s="492" t="s">
        <v>299</v>
      </c>
      <c r="D419" s="492" t="s">
        <v>118</v>
      </c>
      <c r="E419" s="492" t="s">
        <v>1214</v>
      </c>
      <c r="F419" s="492"/>
      <c r="G419" s="497">
        <f t="shared" ref="G419:G420" si="30">G420</f>
        <v>123.7</v>
      </c>
      <c r="H419" s="501"/>
      <c r="I419" s="526"/>
      <c r="J419" s="501"/>
    </row>
    <row r="420" spans="1:11" s="204" customFormat="1" ht="31.5" x14ac:dyDescent="0.25">
      <c r="A420" s="579" t="s">
        <v>131</v>
      </c>
      <c r="B420" s="490">
        <v>903</v>
      </c>
      <c r="C420" s="492" t="s">
        <v>299</v>
      </c>
      <c r="D420" s="492" t="s">
        <v>118</v>
      </c>
      <c r="E420" s="492" t="s">
        <v>1214</v>
      </c>
      <c r="F420" s="492" t="s">
        <v>132</v>
      </c>
      <c r="G420" s="497">
        <f t="shared" si="30"/>
        <v>123.7</v>
      </c>
      <c r="H420" s="501"/>
      <c r="I420" s="526"/>
      <c r="J420" s="501"/>
    </row>
    <row r="421" spans="1:11" s="204" customFormat="1" ht="31.5" x14ac:dyDescent="0.25">
      <c r="A421" s="579" t="s">
        <v>133</v>
      </c>
      <c r="B421" s="490">
        <v>903</v>
      </c>
      <c r="C421" s="492" t="s">
        <v>299</v>
      </c>
      <c r="D421" s="492" t="s">
        <v>118</v>
      </c>
      <c r="E421" s="492" t="s">
        <v>1214</v>
      </c>
      <c r="F421" s="492" t="s">
        <v>134</v>
      </c>
      <c r="G421" s="497">
        <f>112.4+11.3</f>
        <v>123.7</v>
      </c>
      <c r="H421" s="162"/>
      <c r="I421" s="526"/>
      <c r="J421" s="501"/>
    </row>
    <row r="422" spans="1:11" ht="47.25" x14ac:dyDescent="0.25">
      <c r="A422" s="34" t="s">
        <v>1434</v>
      </c>
      <c r="B422" s="491">
        <v>903</v>
      </c>
      <c r="C422" s="495" t="s">
        <v>299</v>
      </c>
      <c r="D422" s="495" t="s">
        <v>118</v>
      </c>
      <c r="E422" s="495" t="s">
        <v>324</v>
      </c>
      <c r="F422" s="495"/>
      <c r="G422" s="493">
        <f>G424</f>
        <v>10</v>
      </c>
      <c r="H422" s="501"/>
      <c r="I422" s="526"/>
      <c r="J422" s="501"/>
      <c r="K422" s="204"/>
    </row>
    <row r="423" spans="1:11" s="204" customFormat="1" ht="47.25" x14ac:dyDescent="0.25">
      <c r="A423" s="34" t="s">
        <v>1025</v>
      </c>
      <c r="B423" s="491">
        <v>903</v>
      </c>
      <c r="C423" s="495" t="s">
        <v>299</v>
      </c>
      <c r="D423" s="495" t="s">
        <v>118</v>
      </c>
      <c r="E423" s="495" t="s">
        <v>934</v>
      </c>
      <c r="F423" s="495"/>
      <c r="G423" s="493">
        <f>G426</f>
        <v>10</v>
      </c>
      <c r="H423" s="501"/>
      <c r="I423" s="526"/>
      <c r="J423" s="501"/>
    </row>
    <row r="424" spans="1:11" ht="47.25" x14ac:dyDescent="0.25">
      <c r="A424" s="31" t="s">
        <v>1080</v>
      </c>
      <c r="B424" s="490">
        <v>903</v>
      </c>
      <c r="C424" s="492" t="s">
        <v>299</v>
      </c>
      <c r="D424" s="492" t="s">
        <v>118</v>
      </c>
      <c r="E424" s="492" t="s">
        <v>1026</v>
      </c>
      <c r="F424" s="492"/>
      <c r="G424" s="497">
        <f>G425</f>
        <v>10</v>
      </c>
      <c r="H424" s="501"/>
      <c r="I424" s="526"/>
      <c r="J424" s="501"/>
      <c r="K424" s="204"/>
    </row>
    <row r="425" spans="1:11" ht="31.5" x14ac:dyDescent="0.25">
      <c r="A425" s="579" t="s">
        <v>131</v>
      </c>
      <c r="B425" s="490">
        <v>903</v>
      </c>
      <c r="C425" s="492" t="s">
        <v>299</v>
      </c>
      <c r="D425" s="492" t="s">
        <v>118</v>
      </c>
      <c r="E425" s="492" t="s">
        <v>1026</v>
      </c>
      <c r="F425" s="492" t="s">
        <v>132</v>
      </c>
      <c r="G425" s="497">
        <f>G426</f>
        <v>10</v>
      </c>
      <c r="H425" s="501"/>
      <c r="I425" s="526"/>
      <c r="J425" s="501"/>
      <c r="K425" s="204"/>
    </row>
    <row r="426" spans="1:11" ht="31.5" x14ac:dyDescent="0.25">
      <c r="A426" s="579" t="s">
        <v>133</v>
      </c>
      <c r="B426" s="490">
        <v>903</v>
      </c>
      <c r="C426" s="492" t="s">
        <v>299</v>
      </c>
      <c r="D426" s="492" t="s">
        <v>118</v>
      </c>
      <c r="E426" s="492" t="s">
        <v>1026</v>
      </c>
      <c r="F426" s="492" t="s">
        <v>134</v>
      </c>
      <c r="G426" s="497">
        <v>10</v>
      </c>
      <c r="H426" s="501"/>
      <c r="I426" s="526"/>
      <c r="J426" s="501"/>
      <c r="K426" s="204"/>
    </row>
    <row r="427" spans="1:11" ht="47.25" x14ac:dyDescent="0.25">
      <c r="A427" s="572" t="s">
        <v>1341</v>
      </c>
      <c r="B427" s="491">
        <v>903</v>
      </c>
      <c r="C427" s="495" t="s">
        <v>299</v>
      </c>
      <c r="D427" s="495" t="s">
        <v>118</v>
      </c>
      <c r="E427" s="495" t="s">
        <v>705</v>
      </c>
      <c r="F427" s="504"/>
      <c r="G427" s="493">
        <f t="shared" ref="G427:G430" si="31">G428</f>
        <v>878.7</v>
      </c>
      <c r="H427" s="501"/>
      <c r="I427" s="526"/>
      <c r="J427" s="501"/>
      <c r="K427" s="204"/>
    </row>
    <row r="428" spans="1:11" s="204" customFormat="1" ht="47.25" x14ac:dyDescent="0.25">
      <c r="A428" s="572" t="s">
        <v>890</v>
      </c>
      <c r="B428" s="491">
        <v>903</v>
      </c>
      <c r="C428" s="495" t="s">
        <v>299</v>
      </c>
      <c r="D428" s="495" t="s">
        <v>118</v>
      </c>
      <c r="E428" s="495" t="s">
        <v>888</v>
      </c>
      <c r="F428" s="504"/>
      <c r="G428" s="493">
        <f t="shared" si="31"/>
        <v>878.7</v>
      </c>
      <c r="H428" s="501"/>
      <c r="I428" s="526"/>
      <c r="J428" s="501"/>
    </row>
    <row r="429" spans="1:11" ht="31.5" x14ac:dyDescent="0.25">
      <c r="A429" s="98" t="s">
        <v>1022</v>
      </c>
      <c r="B429" s="490">
        <v>903</v>
      </c>
      <c r="C429" s="492" t="s">
        <v>299</v>
      </c>
      <c r="D429" s="492" t="s">
        <v>118</v>
      </c>
      <c r="E429" s="492" t="s">
        <v>889</v>
      </c>
      <c r="F429" s="498"/>
      <c r="G429" s="497">
        <f t="shared" si="31"/>
        <v>878.7</v>
      </c>
      <c r="H429" s="501"/>
      <c r="I429" s="526"/>
      <c r="J429" s="501"/>
      <c r="K429" s="204"/>
    </row>
    <row r="430" spans="1:11" ht="31.5" x14ac:dyDescent="0.25">
      <c r="A430" s="579" t="s">
        <v>131</v>
      </c>
      <c r="B430" s="490">
        <v>903</v>
      </c>
      <c r="C430" s="492" t="s">
        <v>299</v>
      </c>
      <c r="D430" s="492" t="s">
        <v>118</v>
      </c>
      <c r="E430" s="492" t="s">
        <v>889</v>
      </c>
      <c r="F430" s="498" t="s">
        <v>132</v>
      </c>
      <c r="G430" s="497">
        <f t="shared" si="31"/>
        <v>878.7</v>
      </c>
      <c r="H430" s="501"/>
      <c r="I430" s="526"/>
      <c r="J430" s="501"/>
      <c r="K430" s="204"/>
    </row>
    <row r="431" spans="1:11" ht="31.5" x14ac:dyDescent="0.25">
      <c r="A431" s="579" t="s">
        <v>133</v>
      </c>
      <c r="B431" s="490">
        <v>903</v>
      </c>
      <c r="C431" s="492" t="s">
        <v>299</v>
      </c>
      <c r="D431" s="492" t="s">
        <v>118</v>
      </c>
      <c r="E431" s="492" t="s">
        <v>889</v>
      </c>
      <c r="F431" s="498" t="s">
        <v>134</v>
      </c>
      <c r="G431" s="497">
        <v>878.7</v>
      </c>
      <c r="H431" s="501"/>
      <c r="I431" s="526"/>
      <c r="J431" s="501"/>
      <c r="K431" s="204"/>
    </row>
    <row r="432" spans="1:11" ht="15.75" x14ac:dyDescent="0.25">
      <c r="A432" s="494" t="s">
        <v>333</v>
      </c>
      <c r="B432" s="491">
        <v>903</v>
      </c>
      <c r="C432" s="495" t="s">
        <v>299</v>
      </c>
      <c r="D432" s="495" t="s">
        <v>150</v>
      </c>
      <c r="E432" s="495"/>
      <c r="F432" s="495"/>
      <c r="G432" s="493">
        <f>G433+G446+G462+G468</f>
        <v>21134.48</v>
      </c>
      <c r="H432" s="501"/>
      <c r="I432" s="526"/>
      <c r="J432" s="501"/>
      <c r="K432" s="204"/>
    </row>
    <row r="433" spans="1:10" s="204" customFormat="1" ht="31.5" x14ac:dyDescent="0.25">
      <c r="A433" s="494" t="s">
        <v>917</v>
      </c>
      <c r="B433" s="491">
        <v>903</v>
      </c>
      <c r="C433" s="495" t="s">
        <v>299</v>
      </c>
      <c r="D433" s="495" t="s">
        <v>150</v>
      </c>
      <c r="E433" s="495" t="s">
        <v>858</v>
      </c>
      <c r="F433" s="495"/>
      <c r="G433" s="493">
        <f>G434</f>
        <v>8497.84</v>
      </c>
      <c r="H433" s="501"/>
      <c r="I433" s="526"/>
      <c r="J433" s="501"/>
    </row>
    <row r="434" spans="1:10" s="204" customFormat="1" ht="15.75" x14ac:dyDescent="0.25">
      <c r="A434" s="494" t="s">
        <v>918</v>
      </c>
      <c r="B434" s="491">
        <v>903</v>
      </c>
      <c r="C434" s="495" t="s">
        <v>299</v>
      </c>
      <c r="D434" s="495" t="s">
        <v>150</v>
      </c>
      <c r="E434" s="495" t="s">
        <v>859</v>
      </c>
      <c r="F434" s="495"/>
      <c r="G434" s="493">
        <f>G435+G443+G440</f>
        <v>8497.84</v>
      </c>
      <c r="H434" s="501"/>
      <c r="I434" s="526"/>
      <c r="J434" s="501"/>
    </row>
    <row r="435" spans="1:10" s="204" customFormat="1" ht="31.5" x14ac:dyDescent="0.25">
      <c r="A435" s="579" t="s">
        <v>897</v>
      </c>
      <c r="B435" s="490">
        <v>903</v>
      </c>
      <c r="C435" s="492" t="s">
        <v>299</v>
      </c>
      <c r="D435" s="492" t="s">
        <v>150</v>
      </c>
      <c r="E435" s="492" t="s">
        <v>860</v>
      </c>
      <c r="F435" s="492"/>
      <c r="G435" s="497">
        <f>G436+G438</f>
        <v>7119.64</v>
      </c>
      <c r="H435" s="501"/>
      <c r="I435" s="526"/>
      <c r="J435" s="501"/>
    </row>
    <row r="436" spans="1:10" s="204" customFormat="1" ht="63" x14ac:dyDescent="0.25">
      <c r="A436" s="579" t="s">
        <v>127</v>
      </c>
      <c r="B436" s="490">
        <v>903</v>
      </c>
      <c r="C436" s="492" t="s">
        <v>299</v>
      </c>
      <c r="D436" s="492" t="s">
        <v>150</v>
      </c>
      <c r="E436" s="492" t="s">
        <v>860</v>
      </c>
      <c r="F436" s="492" t="s">
        <v>128</v>
      </c>
      <c r="G436" s="497">
        <f>G437</f>
        <v>7119.64</v>
      </c>
      <c r="H436" s="501"/>
      <c r="I436" s="526"/>
      <c r="J436" s="501"/>
    </row>
    <row r="437" spans="1:10" s="204" customFormat="1" ht="31.5" x14ac:dyDescent="0.25">
      <c r="A437" s="579" t="s">
        <v>129</v>
      </c>
      <c r="B437" s="490">
        <v>903</v>
      </c>
      <c r="C437" s="492" t="s">
        <v>299</v>
      </c>
      <c r="D437" s="492" t="s">
        <v>150</v>
      </c>
      <c r="E437" s="492" t="s">
        <v>860</v>
      </c>
      <c r="F437" s="492" t="s">
        <v>130</v>
      </c>
      <c r="G437" s="27">
        <v>7119.64</v>
      </c>
      <c r="H437" s="501"/>
      <c r="I437" s="526"/>
      <c r="J437" s="526"/>
    </row>
    <row r="438" spans="1:10" s="204" customFormat="1" ht="31.5" hidden="1" x14ac:dyDescent="0.25">
      <c r="A438" s="496" t="s">
        <v>131</v>
      </c>
      <c r="B438" s="490">
        <v>903</v>
      </c>
      <c r="C438" s="492" t="s">
        <v>299</v>
      </c>
      <c r="D438" s="492" t="s">
        <v>150</v>
      </c>
      <c r="E438" s="492" t="s">
        <v>860</v>
      </c>
      <c r="F438" s="492" t="s">
        <v>132</v>
      </c>
      <c r="G438" s="497">
        <f>G439</f>
        <v>0</v>
      </c>
      <c r="H438" s="501"/>
      <c r="I438" s="526"/>
      <c r="J438" s="501"/>
    </row>
    <row r="439" spans="1:10" s="204" customFormat="1" ht="31.5" hidden="1" x14ac:dyDescent="0.25">
      <c r="A439" s="496" t="s">
        <v>133</v>
      </c>
      <c r="B439" s="490">
        <v>903</v>
      </c>
      <c r="C439" s="492" t="s">
        <v>299</v>
      </c>
      <c r="D439" s="492" t="s">
        <v>150</v>
      </c>
      <c r="E439" s="492" t="s">
        <v>860</v>
      </c>
      <c r="F439" s="492" t="s">
        <v>134</v>
      </c>
      <c r="G439" s="497"/>
      <c r="H439" s="501"/>
      <c r="I439" s="526"/>
      <c r="J439" s="501"/>
    </row>
    <row r="440" spans="1:10" s="204" customFormat="1" ht="31.5" x14ac:dyDescent="0.25">
      <c r="A440" s="579" t="s">
        <v>840</v>
      </c>
      <c r="B440" s="490">
        <v>903</v>
      </c>
      <c r="C440" s="492" t="s">
        <v>299</v>
      </c>
      <c r="D440" s="492" t="s">
        <v>150</v>
      </c>
      <c r="E440" s="492" t="s">
        <v>861</v>
      </c>
      <c r="F440" s="492"/>
      <c r="G440" s="497">
        <f>G441</f>
        <v>948.2</v>
      </c>
      <c r="H440" s="501"/>
      <c r="I440" s="526"/>
      <c r="J440" s="501"/>
    </row>
    <row r="441" spans="1:10" s="204" customFormat="1" ht="63" x14ac:dyDescent="0.25">
      <c r="A441" s="579" t="s">
        <v>127</v>
      </c>
      <c r="B441" s="490">
        <v>903</v>
      </c>
      <c r="C441" s="492" t="s">
        <v>299</v>
      </c>
      <c r="D441" s="492" t="s">
        <v>150</v>
      </c>
      <c r="E441" s="492" t="s">
        <v>861</v>
      </c>
      <c r="F441" s="492" t="s">
        <v>128</v>
      </c>
      <c r="G441" s="497">
        <f>G442</f>
        <v>948.2</v>
      </c>
      <c r="H441" s="501"/>
      <c r="I441" s="526"/>
      <c r="J441" s="501"/>
    </row>
    <row r="442" spans="1:10" s="204" customFormat="1" ht="31.5" x14ac:dyDescent="0.25">
      <c r="A442" s="579" t="s">
        <v>129</v>
      </c>
      <c r="B442" s="490">
        <v>903</v>
      </c>
      <c r="C442" s="492" t="s">
        <v>299</v>
      </c>
      <c r="D442" s="492" t="s">
        <v>150</v>
      </c>
      <c r="E442" s="492" t="s">
        <v>861</v>
      </c>
      <c r="F442" s="492" t="s">
        <v>130</v>
      </c>
      <c r="G442" s="497">
        <v>948.2</v>
      </c>
      <c r="H442" s="501"/>
      <c r="I442" s="526"/>
      <c r="J442" s="501"/>
    </row>
    <row r="443" spans="1:10" s="204" customFormat="1" ht="31.5" x14ac:dyDescent="0.25">
      <c r="A443" s="579" t="s">
        <v>839</v>
      </c>
      <c r="B443" s="490">
        <v>903</v>
      </c>
      <c r="C443" s="492" t="s">
        <v>299</v>
      </c>
      <c r="D443" s="492" t="s">
        <v>150</v>
      </c>
      <c r="E443" s="492" t="s">
        <v>862</v>
      </c>
      <c r="F443" s="492"/>
      <c r="G443" s="497">
        <f>G444</f>
        <v>430</v>
      </c>
      <c r="H443" s="501"/>
      <c r="I443" s="526"/>
      <c r="J443" s="501"/>
    </row>
    <row r="444" spans="1:10" s="204" customFormat="1" ht="63" x14ac:dyDescent="0.25">
      <c r="A444" s="579" t="s">
        <v>127</v>
      </c>
      <c r="B444" s="490">
        <v>903</v>
      </c>
      <c r="C444" s="492" t="s">
        <v>299</v>
      </c>
      <c r="D444" s="492" t="s">
        <v>150</v>
      </c>
      <c r="E444" s="492" t="s">
        <v>862</v>
      </c>
      <c r="F444" s="492" t="s">
        <v>128</v>
      </c>
      <c r="G444" s="497">
        <f>G445</f>
        <v>430</v>
      </c>
      <c r="H444" s="501"/>
      <c r="I444" s="526"/>
      <c r="J444" s="501"/>
    </row>
    <row r="445" spans="1:10" s="204" customFormat="1" ht="31.5" x14ac:dyDescent="0.25">
      <c r="A445" s="579" t="s">
        <v>129</v>
      </c>
      <c r="B445" s="490">
        <v>903</v>
      </c>
      <c r="C445" s="492" t="s">
        <v>299</v>
      </c>
      <c r="D445" s="492" t="s">
        <v>150</v>
      </c>
      <c r="E445" s="492" t="s">
        <v>862</v>
      </c>
      <c r="F445" s="492" t="s">
        <v>130</v>
      </c>
      <c r="G445" s="497">
        <v>430</v>
      </c>
      <c r="H445" s="501"/>
      <c r="I445" s="526"/>
      <c r="J445" s="501"/>
    </row>
    <row r="446" spans="1:10" s="204" customFormat="1" ht="15.75" x14ac:dyDescent="0.25">
      <c r="A446" s="494" t="s">
        <v>926</v>
      </c>
      <c r="B446" s="491">
        <v>903</v>
      </c>
      <c r="C446" s="495" t="s">
        <v>299</v>
      </c>
      <c r="D446" s="495" t="s">
        <v>150</v>
      </c>
      <c r="E446" s="495" t="s">
        <v>866</v>
      </c>
      <c r="F446" s="495"/>
      <c r="G446" s="493">
        <f>G451+G447</f>
        <v>12376.64</v>
      </c>
      <c r="H446" s="501"/>
      <c r="I446" s="526"/>
      <c r="J446" s="501"/>
    </row>
    <row r="447" spans="1:10" s="204" customFormat="1" ht="31.5" hidden="1" x14ac:dyDescent="0.25">
      <c r="A447" s="34" t="s">
        <v>870</v>
      </c>
      <c r="B447" s="491">
        <v>903</v>
      </c>
      <c r="C447" s="495" t="s">
        <v>299</v>
      </c>
      <c r="D447" s="495" t="s">
        <v>150</v>
      </c>
      <c r="E447" s="495" t="s">
        <v>865</v>
      </c>
      <c r="F447" s="495"/>
      <c r="G447" s="493">
        <f t="shared" ref="G447:G449" si="32">G448</f>
        <v>0</v>
      </c>
      <c r="H447" s="501"/>
      <c r="I447" s="526"/>
      <c r="J447" s="501"/>
    </row>
    <row r="448" spans="1:10" s="204" customFormat="1" ht="50.25" hidden="1" customHeight="1" x14ac:dyDescent="0.25">
      <c r="A448" s="31" t="s">
        <v>1664</v>
      </c>
      <c r="B448" s="490">
        <v>903</v>
      </c>
      <c r="C448" s="492" t="s">
        <v>299</v>
      </c>
      <c r="D448" s="492" t="s">
        <v>150</v>
      </c>
      <c r="E448" s="492" t="s">
        <v>1663</v>
      </c>
      <c r="F448" s="492"/>
      <c r="G448" s="497">
        <f t="shared" si="32"/>
        <v>0</v>
      </c>
      <c r="H448" s="501"/>
      <c r="I448" s="526"/>
      <c r="J448" s="501"/>
    </row>
    <row r="449" spans="1:11" s="204" customFormat="1" ht="31.5" hidden="1" x14ac:dyDescent="0.25">
      <c r="A449" s="496" t="s">
        <v>131</v>
      </c>
      <c r="B449" s="490">
        <v>903</v>
      </c>
      <c r="C449" s="492" t="s">
        <v>299</v>
      </c>
      <c r="D449" s="492" t="s">
        <v>150</v>
      </c>
      <c r="E449" s="492" t="s">
        <v>1663</v>
      </c>
      <c r="F449" s="492" t="s">
        <v>132</v>
      </c>
      <c r="G449" s="497">
        <f t="shared" si="32"/>
        <v>0</v>
      </c>
      <c r="H449" s="501"/>
      <c r="I449" s="526"/>
      <c r="J449" s="501"/>
    </row>
    <row r="450" spans="1:11" s="204" customFormat="1" ht="31.5" hidden="1" x14ac:dyDescent="0.25">
      <c r="A450" s="496" t="s">
        <v>133</v>
      </c>
      <c r="B450" s="490">
        <v>903</v>
      </c>
      <c r="C450" s="492" t="s">
        <v>299</v>
      </c>
      <c r="D450" s="492" t="s">
        <v>150</v>
      </c>
      <c r="E450" s="492" t="s">
        <v>1663</v>
      </c>
      <c r="F450" s="492" t="s">
        <v>134</v>
      </c>
      <c r="G450" s="497"/>
      <c r="H450" s="521"/>
      <c r="I450" s="526"/>
      <c r="J450" s="501"/>
    </row>
    <row r="451" spans="1:11" s="204" customFormat="1" ht="15.75" x14ac:dyDescent="0.25">
      <c r="A451" s="494" t="s">
        <v>1713</v>
      </c>
      <c r="B451" s="491">
        <v>903</v>
      </c>
      <c r="C451" s="495" t="s">
        <v>299</v>
      </c>
      <c r="D451" s="495" t="s">
        <v>150</v>
      </c>
      <c r="E451" s="495" t="s">
        <v>953</v>
      </c>
      <c r="F451" s="495"/>
      <c r="G451" s="493">
        <f>G452+G455</f>
        <v>12376.64</v>
      </c>
      <c r="H451" s="522"/>
      <c r="I451" s="526"/>
      <c r="J451" s="501"/>
    </row>
    <row r="452" spans="1:11" s="204" customFormat="1" ht="31.5" x14ac:dyDescent="0.25">
      <c r="A452" s="579" t="s">
        <v>839</v>
      </c>
      <c r="B452" s="490">
        <v>903</v>
      </c>
      <c r="C452" s="492" t="s">
        <v>299</v>
      </c>
      <c r="D452" s="492" t="s">
        <v>150</v>
      </c>
      <c r="E452" s="492" t="s">
        <v>956</v>
      </c>
      <c r="F452" s="492"/>
      <c r="G452" s="497">
        <f>G453</f>
        <v>215</v>
      </c>
      <c r="H452" s="558"/>
      <c r="I452" s="526"/>
      <c r="J452" s="501"/>
    </row>
    <row r="453" spans="1:11" s="204" customFormat="1" ht="63" x14ac:dyDescent="0.25">
      <c r="A453" s="579" t="s">
        <v>127</v>
      </c>
      <c r="B453" s="490">
        <v>903</v>
      </c>
      <c r="C453" s="492" t="s">
        <v>299</v>
      </c>
      <c r="D453" s="492" t="s">
        <v>150</v>
      </c>
      <c r="E453" s="492" t="s">
        <v>956</v>
      </c>
      <c r="F453" s="492" t="s">
        <v>128</v>
      </c>
      <c r="G453" s="497">
        <f>G454</f>
        <v>215</v>
      </c>
      <c r="H453" s="558"/>
      <c r="I453" s="526"/>
      <c r="J453" s="501"/>
    </row>
    <row r="454" spans="1:11" s="204" customFormat="1" ht="15.75" x14ac:dyDescent="0.25">
      <c r="A454" s="579" t="s">
        <v>342</v>
      </c>
      <c r="B454" s="490">
        <v>903</v>
      </c>
      <c r="C454" s="492" t="s">
        <v>299</v>
      </c>
      <c r="D454" s="492" t="s">
        <v>150</v>
      </c>
      <c r="E454" s="492" t="s">
        <v>956</v>
      </c>
      <c r="F454" s="492" t="s">
        <v>209</v>
      </c>
      <c r="G454" s="497">
        <v>215</v>
      </c>
      <c r="H454" s="558"/>
      <c r="I454" s="526"/>
      <c r="J454" s="501"/>
    </row>
    <row r="455" spans="1:11" s="204" customFormat="1" ht="15.75" x14ac:dyDescent="0.25">
      <c r="A455" s="579" t="s">
        <v>801</v>
      </c>
      <c r="B455" s="490">
        <v>903</v>
      </c>
      <c r="C455" s="492" t="s">
        <v>299</v>
      </c>
      <c r="D455" s="492" t="s">
        <v>150</v>
      </c>
      <c r="E455" s="492" t="s">
        <v>955</v>
      </c>
      <c r="F455" s="492"/>
      <c r="G455" s="497">
        <f>G456+G458+G460</f>
        <v>12161.64</v>
      </c>
      <c r="H455" s="501"/>
      <c r="I455" s="526"/>
      <c r="J455" s="501"/>
    </row>
    <row r="456" spans="1:11" s="204" customFormat="1" ht="63" x14ac:dyDescent="0.25">
      <c r="A456" s="579" t="s">
        <v>127</v>
      </c>
      <c r="B456" s="490">
        <v>903</v>
      </c>
      <c r="C456" s="492" t="s">
        <v>299</v>
      </c>
      <c r="D456" s="492" t="s">
        <v>150</v>
      </c>
      <c r="E456" s="492" t="s">
        <v>955</v>
      </c>
      <c r="F456" s="492" t="s">
        <v>128</v>
      </c>
      <c r="G456" s="497">
        <f>G457</f>
        <v>10257.5</v>
      </c>
      <c r="H456" s="501"/>
      <c r="I456" s="526"/>
      <c r="J456" s="501"/>
    </row>
    <row r="457" spans="1:11" s="204" customFormat="1" ht="21.2" customHeight="1" x14ac:dyDescent="0.25">
      <c r="A457" s="579" t="s">
        <v>342</v>
      </c>
      <c r="B457" s="490">
        <v>903</v>
      </c>
      <c r="C457" s="492" t="s">
        <v>299</v>
      </c>
      <c r="D457" s="492" t="s">
        <v>150</v>
      </c>
      <c r="E457" s="492" t="s">
        <v>955</v>
      </c>
      <c r="F457" s="492" t="s">
        <v>209</v>
      </c>
      <c r="G457" s="27">
        <v>10257.5</v>
      </c>
      <c r="H457" s="501"/>
      <c r="I457" s="526"/>
      <c r="J457" s="526"/>
      <c r="K457" s="537"/>
    </row>
    <row r="458" spans="1:11" s="204" customFormat="1" ht="31.5" x14ac:dyDescent="0.25">
      <c r="A458" s="579" t="s">
        <v>131</v>
      </c>
      <c r="B458" s="490">
        <v>903</v>
      </c>
      <c r="C458" s="492" t="s">
        <v>299</v>
      </c>
      <c r="D458" s="492" t="s">
        <v>150</v>
      </c>
      <c r="E458" s="492" t="s">
        <v>955</v>
      </c>
      <c r="F458" s="492" t="s">
        <v>132</v>
      </c>
      <c r="G458" s="497">
        <f>G459</f>
        <v>1890.14</v>
      </c>
      <c r="H458" s="501"/>
      <c r="I458" s="526"/>
      <c r="J458" s="501"/>
    </row>
    <row r="459" spans="1:11" s="204" customFormat="1" ht="31.5" x14ac:dyDescent="0.25">
      <c r="A459" s="579" t="s">
        <v>133</v>
      </c>
      <c r="B459" s="490">
        <v>903</v>
      </c>
      <c r="C459" s="492" t="s">
        <v>299</v>
      </c>
      <c r="D459" s="492" t="s">
        <v>150</v>
      </c>
      <c r="E459" s="492" t="s">
        <v>955</v>
      </c>
      <c r="F459" s="492" t="s">
        <v>134</v>
      </c>
      <c r="G459" s="27">
        <v>1890.14</v>
      </c>
      <c r="H459" s="501"/>
      <c r="I459" s="526"/>
      <c r="J459" s="501"/>
      <c r="K459" s="537"/>
    </row>
    <row r="460" spans="1:11" s="204" customFormat="1" ht="15.75" x14ac:dyDescent="0.25">
      <c r="A460" s="579" t="s">
        <v>135</v>
      </c>
      <c r="B460" s="490">
        <v>903</v>
      </c>
      <c r="C460" s="492" t="s">
        <v>299</v>
      </c>
      <c r="D460" s="492" t="s">
        <v>150</v>
      </c>
      <c r="E460" s="492" t="s">
        <v>955</v>
      </c>
      <c r="F460" s="492" t="s">
        <v>145</v>
      </c>
      <c r="G460" s="497">
        <f>G461</f>
        <v>14</v>
      </c>
      <c r="H460" s="501"/>
      <c r="I460" s="526"/>
      <c r="J460" s="501"/>
    </row>
    <row r="461" spans="1:11" s="204" customFormat="1" ht="15.75" x14ac:dyDescent="0.25">
      <c r="A461" s="579" t="s">
        <v>568</v>
      </c>
      <c r="B461" s="490">
        <v>903</v>
      </c>
      <c r="C461" s="492" t="s">
        <v>299</v>
      </c>
      <c r="D461" s="492" t="s">
        <v>150</v>
      </c>
      <c r="E461" s="492" t="s">
        <v>955</v>
      </c>
      <c r="F461" s="492" t="s">
        <v>138</v>
      </c>
      <c r="G461" s="497">
        <v>14</v>
      </c>
      <c r="H461" s="501"/>
      <c r="I461" s="526"/>
      <c r="J461" s="501"/>
    </row>
    <row r="462" spans="1:11" ht="48.2" customHeight="1" x14ac:dyDescent="0.25">
      <c r="A462" s="494" t="s">
        <v>1347</v>
      </c>
      <c r="B462" s="491">
        <v>903</v>
      </c>
      <c r="C462" s="495" t="s">
        <v>299</v>
      </c>
      <c r="D462" s="495" t="s">
        <v>150</v>
      </c>
      <c r="E462" s="495" t="s">
        <v>344</v>
      </c>
      <c r="F462" s="495"/>
      <c r="G462" s="493">
        <f t="shared" ref="G462:G466" si="33">G463</f>
        <v>260</v>
      </c>
      <c r="H462" s="501"/>
      <c r="I462" s="526"/>
      <c r="J462" s="501"/>
      <c r="K462" s="204"/>
    </row>
    <row r="463" spans="1:11" ht="31.5" x14ac:dyDescent="0.25">
      <c r="A463" s="494" t="s">
        <v>1353</v>
      </c>
      <c r="B463" s="491">
        <v>903</v>
      </c>
      <c r="C463" s="495" t="s">
        <v>299</v>
      </c>
      <c r="D463" s="495" t="s">
        <v>150</v>
      </c>
      <c r="E463" s="495" t="s">
        <v>362</v>
      </c>
      <c r="F463" s="495"/>
      <c r="G463" s="493">
        <f t="shared" si="33"/>
        <v>260</v>
      </c>
      <c r="H463" s="501"/>
      <c r="I463" s="526"/>
      <c r="J463" s="501"/>
      <c r="K463" s="204"/>
    </row>
    <row r="464" spans="1:11" s="204" customFormat="1" ht="31.5" x14ac:dyDescent="0.25">
      <c r="A464" s="494" t="s">
        <v>997</v>
      </c>
      <c r="B464" s="491">
        <v>903</v>
      </c>
      <c r="C464" s="495" t="s">
        <v>299</v>
      </c>
      <c r="D464" s="495" t="s">
        <v>150</v>
      </c>
      <c r="E464" s="495" t="s">
        <v>1221</v>
      </c>
      <c r="F464" s="495"/>
      <c r="G464" s="493">
        <f t="shared" si="33"/>
        <v>260</v>
      </c>
      <c r="H464" s="501"/>
      <c r="I464" s="526"/>
      <c r="J464" s="501"/>
    </row>
    <row r="465" spans="1:11" ht="15.75" x14ac:dyDescent="0.25">
      <c r="A465" s="579" t="s">
        <v>996</v>
      </c>
      <c r="B465" s="490">
        <v>903</v>
      </c>
      <c r="C465" s="492" t="s">
        <v>299</v>
      </c>
      <c r="D465" s="492" t="s">
        <v>150</v>
      </c>
      <c r="E465" s="492" t="s">
        <v>1222</v>
      </c>
      <c r="F465" s="492"/>
      <c r="G465" s="497">
        <f t="shared" si="33"/>
        <v>260</v>
      </c>
      <c r="H465" s="501"/>
      <c r="I465" s="526"/>
      <c r="J465" s="501"/>
      <c r="K465" s="204"/>
    </row>
    <row r="466" spans="1:11" ht="31.5" x14ac:dyDescent="0.25">
      <c r="A466" s="579" t="s">
        <v>131</v>
      </c>
      <c r="B466" s="490">
        <v>903</v>
      </c>
      <c r="C466" s="492" t="s">
        <v>299</v>
      </c>
      <c r="D466" s="492" t="s">
        <v>150</v>
      </c>
      <c r="E466" s="492" t="s">
        <v>1222</v>
      </c>
      <c r="F466" s="492" t="s">
        <v>132</v>
      </c>
      <c r="G466" s="497">
        <f t="shared" si="33"/>
        <v>260</v>
      </c>
      <c r="H466" s="501"/>
      <c r="I466" s="526"/>
      <c r="J466" s="501"/>
      <c r="K466" s="204"/>
    </row>
    <row r="467" spans="1:11" ht="31.5" x14ac:dyDescent="0.25">
      <c r="A467" s="579" t="s">
        <v>133</v>
      </c>
      <c r="B467" s="490">
        <v>903</v>
      </c>
      <c r="C467" s="492" t="s">
        <v>299</v>
      </c>
      <c r="D467" s="492" t="s">
        <v>150</v>
      </c>
      <c r="E467" s="492" t="s">
        <v>1222</v>
      </c>
      <c r="F467" s="492" t="s">
        <v>134</v>
      </c>
      <c r="G467" s="497">
        <v>260</v>
      </c>
      <c r="H467" s="501"/>
      <c r="I467" s="526"/>
      <c r="J467" s="501"/>
      <c r="K467" s="204"/>
    </row>
    <row r="468" spans="1:11" s="204" customFormat="1" ht="47.25" hidden="1" x14ac:dyDescent="0.25">
      <c r="A468" s="34" t="s">
        <v>1357</v>
      </c>
      <c r="B468" s="491">
        <v>903</v>
      </c>
      <c r="C468" s="495" t="s">
        <v>299</v>
      </c>
      <c r="D468" s="495" t="s">
        <v>150</v>
      </c>
      <c r="E468" s="495" t="s">
        <v>324</v>
      </c>
      <c r="F468" s="495"/>
      <c r="G468" s="493">
        <f>G470</f>
        <v>0</v>
      </c>
      <c r="H468" s="501"/>
      <c r="I468" s="526"/>
      <c r="J468" s="501"/>
    </row>
    <row r="469" spans="1:11" s="204" customFormat="1" ht="47.25" hidden="1" x14ac:dyDescent="0.25">
      <c r="A469" s="34" t="s">
        <v>1025</v>
      </c>
      <c r="B469" s="491">
        <v>903</v>
      </c>
      <c r="C469" s="495" t="s">
        <v>299</v>
      </c>
      <c r="D469" s="495" t="s">
        <v>150</v>
      </c>
      <c r="E469" s="495" t="s">
        <v>934</v>
      </c>
      <c r="F469" s="495"/>
      <c r="G469" s="493">
        <f>G472</f>
        <v>0</v>
      </c>
      <c r="H469" s="501"/>
      <c r="I469" s="526"/>
      <c r="J469" s="501"/>
    </row>
    <row r="470" spans="1:11" s="204" customFormat="1" ht="47.25" hidden="1" x14ac:dyDescent="0.25">
      <c r="A470" s="31" t="s">
        <v>1080</v>
      </c>
      <c r="B470" s="490">
        <v>903</v>
      </c>
      <c r="C470" s="492" t="s">
        <v>299</v>
      </c>
      <c r="D470" s="492" t="s">
        <v>150</v>
      </c>
      <c r="E470" s="492" t="s">
        <v>1026</v>
      </c>
      <c r="F470" s="492"/>
      <c r="G470" s="497">
        <f>G471</f>
        <v>0</v>
      </c>
      <c r="H470" s="501"/>
      <c r="I470" s="526"/>
      <c r="J470" s="501"/>
    </row>
    <row r="471" spans="1:11" s="204" customFormat="1" ht="31.5" hidden="1" x14ac:dyDescent="0.25">
      <c r="A471" s="496" t="s">
        <v>131</v>
      </c>
      <c r="B471" s="490">
        <v>903</v>
      </c>
      <c r="C471" s="492" t="s">
        <v>299</v>
      </c>
      <c r="D471" s="492" t="s">
        <v>150</v>
      </c>
      <c r="E471" s="492" t="s">
        <v>1026</v>
      </c>
      <c r="F471" s="492" t="s">
        <v>132</v>
      </c>
      <c r="G471" s="497">
        <f>G472</f>
        <v>0</v>
      </c>
      <c r="H471" s="501"/>
      <c r="I471" s="526"/>
      <c r="J471" s="501"/>
    </row>
    <row r="472" spans="1:11" s="204" customFormat="1" ht="31.5" hidden="1" x14ac:dyDescent="0.25">
      <c r="A472" s="496" t="s">
        <v>133</v>
      </c>
      <c r="B472" s="490">
        <v>903</v>
      </c>
      <c r="C472" s="492" t="s">
        <v>299</v>
      </c>
      <c r="D472" s="492" t="s">
        <v>150</v>
      </c>
      <c r="E472" s="492" t="s">
        <v>1026</v>
      </c>
      <c r="F472" s="492" t="s">
        <v>134</v>
      </c>
      <c r="G472" s="497"/>
      <c r="H472" s="501"/>
      <c r="I472" s="526"/>
      <c r="J472" s="501"/>
    </row>
    <row r="473" spans="1:11" ht="15.75" x14ac:dyDescent="0.25">
      <c r="A473" s="494" t="s">
        <v>243</v>
      </c>
      <c r="B473" s="491">
        <v>903</v>
      </c>
      <c r="C473" s="495" t="s">
        <v>244</v>
      </c>
      <c r="D473" s="495"/>
      <c r="E473" s="495"/>
      <c r="F473" s="495"/>
      <c r="G473" s="493">
        <f>G474</f>
        <v>1565.9</v>
      </c>
      <c r="H473" s="501"/>
      <c r="I473" s="526"/>
      <c r="J473" s="501"/>
      <c r="K473" s="204"/>
    </row>
    <row r="474" spans="1:11" ht="15.75" x14ac:dyDescent="0.25">
      <c r="A474" s="494" t="s">
        <v>252</v>
      </c>
      <c r="B474" s="491">
        <v>903</v>
      </c>
      <c r="C474" s="495" t="s">
        <v>244</v>
      </c>
      <c r="D474" s="495" t="s">
        <v>215</v>
      </c>
      <c r="E474" s="495"/>
      <c r="F474" s="495"/>
      <c r="G474" s="493">
        <f>G475</f>
        <v>1565.9</v>
      </c>
      <c r="H474" s="501"/>
      <c r="I474" s="526"/>
      <c r="J474" s="501"/>
      <c r="K474" s="204"/>
    </row>
    <row r="475" spans="1:11" ht="34.9" customHeight="1" x14ac:dyDescent="0.25">
      <c r="A475" s="494" t="s">
        <v>1347</v>
      </c>
      <c r="B475" s="491">
        <v>903</v>
      </c>
      <c r="C475" s="495" t="s">
        <v>244</v>
      </c>
      <c r="D475" s="495" t="s">
        <v>215</v>
      </c>
      <c r="E475" s="495" t="s">
        <v>344</v>
      </c>
      <c r="F475" s="495"/>
      <c r="G475" s="493">
        <f>G476+G481</f>
        <v>1565.9</v>
      </c>
      <c r="H475" s="501"/>
      <c r="I475" s="526"/>
      <c r="J475" s="501"/>
      <c r="K475" s="204"/>
    </row>
    <row r="476" spans="1:11" ht="15.75" x14ac:dyDescent="0.25">
      <c r="A476" s="494" t="s">
        <v>352</v>
      </c>
      <c r="B476" s="491">
        <v>903</v>
      </c>
      <c r="C476" s="495" t="s">
        <v>244</v>
      </c>
      <c r="D476" s="495" t="s">
        <v>215</v>
      </c>
      <c r="E476" s="495" t="s">
        <v>353</v>
      </c>
      <c r="F476" s="495"/>
      <c r="G476" s="493">
        <f t="shared" ref="G476:G479" si="34">G477</f>
        <v>258.89999999999998</v>
      </c>
      <c r="H476" s="501"/>
      <c r="I476" s="526"/>
      <c r="J476" s="501"/>
      <c r="K476" s="204"/>
    </row>
    <row r="477" spans="1:11" s="204" customFormat="1" ht="33.75" customHeight="1" x14ac:dyDescent="0.25">
      <c r="A477" s="494" t="s">
        <v>905</v>
      </c>
      <c r="B477" s="491">
        <v>903</v>
      </c>
      <c r="C477" s="495" t="s">
        <v>244</v>
      </c>
      <c r="D477" s="495" t="s">
        <v>215</v>
      </c>
      <c r="E477" s="495" t="s">
        <v>904</v>
      </c>
      <c r="F477" s="495"/>
      <c r="G477" s="493">
        <f t="shared" si="34"/>
        <v>258.89999999999998</v>
      </c>
      <c r="H477" s="501"/>
      <c r="I477" s="526"/>
      <c r="J477" s="501"/>
    </row>
    <row r="478" spans="1:11" ht="31.5" x14ac:dyDescent="0.25">
      <c r="A478" s="579" t="s">
        <v>824</v>
      </c>
      <c r="B478" s="490">
        <v>903</v>
      </c>
      <c r="C478" s="492" t="s">
        <v>244</v>
      </c>
      <c r="D478" s="492" t="s">
        <v>215</v>
      </c>
      <c r="E478" s="492" t="s">
        <v>906</v>
      </c>
      <c r="F478" s="492"/>
      <c r="G478" s="497">
        <f t="shared" si="34"/>
        <v>258.89999999999998</v>
      </c>
      <c r="H478" s="501"/>
      <c r="I478" s="526"/>
      <c r="J478" s="501"/>
      <c r="K478" s="204"/>
    </row>
    <row r="479" spans="1:11" ht="15.75" x14ac:dyDescent="0.25">
      <c r="A479" s="579" t="s">
        <v>248</v>
      </c>
      <c r="B479" s="490">
        <v>903</v>
      </c>
      <c r="C479" s="492" t="s">
        <v>244</v>
      </c>
      <c r="D479" s="492" t="s">
        <v>215</v>
      </c>
      <c r="E479" s="492" t="s">
        <v>906</v>
      </c>
      <c r="F479" s="492" t="s">
        <v>249</v>
      </c>
      <c r="G479" s="497">
        <f t="shared" si="34"/>
        <v>258.89999999999998</v>
      </c>
      <c r="H479" s="501"/>
      <c r="I479" s="526"/>
      <c r="J479" s="501"/>
      <c r="K479" s="204"/>
    </row>
    <row r="480" spans="1:11" ht="31.5" x14ac:dyDescent="0.25">
      <c r="A480" s="579" t="s">
        <v>250</v>
      </c>
      <c r="B480" s="490">
        <v>903</v>
      </c>
      <c r="C480" s="492" t="s">
        <v>244</v>
      </c>
      <c r="D480" s="492" t="s">
        <v>215</v>
      </c>
      <c r="E480" s="492" t="s">
        <v>906</v>
      </c>
      <c r="F480" s="492" t="s">
        <v>251</v>
      </c>
      <c r="G480" s="497">
        <f>183.9+75</f>
        <v>258.89999999999998</v>
      </c>
      <c r="H480" s="501"/>
      <c r="I480" s="526"/>
      <c r="J480" s="501"/>
      <c r="K480" s="204"/>
    </row>
    <row r="481" spans="1:11" ht="31.5" x14ac:dyDescent="0.25">
      <c r="A481" s="494" t="s">
        <v>1353</v>
      </c>
      <c r="B481" s="491">
        <v>903</v>
      </c>
      <c r="C481" s="491">
        <v>10</v>
      </c>
      <c r="D481" s="495" t="s">
        <v>215</v>
      </c>
      <c r="E481" s="495" t="s">
        <v>362</v>
      </c>
      <c r="F481" s="495"/>
      <c r="G481" s="493">
        <f>G482+G488+G494</f>
        <v>1307</v>
      </c>
      <c r="H481" s="501"/>
      <c r="I481" s="526"/>
      <c r="J481" s="501"/>
      <c r="K481" s="204"/>
    </row>
    <row r="482" spans="1:11" s="204" customFormat="1" ht="31.5" x14ac:dyDescent="0.25">
      <c r="A482" s="494" t="s">
        <v>1038</v>
      </c>
      <c r="B482" s="491">
        <v>903</v>
      </c>
      <c r="C482" s="495" t="s">
        <v>244</v>
      </c>
      <c r="D482" s="495" t="s">
        <v>215</v>
      </c>
      <c r="E482" s="495" t="s">
        <v>913</v>
      </c>
      <c r="F482" s="495"/>
      <c r="G482" s="493">
        <f>G483</f>
        <v>630</v>
      </c>
      <c r="H482" s="501"/>
      <c r="I482" s="526"/>
      <c r="J482" s="501"/>
    </row>
    <row r="483" spans="1:11" s="204" customFormat="1" ht="39.75" customHeight="1" x14ac:dyDescent="0.25">
      <c r="A483" s="98" t="s">
        <v>1039</v>
      </c>
      <c r="B483" s="490">
        <v>903</v>
      </c>
      <c r="C483" s="492" t="s">
        <v>244</v>
      </c>
      <c r="D483" s="492" t="s">
        <v>215</v>
      </c>
      <c r="E483" s="492" t="s">
        <v>1224</v>
      </c>
      <c r="F483" s="492"/>
      <c r="G483" s="497">
        <f>G486+G485</f>
        <v>630</v>
      </c>
      <c r="H483" s="501"/>
      <c r="I483" s="526"/>
      <c r="J483" s="501"/>
    </row>
    <row r="484" spans="1:11" s="204" customFormat="1" ht="31.5" hidden="1" x14ac:dyDescent="0.25">
      <c r="A484" s="496" t="s">
        <v>131</v>
      </c>
      <c r="B484" s="490">
        <v>903</v>
      </c>
      <c r="C484" s="492" t="s">
        <v>244</v>
      </c>
      <c r="D484" s="492" t="s">
        <v>215</v>
      </c>
      <c r="E484" s="492" t="s">
        <v>1224</v>
      </c>
      <c r="F484" s="492" t="s">
        <v>132</v>
      </c>
      <c r="G484" s="497">
        <f>G485</f>
        <v>0</v>
      </c>
      <c r="H484" s="501"/>
      <c r="I484" s="526"/>
      <c r="J484" s="501"/>
    </row>
    <row r="485" spans="1:11" s="204" customFormat="1" ht="31.5" hidden="1" x14ac:dyDescent="0.25">
      <c r="A485" s="496" t="s">
        <v>133</v>
      </c>
      <c r="B485" s="490">
        <v>903</v>
      </c>
      <c r="C485" s="492" t="s">
        <v>244</v>
      </c>
      <c r="D485" s="492" t="s">
        <v>215</v>
      </c>
      <c r="E485" s="492" t="s">
        <v>1224</v>
      </c>
      <c r="F485" s="492" t="s">
        <v>134</v>
      </c>
      <c r="G485" s="497"/>
      <c r="H485" s="501"/>
      <c r="I485" s="526"/>
      <c r="J485" s="501"/>
    </row>
    <row r="486" spans="1:11" s="204" customFormat="1" ht="15.75" x14ac:dyDescent="0.25">
      <c r="A486" s="579" t="s">
        <v>248</v>
      </c>
      <c r="B486" s="490">
        <v>903</v>
      </c>
      <c r="C486" s="492" t="s">
        <v>244</v>
      </c>
      <c r="D486" s="492" t="s">
        <v>215</v>
      </c>
      <c r="E486" s="492" t="s">
        <v>1224</v>
      </c>
      <c r="F486" s="492" t="s">
        <v>249</v>
      </c>
      <c r="G486" s="497">
        <f>G487</f>
        <v>630</v>
      </c>
      <c r="H486" s="501"/>
      <c r="I486" s="526"/>
      <c r="J486" s="501"/>
    </row>
    <row r="487" spans="1:11" s="204" customFormat="1" ht="15.75" x14ac:dyDescent="0.25">
      <c r="A487" s="579" t="s">
        <v>348</v>
      </c>
      <c r="B487" s="490">
        <v>903</v>
      </c>
      <c r="C487" s="492" t="s">
        <v>244</v>
      </c>
      <c r="D487" s="492" t="s">
        <v>215</v>
      </c>
      <c r="E487" s="492" t="s">
        <v>1224</v>
      </c>
      <c r="F487" s="492" t="s">
        <v>349</v>
      </c>
      <c r="G487" s="497">
        <v>630</v>
      </c>
      <c r="H487" s="501"/>
      <c r="I487" s="526"/>
      <c r="J487" s="501"/>
    </row>
    <row r="488" spans="1:11" s="204" customFormat="1" ht="31.5" x14ac:dyDescent="0.25">
      <c r="A488" s="494" t="s">
        <v>1228</v>
      </c>
      <c r="B488" s="491">
        <v>903</v>
      </c>
      <c r="C488" s="491">
        <v>10</v>
      </c>
      <c r="D488" s="495" t="s">
        <v>215</v>
      </c>
      <c r="E488" s="495" t="s">
        <v>1226</v>
      </c>
      <c r="F488" s="495"/>
      <c r="G488" s="493">
        <f>G489</f>
        <v>257</v>
      </c>
      <c r="H488" s="501"/>
      <c r="I488" s="526"/>
      <c r="J488" s="501"/>
    </row>
    <row r="489" spans="1:11" s="204" customFormat="1" ht="15.75" x14ac:dyDescent="0.25">
      <c r="A489" s="579" t="s">
        <v>1225</v>
      </c>
      <c r="B489" s="490">
        <v>903</v>
      </c>
      <c r="C489" s="492" t="s">
        <v>244</v>
      </c>
      <c r="D489" s="492" t="s">
        <v>215</v>
      </c>
      <c r="E489" s="492" t="s">
        <v>1227</v>
      </c>
      <c r="F489" s="492"/>
      <c r="G489" s="497">
        <f>G491+G493</f>
        <v>257</v>
      </c>
      <c r="H489" s="501"/>
      <c r="I489" s="526"/>
      <c r="J489" s="501"/>
    </row>
    <row r="490" spans="1:11" s="204" customFormat="1" ht="31.5" hidden="1" x14ac:dyDescent="0.25">
      <c r="A490" s="496" t="s">
        <v>131</v>
      </c>
      <c r="B490" s="490">
        <v>903</v>
      </c>
      <c r="C490" s="492" t="s">
        <v>244</v>
      </c>
      <c r="D490" s="492" t="s">
        <v>215</v>
      </c>
      <c r="E490" s="492" t="s">
        <v>1227</v>
      </c>
      <c r="F490" s="492" t="s">
        <v>132</v>
      </c>
      <c r="G490" s="497">
        <f>G491</f>
        <v>0</v>
      </c>
      <c r="H490" s="501"/>
      <c r="I490" s="526"/>
      <c r="J490" s="501"/>
    </row>
    <row r="491" spans="1:11" s="204" customFormat="1" ht="31.5" hidden="1" x14ac:dyDescent="0.25">
      <c r="A491" s="496" t="s">
        <v>133</v>
      </c>
      <c r="B491" s="490">
        <v>903</v>
      </c>
      <c r="C491" s="492" t="s">
        <v>244</v>
      </c>
      <c r="D491" s="492" t="s">
        <v>215</v>
      </c>
      <c r="E491" s="492" t="s">
        <v>1227</v>
      </c>
      <c r="F491" s="492" t="s">
        <v>134</v>
      </c>
      <c r="G491" s="497"/>
      <c r="H491" s="501"/>
      <c r="I491" s="526"/>
      <c r="J491" s="501"/>
    </row>
    <row r="492" spans="1:11" s="204" customFormat="1" ht="15.75" x14ac:dyDescent="0.25">
      <c r="A492" s="579" t="s">
        <v>248</v>
      </c>
      <c r="B492" s="490">
        <v>903</v>
      </c>
      <c r="C492" s="492" t="s">
        <v>244</v>
      </c>
      <c r="D492" s="492" t="s">
        <v>215</v>
      </c>
      <c r="E492" s="492" t="s">
        <v>1227</v>
      </c>
      <c r="F492" s="492" t="s">
        <v>249</v>
      </c>
      <c r="G492" s="497">
        <f>G493</f>
        <v>257</v>
      </c>
      <c r="H492" s="501"/>
      <c r="I492" s="526"/>
      <c r="J492" s="501"/>
    </row>
    <row r="493" spans="1:11" s="204" customFormat="1" ht="15.75" x14ac:dyDescent="0.25">
      <c r="A493" s="579" t="s">
        <v>348</v>
      </c>
      <c r="B493" s="490">
        <v>903</v>
      </c>
      <c r="C493" s="492" t="s">
        <v>244</v>
      </c>
      <c r="D493" s="492" t="s">
        <v>215</v>
      </c>
      <c r="E493" s="492" t="s">
        <v>1227</v>
      </c>
      <c r="F493" s="492" t="s">
        <v>349</v>
      </c>
      <c r="G493" s="497">
        <v>257</v>
      </c>
      <c r="H493" s="501"/>
      <c r="I493" s="526"/>
      <c r="J493" s="501"/>
    </row>
    <row r="494" spans="1:11" s="204" customFormat="1" ht="31.5" x14ac:dyDescent="0.25">
      <c r="A494" s="494" t="s">
        <v>997</v>
      </c>
      <c r="B494" s="491">
        <v>903</v>
      </c>
      <c r="C494" s="491">
        <v>10</v>
      </c>
      <c r="D494" s="495" t="s">
        <v>215</v>
      </c>
      <c r="E494" s="495" t="s">
        <v>1221</v>
      </c>
      <c r="F494" s="495"/>
      <c r="G494" s="493">
        <f t="shared" ref="G494:G496" si="35">G495</f>
        <v>420</v>
      </c>
      <c r="H494" s="501"/>
      <c r="I494" s="526"/>
      <c r="J494" s="501"/>
    </row>
    <row r="495" spans="1:11" ht="15.75" x14ac:dyDescent="0.25">
      <c r="A495" s="579" t="s">
        <v>1036</v>
      </c>
      <c r="B495" s="490">
        <v>903</v>
      </c>
      <c r="C495" s="492" t="s">
        <v>244</v>
      </c>
      <c r="D495" s="492" t="s">
        <v>215</v>
      </c>
      <c r="E495" s="492" t="s">
        <v>1223</v>
      </c>
      <c r="F495" s="492"/>
      <c r="G495" s="497">
        <f t="shared" si="35"/>
        <v>420</v>
      </c>
      <c r="H495" s="501"/>
      <c r="I495" s="526"/>
      <c r="J495" s="501"/>
      <c r="K495" s="204"/>
    </row>
    <row r="496" spans="1:11" ht="15.75" x14ac:dyDescent="0.25">
      <c r="A496" s="579" t="s">
        <v>248</v>
      </c>
      <c r="B496" s="490">
        <v>903</v>
      </c>
      <c r="C496" s="492" t="s">
        <v>244</v>
      </c>
      <c r="D496" s="492" t="s">
        <v>215</v>
      </c>
      <c r="E496" s="492" t="s">
        <v>1223</v>
      </c>
      <c r="F496" s="492" t="s">
        <v>249</v>
      </c>
      <c r="G496" s="497">
        <f t="shared" si="35"/>
        <v>420</v>
      </c>
      <c r="H496" s="501"/>
      <c r="I496" s="526"/>
      <c r="J496" s="501"/>
      <c r="K496" s="204"/>
    </row>
    <row r="497" spans="1:11" ht="15.75" x14ac:dyDescent="0.25">
      <c r="A497" s="579" t="s">
        <v>348</v>
      </c>
      <c r="B497" s="490">
        <v>903</v>
      </c>
      <c r="C497" s="492" t="s">
        <v>244</v>
      </c>
      <c r="D497" s="492" t="s">
        <v>215</v>
      </c>
      <c r="E497" s="492" t="s">
        <v>1223</v>
      </c>
      <c r="F497" s="492" t="s">
        <v>349</v>
      </c>
      <c r="G497" s="497">
        <v>420</v>
      </c>
      <c r="H497" s="501"/>
      <c r="I497" s="526"/>
      <c r="J497" s="501"/>
      <c r="K497" s="204"/>
    </row>
    <row r="498" spans="1:11" s="204" customFormat="1" ht="15.75" x14ac:dyDescent="0.25">
      <c r="A498" s="494" t="s">
        <v>582</v>
      </c>
      <c r="B498" s="491">
        <v>903</v>
      </c>
      <c r="C498" s="495" t="s">
        <v>238</v>
      </c>
      <c r="D498" s="492"/>
      <c r="E498" s="492"/>
      <c r="F498" s="492"/>
      <c r="G498" s="493">
        <f>G499</f>
        <v>6128.15</v>
      </c>
      <c r="H498" s="501"/>
      <c r="I498" s="526"/>
      <c r="J498" s="501"/>
    </row>
    <row r="499" spans="1:11" s="204" customFormat="1" ht="15.75" x14ac:dyDescent="0.25">
      <c r="A499" s="494" t="s">
        <v>583</v>
      </c>
      <c r="B499" s="491">
        <v>903</v>
      </c>
      <c r="C499" s="495" t="s">
        <v>238</v>
      </c>
      <c r="D499" s="495" t="s">
        <v>213</v>
      </c>
      <c r="E499" s="495"/>
      <c r="F499" s="495"/>
      <c r="G499" s="493">
        <f>G500+G513</f>
        <v>6128.15</v>
      </c>
      <c r="H499" s="501"/>
      <c r="I499" s="526"/>
      <c r="J499" s="501"/>
    </row>
    <row r="500" spans="1:11" s="204" customFormat="1" ht="31.5" x14ac:dyDescent="0.25">
      <c r="A500" s="494" t="s">
        <v>1351</v>
      </c>
      <c r="B500" s="491">
        <v>903</v>
      </c>
      <c r="C500" s="495" t="s">
        <v>238</v>
      </c>
      <c r="D500" s="495" t="s">
        <v>213</v>
      </c>
      <c r="E500" s="495" t="s">
        <v>267</v>
      </c>
      <c r="F500" s="495"/>
      <c r="G500" s="493">
        <f>G501+G509</f>
        <v>6053.25</v>
      </c>
      <c r="H500" s="501"/>
      <c r="I500" s="526"/>
      <c r="J500" s="501"/>
    </row>
    <row r="501" spans="1:11" s="204" customFormat="1" ht="31.5" x14ac:dyDescent="0.25">
      <c r="A501" s="494" t="s">
        <v>1300</v>
      </c>
      <c r="B501" s="491">
        <v>903</v>
      </c>
      <c r="C501" s="495" t="s">
        <v>238</v>
      </c>
      <c r="D501" s="495" t="s">
        <v>213</v>
      </c>
      <c r="E501" s="495" t="s">
        <v>1203</v>
      </c>
      <c r="F501" s="495"/>
      <c r="G501" s="493">
        <f>G502</f>
        <v>5795.25</v>
      </c>
      <c r="H501" s="501"/>
      <c r="I501" s="526"/>
      <c r="J501" s="501"/>
    </row>
    <row r="502" spans="1:11" s="204" customFormat="1" ht="15.75" x14ac:dyDescent="0.25">
      <c r="A502" s="579" t="s">
        <v>801</v>
      </c>
      <c r="B502" s="490">
        <v>903</v>
      </c>
      <c r="C502" s="492" t="s">
        <v>238</v>
      </c>
      <c r="D502" s="492" t="s">
        <v>213</v>
      </c>
      <c r="E502" s="492" t="s">
        <v>1204</v>
      </c>
      <c r="F502" s="492"/>
      <c r="G502" s="497">
        <f>G503+G505+G507</f>
        <v>5795.25</v>
      </c>
      <c r="H502" s="501"/>
      <c r="I502" s="526"/>
      <c r="J502" s="501"/>
    </row>
    <row r="503" spans="1:11" s="204" customFormat="1" ht="63" x14ac:dyDescent="0.25">
      <c r="A503" s="579" t="s">
        <v>127</v>
      </c>
      <c r="B503" s="490">
        <v>903</v>
      </c>
      <c r="C503" s="492" t="s">
        <v>238</v>
      </c>
      <c r="D503" s="492" t="s">
        <v>213</v>
      </c>
      <c r="E503" s="492" t="s">
        <v>1204</v>
      </c>
      <c r="F503" s="492" t="s">
        <v>128</v>
      </c>
      <c r="G503" s="497">
        <f>G504</f>
        <v>4894.5</v>
      </c>
      <c r="H503" s="501"/>
      <c r="I503" s="526"/>
      <c r="J503" s="501"/>
    </row>
    <row r="504" spans="1:11" s="204" customFormat="1" ht="15.75" x14ac:dyDescent="0.25">
      <c r="A504" s="579" t="s">
        <v>208</v>
      </c>
      <c r="B504" s="490">
        <v>903</v>
      </c>
      <c r="C504" s="492" t="s">
        <v>238</v>
      </c>
      <c r="D504" s="492" t="s">
        <v>213</v>
      </c>
      <c r="E504" s="492" t="s">
        <v>1204</v>
      </c>
      <c r="F504" s="492" t="s">
        <v>209</v>
      </c>
      <c r="G504" s="27">
        <v>4894.5</v>
      </c>
      <c r="H504" s="501"/>
      <c r="I504" s="526"/>
      <c r="J504" s="526"/>
    </row>
    <row r="505" spans="1:11" s="204" customFormat="1" ht="31.5" x14ac:dyDescent="0.25">
      <c r="A505" s="579" t="s">
        <v>131</v>
      </c>
      <c r="B505" s="490">
        <v>903</v>
      </c>
      <c r="C505" s="492" t="s">
        <v>238</v>
      </c>
      <c r="D505" s="492" t="s">
        <v>213</v>
      </c>
      <c r="E505" s="492" t="s">
        <v>1204</v>
      </c>
      <c r="F505" s="492" t="s">
        <v>132</v>
      </c>
      <c r="G505" s="497">
        <f>G506</f>
        <v>890.25</v>
      </c>
      <c r="H505" s="501"/>
      <c r="I505" s="526"/>
      <c r="J505" s="501"/>
    </row>
    <row r="506" spans="1:11" s="204" customFormat="1" ht="31.5" x14ac:dyDescent="0.25">
      <c r="A506" s="579" t="s">
        <v>133</v>
      </c>
      <c r="B506" s="490">
        <v>903</v>
      </c>
      <c r="C506" s="492" t="s">
        <v>238</v>
      </c>
      <c r="D506" s="492" t="s">
        <v>213</v>
      </c>
      <c r="E506" s="492" t="s">
        <v>1204</v>
      </c>
      <c r="F506" s="492" t="s">
        <v>134</v>
      </c>
      <c r="G506" s="27">
        <v>890.25</v>
      </c>
      <c r="H506" s="501"/>
      <c r="I506" s="526"/>
      <c r="J506" s="501"/>
    </row>
    <row r="507" spans="1:11" s="204" customFormat="1" ht="15.75" x14ac:dyDescent="0.25">
      <c r="A507" s="579" t="s">
        <v>135</v>
      </c>
      <c r="B507" s="490">
        <v>903</v>
      </c>
      <c r="C507" s="492" t="s">
        <v>238</v>
      </c>
      <c r="D507" s="492" t="s">
        <v>213</v>
      </c>
      <c r="E507" s="492" t="s">
        <v>1204</v>
      </c>
      <c r="F507" s="492" t="s">
        <v>145</v>
      </c>
      <c r="G507" s="497">
        <f>G508</f>
        <v>10.5</v>
      </c>
      <c r="H507" s="501"/>
      <c r="I507" s="526"/>
      <c r="J507" s="501"/>
    </row>
    <row r="508" spans="1:11" s="204" customFormat="1" ht="15.75" x14ac:dyDescent="0.25">
      <c r="A508" s="579" t="s">
        <v>568</v>
      </c>
      <c r="B508" s="490">
        <v>903</v>
      </c>
      <c r="C508" s="492" t="s">
        <v>238</v>
      </c>
      <c r="D508" s="492" t="s">
        <v>213</v>
      </c>
      <c r="E508" s="492" t="s">
        <v>1204</v>
      </c>
      <c r="F508" s="492" t="s">
        <v>138</v>
      </c>
      <c r="G508" s="497">
        <v>10.5</v>
      </c>
      <c r="H508" s="501"/>
      <c r="I508" s="526"/>
      <c r="J508" s="501"/>
    </row>
    <row r="509" spans="1:11" s="204" customFormat="1" ht="31.5" x14ac:dyDescent="0.25">
      <c r="A509" s="494" t="s">
        <v>947</v>
      </c>
      <c r="B509" s="491">
        <v>903</v>
      </c>
      <c r="C509" s="495" t="s">
        <v>238</v>
      </c>
      <c r="D509" s="495" t="s">
        <v>213</v>
      </c>
      <c r="E509" s="495" t="s">
        <v>1208</v>
      </c>
      <c r="F509" s="495"/>
      <c r="G509" s="493">
        <f t="shared" ref="G509:G511" si="36">G510</f>
        <v>258</v>
      </c>
      <c r="H509" s="501"/>
      <c r="I509" s="526"/>
      <c r="J509" s="501"/>
    </row>
    <row r="510" spans="1:11" s="204" customFormat="1" ht="31.5" x14ac:dyDescent="0.25">
      <c r="A510" s="579" t="s">
        <v>839</v>
      </c>
      <c r="B510" s="490">
        <v>903</v>
      </c>
      <c r="C510" s="492" t="s">
        <v>238</v>
      </c>
      <c r="D510" s="492" t="s">
        <v>213</v>
      </c>
      <c r="E510" s="492" t="s">
        <v>1209</v>
      </c>
      <c r="F510" s="492"/>
      <c r="G510" s="497">
        <f t="shared" si="36"/>
        <v>258</v>
      </c>
      <c r="H510" s="501"/>
      <c r="I510" s="526"/>
      <c r="J510" s="501"/>
    </row>
    <row r="511" spans="1:11" s="204" customFormat="1" ht="63" x14ac:dyDescent="0.25">
      <c r="A511" s="579" t="s">
        <v>127</v>
      </c>
      <c r="B511" s="490">
        <v>903</v>
      </c>
      <c r="C511" s="492" t="s">
        <v>238</v>
      </c>
      <c r="D511" s="492" t="s">
        <v>213</v>
      </c>
      <c r="E511" s="492" t="s">
        <v>1209</v>
      </c>
      <c r="F511" s="492" t="s">
        <v>128</v>
      </c>
      <c r="G511" s="497">
        <f t="shared" si="36"/>
        <v>258</v>
      </c>
      <c r="H511" s="501"/>
      <c r="I511" s="526"/>
      <c r="J511" s="501"/>
    </row>
    <row r="512" spans="1:11" s="204" customFormat="1" ht="15.75" x14ac:dyDescent="0.25">
      <c r="A512" s="579" t="s">
        <v>208</v>
      </c>
      <c r="B512" s="490">
        <v>903</v>
      </c>
      <c r="C512" s="492" t="s">
        <v>238</v>
      </c>
      <c r="D512" s="492" t="s">
        <v>213</v>
      </c>
      <c r="E512" s="492" t="s">
        <v>1209</v>
      </c>
      <c r="F512" s="492" t="s">
        <v>209</v>
      </c>
      <c r="G512" s="497">
        <v>258</v>
      </c>
      <c r="H512" s="501"/>
      <c r="I512" s="526"/>
      <c r="J512" s="501"/>
    </row>
    <row r="513" spans="1:10" s="204" customFormat="1" ht="47.25" x14ac:dyDescent="0.25">
      <c r="A513" s="572" t="s">
        <v>1341</v>
      </c>
      <c r="B513" s="491">
        <v>903</v>
      </c>
      <c r="C513" s="495" t="s">
        <v>238</v>
      </c>
      <c r="D513" s="495" t="s">
        <v>213</v>
      </c>
      <c r="E513" s="495" t="s">
        <v>705</v>
      </c>
      <c r="F513" s="504"/>
      <c r="G513" s="493">
        <f>G515</f>
        <v>74.900000000000006</v>
      </c>
      <c r="H513" s="501"/>
      <c r="I513" s="526"/>
      <c r="J513" s="501"/>
    </row>
    <row r="514" spans="1:10" s="204" customFormat="1" ht="47.25" x14ac:dyDescent="0.25">
      <c r="A514" s="572" t="s">
        <v>890</v>
      </c>
      <c r="B514" s="491">
        <v>903</v>
      </c>
      <c r="C514" s="495" t="s">
        <v>238</v>
      </c>
      <c r="D514" s="495" t="s">
        <v>213</v>
      </c>
      <c r="E514" s="495" t="s">
        <v>888</v>
      </c>
      <c r="F514" s="504"/>
      <c r="G514" s="493">
        <f t="shared" ref="G514:G516" si="37">G515</f>
        <v>74.900000000000006</v>
      </c>
      <c r="H514" s="501"/>
      <c r="I514" s="526"/>
      <c r="J514" s="501"/>
    </row>
    <row r="515" spans="1:10" s="204" customFormat="1" ht="31.5" x14ac:dyDescent="0.25">
      <c r="A515" s="98" t="s">
        <v>1004</v>
      </c>
      <c r="B515" s="490">
        <v>903</v>
      </c>
      <c r="C515" s="492" t="s">
        <v>238</v>
      </c>
      <c r="D515" s="492" t="s">
        <v>213</v>
      </c>
      <c r="E515" s="492" t="s">
        <v>889</v>
      </c>
      <c r="F515" s="498"/>
      <c r="G515" s="497">
        <f t="shared" si="37"/>
        <v>74.900000000000006</v>
      </c>
      <c r="H515" s="501"/>
      <c r="I515" s="526"/>
      <c r="J515" s="501"/>
    </row>
    <row r="516" spans="1:10" s="204" customFormat="1" ht="31.5" x14ac:dyDescent="0.25">
      <c r="A516" s="579" t="s">
        <v>131</v>
      </c>
      <c r="B516" s="490">
        <v>903</v>
      </c>
      <c r="C516" s="492" t="s">
        <v>238</v>
      </c>
      <c r="D516" s="492" t="s">
        <v>213</v>
      </c>
      <c r="E516" s="492" t="s">
        <v>889</v>
      </c>
      <c r="F516" s="498" t="s">
        <v>132</v>
      </c>
      <c r="G516" s="497">
        <f t="shared" si="37"/>
        <v>74.900000000000006</v>
      </c>
      <c r="H516" s="501"/>
      <c r="I516" s="526"/>
      <c r="J516" s="501"/>
    </row>
    <row r="517" spans="1:10" s="204" customFormat="1" ht="31.5" x14ac:dyDescent="0.25">
      <c r="A517" s="579" t="s">
        <v>133</v>
      </c>
      <c r="B517" s="490">
        <v>903</v>
      </c>
      <c r="C517" s="492" t="s">
        <v>238</v>
      </c>
      <c r="D517" s="492" t="s">
        <v>213</v>
      </c>
      <c r="E517" s="492" t="s">
        <v>889</v>
      </c>
      <c r="F517" s="498" t="s">
        <v>134</v>
      </c>
      <c r="G517" s="497">
        <v>74.900000000000006</v>
      </c>
      <c r="H517" s="501"/>
      <c r="I517" s="526"/>
      <c r="J517" s="501"/>
    </row>
    <row r="518" spans="1:10" s="204" customFormat="1" ht="31.5" x14ac:dyDescent="0.25">
      <c r="A518" s="491" t="s">
        <v>1714</v>
      </c>
      <c r="B518" s="491">
        <v>904</v>
      </c>
      <c r="C518" s="495"/>
      <c r="D518" s="495"/>
      <c r="E518" s="495"/>
      <c r="F518" s="504"/>
      <c r="G518" s="493">
        <f>G519</f>
        <v>2822.17</v>
      </c>
      <c r="H518" s="501"/>
      <c r="I518" s="526"/>
      <c r="J518" s="501"/>
    </row>
    <row r="519" spans="1:10" s="578" customFormat="1" ht="15.75" x14ac:dyDescent="0.25">
      <c r="A519" s="494" t="s">
        <v>117</v>
      </c>
      <c r="B519" s="491">
        <v>904</v>
      </c>
      <c r="C519" s="495" t="s">
        <v>118</v>
      </c>
      <c r="D519" s="495"/>
      <c r="E519" s="495"/>
      <c r="F519" s="504"/>
      <c r="G519" s="493">
        <f>G520</f>
        <v>2822.17</v>
      </c>
      <c r="H519" s="501"/>
      <c r="I519" s="526"/>
      <c r="J519" s="501"/>
    </row>
    <row r="520" spans="1:10" s="204" customFormat="1" ht="47.25" x14ac:dyDescent="0.25">
      <c r="A520" s="494" t="s">
        <v>119</v>
      </c>
      <c r="B520" s="491">
        <v>904</v>
      </c>
      <c r="C520" s="495" t="s">
        <v>118</v>
      </c>
      <c r="D520" s="495" t="s">
        <v>120</v>
      </c>
      <c r="E520" s="495"/>
      <c r="F520" s="495"/>
      <c r="G520" s="493">
        <f t="shared" ref="G520:G521" si="38">G521</f>
        <v>2822.17</v>
      </c>
      <c r="H520" s="501"/>
      <c r="I520" s="526"/>
      <c r="J520" s="501"/>
    </row>
    <row r="521" spans="1:10" s="204" customFormat="1" ht="31.5" x14ac:dyDescent="0.25">
      <c r="A521" s="494" t="s">
        <v>917</v>
      </c>
      <c r="B521" s="491">
        <v>904</v>
      </c>
      <c r="C521" s="495" t="s">
        <v>118</v>
      </c>
      <c r="D521" s="495" t="s">
        <v>120</v>
      </c>
      <c r="E521" s="495" t="s">
        <v>858</v>
      </c>
      <c r="F521" s="495"/>
      <c r="G521" s="493">
        <f t="shared" si="38"/>
        <v>2822.17</v>
      </c>
      <c r="H521" s="501"/>
      <c r="I521" s="526"/>
      <c r="J521" s="501"/>
    </row>
    <row r="522" spans="1:10" s="204" customFormat="1" ht="31.5" x14ac:dyDescent="0.25">
      <c r="A522" s="494" t="s">
        <v>1705</v>
      </c>
      <c r="B522" s="491">
        <v>904</v>
      </c>
      <c r="C522" s="495" t="s">
        <v>118</v>
      </c>
      <c r="D522" s="495" t="s">
        <v>120</v>
      </c>
      <c r="E522" s="495" t="s">
        <v>1706</v>
      </c>
      <c r="F522" s="495"/>
      <c r="G522" s="493">
        <f>G523+G528</f>
        <v>2822.17</v>
      </c>
      <c r="H522" s="501"/>
      <c r="I522" s="526"/>
      <c r="J522" s="501"/>
    </row>
    <row r="523" spans="1:10" s="204" customFormat="1" ht="31.5" x14ac:dyDescent="0.25">
      <c r="A523" s="579" t="s">
        <v>897</v>
      </c>
      <c r="B523" s="490">
        <v>904</v>
      </c>
      <c r="C523" s="492" t="s">
        <v>118</v>
      </c>
      <c r="D523" s="492" t="s">
        <v>120</v>
      </c>
      <c r="E523" s="492" t="s">
        <v>1709</v>
      </c>
      <c r="F523" s="492"/>
      <c r="G523" s="497">
        <f>G524+G526</f>
        <v>689.05</v>
      </c>
      <c r="H523" s="501"/>
      <c r="I523" s="526"/>
      <c r="J523" s="501"/>
    </row>
    <row r="524" spans="1:10" s="204" customFormat="1" ht="63" x14ac:dyDescent="0.25">
      <c r="A524" s="579" t="s">
        <v>127</v>
      </c>
      <c r="B524" s="490">
        <v>904</v>
      </c>
      <c r="C524" s="492" t="s">
        <v>118</v>
      </c>
      <c r="D524" s="492" t="s">
        <v>120</v>
      </c>
      <c r="E524" s="492" t="s">
        <v>1709</v>
      </c>
      <c r="F524" s="492" t="s">
        <v>128</v>
      </c>
      <c r="G524" s="497">
        <f>G525</f>
        <v>596.04999999999995</v>
      </c>
      <c r="H524" s="501"/>
      <c r="I524" s="526"/>
      <c r="J524" s="501"/>
    </row>
    <row r="525" spans="1:10" s="204" customFormat="1" ht="31.5" x14ac:dyDescent="0.25">
      <c r="A525" s="579" t="s">
        <v>129</v>
      </c>
      <c r="B525" s="490">
        <v>904</v>
      </c>
      <c r="C525" s="492" t="s">
        <v>118</v>
      </c>
      <c r="D525" s="492" t="s">
        <v>120</v>
      </c>
      <c r="E525" s="492" t="s">
        <v>1709</v>
      </c>
      <c r="F525" s="492" t="s">
        <v>130</v>
      </c>
      <c r="G525" s="497">
        <v>596.04999999999995</v>
      </c>
      <c r="H525" s="501"/>
      <c r="I525" s="526"/>
      <c r="J525" s="501"/>
    </row>
    <row r="526" spans="1:10" s="204" customFormat="1" ht="31.5" x14ac:dyDescent="0.25">
      <c r="A526" s="579" t="s">
        <v>198</v>
      </c>
      <c r="B526" s="490">
        <v>904</v>
      </c>
      <c r="C526" s="492" t="s">
        <v>118</v>
      </c>
      <c r="D526" s="492" t="s">
        <v>120</v>
      </c>
      <c r="E526" s="492" t="s">
        <v>1709</v>
      </c>
      <c r="F526" s="492" t="s">
        <v>132</v>
      </c>
      <c r="G526" s="497">
        <f>G527</f>
        <v>93</v>
      </c>
      <c r="H526" s="501"/>
      <c r="I526" s="526"/>
      <c r="J526" s="501"/>
    </row>
    <row r="527" spans="1:10" s="204" customFormat="1" ht="31.5" x14ac:dyDescent="0.25">
      <c r="A527" s="579" t="s">
        <v>133</v>
      </c>
      <c r="B527" s="490">
        <v>904</v>
      </c>
      <c r="C527" s="492" t="s">
        <v>118</v>
      </c>
      <c r="D527" s="492" t="s">
        <v>120</v>
      </c>
      <c r="E527" s="492" t="s">
        <v>1709</v>
      </c>
      <c r="F527" s="492" t="s">
        <v>134</v>
      </c>
      <c r="G527" s="497">
        <v>93</v>
      </c>
      <c r="H527" s="501"/>
      <c r="I527" s="526"/>
      <c r="J527" s="501"/>
    </row>
    <row r="528" spans="1:10" s="204" customFormat="1" ht="47.25" x14ac:dyDescent="0.25">
      <c r="A528" s="579" t="s">
        <v>1707</v>
      </c>
      <c r="B528" s="490">
        <v>904</v>
      </c>
      <c r="C528" s="492" t="s">
        <v>118</v>
      </c>
      <c r="D528" s="492" t="s">
        <v>120</v>
      </c>
      <c r="E528" s="492" t="s">
        <v>1708</v>
      </c>
      <c r="F528" s="492"/>
      <c r="G528" s="497">
        <f>G529</f>
        <v>2133.12</v>
      </c>
      <c r="H528" s="501"/>
      <c r="I528" s="526"/>
      <c r="J528" s="501"/>
    </row>
    <row r="529" spans="1:11" s="204" customFormat="1" ht="63" x14ac:dyDescent="0.25">
      <c r="A529" s="579" t="s">
        <v>127</v>
      </c>
      <c r="B529" s="490">
        <v>904</v>
      </c>
      <c r="C529" s="492" t="s">
        <v>118</v>
      </c>
      <c r="D529" s="492" t="s">
        <v>120</v>
      </c>
      <c r="E529" s="492" t="s">
        <v>1708</v>
      </c>
      <c r="F529" s="492" t="s">
        <v>128</v>
      </c>
      <c r="G529" s="497">
        <f>G530</f>
        <v>2133.12</v>
      </c>
      <c r="H529" s="501"/>
      <c r="I529" s="526"/>
      <c r="J529" s="501"/>
    </row>
    <row r="530" spans="1:11" s="204" customFormat="1" ht="31.5" x14ac:dyDescent="0.25">
      <c r="A530" s="579" t="s">
        <v>129</v>
      </c>
      <c r="B530" s="490">
        <v>904</v>
      </c>
      <c r="C530" s="492" t="s">
        <v>118</v>
      </c>
      <c r="D530" s="492" t="s">
        <v>120</v>
      </c>
      <c r="E530" s="492" t="s">
        <v>1708</v>
      </c>
      <c r="F530" s="492" t="s">
        <v>130</v>
      </c>
      <c r="G530" s="497">
        <v>2133.12</v>
      </c>
      <c r="H530" s="501"/>
      <c r="I530" s="526"/>
      <c r="J530" s="501"/>
    </row>
    <row r="531" spans="1:11" s="578" customFormat="1" ht="31.5" hidden="1" x14ac:dyDescent="0.25">
      <c r="A531" s="579" t="s">
        <v>839</v>
      </c>
      <c r="B531" s="490">
        <v>901</v>
      </c>
      <c r="C531" s="580" t="s">
        <v>118</v>
      </c>
      <c r="D531" s="580" t="s">
        <v>120</v>
      </c>
      <c r="E531" s="580" t="s">
        <v>1778</v>
      </c>
      <c r="F531" s="580"/>
      <c r="G531" s="497">
        <f>G532</f>
        <v>0</v>
      </c>
      <c r="H531" s="501"/>
      <c r="I531" s="526"/>
      <c r="J531" s="501"/>
    </row>
    <row r="532" spans="1:11" s="578" customFormat="1" ht="63" hidden="1" x14ac:dyDescent="0.25">
      <c r="A532" s="579" t="s">
        <v>127</v>
      </c>
      <c r="B532" s="490">
        <v>901</v>
      </c>
      <c r="C532" s="580" t="s">
        <v>118</v>
      </c>
      <c r="D532" s="580" t="s">
        <v>120</v>
      </c>
      <c r="E532" s="580" t="s">
        <v>1778</v>
      </c>
      <c r="F532" s="580" t="s">
        <v>128</v>
      </c>
      <c r="G532" s="497">
        <f>G533</f>
        <v>0</v>
      </c>
      <c r="H532" s="501"/>
      <c r="I532" s="526"/>
      <c r="J532" s="501"/>
    </row>
    <row r="533" spans="1:11" s="578" customFormat="1" ht="31.5" hidden="1" x14ac:dyDescent="0.25">
      <c r="A533" s="579" t="s">
        <v>129</v>
      </c>
      <c r="B533" s="490">
        <v>904</v>
      </c>
      <c r="C533" s="580" t="s">
        <v>118</v>
      </c>
      <c r="D533" s="580" t="s">
        <v>120</v>
      </c>
      <c r="E533" s="580" t="s">
        <v>1778</v>
      </c>
      <c r="F533" s="580" t="s">
        <v>130</v>
      </c>
      <c r="G533" s="497"/>
      <c r="H533" s="501"/>
      <c r="I533" s="526"/>
      <c r="J533" s="501"/>
    </row>
    <row r="534" spans="1:11" ht="31.5" x14ac:dyDescent="0.25">
      <c r="A534" s="491" t="s">
        <v>387</v>
      </c>
      <c r="B534" s="491">
        <v>905</v>
      </c>
      <c r="C534" s="492"/>
      <c r="D534" s="492"/>
      <c r="E534" s="492"/>
      <c r="F534" s="492"/>
      <c r="G534" s="493">
        <f>G535+G569+G579</f>
        <v>19051.300000000003</v>
      </c>
      <c r="H534" s="113"/>
      <c r="I534" s="526"/>
      <c r="J534" s="501"/>
      <c r="K534" s="204"/>
    </row>
    <row r="535" spans="1:11" ht="15.75" x14ac:dyDescent="0.25">
      <c r="A535" s="494" t="s">
        <v>117</v>
      </c>
      <c r="B535" s="491">
        <v>905</v>
      </c>
      <c r="C535" s="495" t="s">
        <v>118</v>
      </c>
      <c r="D535" s="492"/>
      <c r="E535" s="492"/>
      <c r="F535" s="492"/>
      <c r="G535" s="493">
        <f>G536+G553</f>
        <v>18780.900000000001</v>
      </c>
      <c r="H535" s="501"/>
      <c r="I535" s="526"/>
      <c r="J535" s="501"/>
      <c r="K535" s="204"/>
    </row>
    <row r="536" spans="1:11" ht="65.25" customHeight="1" x14ac:dyDescent="0.25">
      <c r="A536" s="494" t="s">
        <v>149</v>
      </c>
      <c r="B536" s="491">
        <v>905</v>
      </c>
      <c r="C536" s="495" t="s">
        <v>118</v>
      </c>
      <c r="D536" s="495" t="s">
        <v>150</v>
      </c>
      <c r="E536" s="495"/>
      <c r="F536" s="495"/>
      <c r="G536" s="493">
        <f>G537</f>
        <v>12852.2</v>
      </c>
      <c r="H536" s="501"/>
      <c r="I536" s="526"/>
      <c r="J536" s="501"/>
      <c r="K536" s="204"/>
    </row>
    <row r="537" spans="1:11" ht="31.5" x14ac:dyDescent="0.25">
      <c r="A537" s="494" t="s">
        <v>917</v>
      </c>
      <c r="B537" s="491">
        <v>905</v>
      </c>
      <c r="C537" s="495" t="s">
        <v>118</v>
      </c>
      <c r="D537" s="495" t="s">
        <v>150</v>
      </c>
      <c r="E537" s="495" t="s">
        <v>858</v>
      </c>
      <c r="F537" s="495"/>
      <c r="G537" s="493">
        <f>G538+G549</f>
        <v>12852.2</v>
      </c>
      <c r="H537" s="501"/>
      <c r="I537" s="526"/>
      <c r="J537" s="501"/>
      <c r="K537" s="204"/>
    </row>
    <row r="538" spans="1:11" ht="15.75" x14ac:dyDescent="0.25">
      <c r="A538" s="494" t="s">
        <v>918</v>
      </c>
      <c r="B538" s="491">
        <v>905</v>
      </c>
      <c r="C538" s="495" t="s">
        <v>118</v>
      </c>
      <c r="D538" s="495" t="s">
        <v>150</v>
      </c>
      <c r="E538" s="495" t="s">
        <v>859</v>
      </c>
      <c r="F538" s="495"/>
      <c r="G538" s="493">
        <f>G539+G546</f>
        <v>12835.6</v>
      </c>
      <c r="H538" s="501"/>
      <c r="I538" s="526"/>
      <c r="J538" s="501"/>
      <c r="K538" s="204"/>
    </row>
    <row r="539" spans="1:11" ht="28.5" customHeight="1" x14ac:dyDescent="0.25">
      <c r="A539" s="579" t="s">
        <v>897</v>
      </c>
      <c r="B539" s="490">
        <v>905</v>
      </c>
      <c r="C539" s="492" t="s">
        <v>118</v>
      </c>
      <c r="D539" s="492" t="s">
        <v>150</v>
      </c>
      <c r="E539" s="492" t="s">
        <v>860</v>
      </c>
      <c r="F539" s="492"/>
      <c r="G539" s="497">
        <f>G540+G542+G544</f>
        <v>12362.6</v>
      </c>
      <c r="H539" s="501"/>
      <c r="I539" s="526"/>
      <c r="J539" s="501"/>
      <c r="K539" s="204"/>
    </row>
    <row r="540" spans="1:11" ht="63" x14ac:dyDescent="0.25">
      <c r="A540" s="579" t="s">
        <v>127</v>
      </c>
      <c r="B540" s="490">
        <v>905</v>
      </c>
      <c r="C540" s="492" t="s">
        <v>118</v>
      </c>
      <c r="D540" s="492" t="s">
        <v>150</v>
      </c>
      <c r="E540" s="492" t="s">
        <v>860</v>
      </c>
      <c r="F540" s="492" t="s">
        <v>128</v>
      </c>
      <c r="G540" s="497">
        <f>G541</f>
        <v>11821.6</v>
      </c>
      <c r="H540" s="501"/>
      <c r="I540" s="526"/>
      <c r="J540" s="501"/>
      <c r="K540" s="204"/>
    </row>
    <row r="541" spans="1:11" ht="31.5" x14ac:dyDescent="0.25">
      <c r="A541" s="579" t="s">
        <v>129</v>
      </c>
      <c r="B541" s="490">
        <v>905</v>
      </c>
      <c r="C541" s="492" t="s">
        <v>118</v>
      </c>
      <c r="D541" s="492" t="s">
        <v>150</v>
      </c>
      <c r="E541" s="492" t="s">
        <v>860</v>
      </c>
      <c r="F541" s="492" t="s">
        <v>130</v>
      </c>
      <c r="G541" s="27">
        <f>11821.6</f>
        <v>11821.6</v>
      </c>
      <c r="H541" s="501"/>
      <c r="I541" s="526"/>
      <c r="J541" s="526"/>
      <c r="K541" s="527"/>
    </row>
    <row r="542" spans="1:11" ht="31.5" x14ac:dyDescent="0.25">
      <c r="A542" s="579" t="s">
        <v>131</v>
      </c>
      <c r="B542" s="490">
        <v>905</v>
      </c>
      <c r="C542" s="492" t="s">
        <v>118</v>
      </c>
      <c r="D542" s="492" t="s">
        <v>150</v>
      </c>
      <c r="E542" s="492" t="s">
        <v>860</v>
      </c>
      <c r="F542" s="492" t="s">
        <v>132</v>
      </c>
      <c r="G542" s="497">
        <f>G543</f>
        <v>410</v>
      </c>
      <c r="H542" s="501"/>
      <c r="I542" s="526"/>
      <c r="J542" s="501"/>
      <c r="K542" s="204"/>
    </row>
    <row r="543" spans="1:11" ht="31.5" x14ac:dyDescent="0.25">
      <c r="A543" s="579" t="s">
        <v>133</v>
      </c>
      <c r="B543" s="490">
        <v>905</v>
      </c>
      <c r="C543" s="492" t="s">
        <v>118</v>
      </c>
      <c r="D543" s="492" t="s">
        <v>150</v>
      </c>
      <c r="E543" s="492" t="s">
        <v>860</v>
      </c>
      <c r="F543" s="492" t="s">
        <v>134</v>
      </c>
      <c r="G543" s="27">
        <v>410</v>
      </c>
      <c r="H543" s="501"/>
      <c r="I543" s="526"/>
      <c r="J543" s="526"/>
      <c r="K543" s="204"/>
    </row>
    <row r="544" spans="1:11" ht="15.75" x14ac:dyDescent="0.25">
      <c r="A544" s="579" t="s">
        <v>135</v>
      </c>
      <c r="B544" s="490">
        <v>905</v>
      </c>
      <c r="C544" s="492" t="s">
        <v>118</v>
      </c>
      <c r="D544" s="492" t="s">
        <v>150</v>
      </c>
      <c r="E544" s="492" t="s">
        <v>860</v>
      </c>
      <c r="F544" s="492" t="s">
        <v>145</v>
      </c>
      <c r="G544" s="497">
        <f>G545</f>
        <v>131</v>
      </c>
      <c r="H544" s="501"/>
      <c r="I544" s="526"/>
      <c r="J544" s="501"/>
      <c r="K544" s="204"/>
    </row>
    <row r="545" spans="1:11" ht="15.75" x14ac:dyDescent="0.25">
      <c r="A545" s="579" t="s">
        <v>568</v>
      </c>
      <c r="B545" s="490">
        <v>905</v>
      </c>
      <c r="C545" s="492" t="s">
        <v>118</v>
      </c>
      <c r="D545" s="492" t="s">
        <v>150</v>
      </c>
      <c r="E545" s="492" t="s">
        <v>860</v>
      </c>
      <c r="F545" s="492" t="s">
        <v>138</v>
      </c>
      <c r="G545" s="497">
        <v>131</v>
      </c>
      <c r="H545" s="501"/>
      <c r="I545" s="526"/>
      <c r="J545" s="526"/>
      <c r="K545" s="527"/>
    </row>
    <row r="546" spans="1:11" s="204" customFormat="1" ht="31.5" x14ac:dyDescent="0.25">
      <c r="A546" s="579" t="s">
        <v>839</v>
      </c>
      <c r="B546" s="490">
        <v>905</v>
      </c>
      <c r="C546" s="492" t="s">
        <v>118</v>
      </c>
      <c r="D546" s="492" t="s">
        <v>150</v>
      </c>
      <c r="E546" s="492" t="s">
        <v>862</v>
      </c>
      <c r="F546" s="492"/>
      <c r="G546" s="497">
        <f>G547</f>
        <v>473</v>
      </c>
      <c r="H546" s="501"/>
      <c r="I546" s="526"/>
      <c r="J546" s="501"/>
    </row>
    <row r="547" spans="1:11" s="204" customFormat="1" ht="63" x14ac:dyDescent="0.25">
      <c r="A547" s="579" t="s">
        <v>127</v>
      </c>
      <c r="B547" s="490">
        <v>905</v>
      </c>
      <c r="C547" s="492" t="s">
        <v>118</v>
      </c>
      <c r="D547" s="492" t="s">
        <v>150</v>
      </c>
      <c r="E547" s="492" t="s">
        <v>862</v>
      </c>
      <c r="F547" s="492" t="s">
        <v>128</v>
      </c>
      <c r="G547" s="497">
        <f>G548</f>
        <v>473</v>
      </c>
      <c r="H547" s="501"/>
      <c r="I547" s="526"/>
      <c r="J547" s="501"/>
    </row>
    <row r="548" spans="1:11" s="204" customFormat="1" ht="31.5" x14ac:dyDescent="0.25">
      <c r="A548" s="579" t="s">
        <v>129</v>
      </c>
      <c r="B548" s="490">
        <v>905</v>
      </c>
      <c r="C548" s="492" t="s">
        <v>118</v>
      </c>
      <c r="D548" s="492" t="s">
        <v>150</v>
      </c>
      <c r="E548" s="492" t="s">
        <v>862</v>
      </c>
      <c r="F548" s="492" t="s">
        <v>130</v>
      </c>
      <c r="G548" s="497">
        <v>473</v>
      </c>
      <c r="H548" s="501"/>
      <c r="I548" s="526"/>
      <c r="J548" s="501"/>
    </row>
    <row r="549" spans="1:11" s="204" customFormat="1" ht="31.5" x14ac:dyDescent="0.25">
      <c r="A549" s="494" t="s">
        <v>885</v>
      </c>
      <c r="B549" s="491">
        <v>905</v>
      </c>
      <c r="C549" s="495" t="s">
        <v>118</v>
      </c>
      <c r="D549" s="495" t="s">
        <v>150</v>
      </c>
      <c r="E549" s="495" t="s">
        <v>863</v>
      </c>
      <c r="F549" s="495"/>
      <c r="G549" s="493">
        <f t="shared" ref="G549:G551" si="39">G550</f>
        <v>16.600000000000001</v>
      </c>
      <c r="H549" s="501"/>
      <c r="I549" s="526"/>
      <c r="J549" s="501"/>
    </row>
    <row r="550" spans="1:11" s="204" customFormat="1" ht="77.45" customHeight="1" x14ac:dyDescent="0.25">
      <c r="A550" s="31" t="s">
        <v>1169</v>
      </c>
      <c r="B550" s="490">
        <v>905</v>
      </c>
      <c r="C550" s="492" t="s">
        <v>118</v>
      </c>
      <c r="D550" s="492" t="s">
        <v>150</v>
      </c>
      <c r="E550" s="492" t="s">
        <v>1168</v>
      </c>
      <c r="F550" s="492"/>
      <c r="G550" s="497">
        <f t="shared" si="39"/>
        <v>16.600000000000001</v>
      </c>
      <c r="H550" s="501"/>
      <c r="I550" s="526"/>
      <c r="J550" s="501"/>
    </row>
    <row r="551" spans="1:11" s="204" customFormat="1" ht="63" x14ac:dyDescent="0.25">
      <c r="A551" s="579" t="s">
        <v>127</v>
      </c>
      <c r="B551" s="490">
        <v>905</v>
      </c>
      <c r="C551" s="492" t="s">
        <v>118</v>
      </c>
      <c r="D551" s="492" t="s">
        <v>150</v>
      </c>
      <c r="E551" s="492" t="s">
        <v>1168</v>
      </c>
      <c r="F551" s="492" t="s">
        <v>128</v>
      </c>
      <c r="G551" s="497">
        <f t="shared" si="39"/>
        <v>16.600000000000001</v>
      </c>
      <c r="H551" s="501"/>
      <c r="I551" s="526"/>
      <c r="J551" s="501"/>
    </row>
    <row r="552" spans="1:11" s="204" customFormat="1" ht="31.5" x14ac:dyDescent="0.25">
      <c r="A552" s="579" t="s">
        <v>129</v>
      </c>
      <c r="B552" s="490">
        <v>905</v>
      </c>
      <c r="C552" s="492" t="s">
        <v>118</v>
      </c>
      <c r="D552" s="492" t="s">
        <v>150</v>
      </c>
      <c r="E552" s="492" t="s">
        <v>1168</v>
      </c>
      <c r="F552" s="492" t="s">
        <v>130</v>
      </c>
      <c r="G552" s="497">
        <v>16.600000000000001</v>
      </c>
      <c r="H552" s="501"/>
      <c r="I552" s="526"/>
      <c r="J552" s="501"/>
    </row>
    <row r="553" spans="1:11" ht="15.75" x14ac:dyDescent="0.25">
      <c r="A553" s="494" t="s">
        <v>139</v>
      </c>
      <c r="B553" s="491">
        <v>905</v>
      </c>
      <c r="C553" s="495" t="s">
        <v>118</v>
      </c>
      <c r="D553" s="495" t="s">
        <v>140</v>
      </c>
      <c r="E553" s="495"/>
      <c r="F553" s="495"/>
      <c r="G553" s="493">
        <f>G554+G564</f>
        <v>5928.7</v>
      </c>
      <c r="H553" s="501"/>
      <c r="I553" s="526"/>
      <c r="J553" s="501"/>
      <c r="K553" s="204"/>
    </row>
    <row r="554" spans="1:11" s="204" customFormat="1" ht="15.75" x14ac:dyDescent="0.25">
      <c r="A554" s="494" t="s">
        <v>141</v>
      </c>
      <c r="B554" s="491">
        <v>905</v>
      </c>
      <c r="C554" s="495" t="s">
        <v>118</v>
      </c>
      <c r="D554" s="495" t="s">
        <v>140</v>
      </c>
      <c r="E554" s="495" t="s">
        <v>866</v>
      </c>
      <c r="F554" s="495"/>
      <c r="G554" s="493">
        <f>G555</f>
        <v>5928.7</v>
      </c>
      <c r="H554" s="501"/>
      <c r="I554" s="526"/>
      <c r="J554" s="501"/>
    </row>
    <row r="555" spans="1:11" s="204" customFormat="1" ht="31.5" x14ac:dyDescent="0.25">
      <c r="A555" s="494" t="s">
        <v>870</v>
      </c>
      <c r="B555" s="491">
        <v>905</v>
      </c>
      <c r="C555" s="495" t="s">
        <v>118</v>
      </c>
      <c r="D555" s="495" t="s">
        <v>140</v>
      </c>
      <c r="E555" s="495" t="s">
        <v>865</v>
      </c>
      <c r="F555" s="495"/>
      <c r="G555" s="493">
        <f>G556+G561</f>
        <v>5928.7</v>
      </c>
      <c r="H555" s="501"/>
      <c r="I555" s="526"/>
      <c r="J555" s="501"/>
    </row>
    <row r="556" spans="1:11" s="204" customFormat="1" ht="47.25" x14ac:dyDescent="0.25">
      <c r="A556" s="579" t="s">
        <v>388</v>
      </c>
      <c r="B556" s="490">
        <v>905</v>
      </c>
      <c r="C556" s="492" t="s">
        <v>118</v>
      </c>
      <c r="D556" s="492" t="s">
        <v>140</v>
      </c>
      <c r="E556" s="492" t="s">
        <v>1011</v>
      </c>
      <c r="F556" s="492"/>
      <c r="G556" s="497">
        <f>G557+G559</f>
        <v>5928.7</v>
      </c>
      <c r="H556" s="501"/>
      <c r="I556" s="526"/>
      <c r="J556" s="501"/>
    </row>
    <row r="557" spans="1:11" s="204" customFormat="1" ht="31.5" x14ac:dyDescent="0.25">
      <c r="A557" s="579" t="s">
        <v>131</v>
      </c>
      <c r="B557" s="490">
        <v>905</v>
      </c>
      <c r="C557" s="492" t="s">
        <v>118</v>
      </c>
      <c r="D557" s="492" t="s">
        <v>140</v>
      </c>
      <c r="E557" s="492" t="s">
        <v>1011</v>
      </c>
      <c r="F557" s="492" t="s">
        <v>132</v>
      </c>
      <c r="G557" s="497">
        <f>G558</f>
        <v>5928.7</v>
      </c>
      <c r="H557" s="501"/>
      <c r="I557" s="526"/>
      <c r="J557" s="501"/>
    </row>
    <row r="558" spans="1:11" s="204" customFormat="1" ht="31.5" x14ac:dyDescent="0.25">
      <c r="A558" s="579" t="s">
        <v>133</v>
      </c>
      <c r="B558" s="490">
        <v>905</v>
      </c>
      <c r="C558" s="492" t="s">
        <v>118</v>
      </c>
      <c r="D558" s="492" t="s">
        <v>140</v>
      </c>
      <c r="E558" s="492" t="s">
        <v>1011</v>
      </c>
      <c r="F558" s="492" t="s">
        <v>134</v>
      </c>
      <c r="G558" s="497">
        <v>5928.7</v>
      </c>
      <c r="H558" s="502"/>
      <c r="I558" s="526"/>
      <c r="J558" s="526"/>
    </row>
    <row r="559" spans="1:11" s="204" customFormat="1" ht="15.75" hidden="1" x14ac:dyDescent="0.25">
      <c r="A559" s="496" t="s">
        <v>135</v>
      </c>
      <c r="B559" s="490">
        <v>905</v>
      </c>
      <c r="C559" s="492" t="s">
        <v>118</v>
      </c>
      <c r="D559" s="492" t="s">
        <v>140</v>
      </c>
      <c r="E559" s="492" t="s">
        <v>1011</v>
      </c>
      <c r="F559" s="492" t="s">
        <v>145</v>
      </c>
      <c r="G559" s="497">
        <f>G560</f>
        <v>0</v>
      </c>
      <c r="H559" s="107"/>
      <c r="I559" s="526"/>
      <c r="J559" s="526"/>
    </row>
    <row r="560" spans="1:11" s="204" customFormat="1" ht="31.5" hidden="1" x14ac:dyDescent="0.25">
      <c r="A560" s="496" t="s">
        <v>836</v>
      </c>
      <c r="B560" s="490">
        <v>905</v>
      </c>
      <c r="C560" s="492" t="s">
        <v>118</v>
      </c>
      <c r="D560" s="492" t="s">
        <v>140</v>
      </c>
      <c r="E560" s="492" t="s">
        <v>1011</v>
      </c>
      <c r="F560" s="492" t="s">
        <v>147</v>
      </c>
      <c r="G560" s="497"/>
      <c r="H560" s="107"/>
      <c r="I560" s="526"/>
      <c r="J560" s="526"/>
    </row>
    <row r="561" spans="1:43" s="204" customFormat="1" ht="31.5" hidden="1" x14ac:dyDescent="0.25">
      <c r="A561" s="496" t="s">
        <v>931</v>
      </c>
      <c r="B561" s="490">
        <v>905</v>
      </c>
      <c r="C561" s="492" t="s">
        <v>118</v>
      </c>
      <c r="D561" s="492" t="s">
        <v>140</v>
      </c>
      <c r="E561" s="492" t="s">
        <v>1012</v>
      </c>
      <c r="F561" s="492"/>
      <c r="G561" s="497">
        <f>G562</f>
        <v>0</v>
      </c>
      <c r="H561" s="501"/>
      <c r="I561" s="526"/>
      <c r="J561" s="501"/>
    </row>
    <row r="562" spans="1:43" s="204" customFormat="1" ht="31.5" hidden="1" x14ac:dyDescent="0.25">
      <c r="A562" s="496" t="s">
        <v>131</v>
      </c>
      <c r="B562" s="490">
        <v>905</v>
      </c>
      <c r="C562" s="492" t="s">
        <v>118</v>
      </c>
      <c r="D562" s="492" t="s">
        <v>140</v>
      </c>
      <c r="E562" s="492" t="s">
        <v>1012</v>
      </c>
      <c r="F562" s="492" t="s">
        <v>132</v>
      </c>
      <c r="G562" s="497">
        <f>G563</f>
        <v>0</v>
      </c>
      <c r="H562" s="501"/>
      <c r="I562" s="526"/>
      <c r="J562" s="501"/>
    </row>
    <row r="563" spans="1:43" s="204" customFormat="1" ht="31.5" hidden="1" x14ac:dyDescent="0.25">
      <c r="A563" s="496" t="s">
        <v>133</v>
      </c>
      <c r="B563" s="490">
        <v>905</v>
      </c>
      <c r="C563" s="492" t="s">
        <v>118</v>
      </c>
      <c r="D563" s="492" t="s">
        <v>140</v>
      </c>
      <c r="E563" s="492" t="s">
        <v>1012</v>
      </c>
      <c r="F563" s="492" t="s">
        <v>134</v>
      </c>
      <c r="G563" s="497">
        <f>100-100</f>
        <v>0</v>
      </c>
      <c r="H563" s="501"/>
      <c r="I563" s="526"/>
      <c r="J563" s="501"/>
    </row>
    <row r="564" spans="1:43" s="111" customFormat="1" ht="69.400000000000006" hidden="1" customHeight="1" x14ac:dyDescent="0.25">
      <c r="A564" s="494" t="s">
        <v>1529</v>
      </c>
      <c r="B564" s="491">
        <v>905</v>
      </c>
      <c r="C564" s="495" t="s">
        <v>118</v>
      </c>
      <c r="D564" s="495" t="s">
        <v>140</v>
      </c>
      <c r="E564" s="495" t="s">
        <v>782</v>
      </c>
      <c r="F564" s="495"/>
      <c r="G564" s="493">
        <f t="shared" ref="G564:G567" si="40">G565</f>
        <v>0</v>
      </c>
      <c r="H564" s="127"/>
      <c r="I564" s="529"/>
      <c r="J564" s="127"/>
      <c r="K564" s="206"/>
      <c r="AD564" s="206"/>
      <c r="AE564" s="206"/>
      <c r="AF564" s="206"/>
      <c r="AG564" s="206"/>
      <c r="AH564" s="206"/>
      <c r="AI564" s="206"/>
      <c r="AJ564" s="206"/>
      <c r="AK564" s="206"/>
      <c r="AN564" s="206"/>
      <c r="AO564" s="206"/>
      <c r="AQ564" s="206"/>
    </row>
    <row r="565" spans="1:43" s="206" customFormat="1" ht="29.25" hidden="1" customHeight="1" x14ac:dyDescent="0.25">
      <c r="A565" s="494" t="s">
        <v>930</v>
      </c>
      <c r="B565" s="491">
        <v>905</v>
      </c>
      <c r="C565" s="495" t="s">
        <v>118</v>
      </c>
      <c r="D565" s="495" t="s">
        <v>140</v>
      </c>
      <c r="E565" s="495" t="s">
        <v>1020</v>
      </c>
      <c r="F565" s="495"/>
      <c r="G565" s="493">
        <f t="shared" si="40"/>
        <v>0</v>
      </c>
      <c r="H565" s="127"/>
      <c r="I565" s="529"/>
      <c r="J565" s="127"/>
    </row>
    <row r="566" spans="1:43" s="111" customFormat="1" ht="15.75" hidden="1" x14ac:dyDescent="0.25">
      <c r="A566" s="496" t="s">
        <v>1524</v>
      </c>
      <c r="B566" s="490">
        <v>905</v>
      </c>
      <c r="C566" s="492" t="s">
        <v>118</v>
      </c>
      <c r="D566" s="492" t="s">
        <v>140</v>
      </c>
      <c r="E566" s="492" t="s">
        <v>1021</v>
      </c>
      <c r="F566" s="492"/>
      <c r="G566" s="497">
        <f t="shared" si="40"/>
        <v>0</v>
      </c>
      <c r="H566" s="127"/>
      <c r="I566" s="529"/>
      <c r="J566" s="127"/>
      <c r="K566" s="206"/>
      <c r="AD566" s="206"/>
      <c r="AE566" s="206"/>
      <c r="AF566" s="206"/>
      <c r="AG566" s="206"/>
      <c r="AH566" s="206"/>
      <c r="AI566" s="206"/>
      <c r="AJ566" s="206"/>
      <c r="AK566" s="206"/>
      <c r="AN566" s="206"/>
      <c r="AO566" s="206"/>
      <c r="AQ566" s="206"/>
    </row>
    <row r="567" spans="1:43" s="111" customFormat="1" ht="31.5" hidden="1" x14ac:dyDescent="0.25">
      <c r="A567" s="496" t="s">
        <v>131</v>
      </c>
      <c r="B567" s="490">
        <v>905</v>
      </c>
      <c r="C567" s="492" t="s">
        <v>118</v>
      </c>
      <c r="D567" s="492" t="s">
        <v>140</v>
      </c>
      <c r="E567" s="492" t="s">
        <v>1021</v>
      </c>
      <c r="F567" s="492" t="s">
        <v>132</v>
      </c>
      <c r="G567" s="497">
        <f t="shared" si="40"/>
        <v>0</v>
      </c>
      <c r="H567" s="127"/>
      <c r="I567" s="529"/>
      <c r="J567" s="127"/>
      <c r="K567" s="206"/>
      <c r="AD567" s="206"/>
      <c r="AE567" s="206"/>
      <c r="AF567" s="206"/>
      <c r="AG567" s="206"/>
      <c r="AH567" s="206"/>
      <c r="AI567" s="206"/>
      <c r="AJ567" s="206"/>
      <c r="AK567" s="206"/>
      <c r="AN567" s="206"/>
      <c r="AO567" s="206"/>
      <c r="AQ567" s="206"/>
    </row>
    <row r="568" spans="1:43" s="111" customFormat="1" ht="31.5" hidden="1" x14ac:dyDescent="0.25">
      <c r="A568" s="496" t="s">
        <v>133</v>
      </c>
      <c r="B568" s="490">
        <v>905</v>
      </c>
      <c r="C568" s="492" t="s">
        <v>118</v>
      </c>
      <c r="D568" s="492" t="s">
        <v>140</v>
      </c>
      <c r="E568" s="492" t="s">
        <v>1021</v>
      </c>
      <c r="F568" s="492" t="s">
        <v>134</v>
      </c>
      <c r="G568" s="497"/>
      <c r="H568" s="119"/>
      <c r="I568" s="529"/>
      <c r="J568" s="127"/>
      <c r="K568" s="206"/>
      <c r="AD568" s="206"/>
      <c r="AE568" s="206"/>
      <c r="AF568" s="206"/>
      <c r="AG568" s="206"/>
      <c r="AH568" s="206"/>
      <c r="AI568" s="206"/>
      <c r="AJ568" s="206"/>
      <c r="AK568" s="206"/>
      <c r="AN568" s="206"/>
      <c r="AO568" s="206"/>
      <c r="AQ568" s="206"/>
    </row>
    <row r="569" spans="1:43" ht="15.75" x14ac:dyDescent="0.25">
      <c r="A569" s="572" t="s">
        <v>390</v>
      </c>
      <c r="B569" s="491">
        <v>905</v>
      </c>
      <c r="C569" s="495" t="s">
        <v>234</v>
      </c>
      <c r="D569" s="495"/>
      <c r="E569" s="495"/>
      <c r="F569" s="495"/>
      <c r="G569" s="493">
        <f t="shared" ref="G569:G571" si="41">G570</f>
        <v>270.39999999999998</v>
      </c>
      <c r="H569" s="709">
        <f>G569+G954</f>
        <v>60306.490000000005</v>
      </c>
      <c r="I569" s="526"/>
      <c r="J569" s="501"/>
      <c r="K569" s="204"/>
    </row>
    <row r="570" spans="1:43" ht="15.75" x14ac:dyDescent="0.25">
      <c r="A570" s="572" t="s">
        <v>391</v>
      </c>
      <c r="B570" s="491">
        <v>905</v>
      </c>
      <c r="C570" s="495" t="s">
        <v>234</v>
      </c>
      <c r="D570" s="495" t="s">
        <v>118</v>
      </c>
      <c r="E570" s="495"/>
      <c r="F570" s="495"/>
      <c r="G570" s="493">
        <f t="shared" si="41"/>
        <v>270.39999999999998</v>
      </c>
      <c r="H570" s="119"/>
      <c r="I570" s="526"/>
      <c r="J570" s="501"/>
      <c r="K570" s="204"/>
    </row>
    <row r="571" spans="1:43" s="204" customFormat="1" ht="15.75" x14ac:dyDescent="0.25">
      <c r="A571" s="494" t="s">
        <v>141</v>
      </c>
      <c r="B571" s="491">
        <v>905</v>
      </c>
      <c r="C571" s="495" t="s">
        <v>234</v>
      </c>
      <c r="D571" s="495" t="s">
        <v>118</v>
      </c>
      <c r="E571" s="495" t="s">
        <v>866</v>
      </c>
      <c r="F571" s="495"/>
      <c r="G571" s="493">
        <f t="shared" si="41"/>
        <v>270.39999999999998</v>
      </c>
      <c r="H571" s="501"/>
      <c r="I571" s="526"/>
      <c r="J571" s="501"/>
    </row>
    <row r="572" spans="1:43" s="204" customFormat="1" ht="31.5" x14ac:dyDescent="0.25">
      <c r="A572" s="494" t="s">
        <v>870</v>
      </c>
      <c r="B572" s="491">
        <v>905</v>
      </c>
      <c r="C572" s="495" t="s">
        <v>234</v>
      </c>
      <c r="D572" s="495" t="s">
        <v>118</v>
      </c>
      <c r="E572" s="495" t="s">
        <v>865</v>
      </c>
      <c r="F572" s="495"/>
      <c r="G572" s="493">
        <f>G573+G576</f>
        <v>270.39999999999998</v>
      </c>
      <c r="H572" s="501"/>
      <c r="I572" s="526"/>
      <c r="J572" s="501"/>
    </row>
    <row r="573" spans="1:43" ht="31.5" x14ac:dyDescent="0.25">
      <c r="A573" s="29" t="s">
        <v>398</v>
      </c>
      <c r="B573" s="490">
        <v>905</v>
      </c>
      <c r="C573" s="492" t="s">
        <v>234</v>
      </c>
      <c r="D573" s="492" t="s">
        <v>118</v>
      </c>
      <c r="E573" s="492" t="s">
        <v>961</v>
      </c>
      <c r="F573" s="492"/>
      <c r="G573" s="497">
        <f>G574</f>
        <v>270.39999999999998</v>
      </c>
      <c r="H573" s="501"/>
      <c r="I573" s="526"/>
      <c r="J573" s="501"/>
      <c r="K573" s="204"/>
    </row>
    <row r="574" spans="1:43" ht="31.5" x14ac:dyDescent="0.25">
      <c r="A574" s="579" t="s">
        <v>131</v>
      </c>
      <c r="B574" s="490">
        <v>905</v>
      </c>
      <c r="C574" s="492" t="s">
        <v>234</v>
      </c>
      <c r="D574" s="492" t="s">
        <v>118</v>
      </c>
      <c r="E574" s="492" t="s">
        <v>961</v>
      </c>
      <c r="F574" s="492" t="s">
        <v>132</v>
      </c>
      <c r="G574" s="497">
        <f>G575</f>
        <v>270.39999999999998</v>
      </c>
      <c r="H574" s="501"/>
      <c r="I574" s="526"/>
      <c r="J574" s="501"/>
      <c r="K574" s="204"/>
    </row>
    <row r="575" spans="1:43" ht="31.5" x14ac:dyDescent="0.25">
      <c r="A575" s="579" t="s">
        <v>133</v>
      </c>
      <c r="B575" s="490">
        <v>905</v>
      </c>
      <c r="C575" s="492" t="s">
        <v>234</v>
      </c>
      <c r="D575" s="492" t="s">
        <v>118</v>
      </c>
      <c r="E575" s="492" t="s">
        <v>961</v>
      </c>
      <c r="F575" s="492" t="s">
        <v>134</v>
      </c>
      <c r="G575" s="497">
        <v>270.39999999999998</v>
      </c>
      <c r="H575" s="501"/>
      <c r="I575" s="526"/>
      <c r="J575" s="501"/>
      <c r="K575" s="204"/>
    </row>
    <row r="576" spans="1:43" ht="31.5" hidden="1" x14ac:dyDescent="0.25">
      <c r="A576" s="29" t="s">
        <v>932</v>
      </c>
      <c r="B576" s="490">
        <v>905</v>
      </c>
      <c r="C576" s="492" t="s">
        <v>234</v>
      </c>
      <c r="D576" s="492" t="s">
        <v>118</v>
      </c>
      <c r="E576" s="492" t="s">
        <v>962</v>
      </c>
      <c r="F576" s="492"/>
      <c r="G576" s="497">
        <f>G577</f>
        <v>0</v>
      </c>
      <c r="H576" s="501"/>
      <c r="I576" s="526"/>
      <c r="J576" s="501"/>
      <c r="K576" s="204"/>
    </row>
    <row r="577" spans="1:11" ht="31.5" hidden="1" x14ac:dyDescent="0.25">
      <c r="A577" s="496" t="s">
        <v>131</v>
      </c>
      <c r="B577" s="490">
        <v>905</v>
      </c>
      <c r="C577" s="492" t="s">
        <v>234</v>
      </c>
      <c r="D577" s="492" t="s">
        <v>118</v>
      </c>
      <c r="E577" s="492" t="s">
        <v>962</v>
      </c>
      <c r="F577" s="492" t="s">
        <v>132</v>
      </c>
      <c r="G577" s="497">
        <f>G578</f>
        <v>0</v>
      </c>
      <c r="H577" s="501"/>
      <c r="I577" s="526"/>
      <c r="J577" s="501"/>
      <c r="K577" s="204"/>
    </row>
    <row r="578" spans="1:11" ht="31.5" hidden="1" x14ac:dyDescent="0.25">
      <c r="A578" s="496" t="s">
        <v>133</v>
      </c>
      <c r="B578" s="490">
        <v>905</v>
      </c>
      <c r="C578" s="492" t="s">
        <v>234</v>
      </c>
      <c r="D578" s="492" t="s">
        <v>118</v>
      </c>
      <c r="E578" s="492" t="s">
        <v>962</v>
      </c>
      <c r="F578" s="492" t="s">
        <v>134</v>
      </c>
      <c r="G578" s="497">
        <v>0</v>
      </c>
      <c r="H578" s="501"/>
      <c r="I578" s="526"/>
      <c r="J578" s="501"/>
      <c r="K578" s="204"/>
    </row>
    <row r="579" spans="1:11" s="204" customFormat="1" ht="15.75" hidden="1" x14ac:dyDescent="0.25">
      <c r="A579" s="494" t="s">
        <v>243</v>
      </c>
      <c r="B579" s="491">
        <v>905</v>
      </c>
      <c r="C579" s="495" t="s">
        <v>244</v>
      </c>
      <c r="D579" s="492"/>
      <c r="E579" s="492"/>
      <c r="F579" s="492"/>
      <c r="G579" s="493">
        <f t="shared" ref="G579:G583" si="42">G580</f>
        <v>0</v>
      </c>
      <c r="H579" s="501"/>
      <c r="I579" s="526"/>
      <c r="J579" s="501"/>
    </row>
    <row r="580" spans="1:11" s="204" customFormat="1" ht="15.75" hidden="1" x14ac:dyDescent="0.25">
      <c r="A580" s="494" t="s">
        <v>400</v>
      </c>
      <c r="B580" s="491">
        <v>905</v>
      </c>
      <c r="C580" s="495" t="s">
        <v>244</v>
      </c>
      <c r="D580" s="495" t="s">
        <v>150</v>
      </c>
      <c r="E580" s="492"/>
      <c r="F580" s="492"/>
      <c r="G580" s="493">
        <f t="shared" si="42"/>
        <v>0</v>
      </c>
      <c r="H580" s="501"/>
      <c r="I580" s="526"/>
      <c r="J580" s="501"/>
    </row>
    <row r="581" spans="1:11" s="204" customFormat="1" ht="31.5" hidden="1" x14ac:dyDescent="0.25">
      <c r="A581" s="494" t="s">
        <v>885</v>
      </c>
      <c r="B581" s="491">
        <v>905</v>
      </c>
      <c r="C581" s="495" t="s">
        <v>244</v>
      </c>
      <c r="D581" s="495" t="s">
        <v>150</v>
      </c>
      <c r="E581" s="495" t="s">
        <v>863</v>
      </c>
      <c r="F581" s="492"/>
      <c r="G581" s="493">
        <f t="shared" si="42"/>
        <v>0</v>
      </c>
      <c r="H581" s="501"/>
      <c r="I581" s="526"/>
      <c r="J581" s="501"/>
    </row>
    <row r="582" spans="1:11" s="204" customFormat="1" ht="48" hidden="1" customHeight="1" x14ac:dyDescent="0.25">
      <c r="A582" s="496" t="s">
        <v>1335</v>
      </c>
      <c r="B582" s="490">
        <v>905</v>
      </c>
      <c r="C582" s="492" t="s">
        <v>244</v>
      </c>
      <c r="D582" s="492" t="s">
        <v>150</v>
      </c>
      <c r="E582" s="492" t="s">
        <v>1170</v>
      </c>
      <c r="F582" s="492"/>
      <c r="G582" s="497">
        <f t="shared" si="42"/>
        <v>0</v>
      </c>
      <c r="H582" s="501"/>
      <c r="I582" s="526"/>
      <c r="J582" s="501"/>
    </row>
    <row r="583" spans="1:11" s="204" customFormat="1" ht="31.5" hidden="1" x14ac:dyDescent="0.25">
      <c r="A583" s="496" t="s">
        <v>131</v>
      </c>
      <c r="B583" s="490">
        <v>905</v>
      </c>
      <c r="C583" s="492" t="s">
        <v>244</v>
      </c>
      <c r="D583" s="492" t="s">
        <v>150</v>
      </c>
      <c r="E583" s="492" t="s">
        <v>1170</v>
      </c>
      <c r="F583" s="492" t="s">
        <v>132</v>
      </c>
      <c r="G583" s="497">
        <f t="shared" si="42"/>
        <v>0</v>
      </c>
      <c r="H583" s="501"/>
      <c r="I583" s="526"/>
      <c r="J583" s="501"/>
    </row>
    <row r="584" spans="1:11" s="204" customFormat="1" ht="31.5" hidden="1" x14ac:dyDescent="0.25">
      <c r="A584" s="496" t="s">
        <v>133</v>
      </c>
      <c r="B584" s="490">
        <v>905</v>
      </c>
      <c r="C584" s="492" t="s">
        <v>244</v>
      </c>
      <c r="D584" s="492" t="s">
        <v>150</v>
      </c>
      <c r="E584" s="492" t="s">
        <v>1170</v>
      </c>
      <c r="F584" s="492" t="s">
        <v>134</v>
      </c>
      <c r="G584" s="497">
        <f>1975.4-1975.4</f>
        <v>0</v>
      </c>
      <c r="H584" s="501"/>
      <c r="I584" s="526"/>
      <c r="J584" s="501"/>
    </row>
    <row r="585" spans="1:11" ht="31.5" x14ac:dyDescent="0.25">
      <c r="A585" s="491" t="s">
        <v>403</v>
      </c>
      <c r="B585" s="491">
        <v>906</v>
      </c>
      <c r="C585" s="495"/>
      <c r="D585" s="495"/>
      <c r="E585" s="495"/>
      <c r="F585" s="495"/>
      <c r="G585" s="493">
        <f>G593+G586</f>
        <v>362903.8600000001</v>
      </c>
      <c r="H585" s="113"/>
      <c r="I585" s="526"/>
      <c r="J585" s="501"/>
      <c r="K585" s="204"/>
    </row>
    <row r="586" spans="1:11" ht="15.75" hidden="1" x14ac:dyDescent="0.25">
      <c r="A586" s="494" t="s">
        <v>117</v>
      </c>
      <c r="B586" s="491">
        <v>906</v>
      </c>
      <c r="C586" s="495" t="s">
        <v>118</v>
      </c>
      <c r="D586" s="495"/>
      <c r="E586" s="495"/>
      <c r="F586" s="495"/>
      <c r="G586" s="493">
        <f t="shared" ref="G586:G591" si="43">G587</f>
        <v>0</v>
      </c>
      <c r="H586" s="501"/>
      <c r="I586" s="526"/>
      <c r="J586" s="501"/>
      <c r="K586" s="204"/>
    </row>
    <row r="587" spans="1:11" ht="15.75" hidden="1" x14ac:dyDescent="0.25">
      <c r="A587" s="34" t="s">
        <v>139</v>
      </c>
      <c r="B587" s="491">
        <v>906</v>
      </c>
      <c r="C587" s="495" t="s">
        <v>118</v>
      </c>
      <c r="D587" s="495" t="s">
        <v>140</v>
      </c>
      <c r="E587" s="495"/>
      <c r="F587" s="495"/>
      <c r="G587" s="493">
        <f t="shared" si="43"/>
        <v>0</v>
      </c>
      <c r="H587" s="501"/>
      <c r="I587" s="526"/>
      <c r="J587" s="501"/>
      <c r="K587" s="204"/>
    </row>
    <row r="588" spans="1:11" ht="31.5" hidden="1" x14ac:dyDescent="0.25">
      <c r="A588" s="494" t="s">
        <v>1355</v>
      </c>
      <c r="B588" s="491">
        <v>906</v>
      </c>
      <c r="C588" s="495" t="s">
        <v>118</v>
      </c>
      <c r="D588" s="495" t="s">
        <v>140</v>
      </c>
      <c r="E588" s="495" t="s">
        <v>335</v>
      </c>
      <c r="F588" s="495"/>
      <c r="G588" s="493">
        <f t="shared" si="43"/>
        <v>0</v>
      </c>
      <c r="H588" s="501"/>
      <c r="I588" s="526"/>
      <c r="J588" s="501"/>
      <c r="K588" s="204"/>
    </row>
    <row r="589" spans="1:11" s="204" customFormat="1" ht="31.5" hidden="1" x14ac:dyDescent="0.25">
      <c r="A589" s="213" t="s">
        <v>1049</v>
      </c>
      <c r="B589" s="491">
        <v>906</v>
      </c>
      <c r="C589" s="495" t="s">
        <v>118</v>
      </c>
      <c r="D589" s="495" t="s">
        <v>140</v>
      </c>
      <c r="E589" s="495" t="s">
        <v>1050</v>
      </c>
      <c r="F589" s="495"/>
      <c r="G589" s="493">
        <f t="shared" si="43"/>
        <v>0</v>
      </c>
      <c r="H589" s="501"/>
      <c r="I589" s="526"/>
      <c r="J589" s="501"/>
    </row>
    <row r="590" spans="1:11" ht="31.5" hidden="1" x14ac:dyDescent="0.25">
      <c r="A590" s="97" t="s">
        <v>336</v>
      </c>
      <c r="B590" s="490">
        <v>906</v>
      </c>
      <c r="C590" s="492" t="s">
        <v>118</v>
      </c>
      <c r="D590" s="492" t="s">
        <v>140</v>
      </c>
      <c r="E590" s="492" t="s">
        <v>1051</v>
      </c>
      <c r="F590" s="492"/>
      <c r="G590" s="497">
        <f t="shared" si="43"/>
        <v>0</v>
      </c>
      <c r="H590" s="501"/>
      <c r="I590" s="526"/>
      <c r="J590" s="501"/>
      <c r="K590" s="204"/>
    </row>
    <row r="591" spans="1:11" ht="31.5" hidden="1" x14ac:dyDescent="0.25">
      <c r="A591" s="496" t="s">
        <v>131</v>
      </c>
      <c r="B591" s="490">
        <v>906</v>
      </c>
      <c r="C591" s="492" t="s">
        <v>118</v>
      </c>
      <c r="D591" s="492" t="s">
        <v>140</v>
      </c>
      <c r="E591" s="492" t="s">
        <v>1051</v>
      </c>
      <c r="F591" s="492" t="s">
        <v>132</v>
      </c>
      <c r="G591" s="497">
        <f t="shared" si="43"/>
        <v>0</v>
      </c>
      <c r="H591" s="501"/>
      <c r="I591" s="526"/>
      <c r="J591" s="501"/>
      <c r="K591" s="204"/>
    </row>
    <row r="592" spans="1:11" ht="31.5" hidden="1" x14ac:dyDescent="0.25">
      <c r="A592" s="496" t="s">
        <v>133</v>
      </c>
      <c r="B592" s="490">
        <v>906</v>
      </c>
      <c r="C592" s="492" t="s">
        <v>118</v>
      </c>
      <c r="D592" s="492" t="s">
        <v>140</v>
      </c>
      <c r="E592" s="492" t="s">
        <v>1051</v>
      </c>
      <c r="F592" s="492" t="s">
        <v>134</v>
      </c>
      <c r="G592" s="497"/>
      <c r="H592" s="501"/>
      <c r="I592" s="526"/>
      <c r="J592" s="501"/>
      <c r="K592" s="204"/>
    </row>
    <row r="593" spans="1:11" ht="15.75" x14ac:dyDescent="0.25">
      <c r="A593" s="494" t="s">
        <v>263</v>
      </c>
      <c r="B593" s="491">
        <v>906</v>
      </c>
      <c r="C593" s="495" t="s">
        <v>264</v>
      </c>
      <c r="D593" s="495"/>
      <c r="E593" s="495"/>
      <c r="F593" s="495"/>
      <c r="G593" s="493">
        <f>G594+G656+G778+G784+G745</f>
        <v>362903.8600000001</v>
      </c>
      <c r="H593" s="501"/>
      <c r="I593" s="526"/>
      <c r="J593" s="501"/>
      <c r="K593" s="204"/>
    </row>
    <row r="594" spans="1:11" ht="15.75" x14ac:dyDescent="0.25">
      <c r="A594" s="494" t="s">
        <v>404</v>
      </c>
      <c r="B594" s="491">
        <v>906</v>
      </c>
      <c r="C594" s="495" t="s">
        <v>264</v>
      </c>
      <c r="D594" s="495" t="s">
        <v>118</v>
      </c>
      <c r="E594" s="495"/>
      <c r="F594" s="495"/>
      <c r="G594" s="493">
        <f>G595+G646+G651</f>
        <v>89767.090000000011</v>
      </c>
      <c r="H594" s="113"/>
      <c r="I594" s="526"/>
      <c r="J594" s="501"/>
      <c r="K594" s="204"/>
    </row>
    <row r="595" spans="1:11" ht="36" customHeight="1" x14ac:dyDescent="0.25">
      <c r="A595" s="494" t="s">
        <v>1356</v>
      </c>
      <c r="B595" s="491">
        <v>906</v>
      </c>
      <c r="C595" s="495" t="s">
        <v>264</v>
      </c>
      <c r="D595" s="495" t="s">
        <v>118</v>
      </c>
      <c r="E595" s="495" t="s">
        <v>406</v>
      </c>
      <c r="F595" s="495"/>
      <c r="G595" s="493">
        <f>G596+G600+G607+G617+G627+G631+G638+G642</f>
        <v>89115.290000000008</v>
      </c>
      <c r="H595" s="501"/>
      <c r="I595" s="526"/>
      <c r="J595" s="501"/>
      <c r="K595" s="204"/>
    </row>
    <row r="596" spans="1:11" s="204" customFormat="1" ht="38.25" customHeight="1" x14ac:dyDescent="0.25">
      <c r="A596" s="494" t="s">
        <v>937</v>
      </c>
      <c r="B596" s="491">
        <v>906</v>
      </c>
      <c r="C596" s="495" t="s">
        <v>264</v>
      </c>
      <c r="D596" s="495" t="s">
        <v>118</v>
      </c>
      <c r="E596" s="495" t="s">
        <v>1230</v>
      </c>
      <c r="F596" s="495"/>
      <c r="G596" s="493">
        <f t="shared" ref="G596:G598" si="44">G597</f>
        <v>16777.189999999999</v>
      </c>
      <c r="H596" s="501"/>
      <c r="I596" s="526"/>
      <c r="J596" s="501"/>
    </row>
    <row r="597" spans="1:11" ht="31.5" x14ac:dyDescent="0.25">
      <c r="A597" s="579" t="s">
        <v>1229</v>
      </c>
      <c r="B597" s="490">
        <v>906</v>
      </c>
      <c r="C597" s="492" t="s">
        <v>264</v>
      </c>
      <c r="D597" s="492" t="s">
        <v>118</v>
      </c>
      <c r="E597" s="492" t="s">
        <v>1231</v>
      </c>
      <c r="F597" s="492"/>
      <c r="G597" s="497">
        <f t="shared" si="44"/>
        <v>16777.189999999999</v>
      </c>
      <c r="H597" s="501"/>
      <c r="I597" s="526"/>
      <c r="J597" s="501"/>
      <c r="K597" s="204"/>
    </row>
    <row r="598" spans="1:11" ht="31.5" x14ac:dyDescent="0.25">
      <c r="A598" s="579" t="s">
        <v>272</v>
      </c>
      <c r="B598" s="490">
        <v>906</v>
      </c>
      <c r="C598" s="492" t="s">
        <v>264</v>
      </c>
      <c r="D598" s="492" t="s">
        <v>118</v>
      </c>
      <c r="E598" s="492" t="s">
        <v>1231</v>
      </c>
      <c r="F598" s="492" t="s">
        <v>273</v>
      </c>
      <c r="G598" s="497">
        <f t="shared" si="44"/>
        <v>16777.189999999999</v>
      </c>
      <c r="H598" s="501"/>
      <c r="I598" s="526"/>
      <c r="J598" s="501"/>
      <c r="K598" s="204"/>
    </row>
    <row r="599" spans="1:11" ht="15.75" x14ac:dyDescent="0.25">
      <c r="A599" s="579" t="s">
        <v>274</v>
      </c>
      <c r="B599" s="490">
        <v>906</v>
      </c>
      <c r="C599" s="492" t="s">
        <v>264</v>
      </c>
      <c r="D599" s="492" t="s">
        <v>118</v>
      </c>
      <c r="E599" s="492" t="s">
        <v>1231</v>
      </c>
      <c r="F599" s="492" t="s">
        <v>275</v>
      </c>
      <c r="G599" s="27">
        <v>16777.189999999999</v>
      </c>
      <c r="H599" s="501"/>
      <c r="I599" s="526"/>
      <c r="J599" s="501"/>
      <c r="K599" s="204"/>
    </row>
    <row r="600" spans="1:11" s="204" customFormat="1" ht="31.7" customHeight="1" x14ac:dyDescent="0.25">
      <c r="A600" s="494" t="s">
        <v>900</v>
      </c>
      <c r="B600" s="491">
        <v>906</v>
      </c>
      <c r="C600" s="495" t="s">
        <v>264</v>
      </c>
      <c r="D600" s="495" t="s">
        <v>118</v>
      </c>
      <c r="E600" s="495" t="s">
        <v>1232</v>
      </c>
      <c r="F600" s="495"/>
      <c r="G600" s="44">
        <f>G601+G604</f>
        <v>62825.8</v>
      </c>
      <c r="H600" s="113"/>
      <c r="I600" s="526"/>
      <c r="J600" s="501"/>
    </row>
    <row r="601" spans="1:11" s="204" customFormat="1" ht="78.75" x14ac:dyDescent="0.25">
      <c r="A601" s="31" t="s">
        <v>293</v>
      </c>
      <c r="B601" s="490">
        <v>906</v>
      </c>
      <c r="C601" s="492" t="s">
        <v>264</v>
      </c>
      <c r="D601" s="492" t="s">
        <v>118</v>
      </c>
      <c r="E601" s="492" t="s">
        <v>1390</v>
      </c>
      <c r="F601" s="492"/>
      <c r="G601" s="497">
        <f>G602</f>
        <v>3230</v>
      </c>
      <c r="H601" s="113"/>
      <c r="I601" s="526"/>
      <c r="J601" s="501"/>
    </row>
    <row r="602" spans="1:11" s="204" customFormat="1" ht="31.7" customHeight="1" x14ac:dyDescent="0.25">
      <c r="A602" s="579" t="s">
        <v>272</v>
      </c>
      <c r="B602" s="490">
        <v>906</v>
      </c>
      <c r="C602" s="492" t="s">
        <v>264</v>
      </c>
      <c r="D602" s="492" t="s">
        <v>118</v>
      </c>
      <c r="E602" s="492" t="s">
        <v>1390</v>
      </c>
      <c r="F602" s="492" t="s">
        <v>273</v>
      </c>
      <c r="G602" s="497">
        <f>G603</f>
        <v>3230</v>
      </c>
      <c r="H602" s="113"/>
      <c r="I602" s="526"/>
      <c r="J602" s="501"/>
    </row>
    <row r="603" spans="1:11" s="204" customFormat="1" ht="18.399999999999999" customHeight="1" x14ac:dyDescent="0.25">
      <c r="A603" s="579" t="s">
        <v>274</v>
      </c>
      <c r="B603" s="490">
        <v>906</v>
      </c>
      <c r="C603" s="492" t="s">
        <v>264</v>
      </c>
      <c r="D603" s="492" t="s">
        <v>118</v>
      </c>
      <c r="E603" s="492" t="s">
        <v>1390</v>
      </c>
      <c r="F603" s="492" t="s">
        <v>275</v>
      </c>
      <c r="G603" s="27">
        <v>3230</v>
      </c>
      <c r="H603" s="113"/>
      <c r="I603" s="526"/>
      <c r="J603" s="501"/>
    </row>
    <row r="604" spans="1:11" s="204" customFormat="1" ht="31.5" x14ac:dyDescent="0.25">
      <c r="A604" s="579" t="s">
        <v>1766</v>
      </c>
      <c r="B604" s="490">
        <v>906</v>
      </c>
      <c r="C604" s="492" t="s">
        <v>264</v>
      </c>
      <c r="D604" s="492" t="s">
        <v>118</v>
      </c>
      <c r="E604" s="492" t="s">
        <v>1767</v>
      </c>
      <c r="F604" s="492"/>
      <c r="G604" s="497">
        <f>G605</f>
        <v>59595.8</v>
      </c>
      <c r="H604" s="501"/>
      <c r="I604" s="526"/>
      <c r="J604" s="501"/>
    </row>
    <row r="605" spans="1:11" s="204" customFormat="1" ht="31.5" x14ac:dyDescent="0.25">
      <c r="A605" s="579" t="s">
        <v>272</v>
      </c>
      <c r="B605" s="490">
        <v>906</v>
      </c>
      <c r="C605" s="492" t="s">
        <v>264</v>
      </c>
      <c r="D605" s="492" t="s">
        <v>118</v>
      </c>
      <c r="E605" s="580" t="s">
        <v>1767</v>
      </c>
      <c r="F605" s="492" t="s">
        <v>273</v>
      </c>
      <c r="G605" s="497">
        <f>G606</f>
        <v>59595.8</v>
      </c>
      <c r="H605" s="501"/>
      <c r="I605" s="526"/>
      <c r="J605" s="501"/>
    </row>
    <row r="606" spans="1:11" s="204" customFormat="1" ht="15.75" x14ac:dyDescent="0.25">
      <c r="A606" s="579" t="s">
        <v>274</v>
      </c>
      <c r="B606" s="490">
        <v>906</v>
      </c>
      <c r="C606" s="492" t="s">
        <v>264</v>
      </c>
      <c r="D606" s="492" t="s">
        <v>118</v>
      </c>
      <c r="E606" s="580" t="s">
        <v>1767</v>
      </c>
      <c r="F606" s="492" t="s">
        <v>275</v>
      </c>
      <c r="G606" s="27">
        <f>58137.8+1458</f>
        <v>59595.8</v>
      </c>
      <c r="H606" s="501"/>
      <c r="I606" s="526"/>
      <c r="J606" s="501"/>
    </row>
    <row r="607" spans="1:11" s="204" customFormat="1" ht="30.2" customHeight="1" x14ac:dyDescent="0.25">
      <c r="A607" s="494" t="s">
        <v>1252</v>
      </c>
      <c r="B607" s="491">
        <v>906</v>
      </c>
      <c r="C607" s="495" t="s">
        <v>264</v>
      </c>
      <c r="D607" s="495" t="s">
        <v>118</v>
      </c>
      <c r="E607" s="495" t="s">
        <v>1237</v>
      </c>
      <c r="F607" s="495"/>
      <c r="G607" s="493">
        <f>G608+G611+G614</f>
        <v>4556.6000000000004</v>
      </c>
      <c r="H607" s="501"/>
      <c r="I607" s="526"/>
      <c r="J607" s="501"/>
    </row>
    <row r="608" spans="1:11" ht="35.450000000000003" hidden="1" customHeight="1" x14ac:dyDescent="0.25">
      <c r="A608" s="496" t="s">
        <v>278</v>
      </c>
      <c r="B608" s="490">
        <v>906</v>
      </c>
      <c r="C608" s="492" t="s">
        <v>264</v>
      </c>
      <c r="D608" s="492" t="s">
        <v>118</v>
      </c>
      <c r="E608" s="492" t="s">
        <v>1318</v>
      </c>
      <c r="F608" s="492"/>
      <c r="G608" s="497">
        <f>G609</f>
        <v>0</v>
      </c>
      <c r="H608" s="501"/>
      <c r="I608" s="526"/>
      <c r="J608" s="501"/>
      <c r="K608" s="204"/>
    </row>
    <row r="609" spans="1:11" ht="35.450000000000003" hidden="1" customHeight="1" x14ac:dyDescent="0.25">
      <c r="A609" s="496" t="s">
        <v>272</v>
      </c>
      <c r="B609" s="490">
        <v>906</v>
      </c>
      <c r="C609" s="492" t="s">
        <v>264</v>
      </c>
      <c r="D609" s="492" t="s">
        <v>118</v>
      </c>
      <c r="E609" s="492" t="s">
        <v>1318</v>
      </c>
      <c r="F609" s="492" t="s">
        <v>273</v>
      </c>
      <c r="G609" s="497">
        <f>G610</f>
        <v>0</v>
      </c>
      <c r="H609" s="501"/>
      <c r="I609" s="526"/>
      <c r="J609" s="501"/>
      <c r="K609" s="204"/>
    </row>
    <row r="610" spans="1:11" ht="15.75" hidden="1" customHeight="1" x14ac:dyDescent="0.25">
      <c r="A610" s="496" t="s">
        <v>274</v>
      </c>
      <c r="B610" s="490">
        <v>906</v>
      </c>
      <c r="C610" s="492" t="s">
        <v>264</v>
      </c>
      <c r="D610" s="492" t="s">
        <v>118</v>
      </c>
      <c r="E610" s="492" t="s">
        <v>1318</v>
      </c>
      <c r="F610" s="492" t="s">
        <v>275</v>
      </c>
      <c r="G610" s="497"/>
      <c r="H610" s="501"/>
      <c r="I610" s="526"/>
      <c r="J610" s="501"/>
      <c r="K610" s="204"/>
    </row>
    <row r="611" spans="1:11" ht="37.5" hidden="1" customHeight="1" x14ac:dyDescent="0.25">
      <c r="A611" s="496" t="s">
        <v>280</v>
      </c>
      <c r="B611" s="490">
        <v>906</v>
      </c>
      <c r="C611" s="492" t="s">
        <v>264</v>
      </c>
      <c r="D611" s="492" t="s">
        <v>118</v>
      </c>
      <c r="E611" s="492" t="s">
        <v>1319</v>
      </c>
      <c r="F611" s="492"/>
      <c r="G611" s="497">
        <f>G612</f>
        <v>0</v>
      </c>
      <c r="H611" s="501"/>
      <c r="I611" s="526"/>
      <c r="J611" s="501"/>
      <c r="K611" s="204"/>
    </row>
    <row r="612" spans="1:11" ht="31.5" hidden="1" x14ac:dyDescent="0.25">
      <c r="A612" s="496" t="s">
        <v>272</v>
      </c>
      <c r="B612" s="490">
        <v>906</v>
      </c>
      <c r="C612" s="492" t="s">
        <v>264</v>
      </c>
      <c r="D612" s="492" t="s">
        <v>118</v>
      </c>
      <c r="E612" s="492" t="s">
        <v>1319</v>
      </c>
      <c r="F612" s="492" t="s">
        <v>273</v>
      </c>
      <c r="G612" s="497">
        <f>G613</f>
        <v>0</v>
      </c>
      <c r="H612" s="501"/>
      <c r="I612" s="526"/>
      <c r="J612" s="501"/>
      <c r="K612" s="204"/>
    </row>
    <row r="613" spans="1:11" ht="15.75" hidden="1" x14ac:dyDescent="0.25">
      <c r="A613" s="496" t="s">
        <v>274</v>
      </c>
      <c r="B613" s="490">
        <v>906</v>
      </c>
      <c r="C613" s="492" t="s">
        <v>264</v>
      </c>
      <c r="D613" s="492" t="s">
        <v>118</v>
      </c>
      <c r="E613" s="492" t="s">
        <v>1319</v>
      </c>
      <c r="F613" s="492" t="s">
        <v>275</v>
      </c>
      <c r="G613" s="497"/>
      <c r="H613" s="501"/>
      <c r="I613" s="526"/>
      <c r="J613" s="501"/>
      <c r="K613" s="204"/>
    </row>
    <row r="614" spans="1:11" ht="31.5" x14ac:dyDescent="0.25">
      <c r="A614" s="29" t="s">
        <v>415</v>
      </c>
      <c r="B614" s="490">
        <v>906</v>
      </c>
      <c r="C614" s="492" t="s">
        <v>264</v>
      </c>
      <c r="D614" s="492" t="s">
        <v>118</v>
      </c>
      <c r="E614" s="492" t="s">
        <v>1238</v>
      </c>
      <c r="F614" s="492"/>
      <c r="G614" s="497">
        <f>G615</f>
        <v>4556.6000000000004</v>
      </c>
      <c r="H614" s="501"/>
      <c r="I614" s="526"/>
      <c r="J614" s="501"/>
      <c r="K614" s="204"/>
    </row>
    <row r="615" spans="1:11" ht="31.5" x14ac:dyDescent="0.25">
      <c r="A615" s="579" t="s">
        <v>272</v>
      </c>
      <c r="B615" s="490">
        <v>906</v>
      </c>
      <c r="C615" s="492" t="s">
        <v>264</v>
      </c>
      <c r="D615" s="492" t="s">
        <v>118</v>
      </c>
      <c r="E615" s="492" t="s">
        <v>1238</v>
      </c>
      <c r="F615" s="492" t="s">
        <v>273</v>
      </c>
      <c r="G615" s="497">
        <f>G616</f>
        <v>4556.6000000000004</v>
      </c>
      <c r="H615" s="501"/>
      <c r="I615" s="526"/>
      <c r="J615" s="501"/>
      <c r="K615" s="204"/>
    </row>
    <row r="616" spans="1:11" ht="15.75" x14ac:dyDescent="0.25">
      <c r="A616" s="579" t="s">
        <v>274</v>
      </c>
      <c r="B616" s="490">
        <v>906</v>
      </c>
      <c r="C616" s="492" t="s">
        <v>264</v>
      </c>
      <c r="D616" s="492" t="s">
        <v>118</v>
      </c>
      <c r="E616" s="492" t="s">
        <v>1238</v>
      </c>
      <c r="F616" s="492" t="s">
        <v>275</v>
      </c>
      <c r="G616" s="474">
        <f>4766-200-9.4</f>
        <v>4556.6000000000004</v>
      </c>
      <c r="H616" s="501"/>
      <c r="I616" s="526"/>
      <c r="J616" s="501"/>
      <c r="K616" s="204"/>
    </row>
    <row r="617" spans="1:11" s="204" customFormat="1" ht="31.5" x14ac:dyDescent="0.25">
      <c r="A617" s="219" t="s">
        <v>948</v>
      </c>
      <c r="B617" s="491">
        <v>906</v>
      </c>
      <c r="C617" s="495" t="s">
        <v>264</v>
      </c>
      <c r="D617" s="495" t="s">
        <v>118</v>
      </c>
      <c r="E617" s="495" t="s">
        <v>1240</v>
      </c>
      <c r="F617" s="495"/>
      <c r="G617" s="44">
        <f>G618+G621+G624</f>
        <v>4142</v>
      </c>
      <c r="H617" s="501"/>
      <c r="I617" s="526"/>
      <c r="J617" s="501"/>
    </row>
    <row r="618" spans="1:11" ht="31.7" hidden="1" customHeight="1" x14ac:dyDescent="0.25">
      <c r="A618" s="496" t="s">
        <v>284</v>
      </c>
      <c r="B618" s="490">
        <v>906</v>
      </c>
      <c r="C618" s="492" t="s">
        <v>264</v>
      </c>
      <c r="D618" s="492" t="s">
        <v>118</v>
      </c>
      <c r="E618" s="492" t="s">
        <v>1258</v>
      </c>
      <c r="F618" s="492"/>
      <c r="G618" s="497">
        <f>G619</f>
        <v>0</v>
      </c>
      <c r="H618" s="501"/>
      <c r="I618" s="526"/>
      <c r="J618" s="501"/>
      <c r="K618" s="204"/>
    </row>
    <row r="619" spans="1:11" ht="38.25" hidden="1" customHeight="1" x14ac:dyDescent="0.25">
      <c r="A619" s="496" t="s">
        <v>272</v>
      </c>
      <c r="B619" s="490">
        <v>906</v>
      </c>
      <c r="C619" s="492" t="s">
        <v>264</v>
      </c>
      <c r="D619" s="492" t="s">
        <v>118</v>
      </c>
      <c r="E619" s="492" t="s">
        <v>1258</v>
      </c>
      <c r="F619" s="492" t="s">
        <v>273</v>
      </c>
      <c r="G619" s="497">
        <f>G620</f>
        <v>0</v>
      </c>
      <c r="H619" s="501"/>
      <c r="I619" s="526"/>
      <c r="J619" s="501"/>
      <c r="K619" s="204"/>
    </row>
    <row r="620" spans="1:11" ht="15.75" hidden="1" customHeight="1" x14ac:dyDescent="0.25">
      <c r="A620" s="496" t="s">
        <v>274</v>
      </c>
      <c r="B620" s="490">
        <v>906</v>
      </c>
      <c r="C620" s="492" t="s">
        <v>264</v>
      </c>
      <c r="D620" s="492" t="s">
        <v>118</v>
      </c>
      <c r="E620" s="492" t="s">
        <v>1258</v>
      </c>
      <c r="F620" s="492" t="s">
        <v>275</v>
      </c>
      <c r="G620" s="497">
        <v>0</v>
      </c>
      <c r="H620" s="501"/>
      <c r="I620" s="526"/>
      <c r="J620" s="501"/>
      <c r="K620" s="204"/>
    </row>
    <row r="621" spans="1:11" ht="34.5" customHeight="1" x14ac:dyDescent="0.25">
      <c r="A621" s="60" t="s">
        <v>764</v>
      </c>
      <c r="B621" s="490">
        <v>906</v>
      </c>
      <c r="C621" s="492" t="s">
        <v>264</v>
      </c>
      <c r="D621" s="492" t="s">
        <v>118</v>
      </c>
      <c r="E621" s="492" t="s">
        <v>1241</v>
      </c>
      <c r="F621" s="492"/>
      <c r="G621" s="497">
        <f>G622</f>
        <v>2882</v>
      </c>
      <c r="H621" s="501"/>
      <c r="I621" s="526"/>
      <c r="J621" s="501"/>
      <c r="K621" s="204"/>
    </row>
    <row r="622" spans="1:11" ht="32.25" customHeight="1" x14ac:dyDescent="0.25">
      <c r="A622" s="29" t="s">
        <v>272</v>
      </c>
      <c r="B622" s="490">
        <v>906</v>
      </c>
      <c r="C622" s="492" t="s">
        <v>264</v>
      </c>
      <c r="D622" s="492" t="s">
        <v>118</v>
      </c>
      <c r="E622" s="492" t="s">
        <v>1241</v>
      </c>
      <c r="F622" s="492" t="s">
        <v>273</v>
      </c>
      <c r="G622" s="497">
        <f>G623</f>
        <v>2882</v>
      </c>
      <c r="H622" s="501"/>
      <c r="I622" s="526"/>
      <c r="J622" s="501"/>
      <c r="K622" s="204"/>
    </row>
    <row r="623" spans="1:11" ht="15.75" customHeight="1" x14ac:dyDescent="0.25">
      <c r="A623" s="182" t="s">
        <v>274</v>
      </c>
      <c r="B623" s="490">
        <v>906</v>
      </c>
      <c r="C623" s="492" t="s">
        <v>264</v>
      </c>
      <c r="D623" s="492" t="s">
        <v>118</v>
      </c>
      <c r="E623" s="492" t="s">
        <v>1241</v>
      </c>
      <c r="F623" s="492" t="s">
        <v>275</v>
      </c>
      <c r="G623" s="497">
        <v>2882</v>
      </c>
      <c r="H623" s="501"/>
      <c r="I623" s="526"/>
      <c r="J623" s="501"/>
      <c r="K623" s="204"/>
    </row>
    <row r="624" spans="1:11" ht="50.25" customHeight="1" x14ac:dyDescent="0.25">
      <c r="A624" s="60" t="s">
        <v>765</v>
      </c>
      <c r="B624" s="490">
        <v>906</v>
      </c>
      <c r="C624" s="492" t="s">
        <v>264</v>
      </c>
      <c r="D624" s="492" t="s">
        <v>118</v>
      </c>
      <c r="E624" s="492" t="s">
        <v>1242</v>
      </c>
      <c r="F624" s="492"/>
      <c r="G624" s="497">
        <f>G625</f>
        <v>1260</v>
      </c>
      <c r="H624" s="501"/>
      <c r="I624" s="526"/>
      <c r="J624" s="501"/>
      <c r="K624" s="204"/>
    </row>
    <row r="625" spans="1:11" ht="31.5" x14ac:dyDescent="0.25">
      <c r="A625" s="29" t="s">
        <v>272</v>
      </c>
      <c r="B625" s="490">
        <v>906</v>
      </c>
      <c r="C625" s="492" t="s">
        <v>264</v>
      </c>
      <c r="D625" s="492" t="s">
        <v>118</v>
      </c>
      <c r="E625" s="492" t="s">
        <v>1242</v>
      </c>
      <c r="F625" s="492" t="s">
        <v>273</v>
      </c>
      <c r="G625" s="497">
        <f>G626</f>
        <v>1260</v>
      </c>
      <c r="H625" s="501"/>
      <c r="I625" s="526"/>
      <c r="J625" s="501"/>
      <c r="K625" s="204"/>
    </row>
    <row r="626" spans="1:11" ht="15.75" x14ac:dyDescent="0.25">
      <c r="A626" s="182" t="s">
        <v>274</v>
      </c>
      <c r="B626" s="490">
        <v>906</v>
      </c>
      <c r="C626" s="492" t="s">
        <v>264</v>
      </c>
      <c r="D626" s="492" t="s">
        <v>118</v>
      </c>
      <c r="E626" s="492" t="s">
        <v>1242</v>
      </c>
      <c r="F626" s="492" t="s">
        <v>275</v>
      </c>
      <c r="G626" s="497">
        <v>1260</v>
      </c>
      <c r="H626" s="501"/>
      <c r="I626" s="526"/>
      <c r="J626" s="501"/>
      <c r="K626" s="204"/>
    </row>
    <row r="627" spans="1:11" s="204" customFormat="1" ht="36" customHeight="1" x14ac:dyDescent="0.25">
      <c r="A627" s="494" t="s">
        <v>1715</v>
      </c>
      <c r="B627" s="491">
        <v>906</v>
      </c>
      <c r="C627" s="495" t="s">
        <v>264</v>
      </c>
      <c r="D627" s="495" t="s">
        <v>118</v>
      </c>
      <c r="E627" s="495" t="s">
        <v>1243</v>
      </c>
      <c r="F627" s="495"/>
      <c r="G627" s="493">
        <f t="shared" ref="G627:G629" si="45">G628</f>
        <v>133.80000000000001</v>
      </c>
      <c r="H627" s="501"/>
      <c r="I627" s="526"/>
      <c r="J627" s="501"/>
    </row>
    <row r="628" spans="1:11" ht="31.5" x14ac:dyDescent="0.25">
      <c r="A628" s="579" t="s">
        <v>1716</v>
      </c>
      <c r="B628" s="490">
        <v>906</v>
      </c>
      <c r="C628" s="492" t="s">
        <v>264</v>
      </c>
      <c r="D628" s="492" t="s">
        <v>118</v>
      </c>
      <c r="E628" s="492" t="s">
        <v>1717</v>
      </c>
      <c r="F628" s="492"/>
      <c r="G628" s="497">
        <f t="shared" si="45"/>
        <v>133.80000000000001</v>
      </c>
      <c r="H628" s="501"/>
      <c r="I628" s="526"/>
      <c r="J628" s="501"/>
      <c r="K628" s="204"/>
    </row>
    <row r="629" spans="1:11" ht="31.5" x14ac:dyDescent="0.25">
      <c r="A629" s="29" t="s">
        <v>272</v>
      </c>
      <c r="B629" s="490">
        <v>906</v>
      </c>
      <c r="C629" s="492" t="s">
        <v>264</v>
      </c>
      <c r="D629" s="492" t="s">
        <v>118</v>
      </c>
      <c r="E629" s="492" t="s">
        <v>1717</v>
      </c>
      <c r="F629" s="492" t="s">
        <v>273</v>
      </c>
      <c r="G629" s="497">
        <f t="shared" si="45"/>
        <v>133.80000000000001</v>
      </c>
      <c r="H629" s="501"/>
      <c r="I629" s="526"/>
      <c r="J629" s="501"/>
      <c r="K629" s="204"/>
    </row>
    <row r="630" spans="1:11" ht="18.75" customHeight="1" x14ac:dyDescent="0.25">
      <c r="A630" s="182" t="s">
        <v>274</v>
      </c>
      <c r="B630" s="490">
        <v>906</v>
      </c>
      <c r="C630" s="492" t="s">
        <v>264</v>
      </c>
      <c r="D630" s="492" t="s">
        <v>118</v>
      </c>
      <c r="E630" s="492" t="s">
        <v>1717</v>
      </c>
      <c r="F630" s="492" t="s">
        <v>275</v>
      </c>
      <c r="G630" s="497">
        <f>124.4+9.4</f>
        <v>133.80000000000001</v>
      </c>
      <c r="H630" s="501"/>
      <c r="I630" s="526"/>
      <c r="J630" s="501"/>
      <c r="K630" s="204"/>
    </row>
    <row r="631" spans="1:11" s="204" customFormat="1" ht="84.2" customHeight="1" x14ac:dyDescent="0.25">
      <c r="A631" s="494" t="s">
        <v>1166</v>
      </c>
      <c r="B631" s="491">
        <v>906</v>
      </c>
      <c r="C631" s="495" t="s">
        <v>264</v>
      </c>
      <c r="D631" s="495" t="s">
        <v>118</v>
      </c>
      <c r="E631" s="495" t="s">
        <v>1246</v>
      </c>
      <c r="F631" s="495"/>
      <c r="G631" s="493">
        <f>G632+G635</f>
        <v>679.9</v>
      </c>
      <c r="H631" s="501"/>
      <c r="I631" s="526"/>
      <c r="J631" s="501"/>
    </row>
    <row r="632" spans="1:11" s="204" customFormat="1" ht="79.5" customHeight="1" x14ac:dyDescent="0.25">
      <c r="A632" s="149" t="s">
        <v>1507</v>
      </c>
      <c r="B632" s="490">
        <v>906</v>
      </c>
      <c r="C632" s="492" t="s">
        <v>264</v>
      </c>
      <c r="D632" s="492" t="s">
        <v>118</v>
      </c>
      <c r="E632" s="492" t="s">
        <v>1247</v>
      </c>
      <c r="F632" s="492"/>
      <c r="G632" s="497">
        <f>G633</f>
        <v>679.9</v>
      </c>
      <c r="H632" s="501"/>
      <c r="I632" s="526"/>
      <c r="J632" s="501"/>
    </row>
    <row r="633" spans="1:11" s="204" customFormat="1" ht="33.75" customHeight="1" x14ac:dyDescent="0.25">
      <c r="A633" s="579" t="s">
        <v>272</v>
      </c>
      <c r="B633" s="490">
        <v>906</v>
      </c>
      <c r="C633" s="492" t="s">
        <v>264</v>
      </c>
      <c r="D633" s="492" t="s">
        <v>118</v>
      </c>
      <c r="E633" s="492" t="s">
        <v>1247</v>
      </c>
      <c r="F633" s="492" t="s">
        <v>273</v>
      </c>
      <c r="G633" s="497">
        <f>G634</f>
        <v>679.9</v>
      </c>
      <c r="H633" s="501"/>
      <c r="I633" s="526"/>
      <c r="J633" s="501"/>
    </row>
    <row r="634" spans="1:11" s="204" customFormat="1" ht="18.75" customHeight="1" x14ac:dyDescent="0.25">
      <c r="A634" s="579" t="s">
        <v>274</v>
      </c>
      <c r="B634" s="490">
        <v>906</v>
      </c>
      <c r="C634" s="492" t="s">
        <v>264</v>
      </c>
      <c r="D634" s="492" t="s">
        <v>118</v>
      </c>
      <c r="E634" s="492" t="s">
        <v>1247</v>
      </c>
      <c r="F634" s="492" t="s">
        <v>275</v>
      </c>
      <c r="G634" s="497">
        <f>652+27.9</f>
        <v>679.9</v>
      </c>
      <c r="H634" s="501"/>
      <c r="I634" s="526"/>
      <c r="J634" s="501"/>
    </row>
    <row r="635" spans="1:11" s="204" customFormat="1" ht="82.5" hidden="1" customHeight="1" x14ac:dyDescent="0.25">
      <c r="A635" s="149" t="s">
        <v>1181</v>
      </c>
      <c r="B635" s="490">
        <v>906</v>
      </c>
      <c r="C635" s="492" t="s">
        <v>264</v>
      </c>
      <c r="D635" s="492" t="s">
        <v>118</v>
      </c>
      <c r="E635" s="492" t="s">
        <v>1248</v>
      </c>
      <c r="F635" s="492"/>
      <c r="G635" s="497">
        <f>G636</f>
        <v>0</v>
      </c>
      <c r="H635" s="501"/>
      <c r="I635" s="526"/>
      <c r="J635" s="501"/>
    </row>
    <row r="636" spans="1:11" s="204" customFormat="1" ht="36.75" hidden="1" customHeight="1" x14ac:dyDescent="0.25">
      <c r="A636" s="496" t="s">
        <v>272</v>
      </c>
      <c r="B636" s="490">
        <v>906</v>
      </c>
      <c r="C636" s="492" t="s">
        <v>264</v>
      </c>
      <c r="D636" s="492" t="s">
        <v>118</v>
      </c>
      <c r="E636" s="492" t="s">
        <v>1248</v>
      </c>
      <c r="F636" s="492" t="s">
        <v>273</v>
      </c>
      <c r="G636" s="497">
        <f>G637</f>
        <v>0</v>
      </c>
      <c r="H636" s="501"/>
      <c r="I636" s="526"/>
      <c r="J636" s="501"/>
    </row>
    <row r="637" spans="1:11" s="204" customFormat="1" ht="18.75" hidden="1" customHeight="1" x14ac:dyDescent="0.25">
      <c r="A637" s="496" t="s">
        <v>274</v>
      </c>
      <c r="B637" s="490">
        <v>906</v>
      </c>
      <c r="C637" s="492" t="s">
        <v>264</v>
      </c>
      <c r="D637" s="492" t="s">
        <v>118</v>
      </c>
      <c r="E637" s="492" t="s">
        <v>1248</v>
      </c>
      <c r="F637" s="492" t="s">
        <v>275</v>
      </c>
      <c r="G637" s="497"/>
      <c r="H637" s="501"/>
      <c r="I637" s="526"/>
      <c r="J637" s="501"/>
    </row>
    <row r="638" spans="1:11" s="204" customFormat="1" ht="31.5" hidden="1" x14ac:dyDescent="0.25">
      <c r="A638" s="304" t="s">
        <v>1631</v>
      </c>
      <c r="B638" s="491">
        <v>906</v>
      </c>
      <c r="C638" s="495" t="s">
        <v>264</v>
      </c>
      <c r="D638" s="495" t="s">
        <v>118</v>
      </c>
      <c r="E638" s="495" t="s">
        <v>1633</v>
      </c>
      <c r="F638" s="495"/>
      <c r="G638" s="497">
        <f t="shared" ref="G638:G640" si="46">G639</f>
        <v>0</v>
      </c>
      <c r="H638" s="501"/>
      <c r="I638" s="526"/>
      <c r="J638" s="501"/>
    </row>
    <row r="639" spans="1:11" s="204" customFormat="1" ht="31.5" hidden="1" x14ac:dyDescent="0.25">
      <c r="A639" s="303" t="s">
        <v>1632</v>
      </c>
      <c r="B639" s="490">
        <v>906</v>
      </c>
      <c r="C639" s="492" t="s">
        <v>264</v>
      </c>
      <c r="D639" s="492" t="s">
        <v>118</v>
      </c>
      <c r="E639" s="492" t="s">
        <v>1634</v>
      </c>
      <c r="F639" s="492"/>
      <c r="G639" s="497">
        <f t="shared" si="46"/>
        <v>0</v>
      </c>
      <c r="H639" s="501"/>
      <c r="I639" s="526"/>
      <c r="J639" s="501"/>
    </row>
    <row r="640" spans="1:11" s="204" customFormat="1" ht="31.5" hidden="1" x14ac:dyDescent="0.25">
      <c r="A640" s="31" t="s">
        <v>272</v>
      </c>
      <c r="B640" s="490">
        <v>906</v>
      </c>
      <c r="C640" s="492" t="s">
        <v>264</v>
      </c>
      <c r="D640" s="492" t="s">
        <v>118</v>
      </c>
      <c r="E640" s="492" t="s">
        <v>1634</v>
      </c>
      <c r="F640" s="492" t="s">
        <v>273</v>
      </c>
      <c r="G640" s="497">
        <f t="shared" si="46"/>
        <v>0</v>
      </c>
      <c r="H640" s="501"/>
      <c r="I640" s="526"/>
      <c r="J640" s="501"/>
    </row>
    <row r="641" spans="1:12" s="204" customFormat="1" ht="18.75" hidden="1" customHeight="1" x14ac:dyDescent="0.25">
      <c r="A641" s="31" t="s">
        <v>274</v>
      </c>
      <c r="B641" s="490">
        <v>906</v>
      </c>
      <c r="C641" s="492" t="s">
        <v>264</v>
      </c>
      <c r="D641" s="492" t="s">
        <v>118</v>
      </c>
      <c r="E641" s="492" t="s">
        <v>1634</v>
      </c>
      <c r="F641" s="492" t="s">
        <v>275</v>
      </c>
      <c r="G641" s="497"/>
      <c r="H641" s="162"/>
      <c r="I641" s="526"/>
      <c r="J641" s="501"/>
    </row>
    <row r="642" spans="1:12" s="204" customFormat="1" ht="33" hidden="1" customHeight="1" x14ac:dyDescent="0.25">
      <c r="A642" s="304" t="s">
        <v>1635</v>
      </c>
      <c r="B642" s="491">
        <v>906</v>
      </c>
      <c r="C642" s="495" t="s">
        <v>264</v>
      </c>
      <c r="D642" s="495" t="s">
        <v>118</v>
      </c>
      <c r="E642" s="495" t="s">
        <v>1638</v>
      </c>
      <c r="F642" s="495"/>
      <c r="G642" s="493">
        <f t="shared" ref="G642:G644" si="47">G643</f>
        <v>0</v>
      </c>
      <c r="H642" s="501"/>
      <c r="I642" s="526"/>
      <c r="J642" s="501"/>
    </row>
    <row r="643" spans="1:12" s="204" customFormat="1" ht="33" hidden="1" customHeight="1" x14ac:dyDescent="0.25">
      <c r="A643" s="303" t="s">
        <v>1636</v>
      </c>
      <c r="B643" s="490">
        <v>906</v>
      </c>
      <c r="C643" s="492" t="s">
        <v>264</v>
      </c>
      <c r="D643" s="492" t="s">
        <v>118</v>
      </c>
      <c r="E643" s="492" t="s">
        <v>1637</v>
      </c>
      <c r="F643" s="492"/>
      <c r="G643" s="497">
        <f t="shared" si="47"/>
        <v>0</v>
      </c>
      <c r="H643" s="508"/>
      <c r="I643" s="526"/>
      <c r="J643" s="501"/>
    </row>
    <row r="644" spans="1:12" s="204" customFormat="1" ht="31.5" hidden="1" x14ac:dyDescent="0.25">
      <c r="A644" s="31" t="s">
        <v>272</v>
      </c>
      <c r="B644" s="490">
        <v>906</v>
      </c>
      <c r="C644" s="492" t="s">
        <v>264</v>
      </c>
      <c r="D644" s="492" t="s">
        <v>118</v>
      </c>
      <c r="E644" s="492" t="s">
        <v>1637</v>
      </c>
      <c r="F644" s="492" t="s">
        <v>273</v>
      </c>
      <c r="G644" s="497">
        <f t="shared" si="47"/>
        <v>0</v>
      </c>
      <c r="H644" s="508"/>
      <c r="I644" s="526"/>
      <c r="J644" s="501"/>
    </row>
    <row r="645" spans="1:12" s="204" customFormat="1" ht="18.75" hidden="1" customHeight="1" x14ac:dyDescent="0.25">
      <c r="A645" s="31" t="s">
        <v>274</v>
      </c>
      <c r="B645" s="490">
        <v>906</v>
      </c>
      <c r="C645" s="492" t="s">
        <v>264</v>
      </c>
      <c r="D645" s="492" t="s">
        <v>118</v>
      </c>
      <c r="E645" s="492" t="s">
        <v>1637</v>
      </c>
      <c r="F645" s="492" t="s">
        <v>275</v>
      </c>
      <c r="G645" s="497"/>
      <c r="H645" s="508"/>
      <c r="I645" s="526"/>
      <c r="J645" s="501"/>
      <c r="L645" s="510"/>
    </row>
    <row r="646" spans="1:12" ht="46.9" customHeight="1" x14ac:dyDescent="0.25">
      <c r="A646" s="34" t="s">
        <v>1357</v>
      </c>
      <c r="B646" s="491">
        <v>906</v>
      </c>
      <c r="C646" s="495" t="s">
        <v>264</v>
      </c>
      <c r="D646" s="495" t="s">
        <v>118</v>
      </c>
      <c r="E646" s="495" t="s">
        <v>324</v>
      </c>
      <c r="F646" s="495"/>
      <c r="G646" s="493">
        <f t="shared" ref="G646:G649" si="48">G647</f>
        <v>80</v>
      </c>
      <c r="H646" s="509"/>
      <c r="I646" s="526"/>
      <c r="J646" s="501"/>
      <c r="K646" s="204"/>
    </row>
    <row r="647" spans="1:12" s="204" customFormat="1" ht="49.7" customHeight="1" x14ac:dyDescent="0.25">
      <c r="A647" s="34" t="s">
        <v>1009</v>
      </c>
      <c r="B647" s="491">
        <v>906</v>
      </c>
      <c r="C647" s="495" t="s">
        <v>264</v>
      </c>
      <c r="D647" s="495" t="s">
        <v>118</v>
      </c>
      <c r="E647" s="495" t="s">
        <v>934</v>
      </c>
      <c r="F647" s="495"/>
      <c r="G647" s="493">
        <f t="shared" si="48"/>
        <v>80</v>
      </c>
      <c r="H647" s="501"/>
      <c r="I647" s="526"/>
      <c r="J647" s="501"/>
    </row>
    <row r="648" spans="1:12" ht="48.95" customHeight="1" x14ac:dyDescent="0.25">
      <c r="A648" s="31" t="s">
        <v>1081</v>
      </c>
      <c r="B648" s="490">
        <v>906</v>
      </c>
      <c r="C648" s="492" t="s">
        <v>264</v>
      </c>
      <c r="D648" s="492" t="s">
        <v>118</v>
      </c>
      <c r="E648" s="492" t="s">
        <v>935</v>
      </c>
      <c r="F648" s="492"/>
      <c r="G648" s="497">
        <f t="shared" si="48"/>
        <v>80</v>
      </c>
      <c r="H648" s="501"/>
      <c r="I648" s="526"/>
      <c r="J648" s="501"/>
      <c r="K648" s="204"/>
    </row>
    <row r="649" spans="1:12" ht="42" customHeight="1" x14ac:dyDescent="0.25">
      <c r="A649" s="31" t="s">
        <v>272</v>
      </c>
      <c r="B649" s="490">
        <v>906</v>
      </c>
      <c r="C649" s="492" t="s">
        <v>264</v>
      </c>
      <c r="D649" s="492" t="s">
        <v>118</v>
      </c>
      <c r="E649" s="492" t="s">
        <v>935</v>
      </c>
      <c r="F649" s="492" t="s">
        <v>273</v>
      </c>
      <c r="G649" s="497">
        <f t="shared" si="48"/>
        <v>80</v>
      </c>
      <c r="H649" s="501"/>
      <c r="I649" s="526"/>
      <c r="J649" s="501"/>
      <c r="K649" s="204"/>
    </row>
    <row r="650" spans="1:12" ht="16.5" customHeight="1" x14ac:dyDescent="0.25">
      <c r="A650" s="31" t="s">
        <v>274</v>
      </c>
      <c r="B650" s="490">
        <v>906</v>
      </c>
      <c r="C650" s="492" t="s">
        <v>264</v>
      </c>
      <c r="D650" s="492" t="s">
        <v>118</v>
      </c>
      <c r="E650" s="492" t="s">
        <v>935</v>
      </c>
      <c r="F650" s="492" t="s">
        <v>275</v>
      </c>
      <c r="G650" s="497">
        <v>80</v>
      </c>
      <c r="H650" s="501"/>
      <c r="I650" s="526"/>
      <c r="J650" s="501"/>
      <c r="K650" s="204"/>
    </row>
    <row r="651" spans="1:12" ht="46.5" customHeight="1" x14ac:dyDescent="0.25">
      <c r="A651" s="572" t="s">
        <v>1341</v>
      </c>
      <c r="B651" s="491">
        <v>906</v>
      </c>
      <c r="C651" s="495" t="s">
        <v>264</v>
      </c>
      <c r="D651" s="495" t="s">
        <v>118</v>
      </c>
      <c r="E651" s="495" t="s">
        <v>705</v>
      </c>
      <c r="F651" s="504"/>
      <c r="G651" s="493">
        <f>G653</f>
        <v>571.79999999999995</v>
      </c>
      <c r="H651" s="501"/>
      <c r="I651" s="526"/>
      <c r="J651" s="501"/>
      <c r="K651" s="204"/>
    </row>
    <row r="652" spans="1:12" s="204" customFormat="1" ht="46.5" customHeight="1" x14ac:dyDescent="0.25">
      <c r="A652" s="572" t="s">
        <v>890</v>
      </c>
      <c r="B652" s="491">
        <v>906</v>
      </c>
      <c r="C652" s="495" t="s">
        <v>264</v>
      </c>
      <c r="D652" s="495" t="s">
        <v>118</v>
      </c>
      <c r="E652" s="495" t="s">
        <v>888</v>
      </c>
      <c r="F652" s="504"/>
      <c r="G652" s="493">
        <f t="shared" ref="G652:G654" si="49">G653</f>
        <v>571.79999999999995</v>
      </c>
      <c r="H652" s="501"/>
      <c r="I652" s="526"/>
      <c r="J652" s="501"/>
    </row>
    <row r="653" spans="1:12" ht="36" customHeight="1" x14ac:dyDescent="0.25">
      <c r="A653" s="98" t="s">
        <v>780</v>
      </c>
      <c r="B653" s="490">
        <v>906</v>
      </c>
      <c r="C653" s="492" t="s">
        <v>264</v>
      </c>
      <c r="D653" s="492" t="s">
        <v>118</v>
      </c>
      <c r="E653" s="492" t="s">
        <v>936</v>
      </c>
      <c r="F653" s="498"/>
      <c r="G653" s="497">
        <f t="shared" si="49"/>
        <v>571.79999999999995</v>
      </c>
      <c r="H653" s="501"/>
      <c r="I653" s="526"/>
      <c r="J653" s="501"/>
      <c r="K653" s="204"/>
    </row>
    <row r="654" spans="1:12" ht="35.450000000000003" customHeight="1" x14ac:dyDescent="0.25">
      <c r="A654" s="29" t="s">
        <v>272</v>
      </c>
      <c r="B654" s="490">
        <v>906</v>
      </c>
      <c r="C654" s="492" t="s">
        <v>264</v>
      </c>
      <c r="D654" s="492" t="s">
        <v>118</v>
      </c>
      <c r="E654" s="492" t="s">
        <v>936</v>
      </c>
      <c r="F654" s="498" t="s">
        <v>273</v>
      </c>
      <c r="G654" s="497">
        <f t="shared" si="49"/>
        <v>571.79999999999995</v>
      </c>
      <c r="H654" s="501"/>
      <c r="I654" s="526"/>
      <c r="J654" s="501"/>
      <c r="K654" s="204"/>
    </row>
    <row r="655" spans="1:12" ht="15.75" customHeight="1" x14ac:dyDescent="0.25">
      <c r="A655" s="182" t="s">
        <v>274</v>
      </c>
      <c r="B655" s="490">
        <v>906</v>
      </c>
      <c r="C655" s="492" t="s">
        <v>264</v>
      </c>
      <c r="D655" s="492" t="s">
        <v>118</v>
      </c>
      <c r="E655" s="492" t="s">
        <v>936</v>
      </c>
      <c r="F655" s="498" t="s">
        <v>275</v>
      </c>
      <c r="G655" s="497">
        <v>571.79999999999995</v>
      </c>
      <c r="H655" s="501"/>
      <c r="I655" s="526"/>
      <c r="J655" s="501"/>
      <c r="K655" s="204"/>
    </row>
    <row r="656" spans="1:12" ht="15.75" x14ac:dyDescent="0.25">
      <c r="A656" s="494" t="s">
        <v>425</v>
      </c>
      <c r="B656" s="491">
        <v>906</v>
      </c>
      <c r="C656" s="495" t="s">
        <v>264</v>
      </c>
      <c r="D656" s="495" t="s">
        <v>213</v>
      </c>
      <c r="E656" s="495"/>
      <c r="F656" s="495"/>
      <c r="G656" s="493">
        <f>G657+G735+G740</f>
        <v>202346.96000000002</v>
      </c>
      <c r="H656" s="501"/>
      <c r="I656" s="526"/>
      <c r="J656" s="501"/>
      <c r="K656" s="204"/>
    </row>
    <row r="657" spans="1:11" ht="36.75" customHeight="1" x14ac:dyDescent="0.25">
      <c r="A657" s="494" t="s">
        <v>1358</v>
      </c>
      <c r="B657" s="491">
        <v>906</v>
      </c>
      <c r="C657" s="495" t="s">
        <v>264</v>
      </c>
      <c r="D657" s="495" t="s">
        <v>213</v>
      </c>
      <c r="E657" s="495" t="s">
        <v>406</v>
      </c>
      <c r="F657" s="495"/>
      <c r="G657" s="493">
        <f>G658+G662+G675+G688+G695+G699+G703+G723+G707+G711+G727+G715+G719+G731</f>
        <v>201416.12000000002</v>
      </c>
      <c r="H657" s="117"/>
      <c r="I657" s="526"/>
      <c r="J657" s="501"/>
      <c r="K657" s="204"/>
    </row>
    <row r="658" spans="1:11" s="204" customFormat="1" ht="37.5" customHeight="1" x14ac:dyDescent="0.25">
      <c r="A658" s="494" t="s">
        <v>937</v>
      </c>
      <c r="B658" s="491">
        <v>906</v>
      </c>
      <c r="C658" s="495" t="s">
        <v>264</v>
      </c>
      <c r="D658" s="495" t="s">
        <v>213</v>
      </c>
      <c r="E658" s="495" t="s">
        <v>1230</v>
      </c>
      <c r="F658" s="495"/>
      <c r="G658" s="493">
        <f t="shared" ref="G658:G660" si="50">G659</f>
        <v>30618.41</v>
      </c>
      <c r="H658" s="501"/>
      <c r="I658" s="526"/>
      <c r="J658" s="501"/>
    </row>
    <row r="659" spans="1:11" ht="31.5" x14ac:dyDescent="0.25">
      <c r="A659" s="579" t="s">
        <v>1236</v>
      </c>
      <c r="B659" s="490">
        <v>906</v>
      </c>
      <c r="C659" s="492" t="s">
        <v>264</v>
      </c>
      <c r="D659" s="492" t="s">
        <v>213</v>
      </c>
      <c r="E659" s="492" t="s">
        <v>1249</v>
      </c>
      <c r="F659" s="492"/>
      <c r="G659" s="497">
        <f t="shared" si="50"/>
        <v>30618.41</v>
      </c>
      <c r="H659" s="501"/>
      <c r="I659" s="526"/>
      <c r="J659" s="501"/>
      <c r="K659" s="204"/>
    </row>
    <row r="660" spans="1:11" ht="32.25" customHeight="1" x14ac:dyDescent="0.25">
      <c r="A660" s="579" t="s">
        <v>272</v>
      </c>
      <c r="B660" s="490">
        <v>906</v>
      </c>
      <c r="C660" s="492" t="s">
        <v>264</v>
      </c>
      <c r="D660" s="492" t="s">
        <v>213</v>
      </c>
      <c r="E660" s="492" t="s">
        <v>1249</v>
      </c>
      <c r="F660" s="492" t="s">
        <v>273</v>
      </c>
      <c r="G660" s="497">
        <f t="shared" si="50"/>
        <v>30618.41</v>
      </c>
      <c r="H660" s="501"/>
      <c r="I660" s="526"/>
      <c r="J660" s="501"/>
      <c r="K660" s="204"/>
    </row>
    <row r="661" spans="1:11" ht="15.75" x14ac:dyDescent="0.25">
      <c r="A661" s="579" t="s">
        <v>274</v>
      </c>
      <c r="B661" s="490">
        <v>906</v>
      </c>
      <c r="C661" s="492" t="s">
        <v>264</v>
      </c>
      <c r="D661" s="492" t="s">
        <v>213</v>
      </c>
      <c r="E661" s="492" t="s">
        <v>1249</v>
      </c>
      <c r="F661" s="492" t="s">
        <v>275</v>
      </c>
      <c r="G661" s="27">
        <v>30618.41</v>
      </c>
      <c r="H661" s="501"/>
      <c r="I661" s="530"/>
      <c r="J661" s="501"/>
      <c r="K661" s="204"/>
    </row>
    <row r="662" spans="1:11" s="204" customFormat="1" ht="36.75" customHeight="1" x14ac:dyDescent="0.25">
      <c r="A662" s="494" t="s">
        <v>900</v>
      </c>
      <c r="B662" s="491">
        <v>906</v>
      </c>
      <c r="C662" s="495" t="s">
        <v>264</v>
      </c>
      <c r="D662" s="495" t="s">
        <v>213</v>
      </c>
      <c r="E662" s="495" t="s">
        <v>1232</v>
      </c>
      <c r="F662" s="495"/>
      <c r="G662" s="44">
        <f>G663+G666+G669+G672</f>
        <v>154661.90000000002</v>
      </c>
      <c r="H662" s="501"/>
      <c r="I662" s="526"/>
      <c r="J662" s="501"/>
    </row>
    <row r="663" spans="1:11" s="204" customFormat="1" ht="50.25" customHeight="1" x14ac:dyDescent="0.25">
      <c r="A663" s="579" t="s">
        <v>1392</v>
      </c>
      <c r="B663" s="490">
        <v>906</v>
      </c>
      <c r="C663" s="492" t="s">
        <v>264</v>
      </c>
      <c r="D663" s="492" t="s">
        <v>213</v>
      </c>
      <c r="E663" s="492" t="s">
        <v>1393</v>
      </c>
      <c r="F663" s="492"/>
      <c r="G663" s="27">
        <f>G664</f>
        <v>7421.4</v>
      </c>
      <c r="H663" s="501"/>
      <c r="I663" s="526"/>
      <c r="J663" s="501"/>
    </row>
    <row r="664" spans="1:11" s="204" customFormat="1" ht="36.75" customHeight="1" x14ac:dyDescent="0.25">
      <c r="A664" s="579" t="s">
        <v>272</v>
      </c>
      <c r="B664" s="490">
        <v>906</v>
      </c>
      <c r="C664" s="492" t="s">
        <v>264</v>
      </c>
      <c r="D664" s="492" t="s">
        <v>213</v>
      </c>
      <c r="E664" s="492" t="s">
        <v>1393</v>
      </c>
      <c r="F664" s="492" t="s">
        <v>273</v>
      </c>
      <c r="G664" s="27">
        <f>G665</f>
        <v>7421.4</v>
      </c>
      <c r="H664" s="501"/>
      <c r="I664" s="526"/>
      <c r="J664" s="501"/>
    </row>
    <row r="665" spans="1:11" s="204" customFormat="1" ht="19.7" customHeight="1" x14ac:dyDescent="0.25">
      <c r="A665" s="579" t="s">
        <v>274</v>
      </c>
      <c r="B665" s="490">
        <v>906</v>
      </c>
      <c r="C665" s="492" t="s">
        <v>264</v>
      </c>
      <c r="D665" s="492" t="s">
        <v>213</v>
      </c>
      <c r="E665" s="492" t="s">
        <v>1393</v>
      </c>
      <c r="F665" s="492" t="s">
        <v>275</v>
      </c>
      <c r="G665" s="27">
        <v>7421.4</v>
      </c>
      <c r="H665" s="501"/>
      <c r="I665" s="526"/>
      <c r="J665" s="501"/>
    </row>
    <row r="666" spans="1:11" s="204" customFormat="1" ht="88.35" customHeight="1" x14ac:dyDescent="0.25">
      <c r="A666" s="31" t="s">
        <v>293</v>
      </c>
      <c r="B666" s="490">
        <v>906</v>
      </c>
      <c r="C666" s="492" t="s">
        <v>264</v>
      </c>
      <c r="D666" s="492" t="s">
        <v>213</v>
      </c>
      <c r="E666" s="492" t="s">
        <v>1390</v>
      </c>
      <c r="F666" s="492"/>
      <c r="G666" s="497">
        <f>G667</f>
        <v>4520</v>
      </c>
      <c r="H666" s="501"/>
      <c r="I666" s="526"/>
      <c r="J666" s="501"/>
    </row>
    <row r="667" spans="1:11" s="204" customFormat="1" ht="36.75" customHeight="1" x14ac:dyDescent="0.25">
      <c r="A667" s="579" t="s">
        <v>272</v>
      </c>
      <c r="B667" s="490">
        <v>906</v>
      </c>
      <c r="C667" s="492" t="s">
        <v>264</v>
      </c>
      <c r="D667" s="492" t="s">
        <v>213</v>
      </c>
      <c r="E667" s="492" t="s">
        <v>1390</v>
      </c>
      <c r="F667" s="492" t="s">
        <v>273</v>
      </c>
      <c r="G667" s="497">
        <f>G668</f>
        <v>4520</v>
      </c>
      <c r="H667" s="501"/>
      <c r="I667" s="526"/>
      <c r="J667" s="501"/>
    </row>
    <row r="668" spans="1:11" s="204" customFormat="1" ht="14.25" customHeight="1" x14ac:dyDescent="0.25">
      <c r="A668" s="579" t="s">
        <v>274</v>
      </c>
      <c r="B668" s="490">
        <v>906</v>
      </c>
      <c r="C668" s="492" t="s">
        <v>264</v>
      </c>
      <c r="D668" s="492" t="s">
        <v>213</v>
      </c>
      <c r="E668" s="492" t="s">
        <v>1390</v>
      </c>
      <c r="F668" s="492" t="s">
        <v>275</v>
      </c>
      <c r="G668" s="163">
        <f>9911-761-3230-1400</f>
        <v>4520</v>
      </c>
      <c r="H668" s="501"/>
      <c r="I668" s="526"/>
      <c r="J668" s="501"/>
    </row>
    <row r="669" spans="1:11" s="204" customFormat="1" ht="47.25" x14ac:dyDescent="0.25">
      <c r="A669" s="31" t="s">
        <v>462</v>
      </c>
      <c r="B669" s="490">
        <v>906</v>
      </c>
      <c r="C669" s="492" t="s">
        <v>264</v>
      </c>
      <c r="D669" s="492" t="s">
        <v>213</v>
      </c>
      <c r="E669" s="492" t="s">
        <v>1251</v>
      </c>
      <c r="F669" s="492"/>
      <c r="G669" s="497">
        <f>G670</f>
        <v>909.3</v>
      </c>
      <c r="H669" s="501"/>
      <c r="I669" s="526"/>
      <c r="J669" s="501"/>
    </row>
    <row r="670" spans="1:11" s="204" customFormat="1" ht="31.5" x14ac:dyDescent="0.25">
      <c r="A670" s="579" t="s">
        <v>272</v>
      </c>
      <c r="B670" s="490">
        <v>906</v>
      </c>
      <c r="C670" s="492" t="s">
        <v>264</v>
      </c>
      <c r="D670" s="492" t="s">
        <v>213</v>
      </c>
      <c r="E670" s="492" t="s">
        <v>1251</v>
      </c>
      <c r="F670" s="492" t="s">
        <v>273</v>
      </c>
      <c r="G670" s="497">
        <f>G671</f>
        <v>909.3</v>
      </c>
      <c r="H670" s="501"/>
      <c r="I670" s="526"/>
      <c r="J670" s="501"/>
    </row>
    <row r="671" spans="1:11" s="204" customFormat="1" ht="15.75" x14ac:dyDescent="0.25">
      <c r="A671" s="579" t="s">
        <v>274</v>
      </c>
      <c r="B671" s="490">
        <v>906</v>
      </c>
      <c r="C671" s="492" t="s">
        <v>264</v>
      </c>
      <c r="D671" s="492" t="s">
        <v>213</v>
      </c>
      <c r="E671" s="492" t="s">
        <v>1251</v>
      </c>
      <c r="F671" s="492" t="s">
        <v>275</v>
      </c>
      <c r="G671" s="27">
        <v>909.3</v>
      </c>
      <c r="H671" s="501"/>
      <c r="I671" s="526"/>
      <c r="J671" s="501"/>
    </row>
    <row r="672" spans="1:11" s="578" customFormat="1" ht="31.5" x14ac:dyDescent="0.25">
      <c r="A672" s="579" t="s">
        <v>1766</v>
      </c>
      <c r="B672" s="490">
        <v>906</v>
      </c>
      <c r="C672" s="580" t="s">
        <v>264</v>
      </c>
      <c r="D672" s="580" t="s">
        <v>213</v>
      </c>
      <c r="E672" s="580" t="s">
        <v>1767</v>
      </c>
      <c r="F672" s="580"/>
      <c r="G672" s="27">
        <f>G673</f>
        <v>141811.20000000001</v>
      </c>
      <c r="H672" s="501"/>
      <c r="I672" s="526"/>
      <c r="J672" s="501"/>
    </row>
    <row r="673" spans="1:10" s="578" customFormat="1" ht="31.5" x14ac:dyDescent="0.25">
      <c r="A673" s="579" t="s">
        <v>272</v>
      </c>
      <c r="B673" s="490">
        <v>906</v>
      </c>
      <c r="C673" s="580" t="s">
        <v>264</v>
      </c>
      <c r="D673" s="580" t="s">
        <v>213</v>
      </c>
      <c r="E673" s="580" t="s">
        <v>1767</v>
      </c>
      <c r="F673" s="580" t="s">
        <v>273</v>
      </c>
      <c r="G673" s="27">
        <f>G674</f>
        <v>141811.20000000001</v>
      </c>
      <c r="H673" s="501">
        <v>204232.9</v>
      </c>
      <c r="I673" s="526"/>
      <c r="J673" s="501"/>
    </row>
    <row r="674" spans="1:10" s="578" customFormat="1" ht="15.75" x14ac:dyDescent="0.25">
      <c r="A674" s="579" t="s">
        <v>274</v>
      </c>
      <c r="B674" s="490">
        <v>906</v>
      </c>
      <c r="C674" s="580" t="s">
        <v>264</v>
      </c>
      <c r="D674" s="580" t="s">
        <v>213</v>
      </c>
      <c r="E674" s="580" t="s">
        <v>1767</v>
      </c>
      <c r="F674" s="580" t="s">
        <v>275</v>
      </c>
      <c r="G674" s="27">
        <f>138182.6+3628.6</f>
        <v>141811.20000000001</v>
      </c>
      <c r="H674" s="501">
        <v>58137.8</v>
      </c>
      <c r="I674" s="526"/>
      <c r="J674" s="501"/>
    </row>
    <row r="675" spans="1:10" s="204" customFormat="1" ht="35.450000000000003" customHeight="1" x14ac:dyDescent="0.25">
      <c r="A675" s="494" t="s">
        <v>1252</v>
      </c>
      <c r="B675" s="255">
        <v>906</v>
      </c>
      <c r="C675" s="495" t="s">
        <v>264</v>
      </c>
      <c r="D675" s="495" t="s">
        <v>213</v>
      </c>
      <c r="E675" s="495" t="s">
        <v>1237</v>
      </c>
      <c r="F675" s="495"/>
      <c r="G675" s="493">
        <f>G676+G679+G682+G685</f>
        <v>208.6</v>
      </c>
      <c r="H675" s="501">
        <v>138182.6</v>
      </c>
      <c r="I675" s="526"/>
      <c r="J675" s="501"/>
    </row>
    <row r="676" spans="1:10" s="204" customFormat="1" ht="35.450000000000003" hidden="1" customHeight="1" x14ac:dyDescent="0.25">
      <c r="A676" s="496" t="s">
        <v>440</v>
      </c>
      <c r="B676" s="37">
        <v>906</v>
      </c>
      <c r="C676" s="492" t="s">
        <v>264</v>
      </c>
      <c r="D676" s="492" t="s">
        <v>213</v>
      </c>
      <c r="E676" s="492" t="s">
        <v>1317</v>
      </c>
      <c r="F676" s="492"/>
      <c r="G676" s="497">
        <f>G677</f>
        <v>0</v>
      </c>
      <c r="H676" s="501">
        <v>1578.5</v>
      </c>
      <c r="I676" s="526"/>
      <c r="J676" s="501"/>
    </row>
    <row r="677" spans="1:10" s="204" customFormat="1" ht="39.75" hidden="1" customHeight="1" x14ac:dyDescent="0.25">
      <c r="A677" s="496" t="s">
        <v>272</v>
      </c>
      <c r="B677" s="37">
        <v>906</v>
      </c>
      <c r="C677" s="492" t="s">
        <v>264</v>
      </c>
      <c r="D677" s="492" t="s">
        <v>213</v>
      </c>
      <c r="E677" s="492" t="s">
        <v>1317</v>
      </c>
      <c r="F677" s="492" t="s">
        <v>273</v>
      </c>
      <c r="G677" s="497">
        <f>G678</f>
        <v>0</v>
      </c>
      <c r="H677" s="501">
        <v>404.4</v>
      </c>
      <c r="I677" s="526"/>
      <c r="J677" s="501"/>
    </row>
    <row r="678" spans="1:10" s="204" customFormat="1" ht="18.75" hidden="1" customHeight="1" x14ac:dyDescent="0.25">
      <c r="A678" s="496" t="s">
        <v>274</v>
      </c>
      <c r="B678" s="37">
        <v>906</v>
      </c>
      <c r="C678" s="492" t="s">
        <v>264</v>
      </c>
      <c r="D678" s="492" t="s">
        <v>213</v>
      </c>
      <c r="E678" s="492" t="s">
        <v>1317</v>
      </c>
      <c r="F678" s="492" t="s">
        <v>275</v>
      </c>
      <c r="G678" s="497">
        <v>0</v>
      </c>
      <c r="H678" s="501">
        <v>843</v>
      </c>
      <c r="I678" s="526"/>
      <c r="J678" s="501"/>
    </row>
    <row r="679" spans="1:10" s="204" customFormat="1" ht="41.25" hidden="1" customHeight="1" x14ac:dyDescent="0.25">
      <c r="A679" s="496" t="s">
        <v>278</v>
      </c>
      <c r="B679" s="37">
        <v>906</v>
      </c>
      <c r="C679" s="492" t="s">
        <v>264</v>
      </c>
      <c r="D679" s="492" t="s">
        <v>213</v>
      </c>
      <c r="E679" s="492" t="s">
        <v>1318</v>
      </c>
      <c r="F679" s="492"/>
      <c r="G679" s="497">
        <f>G680</f>
        <v>0</v>
      </c>
      <c r="H679" s="501">
        <v>3628.6</v>
      </c>
      <c r="I679" s="526"/>
      <c r="J679" s="501"/>
    </row>
    <row r="680" spans="1:10" s="204" customFormat="1" ht="33" hidden="1" customHeight="1" x14ac:dyDescent="0.25">
      <c r="A680" s="496" t="s">
        <v>272</v>
      </c>
      <c r="B680" s="37">
        <v>906</v>
      </c>
      <c r="C680" s="492" t="s">
        <v>264</v>
      </c>
      <c r="D680" s="492" t="s">
        <v>213</v>
      </c>
      <c r="E680" s="492" t="s">
        <v>1318</v>
      </c>
      <c r="F680" s="492" t="s">
        <v>273</v>
      </c>
      <c r="G680" s="497">
        <f>G681</f>
        <v>0</v>
      </c>
      <c r="H680" s="501">
        <f>H673-H674-H675-H676-H677-H678-H679</f>
        <v>1457.9999999999714</v>
      </c>
      <c r="I680" s="526"/>
      <c r="J680" s="501"/>
    </row>
    <row r="681" spans="1:10" s="204" customFormat="1" ht="18.75" hidden="1" customHeight="1" x14ac:dyDescent="0.25">
      <c r="A681" s="496" t="s">
        <v>274</v>
      </c>
      <c r="B681" s="37">
        <v>906</v>
      </c>
      <c r="C681" s="492" t="s">
        <v>264</v>
      </c>
      <c r="D681" s="492" t="s">
        <v>213</v>
      </c>
      <c r="E681" s="492" t="s">
        <v>1318</v>
      </c>
      <c r="F681" s="492" t="s">
        <v>275</v>
      </c>
      <c r="G681" s="497"/>
      <c r="H681" s="501"/>
      <c r="I681" s="526"/>
      <c r="J681" s="501"/>
    </row>
    <row r="682" spans="1:10" s="204" customFormat="1" ht="31.7" hidden="1" customHeight="1" x14ac:dyDescent="0.25">
      <c r="A682" s="496" t="s">
        <v>280</v>
      </c>
      <c r="B682" s="37">
        <v>906</v>
      </c>
      <c r="C682" s="492" t="s">
        <v>264</v>
      </c>
      <c r="D682" s="492" t="s">
        <v>213</v>
      </c>
      <c r="E682" s="492" t="s">
        <v>1319</v>
      </c>
      <c r="F682" s="492"/>
      <c r="G682" s="497">
        <f>G683</f>
        <v>0</v>
      </c>
      <c r="H682" s="501"/>
      <c r="I682" s="526"/>
      <c r="J682" s="501"/>
    </row>
    <row r="683" spans="1:10" s="204" customFormat="1" ht="29.25" hidden="1" customHeight="1" x14ac:dyDescent="0.25">
      <c r="A683" s="496" t="s">
        <v>272</v>
      </c>
      <c r="B683" s="37">
        <v>906</v>
      </c>
      <c r="C683" s="492" t="s">
        <v>264</v>
      </c>
      <c r="D683" s="492" t="s">
        <v>213</v>
      </c>
      <c r="E683" s="492" t="s">
        <v>1319</v>
      </c>
      <c r="F683" s="492" t="s">
        <v>273</v>
      </c>
      <c r="G683" s="497">
        <f>G684</f>
        <v>0</v>
      </c>
      <c r="H683" s="501"/>
      <c r="I683" s="526"/>
      <c r="J683" s="501"/>
    </row>
    <row r="684" spans="1:10" s="204" customFormat="1" ht="18.75" hidden="1" customHeight="1" x14ac:dyDescent="0.25">
      <c r="A684" s="496" t="s">
        <v>274</v>
      </c>
      <c r="B684" s="37">
        <v>906</v>
      </c>
      <c r="C684" s="492" t="s">
        <v>264</v>
      </c>
      <c r="D684" s="492" t="s">
        <v>213</v>
      </c>
      <c r="E684" s="492" t="s">
        <v>1319</v>
      </c>
      <c r="F684" s="492" t="s">
        <v>275</v>
      </c>
      <c r="G684" s="497"/>
      <c r="H684" s="501"/>
      <c r="I684" s="526"/>
      <c r="J684" s="501"/>
    </row>
    <row r="685" spans="1:10" s="204" customFormat="1" ht="36" customHeight="1" x14ac:dyDescent="0.25">
      <c r="A685" s="579" t="s">
        <v>282</v>
      </c>
      <c r="B685" s="37">
        <v>906</v>
      </c>
      <c r="C685" s="492" t="s">
        <v>264</v>
      </c>
      <c r="D685" s="492" t="s">
        <v>213</v>
      </c>
      <c r="E685" s="492" t="s">
        <v>1253</v>
      </c>
      <c r="F685" s="492"/>
      <c r="G685" s="497">
        <f>G686</f>
        <v>208.6</v>
      </c>
      <c r="H685" s="501"/>
      <c r="I685" s="526"/>
      <c r="J685" s="501"/>
    </row>
    <row r="686" spans="1:10" s="204" customFormat="1" ht="39.75" customHeight="1" x14ac:dyDescent="0.25">
      <c r="A686" s="579" t="s">
        <v>272</v>
      </c>
      <c r="B686" s="37">
        <v>906</v>
      </c>
      <c r="C686" s="492" t="s">
        <v>264</v>
      </c>
      <c r="D686" s="492" t="s">
        <v>213</v>
      </c>
      <c r="E686" s="492" t="s">
        <v>1253</v>
      </c>
      <c r="F686" s="492" t="s">
        <v>273</v>
      </c>
      <c r="G686" s="497">
        <f>G687</f>
        <v>208.6</v>
      </c>
      <c r="H686" s="501"/>
      <c r="I686" s="526"/>
      <c r="J686" s="501"/>
    </row>
    <row r="687" spans="1:10" s="204" customFormat="1" ht="18.75" customHeight="1" x14ac:dyDescent="0.25">
      <c r="A687" s="579" t="s">
        <v>274</v>
      </c>
      <c r="B687" s="37">
        <v>906</v>
      </c>
      <c r="C687" s="492" t="s">
        <v>264</v>
      </c>
      <c r="D687" s="492" t="s">
        <v>213</v>
      </c>
      <c r="E687" s="492" t="s">
        <v>1253</v>
      </c>
      <c r="F687" s="492" t="s">
        <v>275</v>
      </c>
      <c r="G687" s="497">
        <v>208.6</v>
      </c>
      <c r="H687" s="501"/>
      <c r="I687" s="526"/>
      <c r="J687" s="501"/>
    </row>
    <row r="688" spans="1:10" s="204" customFormat="1" ht="34.5" customHeight="1" x14ac:dyDescent="0.25">
      <c r="A688" s="219" t="s">
        <v>948</v>
      </c>
      <c r="B688" s="491">
        <v>906</v>
      </c>
      <c r="C688" s="495" t="s">
        <v>264</v>
      </c>
      <c r="D688" s="495" t="s">
        <v>213</v>
      </c>
      <c r="E688" s="495" t="s">
        <v>1240</v>
      </c>
      <c r="F688" s="495"/>
      <c r="G688" s="44">
        <f>G689+G692</f>
        <v>2967</v>
      </c>
      <c r="H688" s="501"/>
      <c r="I688" s="526"/>
      <c r="J688" s="501"/>
    </row>
    <row r="689" spans="1:11" s="204" customFormat="1" ht="36.75" hidden="1" customHeight="1" x14ac:dyDescent="0.25">
      <c r="A689" s="496" t="s">
        <v>791</v>
      </c>
      <c r="B689" s="490">
        <v>906</v>
      </c>
      <c r="C689" s="492" t="s">
        <v>264</v>
      </c>
      <c r="D689" s="492" t="s">
        <v>213</v>
      </c>
      <c r="E689" s="492" t="s">
        <v>1258</v>
      </c>
      <c r="F689" s="492"/>
      <c r="G689" s="497">
        <f>G690</f>
        <v>0</v>
      </c>
      <c r="H689" s="501"/>
      <c r="I689" s="526"/>
      <c r="J689" s="501"/>
    </row>
    <row r="690" spans="1:11" s="204" customFormat="1" ht="44.45" hidden="1" customHeight="1" x14ac:dyDescent="0.25">
      <c r="A690" s="496" t="s">
        <v>272</v>
      </c>
      <c r="B690" s="490">
        <v>906</v>
      </c>
      <c r="C690" s="492" t="s">
        <v>264</v>
      </c>
      <c r="D690" s="492" t="s">
        <v>213</v>
      </c>
      <c r="E690" s="492" t="s">
        <v>1258</v>
      </c>
      <c r="F690" s="492" t="s">
        <v>273</v>
      </c>
      <c r="G690" s="497">
        <f>G691</f>
        <v>0</v>
      </c>
      <c r="H690" s="501"/>
      <c r="I690" s="526"/>
      <c r="J690" s="501"/>
    </row>
    <row r="691" spans="1:11" s="204" customFormat="1" ht="18.75" hidden="1" customHeight="1" x14ac:dyDescent="0.25">
      <c r="A691" s="496" t="s">
        <v>274</v>
      </c>
      <c r="B691" s="490">
        <v>906</v>
      </c>
      <c r="C691" s="492" t="s">
        <v>264</v>
      </c>
      <c r="D691" s="492" t="s">
        <v>213</v>
      </c>
      <c r="E691" s="492" t="s">
        <v>1258</v>
      </c>
      <c r="F691" s="492" t="s">
        <v>275</v>
      </c>
      <c r="G691" s="497"/>
      <c r="H691" s="501"/>
      <c r="I691" s="526"/>
      <c r="J691" s="501"/>
    </row>
    <row r="692" spans="1:11" s="204" customFormat="1" ht="38.25" customHeight="1" x14ac:dyDescent="0.25">
      <c r="A692" s="60" t="s">
        <v>764</v>
      </c>
      <c r="B692" s="490">
        <v>906</v>
      </c>
      <c r="C692" s="492" t="s">
        <v>264</v>
      </c>
      <c r="D692" s="492" t="s">
        <v>213</v>
      </c>
      <c r="E692" s="492" t="s">
        <v>1241</v>
      </c>
      <c r="F692" s="492"/>
      <c r="G692" s="497">
        <f>G693</f>
        <v>2967</v>
      </c>
      <c r="H692" s="501"/>
      <c r="I692" s="526"/>
      <c r="J692" s="501"/>
    </row>
    <row r="693" spans="1:11" s="204" customFormat="1" ht="39.200000000000003" customHeight="1" x14ac:dyDescent="0.25">
      <c r="A693" s="29" t="s">
        <v>272</v>
      </c>
      <c r="B693" s="490">
        <v>906</v>
      </c>
      <c r="C693" s="492" t="s">
        <v>264</v>
      </c>
      <c r="D693" s="492" t="s">
        <v>213</v>
      </c>
      <c r="E693" s="492" t="s">
        <v>1241</v>
      </c>
      <c r="F693" s="492" t="s">
        <v>273</v>
      </c>
      <c r="G693" s="497">
        <f>G694</f>
        <v>2967</v>
      </c>
      <c r="H693" s="501"/>
      <c r="I693" s="526"/>
      <c r="J693" s="501"/>
    </row>
    <row r="694" spans="1:11" s="204" customFormat="1" ht="18.75" customHeight="1" x14ac:dyDescent="0.25">
      <c r="A694" s="182" t="s">
        <v>274</v>
      </c>
      <c r="B694" s="490">
        <v>906</v>
      </c>
      <c r="C694" s="492" t="s">
        <v>264</v>
      </c>
      <c r="D694" s="492" t="s">
        <v>213</v>
      </c>
      <c r="E694" s="492" t="s">
        <v>1241</v>
      </c>
      <c r="F694" s="492" t="s">
        <v>275</v>
      </c>
      <c r="G694" s="497">
        <v>2967</v>
      </c>
      <c r="H694" s="501"/>
      <c r="I694" s="526"/>
      <c r="J694" s="501"/>
    </row>
    <row r="695" spans="1:11" s="204" customFormat="1" ht="33" customHeight="1" x14ac:dyDescent="0.25">
      <c r="A695" s="494" t="s">
        <v>1715</v>
      </c>
      <c r="B695" s="255">
        <v>906</v>
      </c>
      <c r="C695" s="495" t="s">
        <v>264</v>
      </c>
      <c r="D695" s="495" t="s">
        <v>213</v>
      </c>
      <c r="E695" s="495" t="s">
        <v>1243</v>
      </c>
      <c r="F695" s="495"/>
      <c r="G695" s="493">
        <f t="shared" ref="G695:G697" si="51">G696</f>
        <v>5400.8099999999995</v>
      </c>
      <c r="H695" s="501"/>
      <c r="I695" s="526"/>
      <c r="J695" s="501"/>
    </row>
    <row r="696" spans="1:11" ht="31.5" x14ac:dyDescent="0.25">
      <c r="A696" s="579" t="s">
        <v>1716</v>
      </c>
      <c r="B696" s="37">
        <v>906</v>
      </c>
      <c r="C696" s="492" t="s">
        <v>264</v>
      </c>
      <c r="D696" s="492" t="s">
        <v>213</v>
      </c>
      <c r="E696" s="492" t="s">
        <v>1717</v>
      </c>
      <c r="F696" s="492"/>
      <c r="G696" s="497">
        <f t="shared" si="51"/>
        <v>5400.8099999999995</v>
      </c>
      <c r="H696" s="501"/>
      <c r="I696" s="526"/>
      <c r="J696" s="501"/>
      <c r="K696" s="204"/>
    </row>
    <row r="697" spans="1:11" ht="31.5" x14ac:dyDescent="0.25">
      <c r="A697" s="579" t="s">
        <v>272</v>
      </c>
      <c r="B697" s="37">
        <v>906</v>
      </c>
      <c r="C697" s="492" t="s">
        <v>264</v>
      </c>
      <c r="D697" s="492" t="s">
        <v>213</v>
      </c>
      <c r="E697" s="580" t="s">
        <v>1717</v>
      </c>
      <c r="F697" s="492" t="s">
        <v>273</v>
      </c>
      <c r="G697" s="497">
        <f t="shared" si="51"/>
        <v>5400.8099999999995</v>
      </c>
      <c r="H697" s="501"/>
      <c r="I697" s="526"/>
      <c r="J697" s="501"/>
      <c r="K697" s="204"/>
    </row>
    <row r="698" spans="1:11" ht="15.75" x14ac:dyDescent="0.25">
      <c r="A698" s="579" t="s">
        <v>274</v>
      </c>
      <c r="B698" s="37">
        <v>906</v>
      </c>
      <c r="C698" s="492" t="s">
        <v>264</v>
      </c>
      <c r="D698" s="492" t="s">
        <v>213</v>
      </c>
      <c r="E698" s="580" t="s">
        <v>1717</v>
      </c>
      <c r="F698" s="492" t="s">
        <v>275</v>
      </c>
      <c r="G698" s="163">
        <f>3235.41+158.95-297.85+2304.3</f>
        <v>5400.8099999999995</v>
      </c>
      <c r="H698" s="501"/>
      <c r="I698" s="526"/>
      <c r="J698" s="501"/>
      <c r="K698" s="204"/>
    </row>
    <row r="699" spans="1:11" s="204" customFormat="1" ht="34.5" hidden="1" customHeight="1" x14ac:dyDescent="0.25">
      <c r="A699" s="494" t="s">
        <v>1718</v>
      </c>
      <c r="B699" s="255">
        <v>906</v>
      </c>
      <c r="C699" s="495" t="s">
        <v>264</v>
      </c>
      <c r="D699" s="495" t="s">
        <v>213</v>
      </c>
      <c r="E699" s="495" t="s">
        <v>1256</v>
      </c>
      <c r="F699" s="495"/>
      <c r="G699" s="44">
        <f t="shared" ref="G699:G701" si="52">G700</f>
        <v>0</v>
      </c>
      <c r="H699" s="501"/>
      <c r="I699" s="526"/>
      <c r="J699" s="501"/>
    </row>
    <row r="700" spans="1:11" ht="15.75" hidden="1" x14ac:dyDescent="0.25">
      <c r="A700" s="496"/>
      <c r="B700" s="37">
        <v>906</v>
      </c>
      <c r="C700" s="492" t="s">
        <v>264</v>
      </c>
      <c r="D700" s="492" t="s">
        <v>213</v>
      </c>
      <c r="E700" s="492"/>
      <c r="F700" s="492"/>
      <c r="G700" s="497">
        <f t="shared" si="52"/>
        <v>0</v>
      </c>
      <c r="H700" s="501"/>
      <c r="I700" s="526"/>
      <c r="J700" s="501"/>
      <c r="K700" s="204"/>
    </row>
    <row r="701" spans="1:11" ht="31.5" hidden="1" x14ac:dyDescent="0.25">
      <c r="A701" s="496" t="s">
        <v>272</v>
      </c>
      <c r="B701" s="37">
        <v>906</v>
      </c>
      <c r="C701" s="492" t="s">
        <v>264</v>
      </c>
      <c r="D701" s="492" t="s">
        <v>213</v>
      </c>
      <c r="E701" s="492"/>
      <c r="F701" s="492" t="s">
        <v>273</v>
      </c>
      <c r="G701" s="497">
        <f t="shared" si="52"/>
        <v>0</v>
      </c>
      <c r="H701" s="501"/>
      <c r="I701" s="526"/>
      <c r="J701" s="501"/>
      <c r="K701" s="204"/>
    </row>
    <row r="702" spans="1:11" ht="15.75" hidden="1" x14ac:dyDescent="0.25">
      <c r="A702" s="496" t="s">
        <v>274</v>
      </c>
      <c r="B702" s="37">
        <v>906</v>
      </c>
      <c r="C702" s="492" t="s">
        <v>264</v>
      </c>
      <c r="D702" s="492" t="s">
        <v>213</v>
      </c>
      <c r="E702" s="492"/>
      <c r="F702" s="492" t="s">
        <v>275</v>
      </c>
      <c r="G702" s="497"/>
      <c r="H702" s="501"/>
      <c r="I702" s="526"/>
      <c r="J702" s="501"/>
      <c r="K702" s="204"/>
    </row>
    <row r="703" spans="1:11" s="204" customFormat="1" ht="15.75" hidden="1" x14ac:dyDescent="0.25">
      <c r="A703" s="217" t="s">
        <v>1719</v>
      </c>
      <c r="B703" s="491">
        <v>906</v>
      </c>
      <c r="C703" s="495" t="s">
        <v>264</v>
      </c>
      <c r="D703" s="495" t="s">
        <v>213</v>
      </c>
      <c r="E703" s="495" t="s">
        <v>1259</v>
      </c>
      <c r="F703" s="495"/>
      <c r="G703" s="493">
        <f t="shared" ref="G703:G705" si="53">G704</f>
        <v>0</v>
      </c>
      <c r="H703" s="501"/>
      <c r="I703" s="526"/>
      <c r="J703" s="501"/>
    </row>
    <row r="704" spans="1:11" s="204" customFormat="1" ht="15.75" hidden="1" x14ac:dyDescent="0.25">
      <c r="A704" s="182"/>
      <c r="B704" s="490">
        <v>906</v>
      </c>
      <c r="C704" s="492" t="s">
        <v>264</v>
      </c>
      <c r="D704" s="492" t="s">
        <v>213</v>
      </c>
      <c r="E704" s="492"/>
      <c r="F704" s="492"/>
      <c r="G704" s="497">
        <f t="shared" si="53"/>
        <v>0</v>
      </c>
      <c r="H704" s="501"/>
      <c r="I704" s="526"/>
      <c r="J704" s="501"/>
    </row>
    <row r="705" spans="1:10" s="204" customFormat="1" ht="31.5" hidden="1" x14ac:dyDescent="0.25">
      <c r="A705" s="31" t="s">
        <v>272</v>
      </c>
      <c r="B705" s="490">
        <v>906</v>
      </c>
      <c r="C705" s="492" t="s">
        <v>264</v>
      </c>
      <c r="D705" s="492" t="s">
        <v>213</v>
      </c>
      <c r="E705" s="492"/>
      <c r="F705" s="492" t="s">
        <v>273</v>
      </c>
      <c r="G705" s="497">
        <f t="shared" si="53"/>
        <v>0</v>
      </c>
      <c r="H705" s="501"/>
      <c r="I705" s="526"/>
      <c r="J705" s="501"/>
    </row>
    <row r="706" spans="1:10" s="204" customFormat="1" ht="15.75" hidden="1" x14ac:dyDescent="0.25">
      <c r="A706" s="31" t="s">
        <v>274</v>
      </c>
      <c r="B706" s="490">
        <v>906</v>
      </c>
      <c r="C706" s="492" t="s">
        <v>264</v>
      </c>
      <c r="D706" s="492" t="s">
        <v>213</v>
      </c>
      <c r="E706" s="492"/>
      <c r="F706" s="492" t="s">
        <v>275</v>
      </c>
      <c r="G706" s="497"/>
      <c r="H706" s="501"/>
      <c r="I706" s="526"/>
      <c r="J706" s="501"/>
    </row>
    <row r="707" spans="1:10" s="204" customFormat="1" ht="31.5" x14ac:dyDescent="0.25">
      <c r="A707" s="304" t="s">
        <v>1405</v>
      </c>
      <c r="B707" s="491">
        <v>906</v>
      </c>
      <c r="C707" s="495" t="s">
        <v>264</v>
      </c>
      <c r="D707" s="495" t="s">
        <v>213</v>
      </c>
      <c r="E707" s="495" t="s">
        <v>1404</v>
      </c>
      <c r="F707" s="495"/>
      <c r="G707" s="493">
        <f t="shared" ref="G707:G709" si="54">G708</f>
        <v>5713.5999999999995</v>
      </c>
      <c r="H707" s="501"/>
      <c r="I707" s="526"/>
      <c r="J707" s="501"/>
    </row>
    <row r="708" spans="1:10" s="204" customFormat="1" ht="51" customHeight="1" x14ac:dyDescent="0.25">
      <c r="A708" s="303" t="s">
        <v>1391</v>
      </c>
      <c r="B708" s="490">
        <v>906</v>
      </c>
      <c r="C708" s="492" t="s">
        <v>264</v>
      </c>
      <c r="D708" s="492" t="s">
        <v>213</v>
      </c>
      <c r="E708" s="492" t="s">
        <v>1449</v>
      </c>
      <c r="F708" s="492"/>
      <c r="G708" s="497">
        <f t="shared" si="54"/>
        <v>5713.5999999999995</v>
      </c>
      <c r="H708" s="501"/>
      <c r="I708" s="526"/>
      <c r="J708" s="501"/>
    </row>
    <row r="709" spans="1:10" s="204" customFormat="1" ht="31.5" x14ac:dyDescent="0.25">
      <c r="A709" s="31" t="s">
        <v>272</v>
      </c>
      <c r="B709" s="490">
        <v>906</v>
      </c>
      <c r="C709" s="492" t="s">
        <v>264</v>
      </c>
      <c r="D709" s="492" t="s">
        <v>213</v>
      </c>
      <c r="E709" s="492" t="s">
        <v>1449</v>
      </c>
      <c r="F709" s="492" t="s">
        <v>273</v>
      </c>
      <c r="G709" s="497">
        <f t="shared" si="54"/>
        <v>5713.5999999999995</v>
      </c>
      <c r="H709" s="501"/>
      <c r="I709" s="526"/>
      <c r="J709" s="501"/>
    </row>
    <row r="710" spans="1:10" s="204" customFormat="1" ht="15.75" x14ac:dyDescent="0.25">
      <c r="A710" s="31" t="s">
        <v>274</v>
      </c>
      <c r="B710" s="490">
        <v>906</v>
      </c>
      <c r="C710" s="492" t="s">
        <v>264</v>
      </c>
      <c r="D710" s="492" t="s">
        <v>213</v>
      </c>
      <c r="E710" s="492" t="s">
        <v>1449</v>
      </c>
      <c r="F710" s="492" t="s">
        <v>275</v>
      </c>
      <c r="G710" s="159">
        <f>5193.7+519.9</f>
        <v>5713.5999999999995</v>
      </c>
      <c r="H710" s="501"/>
      <c r="I710" s="526"/>
      <c r="J710" s="501"/>
    </row>
    <row r="711" spans="1:10" s="204" customFormat="1" ht="31.5" hidden="1" x14ac:dyDescent="0.25">
      <c r="A711" s="304" t="s">
        <v>1428</v>
      </c>
      <c r="B711" s="491">
        <v>906</v>
      </c>
      <c r="C711" s="495" t="s">
        <v>264</v>
      </c>
      <c r="D711" s="495" t="s">
        <v>213</v>
      </c>
      <c r="E711" s="495" t="s">
        <v>1414</v>
      </c>
      <c r="F711" s="495"/>
      <c r="G711" s="493">
        <f t="shared" ref="G711:G713" si="55">G712</f>
        <v>0</v>
      </c>
      <c r="H711" s="501"/>
      <c r="I711" s="526"/>
      <c r="J711" s="501"/>
    </row>
    <row r="712" spans="1:10" s="204" customFormat="1" ht="15.75" hidden="1" x14ac:dyDescent="0.25">
      <c r="A712" s="303" t="s">
        <v>1415</v>
      </c>
      <c r="B712" s="490">
        <v>906</v>
      </c>
      <c r="C712" s="492" t="s">
        <v>264</v>
      </c>
      <c r="D712" s="492" t="s">
        <v>213</v>
      </c>
      <c r="E712" s="492" t="s">
        <v>1417</v>
      </c>
      <c r="F712" s="492"/>
      <c r="G712" s="497">
        <f t="shared" si="55"/>
        <v>0</v>
      </c>
      <c r="H712" s="501"/>
      <c r="I712" s="526"/>
      <c r="J712" s="501"/>
    </row>
    <row r="713" spans="1:10" s="204" customFormat="1" ht="31.5" hidden="1" x14ac:dyDescent="0.25">
      <c r="A713" s="31" t="s">
        <v>272</v>
      </c>
      <c r="B713" s="490">
        <v>906</v>
      </c>
      <c r="C713" s="492" t="s">
        <v>264</v>
      </c>
      <c r="D713" s="492" t="s">
        <v>213</v>
      </c>
      <c r="E713" s="492" t="s">
        <v>1417</v>
      </c>
      <c r="F713" s="492" t="s">
        <v>273</v>
      </c>
      <c r="G713" s="497">
        <f t="shared" si="55"/>
        <v>0</v>
      </c>
      <c r="H713" s="501"/>
      <c r="I713" s="526"/>
      <c r="J713" s="501"/>
    </row>
    <row r="714" spans="1:10" s="204" customFormat="1" ht="15.75" hidden="1" x14ac:dyDescent="0.25">
      <c r="A714" s="31" t="s">
        <v>274</v>
      </c>
      <c r="B714" s="490">
        <v>906</v>
      </c>
      <c r="C714" s="492" t="s">
        <v>264</v>
      </c>
      <c r="D714" s="492" t="s">
        <v>213</v>
      </c>
      <c r="E714" s="492" t="s">
        <v>1417</v>
      </c>
      <c r="F714" s="492" t="s">
        <v>275</v>
      </c>
      <c r="G714" s="497"/>
      <c r="H714" s="501"/>
      <c r="I714" s="526"/>
      <c r="J714" s="501"/>
    </row>
    <row r="715" spans="1:10" s="204" customFormat="1" ht="31.5" hidden="1" x14ac:dyDescent="0.25">
      <c r="A715" s="304" t="s">
        <v>1619</v>
      </c>
      <c r="B715" s="491">
        <v>906</v>
      </c>
      <c r="C715" s="495" t="s">
        <v>264</v>
      </c>
      <c r="D715" s="495" t="s">
        <v>213</v>
      </c>
      <c r="E715" s="495" t="s">
        <v>1620</v>
      </c>
      <c r="F715" s="495"/>
      <c r="G715" s="493">
        <f t="shared" ref="G715:G717" si="56">G716</f>
        <v>0</v>
      </c>
      <c r="H715" s="501"/>
      <c r="I715" s="526"/>
      <c r="J715" s="501"/>
    </row>
    <row r="716" spans="1:10" s="206" customFormat="1" ht="31.5" hidden="1" x14ac:dyDescent="0.25">
      <c r="A716" s="303" t="s">
        <v>450</v>
      </c>
      <c r="B716" s="490">
        <v>906</v>
      </c>
      <c r="C716" s="492" t="s">
        <v>264</v>
      </c>
      <c r="D716" s="492" t="s">
        <v>213</v>
      </c>
      <c r="E716" s="492" t="s">
        <v>1621</v>
      </c>
      <c r="F716" s="492"/>
      <c r="G716" s="497">
        <f t="shared" si="56"/>
        <v>0</v>
      </c>
      <c r="H716" s="127"/>
      <c r="I716" s="529"/>
      <c r="J716" s="127"/>
    </row>
    <row r="717" spans="1:10" s="204" customFormat="1" ht="31.5" hidden="1" x14ac:dyDescent="0.25">
      <c r="A717" s="31" t="s">
        <v>272</v>
      </c>
      <c r="B717" s="490">
        <v>906</v>
      </c>
      <c r="C717" s="492" t="s">
        <v>264</v>
      </c>
      <c r="D717" s="492" t="s">
        <v>213</v>
      </c>
      <c r="E717" s="492" t="s">
        <v>1621</v>
      </c>
      <c r="F717" s="492" t="s">
        <v>273</v>
      </c>
      <c r="G717" s="497">
        <f t="shared" si="56"/>
        <v>0</v>
      </c>
      <c r="H717" s="501"/>
      <c r="I717" s="526"/>
      <c r="J717" s="501"/>
    </row>
    <row r="718" spans="1:10" s="204" customFormat="1" ht="15.75" hidden="1" x14ac:dyDescent="0.25">
      <c r="A718" s="31" t="s">
        <v>274</v>
      </c>
      <c r="B718" s="490">
        <v>906</v>
      </c>
      <c r="C718" s="492" t="s">
        <v>264</v>
      </c>
      <c r="D718" s="492" t="s">
        <v>213</v>
      </c>
      <c r="E718" s="492" t="s">
        <v>1621</v>
      </c>
      <c r="F718" s="492" t="s">
        <v>275</v>
      </c>
      <c r="G718" s="497"/>
      <c r="H718" s="477"/>
      <c r="I718" s="531"/>
      <c r="J718" s="501"/>
    </row>
    <row r="719" spans="1:10" s="204" customFormat="1" ht="34.5" hidden="1" customHeight="1" x14ac:dyDescent="0.25">
      <c r="A719" s="304" t="s">
        <v>1631</v>
      </c>
      <c r="B719" s="491">
        <v>906</v>
      </c>
      <c r="C719" s="495" t="s">
        <v>264</v>
      </c>
      <c r="D719" s="495" t="s">
        <v>213</v>
      </c>
      <c r="E719" s="495" t="s">
        <v>1633</v>
      </c>
      <c r="F719" s="495"/>
      <c r="G719" s="493">
        <f t="shared" ref="G719:G721" si="57">G720</f>
        <v>0</v>
      </c>
      <c r="H719" s="478"/>
      <c r="I719" s="532"/>
      <c r="J719" s="501"/>
    </row>
    <row r="720" spans="1:10" s="204" customFormat="1" ht="31.5" hidden="1" x14ac:dyDescent="0.25">
      <c r="A720" s="303" t="s">
        <v>1632</v>
      </c>
      <c r="B720" s="490">
        <v>906</v>
      </c>
      <c r="C720" s="492" t="s">
        <v>264</v>
      </c>
      <c r="D720" s="492" t="s">
        <v>213</v>
      </c>
      <c r="E720" s="492" t="s">
        <v>1634</v>
      </c>
      <c r="F720" s="492"/>
      <c r="G720" s="497">
        <f t="shared" si="57"/>
        <v>0</v>
      </c>
      <c r="H720" s="486"/>
      <c r="I720" s="526"/>
      <c r="J720" s="501"/>
    </row>
    <row r="721" spans="1:13" s="204" customFormat="1" ht="31.5" hidden="1" x14ac:dyDescent="0.25">
      <c r="A721" s="31" t="s">
        <v>272</v>
      </c>
      <c r="B721" s="490">
        <v>906</v>
      </c>
      <c r="C721" s="492" t="s">
        <v>264</v>
      </c>
      <c r="D721" s="492" t="s">
        <v>213</v>
      </c>
      <c r="E721" s="492" t="s">
        <v>1634</v>
      </c>
      <c r="F721" s="492" t="s">
        <v>273</v>
      </c>
      <c r="G721" s="497">
        <f t="shared" si="57"/>
        <v>0</v>
      </c>
      <c r="H721" s="486"/>
      <c r="I721" s="533"/>
      <c r="J721" s="501"/>
    </row>
    <row r="722" spans="1:13" s="204" customFormat="1" ht="15.75" hidden="1" x14ac:dyDescent="0.25">
      <c r="A722" s="31" t="s">
        <v>274</v>
      </c>
      <c r="B722" s="490">
        <v>906</v>
      </c>
      <c r="C722" s="492" t="s">
        <v>264</v>
      </c>
      <c r="D722" s="492" t="s">
        <v>213</v>
      </c>
      <c r="E722" s="492" t="s">
        <v>1634</v>
      </c>
      <c r="F722" s="492" t="s">
        <v>275</v>
      </c>
      <c r="G722" s="497"/>
      <c r="H722" s="514"/>
      <c r="I722" s="526"/>
      <c r="J722" s="515"/>
      <c r="K722" s="515"/>
      <c r="L722" s="505"/>
      <c r="M722" s="506"/>
    </row>
    <row r="723" spans="1:13" s="204" customFormat="1" ht="36" hidden="1" customHeight="1" x14ac:dyDescent="0.25">
      <c r="A723" s="217" t="s">
        <v>1172</v>
      </c>
      <c r="B723" s="491">
        <v>906</v>
      </c>
      <c r="C723" s="495" t="s">
        <v>264</v>
      </c>
      <c r="D723" s="495" t="s">
        <v>213</v>
      </c>
      <c r="E723" s="495" t="s">
        <v>1320</v>
      </c>
      <c r="F723" s="495"/>
      <c r="G723" s="493">
        <f t="shared" ref="G723:G725" si="58">G724</f>
        <v>0</v>
      </c>
      <c r="H723" s="485"/>
      <c r="I723" s="533"/>
      <c r="J723" s="483"/>
      <c r="K723" s="483"/>
      <c r="L723" s="483"/>
      <c r="M723" s="484"/>
    </row>
    <row r="724" spans="1:13" s="204" customFormat="1" ht="63" hidden="1" x14ac:dyDescent="0.25">
      <c r="A724" s="182" t="s">
        <v>1522</v>
      </c>
      <c r="B724" s="490">
        <v>906</v>
      </c>
      <c r="C724" s="492" t="s">
        <v>264</v>
      </c>
      <c r="D724" s="492" t="s">
        <v>213</v>
      </c>
      <c r="E724" s="492" t="s">
        <v>1321</v>
      </c>
      <c r="F724" s="492"/>
      <c r="G724" s="497">
        <f t="shared" si="58"/>
        <v>0</v>
      </c>
      <c r="H724" s="501"/>
      <c r="I724" s="526"/>
      <c r="J724" s="475"/>
    </row>
    <row r="725" spans="1:13" s="204" customFormat="1" ht="31.5" hidden="1" x14ac:dyDescent="0.25">
      <c r="A725" s="31" t="s">
        <v>272</v>
      </c>
      <c r="B725" s="490">
        <v>906</v>
      </c>
      <c r="C725" s="492" t="s">
        <v>264</v>
      </c>
      <c r="D725" s="492" t="s">
        <v>213</v>
      </c>
      <c r="E725" s="492" t="s">
        <v>1321</v>
      </c>
      <c r="F725" s="492" t="s">
        <v>273</v>
      </c>
      <c r="G725" s="497">
        <f t="shared" si="58"/>
        <v>0</v>
      </c>
      <c r="H725" s="501"/>
      <c r="I725" s="526"/>
      <c r="J725" s="501"/>
    </row>
    <row r="726" spans="1:13" s="204" customFormat="1" ht="15.75" hidden="1" x14ac:dyDescent="0.25">
      <c r="A726" s="31" t="s">
        <v>274</v>
      </c>
      <c r="B726" s="490">
        <v>906</v>
      </c>
      <c r="C726" s="492" t="s">
        <v>264</v>
      </c>
      <c r="D726" s="492" t="s">
        <v>213</v>
      </c>
      <c r="E726" s="492" t="s">
        <v>1321</v>
      </c>
      <c r="F726" s="492" t="s">
        <v>275</v>
      </c>
      <c r="G726" s="497"/>
      <c r="H726" s="501"/>
      <c r="I726" s="526"/>
      <c r="J726" s="501"/>
    </row>
    <row r="727" spans="1:13" s="204" customFormat="1" ht="31.5" hidden="1" x14ac:dyDescent="0.25">
      <c r="A727" s="34" t="s">
        <v>1463</v>
      </c>
      <c r="B727" s="491">
        <v>906</v>
      </c>
      <c r="C727" s="495" t="s">
        <v>264</v>
      </c>
      <c r="D727" s="495" t="s">
        <v>213</v>
      </c>
      <c r="E727" s="495" t="s">
        <v>1464</v>
      </c>
      <c r="F727" s="492"/>
      <c r="G727" s="493">
        <f t="shared" ref="G727:G729" si="59">G728</f>
        <v>0</v>
      </c>
      <c r="H727" s="501"/>
      <c r="I727" s="526"/>
      <c r="J727" s="501"/>
    </row>
    <row r="728" spans="1:13" s="204" customFormat="1" ht="56.25" hidden="1" customHeight="1" x14ac:dyDescent="0.25">
      <c r="A728" s="31" t="s">
        <v>1523</v>
      </c>
      <c r="B728" s="490">
        <v>906</v>
      </c>
      <c r="C728" s="492" t="s">
        <v>264</v>
      </c>
      <c r="D728" s="492" t="s">
        <v>213</v>
      </c>
      <c r="E728" s="492" t="s">
        <v>1465</v>
      </c>
      <c r="F728" s="492"/>
      <c r="G728" s="497">
        <f t="shared" si="59"/>
        <v>0</v>
      </c>
      <c r="H728" s="501"/>
      <c r="I728" s="526"/>
      <c r="J728" s="501"/>
      <c r="L728" s="407"/>
    </row>
    <row r="729" spans="1:13" s="204" customFormat="1" ht="31.5" hidden="1" x14ac:dyDescent="0.25">
      <c r="A729" s="31" t="s">
        <v>272</v>
      </c>
      <c r="B729" s="490">
        <v>906</v>
      </c>
      <c r="C729" s="492" t="s">
        <v>264</v>
      </c>
      <c r="D729" s="492" t="s">
        <v>213</v>
      </c>
      <c r="E729" s="492" t="s">
        <v>1465</v>
      </c>
      <c r="F729" s="492" t="s">
        <v>273</v>
      </c>
      <c r="G729" s="497">
        <f t="shared" si="59"/>
        <v>0</v>
      </c>
      <c r="H729" s="501"/>
      <c r="I729" s="526"/>
      <c r="J729" s="501"/>
    </row>
    <row r="730" spans="1:13" s="204" customFormat="1" ht="15.75" hidden="1" x14ac:dyDescent="0.25">
      <c r="A730" s="31" t="s">
        <v>274</v>
      </c>
      <c r="B730" s="490">
        <v>906</v>
      </c>
      <c r="C730" s="492" t="s">
        <v>264</v>
      </c>
      <c r="D730" s="492" t="s">
        <v>213</v>
      </c>
      <c r="E730" s="492" t="s">
        <v>1465</v>
      </c>
      <c r="F730" s="492" t="s">
        <v>275</v>
      </c>
      <c r="G730" s="497"/>
      <c r="H730" s="501"/>
      <c r="I730" s="529"/>
      <c r="J730" s="127"/>
      <c r="K730" s="206"/>
    </row>
    <row r="731" spans="1:13" s="204" customFormat="1" ht="31.5" x14ac:dyDescent="0.25">
      <c r="A731" s="34" t="s">
        <v>1472</v>
      </c>
      <c r="B731" s="491">
        <v>906</v>
      </c>
      <c r="C731" s="495" t="s">
        <v>264</v>
      </c>
      <c r="D731" s="495" t="s">
        <v>213</v>
      </c>
      <c r="E731" s="495" t="s">
        <v>1470</v>
      </c>
      <c r="F731" s="495"/>
      <c r="G731" s="497">
        <f>G732</f>
        <v>1845.8</v>
      </c>
      <c r="H731" s="501"/>
      <c r="I731" s="529"/>
      <c r="J731" s="127"/>
      <c r="K731" s="206"/>
    </row>
    <row r="732" spans="1:13" s="204" customFormat="1" ht="47.25" x14ac:dyDescent="0.25">
      <c r="A732" s="31" t="s">
        <v>1729</v>
      </c>
      <c r="B732" s="490">
        <v>906</v>
      </c>
      <c r="C732" s="492" t="s">
        <v>264</v>
      </c>
      <c r="D732" s="492" t="s">
        <v>213</v>
      </c>
      <c r="E732" s="492" t="s">
        <v>1471</v>
      </c>
      <c r="F732" s="492"/>
      <c r="G732" s="497">
        <f>G733</f>
        <v>1845.8</v>
      </c>
      <c r="H732" s="501"/>
      <c r="I732" s="529"/>
      <c r="J732" s="127"/>
      <c r="K732" s="206"/>
    </row>
    <row r="733" spans="1:13" s="204" customFormat="1" ht="31.5" x14ac:dyDescent="0.25">
      <c r="A733" s="31" t="s">
        <v>272</v>
      </c>
      <c r="B733" s="490">
        <v>906</v>
      </c>
      <c r="C733" s="492" t="s">
        <v>264</v>
      </c>
      <c r="D733" s="492" t="s">
        <v>213</v>
      </c>
      <c r="E733" s="492" t="s">
        <v>1471</v>
      </c>
      <c r="F733" s="492" t="s">
        <v>273</v>
      </c>
      <c r="G733" s="497">
        <f>G734</f>
        <v>1845.8</v>
      </c>
      <c r="H733" s="501"/>
      <c r="I733" s="529"/>
      <c r="J733" s="127"/>
      <c r="K733" s="206"/>
    </row>
    <row r="734" spans="1:13" s="204" customFormat="1" ht="15.75" x14ac:dyDescent="0.25">
      <c r="A734" s="31" t="s">
        <v>274</v>
      </c>
      <c r="B734" s="490">
        <v>906</v>
      </c>
      <c r="C734" s="492" t="s">
        <v>264</v>
      </c>
      <c r="D734" s="492" t="s">
        <v>213</v>
      </c>
      <c r="E734" s="492" t="s">
        <v>1471</v>
      </c>
      <c r="F734" s="492" t="s">
        <v>275</v>
      </c>
      <c r="G734" s="497">
        <f>1677.8+168</f>
        <v>1845.8</v>
      </c>
      <c r="H734" s="501"/>
      <c r="I734" s="529"/>
      <c r="J734" s="127"/>
      <c r="K734" s="206"/>
    </row>
    <row r="735" spans="1:13" ht="47.25" x14ac:dyDescent="0.25">
      <c r="A735" s="34" t="s">
        <v>1357</v>
      </c>
      <c r="B735" s="491">
        <v>906</v>
      </c>
      <c r="C735" s="495" t="s">
        <v>264</v>
      </c>
      <c r="D735" s="495" t="s">
        <v>213</v>
      </c>
      <c r="E735" s="495" t="s">
        <v>324</v>
      </c>
      <c r="F735" s="495"/>
      <c r="G735" s="493">
        <f>G736</f>
        <v>60</v>
      </c>
      <c r="H735" s="501"/>
      <c r="I735" s="526"/>
      <c r="J735" s="501"/>
      <c r="K735" s="204"/>
    </row>
    <row r="736" spans="1:13" s="204" customFormat="1" ht="47.25" x14ac:dyDescent="0.25">
      <c r="A736" s="34" t="s">
        <v>1024</v>
      </c>
      <c r="B736" s="491">
        <v>906</v>
      </c>
      <c r="C736" s="495" t="s">
        <v>264</v>
      </c>
      <c r="D736" s="495" t="s">
        <v>213</v>
      </c>
      <c r="E736" s="495" t="s">
        <v>934</v>
      </c>
      <c r="F736" s="495"/>
      <c r="G736" s="493">
        <f t="shared" ref="G736:G738" si="60">G737</f>
        <v>60</v>
      </c>
      <c r="H736" s="501"/>
      <c r="I736" s="526"/>
      <c r="J736" s="501"/>
    </row>
    <row r="737" spans="1:11" ht="47.25" x14ac:dyDescent="0.25">
      <c r="A737" s="31" t="s">
        <v>1081</v>
      </c>
      <c r="B737" s="490">
        <v>906</v>
      </c>
      <c r="C737" s="492" t="s">
        <v>264</v>
      </c>
      <c r="D737" s="492" t="s">
        <v>213</v>
      </c>
      <c r="E737" s="492" t="s">
        <v>935</v>
      </c>
      <c r="F737" s="492"/>
      <c r="G737" s="497">
        <f t="shared" si="60"/>
        <v>60</v>
      </c>
      <c r="H737" s="501"/>
      <c r="I737" s="526"/>
      <c r="J737" s="501"/>
      <c r="K737" s="204"/>
    </row>
    <row r="738" spans="1:11" ht="31.5" x14ac:dyDescent="0.25">
      <c r="A738" s="31" t="s">
        <v>272</v>
      </c>
      <c r="B738" s="490">
        <v>906</v>
      </c>
      <c r="C738" s="492" t="s">
        <v>264</v>
      </c>
      <c r="D738" s="492" t="s">
        <v>213</v>
      </c>
      <c r="E738" s="492" t="s">
        <v>935</v>
      </c>
      <c r="F738" s="492" t="s">
        <v>273</v>
      </c>
      <c r="G738" s="497">
        <f t="shared" si="60"/>
        <v>60</v>
      </c>
      <c r="H738" s="501"/>
      <c r="I738" s="526"/>
      <c r="J738" s="501"/>
      <c r="K738" s="204"/>
    </row>
    <row r="739" spans="1:11" ht="15.75" x14ac:dyDescent="0.25">
      <c r="A739" s="31" t="s">
        <v>274</v>
      </c>
      <c r="B739" s="490">
        <v>906</v>
      </c>
      <c r="C739" s="492" t="s">
        <v>264</v>
      </c>
      <c r="D739" s="492" t="s">
        <v>213</v>
      </c>
      <c r="E739" s="492" t="s">
        <v>935</v>
      </c>
      <c r="F739" s="492" t="s">
        <v>275</v>
      </c>
      <c r="G739" s="497">
        <v>60</v>
      </c>
      <c r="H739" s="501"/>
      <c r="I739" s="526"/>
      <c r="J739" s="501"/>
      <c r="K739" s="204"/>
    </row>
    <row r="740" spans="1:11" ht="47.25" x14ac:dyDescent="0.25">
      <c r="A740" s="572" t="s">
        <v>1341</v>
      </c>
      <c r="B740" s="491">
        <v>906</v>
      </c>
      <c r="C740" s="495" t="s">
        <v>264</v>
      </c>
      <c r="D740" s="495" t="s">
        <v>213</v>
      </c>
      <c r="E740" s="495" t="s">
        <v>705</v>
      </c>
      <c r="F740" s="504"/>
      <c r="G740" s="493">
        <f t="shared" ref="G740:G743" si="61">G741</f>
        <v>870.84</v>
      </c>
      <c r="H740" s="501"/>
      <c r="I740" s="526"/>
      <c r="J740" s="501"/>
      <c r="K740" s="204"/>
    </row>
    <row r="741" spans="1:11" s="204" customFormat="1" ht="47.25" x14ac:dyDescent="0.25">
      <c r="A741" s="572" t="s">
        <v>890</v>
      </c>
      <c r="B741" s="491">
        <v>906</v>
      </c>
      <c r="C741" s="495" t="s">
        <v>264</v>
      </c>
      <c r="D741" s="495" t="s">
        <v>213</v>
      </c>
      <c r="E741" s="495" t="s">
        <v>888</v>
      </c>
      <c r="F741" s="504"/>
      <c r="G741" s="493">
        <f t="shared" si="61"/>
        <v>870.84</v>
      </c>
      <c r="H741" s="501"/>
      <c r="I741" s="526"/>
      <c r="J741" s="501"/>
    </row>
    <row r="742" spans="1:11" ht="35.450000000000003" customHeight="1" x14ac:dyDescent="0.25">
      <c r="A742" s="98" t="s">
        <v>780</v>
      </c>
      <c r="B742" s="490">
        <v>906</v>
      </c>
      <c r="C742" s="492" t="s">
        <v>264</v>
      </c>
      <c r="D742" s="492" t="s">
        <v>213</v>
      </c>
      <c r="E742" s="492" t="s">
        <v>936</v>
      </c>
      <c r="F742" s="498"/>
      <c r="G742" s="497">
        <f t="shared" si="61"/>
        <v>870.84</v>
      </c>
      <c r="H742" s="501"/>
      <c r="I742" s="526"/>
      <c r="J742" s="501"/>
      <c r="K742" s="204"/>
    </row>
    <row r="743" spans="1:11" ht="39.75" customHeight="1" x14ac:dyDescent="0.25">
      <c r="A743" s="29" t="s">
        <v>272</v>
      </c>
      <c r="B743" s="490">
        <v>906</v>
      </c>
      <c r="C743" s="492" t="s">
        <v>264</v>
      </c>
      <c r="D743" s="492" t="s">
        <v>213</v>
      </c>
      <c r="E743" s="492" t="s">
        <v>936</v>
      </c>
      <c r="F743" s="498" t="s">
        <v>273</v>
      </c>
      <c r="G743" s="497">
        <f t="shared" si="61"/>
        <v>870.84</v>
      </c>
      <c r="H743" s="501"/>
      <c r="I743" s="526"/>
      <c r="J743" s="501"/>
      <c r="K743" s="204"/>
    </row>
    <row r="744" spans="1:11" ht="15.75" x14ac:dyDescent="0.25">
      <c r="A744" s="182" t="s">
        <v>274</v>
      </c>
      <c r="B744" s="490">
        <v>906</v>
      </c>
      <c r="C744" s="492" t="s">
        <v>264</v>
      </c>
      <c r="D744" s="492" t="s">
        <v>213</v>
      </c>
      <c r="E744" s="492" t="s">
        <v>936</v>
      </c>
      <c r="F744" s="498" t="s">
        <v>275</v>
      </c>
      <c r="G744" s="497">
        <v>870.84</v>
      </c>
      <c r="H744" s="501"/>
      <c r="I744" s="526"/>
      <c r="J744" s="501"/>
      <c r="K744" s="204"/>
    </row>
    <row r="745" spans="1:11" ht="15.75" x14ac:dyDescent="0.25">
      <c r="A745" s="494" t="s">
        <v>265</v>
      </c>
      <c r="B745" s="491">
        <v>906</v>
      </c>
      <c r="C745" s="495" t="s">
        <v>264</v>
      </c>
      <c r="D745" s="495" t="s">
        <v>215</v>
      </c>
      <c r="E745" s="495"/>
      <c r="F745" s="495"/>
      <c r="G745" s="44">
        <f>G746+G773</f>
        <v>41768.380000000005</v>
      </c>
      <c r="H745" s="501"/>
      <c r="I745" s="526"/>
      <c r="J745" s="501"/>
      <c r="K745" s="204"/>
    </row>
    <row r="746" spans="1:11" ht="36.75" customHeight="1" x14ac:dyDescent="0.25">
      <c r="A746" s="494" t="s">
        <v>1356</v>
      </c>
      <c r="B746" s="491">
        <v>906</v>
      </c>
      <c r="C746" s="495" t="s">
        <v>264</v>
      </c>
      <c r="D746" s="495" t="s">
        <v>215</v>
      </c>
      <c r="E746" s="495" t="s">
        <v>406</v>
      </c>
      <c r="F746" s="495"/>
      <c r="G746" s="44">
        <f>G747+G754+G765+G769</f>
        <v>41465.980000000003</v>
      </c>
      <c r="H746" s="501"/>
      <c r="I746" s="526"/>
      <c r="J746" s="501"/>
      <c r="K746" s="204"/>
    </row>
    <row r="747" spans="1:11" s="204" customFormat="1" ht="36.75" customHeight="1" x14ac:dyDescent="0.25">
      <c r="A747" s="494" t="s">
        <v>937</v>
      </c>
      <c r="B747" s="491">
        <v>906</v>
      </c>
      <c r="C747" s="495" t="s">
        <v>264</v>
      </c>
      <c r="D747" s="495" t="s">
        <v>215</v>
      </c>
      <c r="E747" s="495" t="s">
        <v>1230</v>
      </c>
      <c r="F747" s="495"/>
      <c r="G747" s="44">
        <f>G748+G751</f>
        <v>37018.080000000002</v>
      </c>
      <c r="H747" s="501"/>
      <c r="I747" s="526"/>
      <c r="J747" s="501"/>
    </row>
    <row r="748" spans="1:11" ht="31.5" x14ac:dyDescent="0.25">
      <c r="A748" s="579" t="s">
        <v>270</v>
      </c>
      <c r="B748" s="490">
        <v>906</v>
      </c>
      <c r="C748" s="492" t="s">
        <v>264</v>
      </c>
      <c r="D748" s="492" t="s">
        <v>215</v>
      </c>
      <c r="E748" s="492" t="s">
        <v>1260</v>
      </c>
      <c r="F748" s="492"/>
      <c r="G748" s="27">
        <f>G749</f>
        <v>37018.080000000002</v>
      </c>
      <c r="H748" s="501"/>
      <c r="I748" s="526"/>
      <c r="J748" s="501"/>
      <c r="K748" s="204"/>
    </row>
    <row r="749" spans="1:11" ht="36.75" customHeight="1" x14ac:dyDescent="0.25">
      <c r="A749" s="579" t="s">
        <v>272</v>
      </c>
      <c r="B749" s="490">
        <v>906</v>
      </c>
      <c r="C749" s="492" t="s">
        <v>264</v>
      </c>
      <c r="D749" s="492" t="s">
        <v>215</v>
      </c>
      <c r="E749" s="492" t="s">
        <v>1260</v>
      </c>
      <c r="F749" s="492" t="s">
        <v>273</v>
      </c>
      <c r="G749" s="27">
        <f>G750</f>
        <v>37018.080000000002</v>
      </c>
      <c r="H749" s="501"/>
      <c r="I749" s="526"/>
      <c r="J749" s="501"/>
      <c r="K749" s="204"/>
    </row>
    <row r="750" spans="1:11" ht="15.75" x14ac:dyDescent="0.25">
      <c r="A750" s="579" t="s">
        <v>274</v>
      </c>
      <c r="B750" s="490">
        <v>906</v>
      </c>
      <c r="C750" s="492" t="s">
        <v>264</v>
      </c>
      <c r="D750" s="492" t="s">
        <v>215</v>
      </c>
      <c r="E750" s="492" t="s">
        <v>1260</v>
      </c>
      <c r="F750" s="492" t="s">
        <v>275</v>
      </c>
      <c r="G750" s="27">
        <v>37018.080000000002</v>
      </c>
      <c r="H750" s="501"/>
      <c r="I750" s="526"/>
      <c r="J750" s="501"/>
      <c r="K750" s="204"/>
    </row>
    <row r="751" spans="1:11" s="204" customFormat="1" ht="31.5" hidden="1" x14ac:dyDescent="0.25">
      <c r="A751" s="31" t="s">
        <v>1505</v>
      </c>
      <c r="B751" s="490">
        <v>906</v>
      </c>
      <c r="C751" s="492" t="s">
        <v>264</v>
      </c>
      <c r="D751" s="492" t="s">
        <v>215</v>
      </c>
      <c r="E751" s="492" t="s">
        <v>1504</v>
      </c>
      <c r="F751" s="492"/>
      <c r="G751" s="27">
        <f>G752</f>
        <v>0</v>
      </c>
      <c r="H751" s="501"/>
      <c r="I751" s="526"/>
      <c r="J751" s="501"/>
    </row>
    <row r="752" spans="1:11" s="204" customFormat="1" ht="31.5" hidden="1" x14ac:dyDescent="0.25">
      <c r="A752" s="496" t="s">
        <v>272</v>
      </c>
      <c r="B752" s="490">
        <v>906</v>
      </c>
      <c r="C752" s="492" t="s">
        <v>264</v>
      </c>
      <c r="D752" s="492" t="s">
        <v>215</v>
      </c>
      <c r="E752" s="492" t="s">
        <v>1504</v>
      </c>
      <c r="F752" s="492" t="s">
        <v>273</v>
      </c>
      <c r="G752" s="27">
        <f>G753</f>
        <v>0</v>
      </c>
      <c r="H752" s="501"/>
      <c r="I752" s="526"/>
      <c r="J752" s="501"/>
    </row>
    <row r="753" spans="1:11" s="204" customFormat="1" ht="15.75" hidden="1" x14ac:dyDescent="0.25">
      <c r="A753" s="31" t="s">
        <v>274</v>
      </c>
      <c r="B753" s="490">
        <v>906</v>
      </c>
      <c r="C753" s="492" t="s">
        <v>264</v>
      </c>
      <c r="D753" s="492" t="s">
        <v>215</v>
      </c>
      <c r="E753" s="492" t="s">
        <v>1504</v>
      </c>
      <c r="F753" s="492" t="s">
        <v>275</v>
      </c>
      <c r="G753" s="27"/>
      <c r="H753" s="501"/>
      <c r="I753" s="526"/>
      <c r="J753" s="501"/>
    </row>
    <row r="754" spans="1:11" s="204" customFormat="1" ht="36" customHeight="1" x14ac:dyDescent="0.25">
      <c r="A754" s="494" t="s">
        <v>900</v>
      </c>
      <c r="B754" s="491">
        <v>906</v>
      </c>
      <c r="C754" s="495" t="s">
        <v>264</v>
      </c>
      <c r="D754" s="495" t="s">
        <v>215</v>
      </c>
      <c r="E754" s="495" t="s">
        <v>1232</v>
      </c>
      <c r="F754" s="495"/>
      <c r="G754" s="44">
        <f>G755+G758</f>
        <v>2243</v>
      </c>
      <c r="H754" s="501"/>
      <c r="I754" s="526"/>
      <c r="J754" s="501"/>
    </row>
    <row r="755" spans="1:11" s="204" customFormat="1" ht="91.15" customHeight="1" x14ac:dyDescent="0.25">
      <c r="A755" s="31" t="s">
        <v>293</v>
      </c>
      <c r="B755" s="490">
        <v>906</v>
      </c>
      <c r="C755" s="492" t="s">
        <v>264</v>
      </c>
      <c r="D755" s="492" t="s">
        <v>215</v>
      </c>
      <c r="E755" s="492" t="s">
        <v>1390</v>
      </c>
      <c r="F755" s="492"/>
      <c r="G755" s="27">
        <f>G756</f>
        <v>1400</v>
      </c>
      <c r="H755" s="501"/>
      <c r="I755" s="526"/>
      <c r="J755" s="501"/>
    </row>
    <row r="756" spans="1:11" s="204" customFormat="1" ht="36" customHeight="1" x14ac:dyDescent="0.25">
      <c r="A756" s="579" t="s">
        <v>272</v>
      </c>
      <c r="B756" s="490">
        <v>906</v>
      </c>
      <c r="C756" s="492" t="s">
        <v>264</v>
      </c>
      <c r="D756" s="492" t="s">
        <v>215</v>
      </c>
      <c r="E756" s="492" t="s">
        <v>1390</v>
      </c>
      <c r="F756" s="492" t="s">
        <v>273</v>
      </c>
      <c r="G756" s="27">
        <f>G757</f>
        <v>1400</v>
      </c>
      <c r="H756" s="501"/>
      <c r="I756" s="526"/>
      <c r="J756" s="501"/>
    </row>
    <row r="757" spans="1:11" s="204" customFormat="1" ht="23.1" customHeight="1" x14ac:dyDescent="0.25">
      <c r="A757" s="579" t="s">
        <v>274</v>
      </c>
      <c r="B757" s="490">
        <v>906</v>
      </c>
      <c r="C757" s="492" t="s">
        <v>264</v>
      </c>
      <c r="D757" s="492" t="s">
        <v>215</v>
      </c>
      <c r="E757" s="492" t="s">
        <v>1390</v>
      </c>
      <c r="F757" s="492" t="s">
        <v>275</v>
      </c>
      <c r="G757" s="27">
        <v>1400</v>
      </c>
      <c r="H757" s="501"/>
      <c r="I757" s="526"/>
      <c r="J757" s="501"/>
    </row>
    <row r="758" spans="1:11" s="204" customFormat="1" ht="31.5" x14ac:dyDescent="0.25">
      <c r="A758" s="579" t="s">
        <v>1766</v>
      </c>
      <c r="B758" s="490">
        <v>906</v>
      </c>
      <c r="C758" s="492" t="s">
        <v>264</v>
      </c>
      <c r="D758" s="492" t="s">
        <v>215</v>
      </c>
      <c r="E758" s="492" t="s">
        <v>1767</v>
      </c>
      <c r="F758" s="492"/>
      <c r="G758" s="27">
        <f>G759</f>
        <v>843</v>
      </c>
      <c r="H758" s="501"/>
      <c r="I758" s="526"/>
      <c r="J758" s="501"/>
    </row>
    <row r="759" spans="1:11" s="204" customFormat="1" ht="31.5" x14ac:dyDescent="0.25">
      <c r="A759" s="579" t="s">
        <v>272</v>
      </c>
      <c r="B759" s="490">
        <v>906</v>
      </c>
      <c r="C759" s="492" t="s">
        <v>264</v>
      </c>
      <c r="D759" s="492" t="s">
        <v>215</v>
      </c>
      <c r="E759" s="580" t="s">
        <v>1767</v>
      </c>
      <c r="F759" s="492" t="s">
        <v>273</v>
      </c>
      <c r="G759" s="27">
        <f>G760</f>
        <v>843</v>
      </c>
      <c r="H759" s="501"/>
      <c r="I759" s="526"/>
      <c r="J759" s="501"/>
    </row>
    <row r="760" spans="1:11" s="204" customFormat="1" ht="15.75" x14ac:dyDescent="0.25">
      <c r="A760" s="579" t="s">
        <v>274</v>
      </c>
      <c r="B760" s="490">
        <v>906</v>
      </c>
      <c r="C760" s="492" t="s">
        <v>264</v>
      </c>
      <c r="D760" s="492" t="s">
        <v>215</v>
      </c>
      <c r="E760" s="580" t="s">
        <v>1767</v>
      </c>
      <c r="F760" s="492" t="s">
        <v>275</v>
      </c>
      <c r="G760" s="27">
        <v>843</v>
      </c>
      <c r="H760" s="501"/>
      <c r="I760" s="526"/>
      <c r="J760" s="501"/>
    </row>
    <row r="761" spans="1:11" s="204" customFormat="1" ht="30.75" hidden="1" customHeight="1" x14ac:dyDescent="0.25">
      <c r="A761" s="494" t="s">
        <v>1292</v>
      </c>
      <c r="B761" s="491">
        <v>906</v>
      </c>
      <c r="C761" s="495" t="s">
        <v>264</v>
      </c>
      <c r="D761" s="495" t="s">
        <v>215</v>
      </c>
      <c r="E761" s="495" t="s">
        <v>1237</v>
      </c>
      <c r="F761" s="495"/>
      <c r="G761" s="44">
        <f t="shared" ref="G761:G763" si="62">G762</f>
        <v>0</v>
      </c>
      <c r="H761" s="501"/>
      <c r="I761" s="526"/>
      <c r="J761" s="501"/>
    </row>
    <row r="762" spans="1:11" ht="31.5" hidden="1" x14ac:dyDescent="0.25">
      <c r="A762" s="45" t="s">
        <v>766</v>
      </c>
      <c r="B762" s="490">
        <v>906</v>
      </c>
      <c r="C762" s="492" t="s">
        <v>264</v>
      </c>
      <c r="D762" s="492" t="s">
        <v>215</v>
      </c>
      <c r="E762" s="492" t="s">
        <v>1329</v>
      </c>
      <c r="F762" s="492"/>
      <c r="G762" s="27">
        <f t="shared" si="62"/>
        <v>0</v>
      </c>
      <c r="H762" s="501"/>
      <c r="I762" s="526"/>
      <c r="J762" s="501"/>
      <c r="K762" s="204"/>
    </row>
    <row r="763" spans="1:11" ht="31.5" hidden="1" x14ac:dyDescent="0.25">
      <c r="A763" s="31" t="s">
        <v>272</v>
      </c>
      <c r="B763" s="490">
        <v>906</v>
      </c>
      <c r="C763" s="492" t="s">
        <v>264</v>
      </c>
      <c r="D763" s="492" t="s">
        <v>215</v>
      </c>
      <c r="E763" s="492" t="s">
        <v>1329</v>
      </c>
      <c r="F763" s="492" t="s">
        <v>273</v>
      </c>
      <c r="G763" s="27">
        <f t="shared" si="62"/>
        <v>0</v>
      </c>
      <c r="H763" s="501"/>
      <c r="I763" s="526"/>
      <c r="J763" s="501"/>
      <c r="K763" s="204"/>
    </row>
    <row r="764" spans="1:11" ht="15.75" hidden="1" x14ac:dyDescent="0.25">
      <c r="A764" s="31" t="s">
        <v>274</v>
      </c>
      <c r="B764" s="490">
        <v>906</v>
      </c>
      <c r="C764" s="492" t="s">
        <v>264</v>
      </c>
      <c r="D764" s="492" t="s">
        <v>215</v>
      </c>
      <c r="E764" s="492" t="s">
        <v>1329</v>
      </c>
      <c r="F764" s="492" t="s">
        <v>275</v>
      </c>
      <c r="G764" s="27">
        <v>0</v>
      </c>
      <c r="H764" s="501"/>
      <c r="I764" s="526"/>
      <c r="J764" s="501"/>
      <c r="K764" s="204"/>
    </row>
    <row r="765" spans="1:11" s="204" customFormat="1" ht="31.5" x14ac:dyDescent="0.25">
      <c r="A765" s="219" t="s">
        <v>948</v>
      </c>
      <c r="B765" s="491">
        <v>906</v>
      </c>
      <c r="C765" s="495" t="s">
        <v>264</v>
      </c>
      <c r="D765" s="495" t="s">
        <v>215</v>
      </c>
      <c r="E765" s="495" t="s">
        <v>1240</v>
      </c>
      <c r="F765" s="495"/>
      <c r="G765" s="44">
        <f t="shared" ref="G765:G767" si="63">G766</f>
        <v>1204</v>
      </c>
      <c r="H765" s="501"/>
      <c r="I765" s="526"/>
      <c r="J765" s="501"/>
    </row>
    <row r="766" spans="1:11" ht="37.5" customHeight="1" x14ac:dyDescent="0.25">
      <c r="A766" s="45" t="s">
        <v>764</v>
      </c>
      <c r="B766" s="490">
        <v>906</v>
      </c>
      <c r="C766" s="492" t="s">
        <v>264</v>
      </c>
      <c r="D766" s="492" t="s">
        <v>215</v>
      </c>
      <c r="E766" s="492" t="s">
        <v>1241</v>
      </c>
      <c r="F766" s="492"/>
      <c r="G766" s="27">
        <f t="shared" si="63"/>
        <v>1204</v>
      </c>
      <c r="H766" s="501"/>
      <c r="I766" s="526"/>
      <c r="J766" s="501"/>
      <c r="K766" s="204"/>
    </row>
    <row r="767" spans="1:11" ht="32.25" customHeight="1" x14ac:dyDescent="0.25">
      <c r="A767" s="579" t="s">
        <v>272</v>
      </c>
      <c r="B767" s="490">
        <v>906</v>
      </c>
      <c r="C767" s="492" t="s">
        <v>264</v>
      </c>
      <c r="D767" s="492" t="s">
        <v>215</v>
      </c>
      <c r="E767" s="492" t="s">
        <v>1241</v>
      </c>
      <c r="F767" s="492" t="s">
        <v>273</v>
      </c>
      <c r="G767" s="27">
        <f t="shared" si="63"/>
        <v>1204</v>
      </c>
      <c r="H767" s="501"/>
      <c r="I767" s="526"/>
      <c r="J767" s="501"/>
      <c r="K767" s="204"/>
    </row>
    <row r="768" spans="1:11" ht="15.75" x14ac:dyDescent="0.25">
      <c r="A768" s="31" t="s">
        <v>274</v>
      </c>
      <c r="B768" s="490">
        <v>906</v>
      </c>
      <c r="C768" s="492" t="s">
        <v>264</v>
      </c>
      <c r="D768" s="492" t="s">
        <v>215</v>
      </c>
      <c r="E768" s="492" t="s">
        <v>1241</v>
      </c>
      <c r="F768" s="492" t="s">
        <v>275</v>
      </c>
      <c r="G768" s="27">
        <v>1204</v>
      </c>
      <c r="H768" s="501"/>
      <c r="I768" s="526"/>
      <c r="J768" s="501"/>
      <c r="K768" s="204"/>
    </row>
    <row r="769" spans="1:11" s="204" customFormat="1" ht="47.25" x14ac:dyDescent="0.25">
      <c r="A769" s="34" t="s">
        <v>1700</v>
      </c>
      <c r="B769" s="491">
        <v>906</v>
      </c>
      <c r="C769" s="495" t="s">
        <v>264</v>
      </c>
      <c r="D769" s="495" t="s">
        <v>215</v>
      </c>
      <c r="E769" s="495" t="s">
        <v>1701</v>
      </c>
      <c r="F769" s="495"/>
      <c r="G769" s="44">
        <f t="shared" ref="G769:G771" si="64">G770</f>
        <v>1000.9</v>
      </c>
      <c r="H769" s="501"/>
      <c r="I769" s="526"/>
      <c r="J769" s="501"/>
    </row>
    <row r="770" spans="1:11" s="204" customFormat="1" ht="31.5" x14ac:dyDescent="0.25">
      <c r="A770" s="31" t="s">
        <v>1720</v>
      </c>
      <c r="B770" s="490">
        <v>906</v>
      </c>
      <c r="C770" s="492" t="s">
        <v>264</v>
      </c>
      <c r="D770" s="492" t="s">
        <v>215</v>
      </c>
      <c r="E770" s="492" t="s">
        <v>1721</v>
      </c>
      <c r="F770" s="492"/>
      <c r="G770" s="27">
        <f t="shared" si="64"/>
        <v>1000.9</v>
      </c>
      <c r="H770" s="501"/>
      <c r="I770" s="526"/>
      <c r="J770" s="501"/>
    </row>
    <row r="771" spans="1:11" s="204" customFormat="1" ht="31.15" customHeight="1" x14ac:dyDescent="0.25">
      <c r="A771" s="579" t="s">
        <v>272</v>
      </c>
      <c r="B771" s="490">
        <v>906</v>
      </c>
      <c r="C771" s="492" t="s">
        <v>264</v>
      </c>
      <c r="D771" s="492" t="s">
        <v>215</v>
      </c>
      <c r="E771" s="492" t="s">
        <v>1721</v>
      </c>
      <c r="F771" s="492" t="s">
        <v>273</v>
      </c>
      <c r="G771" s="27">
        <f t="shared" si="64"/>
        <v>1000.9</v>
      </c>
      <c r="H771" s="501"/>
      <c r="I771" s="526"/>
      <c r="J771" s="501"/>
    </row>
    <row r="772" spans="1:11" s="204" customFormat="1" ht="14.45" customHeight="1" x14ac:dyDescent="0.25">
      <c r="A772" s="188" t="s">
        <v>1702</v>
      </c>
      <c r="B772" s="490">
        <v>906</v>
      </c>
      <c r="C772" s="492" t="s">
        <v>264</v>
      </c>
      <c r="D772" s="492" t="s">
        <v>215</v>
      </c>
      <c r="E772" s="492" t="s">
        <v>1721</v>
      </c>
      <c r="F772" s="492" t="s">
        <v>1703</v>
      </c>
      <c r="G772" s="27">
        <f>200+800.9</f>
        <v>1000.9</v>
      </c>
      <c r="H772" s="501"/>
      <c r="I772" s="526"/>
      <c r="J772" s="501"/>
    </row>
    <row r="773" spans="1:11" ht="54.75" customHeight="1" x14ac:dyDescent="0.25">
      <c r="A773" s="572" t="s">
        <v>1341</v>
      </c>
      <c r="B773" s="491">
        <v>906</v>
      </c>
      <c r="C773" s="495" t="s">
        <v>264</v>
      </c>
      <c r="D773" s="495" t="s">
        <v>215</v>
      </c>
      <c r="E773" s="495" t="s">
        <v>705</v>
      </c>
      <c r="F773" s="504"/>
      <c r="G773" s="44">
        <f>G775</f>
        <v>302.39999999999998</v>
      </c>
      <c r="H773" s="501"/>
      <c r="I773" s="526"/>
      <c r="J773" s="501"/>
      <c r="K773" s="204"/>
    </row>
    <row r="774" spans="1:11" s="204" customFormat="1" ht="54.75" customHeight="1" x14ac:dyDescent="0.25">
      <c r="A774" s="572" t="s">
        <v>890</v>
      </c>
      <c r="B774" s="491">
        <v>906</v>
      </c>
      <c r="C774" s="495" t="s">
        <v>264</v>
      </c>
      <c r="D774" s="495" t="s">
        <v>942</v>
      </c>
      <c r="E774" s="495" t="s">
        <v>888</v>
      </c>
      <c r="F774" s="504"/>
      <c r="G774" s="44">
        <f t="shared" ref="G774:G776" si="65">G775</f>
        <v>302.39999999999998</v>
      </c>
      <c r="H774" s="501"/>
      <c r="I774" s="526"/>
      <c r="J774" s="501"/>
    </row>
    <row r="775" spans="1:11" ht="38.25" customHeight="1" x14ac:dyDescent="0.25">
      <c r="A775" s="98" t="s">
        <v>780</v>
      </c>
      <c r="B775" s="490">
        <v>906</v>
      </c>
      <c r="C775" s="492" t="s">
        <v>264</v>
      </c>
      <c r="D775" s="492" t="s">
        <v>215</v>
      </c>
      <c r="E775" s="492" t="s">
        <v>936</v>
      </c>
      <c r="F775" s="498"/>
      <c r="G775" s="27">
        <f t="shared" si="65"/>
        <v>302.39999999999998</v>
      </c>
      <c r="H775" s="501"/>
      <c r="I775" s="526"/>
      <c r="J775" s="501"/>
      <c r="K775" s="204"/>
    </row>
    <row r="776" spans="1:11" ht="34.5" customHeight="1" x14ac:dyDescent="0.25">
      <c r="A776" s="29" t="s">
        <v>272</v>
      </c>
      <c r="B776" s="490">
        <v>906</v>
      </c>
      <c r="C776" s="492" t="s">
        <v>264</v>
      </c>
      <c r="D776" s="492" t="s">
        <v>215</v>
      </c>
      <c r="E776" s="492" t="s">
        <v>936</v>
      </c>
      <c r="F776" s="498" t="s">
        <v>273</v>
      </c>
      <c r="G776" s="27">
        <f t="shared" si="65"/>
        <v>302.39999999999998</v>
      </c>
      <c r="H776" s="501"/>
      <c r="I776" s="526"/>
      <c r="J776" s="501"/>
      <c r="K776" s="204"/>
    </row>
    <row r="777" spans="1:11" ht="15.75" x14ac:dyDescent="0.25">
      <c r="A777" s="182" t="s">
        <v>274</v>
      </c>
      <c r="B777" s="490">
        <v>906</v>
      </c>
      <c r="C777" s="492" t="s">
        <v>264</v>
      </c>
      <c r="D777" s="492" t="s">
        <v>215</v>
      </c>
      <c r="E777" s="492" t="s">
        <v>936</v>
      </c>
      <c r="F777" s="498" t="s">
        <v>275</v>
      </c>
      <c r="G777" s="27">
        <v>302.39999999999998</v>
      </c>
      <c r="H777" s="501"/>
      <c r="I777" s="526"/>
      <c r="J777" s="501"/>
      <c r="K777" s="204"/>
    </row>
    <row r="778" spans="1:11" ht="21.2" customHeight="1" x14ac:dyDescent="0.25">
      <c r="A778" s="494" t="s">
        <v>466</v>
      </c>
      <c r="B778" s="491">
        <v>906</v>
      </c>
      <c r="C778" s="495" t="s">
        <v>264</v>
      </c>
      <c r="D778" s="495" t="s">
        <v>264</v>
      </c>
      <c r="E778" s="495"/>
      <c r="F778" s="495"/>
      <c r="G778" s="493">
        <f t="shared" ref="G778:G780" si="66">G779</f>
        <v>7513.9</v>
      </c>
      <c r="H778" s="501"/>
      <c r="I778" s="526"/>
      <c r="J778" s="501"/>
      <c r="K778" s="204"/>
    </row>
    <row r="779" spans="1:11" ht="31.5" x14ac:dyDescent="0.25">
      <c r="A779" s="494" t="s">
        <v>1358</v>
      </c>
      <c r="B779" s="491">
        <v>906</v>
      </c>
      <c r="C779" s="495" t="s">
        <v>264</v>
      </c>
      <c r="D779" s="495" t="s">
        <v>264</v>
      </c>
      <c r="E779" s="495" t="s">
        <v>406</v>
      </c>
      <c r="F779" s="495"/>
      <c r="G779" s="493">
        <f t="shared" si="66"/>
        <v>7513.9</v>
      </c>
      <c r="H779" s="501"/>
      <c r="I779" s="526"/>
      <c r="J779" s="501"/>
      <c r="K779" s="204"/>
    </row>
    <row r="780" spans="1:11" s="204" customFormat="1" ht="31.5" x14ac:dyDescent="0.25">
      <c r="A780" s="494" t="s">
        <v>943</v>
      </c>
      <c r="B780" s="491">
        <v>906</v>
      </c>
      <c r="C780" s="495" t="s">
        <v>264</v>
      </c>
      <c r="D780" s="495" t="s">
        <v>264</v>
      </c>
      <c r="E780" s="495" t="s">
        <v>1239</v>
      </c>
      <c r="F780" s="495"/>
      <c r="G780" s="493">
        <f t="shared" si="66"/>
        <v>7513.9</v>
      </c>
      <c r="H780" s="501"/>
      <c r="I780" s="526"/>
      <c r="J780" s="501"/>
    </row>
    <row r="781" spans="1:11" ht="31.5" x14ac:dyDescent="0.25">
      <c r="A781" s="31" t="s">
        <v>1059</v>
      </c>
      <c r="B781" s="490">
        <v>906</v>
      </c>
      <c r="C781" s="492" t="s">
        <v>264</v>
      </c>
      <c r="D781" s="492" t="s">
        <v>264</v>
      </c>
      <c r="E781" s="492" t="s">
        <v>1261</v>
      </c>
      <c r="F781" s="492"/>
      <c r="G781" s="497">
        <f t="shared" ref="G781:G782" si="67">G782</f>
        <v>7513.9</v>
      </c>
      <c r="H781" s="501"/>
      <c r="I781" s="526"/>
      <c r="J781" s="501"/>
      <c r="K781" s="204"/>
    </row>
    <row r="782" spans="1:11" ht="36" customHeight="1" x14ac:dyDescent="0.25">
      <c r="A782" s="579" t="s">
        <v>272</v>
      </c>
      <c r="B782" s="490">
        <v>906</v>
      </c>
      <c r="C782" s="492" t="s">
        <v>264</v>
      </c>
      <c r="D782" s="492" t="s">
        <v>264</v>
      </c>
      <c r="E782" s="492" t="s">
        <v>1261</v>
      </c>
      <c r="F782" s="492" t="s">
        <v>273</v>
      </c>
      <c r="G782" s="497">
        <f t="shared" si="67"/>
        <v>7513.9</v>
      </c>
      <c r="H782" s="162"/>
      <c r="I782" s="538"/>
      <c r="J782" s="501"/>
      <c r="K782" s="204"/>
    </row>
    <row r="783" spans="1:11" ht="15.75" x14ac:dyDescent="0.25">
      <c r="A783" s="579" t="s">
        <v>274</v>
      </c>
      <c r="B783" s="490">
        <v>906</v>
      </c>
      <c r="C783" s="492" t="s">
        <v>264</v>
      </c>
      <c r="D783" s="492" t="s">
        <v>264</v>
      </c>
      <c r="E783" s="492" t="s">
        <v>1261</v>
      </c>
      <c r="F783" s="492" t="s">
        <v>275</v>
      </c>
      <c r="G783" s="27">
        <f>4113.9+3400</f>
        <v>7513.9</v>
      </c>
      <c r="H783" s="502"/>
      <c r="I783" s="556"/>
      <c r="J783" s="501"/>
      <c r="K783" s="204"/>
    </row>
    <row r="784" spans="1:11" ht="15.75" x14ac:dyDescent="0.25">
      <c r="A784" s="494" t="s">
        <v>295</v>
      </c>
      <c r="B784" s="491">
        <v>906</v>
      </c>
      <c r="C784" s="495" t="s">
        <v>264</v>
      </c>
      <c r="D784" s="495" t="s">
        <v>219</v>
      </c>
      <c r="E784" s="495"/>
      <c r="F784" s="495"/>
      <c r="G784" s="493">
        <f>G785+G802</f>
        <v>21507.53</v>
      </c>
      <c r="H784" s="501"/>
      <c r="I784" s="526"/>
      <c r="J784" s="501"/>
      <c r="K784" s="204"/>
    </row>
    <row r="785" spans="1:11" ht="31.5" x14ac:dyDescent="0.25">
      <c r="A785" s="494" t="s">
        <v>917</v>
      </c>
      <c r="B785" s="491">
        <v>906</v>
      </c>
      <c r="C785" s="495" t="s">
        <v>264</v>
      </c>
      <c r="D785" s="495" t="s">
        <v>219</v>
      </c>
      <c r="E785" s="495" t="s">
        <v>858</v>
      </c>
      <c r="F785" s="495"/>
      <c r="G785" s="493">
        <f>G786</f>
        <v>21007.53</v>
      </c>
      <c r="H785" s="501"/>
      <c r="I785" s="526"/>
      <c r="J785" s="501"/>
      <c r="K785" s="204"/>
    </row>
    <row r="786" spans="1:11" ht="15.75" x14ac:dyDescent="0.25">
      <c r="A786" s="494" t="s">
        <v>918</v>
      </c>
      <c r="B786" s="491">
        <v>906</v>
      </c>
      <c r="C786" s="495" t="s">
        <v>264</v>
      </c>
      <c r="D786" s="495" t="s">
        <v>219</v>
      </c>
      <c r="E786" s="495" t="s">
        <v>859</v>
      </c>
      <c r="F786" s="495"/>
      <c r="G786" s="493">
        <f>G787+G792+G799</f>
        <v>21007.53</v>
      </c>
      <c r="H786" s="501"/>
      <c r="I786" s="526"/>
      <c r="J786" s="501"/>
      <c r="K786" s="204"/>
    </row>
    <row r="787" spans="1:11" ht="34.700000000000003" customHeight="1" x14ac:dyDescent="0.25">
      <c r="A787" s="579" t="s">
        <v>897</v>
      </c>
      <c r="B787" s="490">
        <v>906</v>
      </c>
      <c r="C787" s="492" t="s">
        <v>264</v>
      </c>
      <c r="D787" s="492" t="s">
        <v>219</v>
      </c>
      <c r="E787" s="492" t="s">
        <v>860</v>
      </c>
      <c r="F787" s="492"/>
      <c r="G787" s="497">
        <f>G788+G790</f>
        <v>6039.33</v>
      </c>
      <c r="H787" s="501"/>
      <c r="I787" s="526"/>
      <c r="J787" s="501"/>
      <c r="K787" s="204"/>
    </row>
    <row r="788" spans="1:11" ht="72" customHeight="1" x14ac:dyDescent="0.25">
      <c r="A788" s="579" t="s">
        <v>127</v>
      </c>
      <c r="B788" s="490">
        <v>906</v>
      </c>
      <c r="C788" s="492" t="s">
        <v>264</v>
      </c>
      <c r="D788" s="492" t="s">
        <v>219</v>
      </c>
      <c r="E788" s="492" t="s">
        <v>860</v>
      </c>
      <c r="F788" s="492" t="s">
        <v>128</v>
      </c>
      <c r="G788" s="497">
        <f>G789</f>
        <v>5789.33</v>
      </c>
      <c r="H788" s="501"/>
      <c r="I788" s="526"/>
      <c r="J788" s="501"/>
      <c r="K788" s="204"/>
    </row>
    <row r="789" spans="1:11" ht="31.5" x14ac:dyDescent="0.25">
      <c r="A789" s="579" t="s">
        <v>129</v>
      </c>
      <c r="B789" s="490">
        <v>906</v>
      </c>
      <c r="C789" s="492" t="s">
        <v>264</v>
      </c>
      <c r="D789" s="492" t="s">
        <v>219</v>
      </c>
      <c r="E789" s="492" t="s">
        <v>860</v>
      </c>
      <c r="F789" s="492" t="s">
        <v>130</v>
      </c>
      <c r="G789" s="27">
        <f>5789.33</f>
        <v>5789.33</v>
      </c>
      <c r="H789" s="501"/>
      <c r="I789" s="526"/>
      <c r="J789" s="501"/>
      <c r="K789" s="204"/>
    </row>
    <row r="790" spans="1:11" ht="31.5" x14ac:dyDescent="0.25">
      <c r="A790" s="579" t="s">
        <v>131</v>
      </c>
      <c r="B790" s="490">
        <v>906</v>
      </c>
      <c r="C790" s="492" t="s">
        <v>264</v>
      </c>
      <c r="D790" s="492" t="s">
        <v>219</v>
      </c>
      <c r="E790" s="492" t="s">
        <v>860</v>
      </c>
      <c r="F790" s="492" t="s">
        <v>132</v>
      </c>
      <c r="G790" s="497">
        <f>G791</f>
        <v>250</v>
      </c>
      <c r="H790" s="501"/>
      <c r="I790" s="526"/>
      <c r="J790" s="501"/>
      <c r="K790" s="204"/>
    </row>
    <row r="791" spans="1:11" ht="31.5" x14ac:dyDescent="0.25">
      <c r="A791" s="579" t="s">
        <v>133</v>
      </c>
      <c r="B791" s="490">
        <v>906</v>
      </c>
      <c r="C791" s="492" t="s">
        <v>264</v>
      </c>
      <c r="D791" s="492" t="s">
        <v>219</v>
      </c>
      <c r="E791" s="492" t="s">
        <v>860</v>
      </c>
      <c r="F791" s="492" t="s">
        <v>134</v>
      </c>
      <c r="G791" s="497">
        <v>250</v>
      </c>
      <c r="H791" s="501"/>
      <c r="I791" s="526"/>
      <c r="J791" s="501"/>
      <c r="K791" s="204"/>
    </row>
    <row r="792" spans="1:11" s="578" customFormat="1" ht="31.5" x14ac:dyDescent="0.25">
      <c r="A792" s="579" t="s">
        <v>840</v>
      </c>
      <c r="B792" s="490">
        <v>906</v>
      </c>
      <c r="C792" s="580" t="s">
        <v>264</v>
      </c>
      <c r="D792" s="580" t="s">
        <v>219</v>
      </c>
      <c r="E792" s="580" t="s">
        <v>861</v>
      </c>
      <c r="F792" s="580"/>
      <c r="G792" s="497">
        <f>G793+G795+G797</f>
        <v>14493.2</v>
      </c>
      <c r="H792" s="501"/>
      <c r="I792" s="526"/>
      <c r="J792" s="501"/>
    </row>
    <row r="793" spans="1:11" s="578" customFormat="1" ht="63" x14ac:dyDescent="0.25">
      <c r="A793" s="579" t="s">
        <v>127</v>
      </c>
      <c r="B793" s="490">
        <v>906</v>
      </c>
      <c r="C793" s="580" t="s">
        <v>264</v>
      </c>
      <c r="D793" s="580" t="s">
        <v>219</v>
      </c>
      <c r="E793" s="580" t="s">
        <v>861</v>
      </c>
      <c r="F793" s="580" t="s">
        <v>128</v>
      </c>
      <c r="G793" s="497">
        <f>G794</f>
        <v>13041.5</v>
      </c>
      <c r="H793" s="501"/>
      <c r="I793" s="526"/>
      <c r="J793" s="501"/>
    </row>
    <row r="794" spans="1:11" s="578" customFormat="1" ht="31.5" x14ac:dyDescent="0.25">
      <c r="A794" s="579" t="s">
        <v>129</v>
      </c>
      <c r="B794" s="490">
        <v>906</v>
      </c>
      <c r="C794" s="580" t="s">
        <v>264</v>
      </c>
      <c r="D794" s="580" t="s">
        <v>219</v>
      </c>
      <c r="E794" s="580" t="s">
        <v>861</v>
      </c>
      <c r="F794" s="580" t="s">
        <v>130</v>
      </c>
      <c r="G794" s="497">
        <v>13041.5</v>
      </c>
      <c r="H794" s="501"/>
      <c r="I794" s="526"/>
      <c r="J794" s="501"/>
    </row>
    <row r="795" spans="1:11" s="578" customFormat="1" ht="31.5" x14ac:dyDescent="0.25">
      <c r="A795" s="579" t="s">
        <v>131</v>
      </c>
      <c r="B795" s="490">
        <v>906</v>
      </c>
      <c r="C795" s="580" t="s">
        <v>264</v>
      </c>
      <c r="D795" s="580" t="s">
        <v>219</v>
      </c>
      <c r="E795" s="580" t="s">
        <v>861</v>
      </c>
      <c r="F795" s="580" t="s">
        <v>132</v>
      </c>
      <c r="G795" s="497">
        <f>G796</f>
        <v>1437.7</v>
      </c>
      <c r="H795" s="501"/>
      <c r="I795" s="526"/>
      <c r="J795" s="501"/>
    </row>
    <row r="796" spans="1:11" s="578" customFormat="1" ht="31.5" x14ac:dyDescent="0.25">
      <c r="A796" s="579" t="s">
        <v>133</v>
      </c>
      <c r="B796" s="490">
        <v>906</v>
      </c>
      <c r="C796" s="580" t="s">
        <v>264</v>
      </c>
      <c r="D796" s="580" t="s">
        <v>219</v>
      </c>
      <c r="E796" s="580" t="s">
        <v>861</v>
      </c>
      <c r="F796" s="580" t="s">
        <v>134</v>
      </c>
      <c r="G796" s="497">
        <v>1437.7</v>
      </c>
      <c r="H796" s="501"/>
      <c r="I796" s="526"/>
      <c r="J796" s="501"/>
    </row>
    <row r="797" spans="1:11" s="578" customFormat="1" ht="15.75" x14ac:dyDescent="0.25">
      <c r="A797" s="579" t="s">
        <v>135</v>
      </c>
      <c r="B797" s="490">
        <v>906</v>
      </c>
      <c r="C797" s="580" t="s">
        <v>264</v>
      </c>
      <c r="D797" s="580" t="s">
        <v>219</v>
      </c>
      <c r="E797" s="580" t="s">
        <v>861</v>
      </c>
      <c r="F797" s="580" t="s">
        <v>145</v>
      </c>
      <c r="G797" s="497">
        <f>G798</f>
        <v>14</v>
      </c>
      <c r="H797" s="501"/>
      <c r="I797" s="526"/>
      <c r="J797" s="501"/>
    </row>
    <row r="798" spans="1:11" s="578" customFormat="1" ht="15.75" x14ac:dyDescent="0.25">
      <c r="A798" s="579" t="s">
        <v>568</v>
      </c>
      <c r="B798" s="490">
        <v>906</v>
      </c>
      <c r="C798" s="580" t="s">
        <v>264</v>
      </c>
      <c r="D798" s="580" t="s">
        <v>219</v>
      </c>
      <c r="E798" s="580" t="s">
        <v>861</v>
      </c>
      <c r="F798" s="580" t="s">
        <v>138</v>
      </c>
      <c r="G798" s="497">
        <v>14</v>
      </c>
      <c r="H798" s="501"/>
      <c r="I798" s="526"/>
      <c r="J798" s="501"/>
    </row>
    <row r="799" spans="1:11" s="204" customFormat="1" ht="31.5" x14ac:dyDescent="0.25">
      <c r="A799" s="579" t="s">
        <v>839</v>
      </c>
      <c r="B799" s="490">
        <v>906</v>
      </c>
      <c r="C799" s="492" t="s">
        <v>264</v>
      </c>
      <c r="D799" s="492" t="s">
        <v>219</v>
      </c>
      <c r="E799" s="492" t="s">
        <v>862</v>
      </c>
      <c r="F799" s="492"/>
      <c r="G799" s="497">
        <f>G800</f>
        <v>475</v>
      </c>
      <c r="H799" s="501"/>
      <c r="I799" s="526"/>
      <c r="J799" s="501"/>
    </row>
    <row r="800" spans="1:11" s="204" customFormat="1" ht="63" x14ac:dyDescent="0.25">
      <c r="A800" s="579" t="s">
        <v>127</v>
      </c>
      <c r="B800" s="490">
        <v>906</v>
      </c>
      <c r="C800" s="492" t="s">
        <v>264</v>
      </c>
      <c r="D800" s="492" t="s">
        <v>219</v>
      </c>
      <c r="E800" s="492" t="s">
        <v>862</v>
      </c>
      <c r="F800" s="492" t="s">
        <v>128</v>
      </c>
      <c r="G800" s="497">
        <f>G801</f>
        <v>475</v>
      </c>
      <c r="H800" s="501"/>
      <c r="I800" s="526"/>
      <c r="J800" s="501"/>
    </row>
    <row r="801" spans="1:11" s="204" customFormat="1" ht="31.5" x14ac:dyDescent="0.25">
      <c r="A801" s="579" t="s">
        <v>129</v>
      </c>
      <c r="B801" s="490">
        <v>906</v>
      </c>
      <c r="C801" s="492" t="s">
        <v>264</v>
      </c>
      <c r="D801" s="492" t="s">
        <v>219</v>
      </c>
      <c r="E801" s="492" t="s">
        <v>862</v>
      </c>
      <c r="F801" s="492" t="s">
        <v>130</v>
      </c>
      <c r="G801" s="497">
        <f>43+432</f>
        <v>475</v>
      </c>
      <c r="H801" s="501"/>
      <c r="I801" s="526"/>
      <c r="J801" s="501"/>
    </row>
    <row r="802" spans="1:11" ht="15.75" x14ac:dyDescent="0.25">
      <c r="A802" s="494" t="s">
        <v>141</v>
      </c>
      <c r="B802" s="491">
        <v>906</v>
      </c>
      <c r="C802" s="495" t="s">
        <v>264</v>
      </c>
      <c r="D802" s="495" t="s">
        <v>219</v>
      </c>
      <c r="E802" s="495" t="s">
        <v>866</v>
      </c>
      <c r="F802" s="495"/>
      <c r="G802" s="493">
        <f>G803+G809</f>
        <v>500</v>
      </c>
      <c r="H802" s="501"/>
      <c r="I802" s="526"/>
      <c r="J802" s="501"/>
      <c r="K802" s="204"/>
    </row>
    <row r="803" spans="1:11" s="204" customFormat="1" ht="31.5" x14ac:dyDescent="0.25">
      <c r="A803" s="494" t="s">
        <v>870</v>
      </c>
      <c r="B803" s="491">
        <v>906</v>
      </c>
      <c r="C803" s="495" t="s">
        <v>264</v>
      </c>
      <c r="D803" s="495" t="s">
        <v>219</v>
      </c>
      <c r="E803" s="495" t="s">
        <v>865</v>
      </c>
      <c r="F803" s="495"/>
      <c r="G803" s="493">
        <f>G804</f>
        <v>500</v>
      </c>
      <c r="H803" s="501"/>
      <c r="I803" s="526"/>
      <c r="J803" s="501"/>
    </row>
    <row r="804" spans="1:11" ht="15.75" x14ac:dyDescent="0.25">
      <c r="A804" s="579" t="s">
        <v>478</v>
      </c>
      <c r="B804" s="490">
        <v>906</v>
      </c>
      <c r="C804" s="492" t="s">
        <v>264</v>
      </c>
      <c r="D804" s="492" t="s">
        <v>219</v>
      </c>
      <c r="E804" s="492" t="s">
        <v>944</v>
      </c>
      <c r="F804" s="492"/>
      <c r="G804" s="497">
        <f>G805+G807</f>
        <v>500</v>
      </c>
      <c r="H804" s="501"/>
      <c r="I804" s="526"/>
      <c r="J804" s="501"/>
      <c r="K804" s="204"/>
    </row>
    <row r="805" spans="1:11" s="204" customFormat="1" ht="63" hidden="1" x14ac:dyDescent="0.25">
      <c r="A805" s="496" t="s">
        <v>127</v>
      </c>
      <c r="B805" s="490">
        <v>906</v>
      </c>
      <c r="C805" s="492" t="s">
        <v>264</v>
      </c>
      <c r="D805" s="492" t="s">
        <v>219</v>
      </c>
      <c r="E805" s="492" t="s">
        <v>944</v>
      </c>
      <c r="F805" s="492" t="s">
        <v>128</v>
      </c>
      <c r="G805" s="497">
        <f>G806</f>
        <v>0</v>
      </c>
      <c r="H805" s="501"/>
      <c r="I805" s="526"/>
      <c r="J805" s="501"/>
    </row>
    <row r="806" spans="1:11" s="204" customFormat="1" ht="15.75" hidden="1" x14ac:dyDescent="0.25">
      <c r="A806" s="496" t="s">
        <v>342</v>
      </c>
      <c r="B806" s="490">
        <v>906</v>
      </c>
      <c r="C806" s="492" t="s">
        <v>264</v>
      </c>
      <c r="D806" s="492" t="s">
        <v>219</v>
      </c>
      <c r="E806" s="492" t="s">
        <v>944</v>
      </c>
      <c r="F806" s="492" t="s">
        <v>209</v>
      </c>
      <c r="G806" s="497"/>
      <c r="H806" s="502"/>
      <c r="I806" s="526"/>
      <c r="J806" s="501"/>
    </row>
    <row r="807" spans="1:11" ht="31.5" x14ac:dyDescent="0.25">
      <c r="A807" s="579" t="s">
        <v>131</v>
      </c>
      <c r="B807" s="490">
        <v>906</v>
      </c>
      <c r="C807" s="492" t="s">
        <v>264</v>
      </c>
      <c r="D807" s="492" t="s">
        <v>219</v>
      </c>
      <c r="E807" s="492" t="s">
        <v>944</v>
      </c>
      <c r="F807" s="492" t="s">
        <v>132</v>
      </c>
      <c r="G807" s="497">
        <f>G808</f>
        <v>500</v>
      </c>
      <c r="H807" s="501"/>
      <c r="I807" s="526"/>
      <c r="J807" s="501"/>
      <c r="K807" s="204"/>
    </row>
    <row r="808" spans="1:11" ht="31.5" x14ac:dyDescent="0.25">
      <c r="A808" s="579" t="s">
        <v>133</v>
      </c>
      <c r="B808" s="490">
        <v>906</v>
      </c>
      <c r="C808" s="492" t="s">
        <v>264</v>
      </c>
      <c r="D808" s="492" t="s">
        <v>219</v>
      </c>
      <c r="E808" s="492" t="s">
        <v>944</v>
      </c>
      <c r="F808" s="492" t="s">
        <v>134</v>
      </c>
      <c r="G808" s="497">
        <v>500</v>
      </c>
      <c r="H808" s="501"/>
      <c r="I808" s="526"/>
      <c r="J808" s="501"/>
      <c r="K808" s="204"/>
    </row>
    <row r="809" spans="1:11" s="204" customFormat="1" ht="31.5" hidden="1" x14ac:dyDescent="0.25">
      <c r="A809" s="494" t="s">
        <v>929</v>
      </c>
      <c r="B809" s="491">
        <v>906</v>
      </c>
      <c r="C809" s="495" t="s">
        <v>264</v>
      </c>
      <c r="D809" s="495" t="s">
        <v>219</v>
      </c>
      <c r="E809" s="495" t="s">
        <v>914</v>
      </c>
      <c r="F809" s="495"/>
      <c r="G809" s="493">
        <f>G810+G817</f>
        <v>0</v>
      </c>
      <c r="H809" s="501"/>
      <c r="I809" s="526"/>
      <c r="J809" s="501"/>
    </row>
    <row r="810" spans="1:11" ht="31.5" hidden="1" x14ac:dyDescent="0.25">
      <c r="A810" s="496" t="s">
        <v>1083</v>
      </c>
      <c r="B810" s="490">
        <v>906</v>
      </c>
      <c r="C810" s="492" t="s">
        <v>264</v>
      </c>
      <c r="D810" s="492" t="s">
        <v>219</v>
      </c>
      <c r="E810" s="492" t="s">
        <v>915</v>
      </c>
      <c r="F810" s="492"/>
      <c r="G810" s="497">
        <f>G811+G813+G815</f>
        <v>0</v>
      </c>
      <c r="H810" s="501"/>
      <c r="I810" s="526"/>
      <c r="J810" s="501"/>
      <c r="K810" s="204"/>
    </row>
    <row r="811" spans="1:11" ht="61.5" hidden="1" customHeight="1" x14ac:dyDescent="0.25">
      <c r="A811" s="496" t="s">
        <v>127</v>
      </c>
      <c r="B811" s="490">
        <v>906</v>
      </c>
      <c r="C811" s="492" t="s">
        <v>264</v>
      </c>
      <c r="D811" s="492" t="s">
        <v>219</v>
      </c>
      <c r="E811" s="492" t="s">
        <v>915</v>
      </c>
      <c r="F811" s="492" t="s">
        <v>128</v>
      </c>
      <c r="G811" s="497">
        <f>G812</f>
        <v>0</v>
      </c>
      <c r="H811" s="501"/>
      <c r="I811" s="526"/>
      <c r="J811" s="501"/>
      <c r="K811" s="204"/>
    </row>
    <row r="812" spans="1:11" ht="15.75" hidden="1" x14ac:dyDescent="0.25">
      <c r="A812" s="496" t="s">
        <v>342</v>
      </c>
      <c r="B812" s="490">
        <v>906</v>
      </c>
      <c r="C812" s="492" t="s">
        <v>264</v>
      </c>
      <c r="D812" s="492" t="s">
        <v>219</v>
      </c>
      <c r="E812" s="492" t="s">
        <v>915</v>
      </c>
      <c r="F812" s="492" t="s">
        <v>209</v>
      </c>
      <c r="G812" s="27"/>
      <c r="H812" s="501"/>
      <c r="I812" s="526"/>
      <c r="J812" s="501"/>
      <c r="K812" s="204"/>
    </row>
    <row r="813" spans="1:11" ht="31.5" hidden="1" x14ac:dyDescent="0.25">
      <c r="A813" s="496" t="s">
        <v>131</v>
      </c>
      <c r="B813" s="490">
        <v>906</v>
      </c>
      <c r="C813" s="492" t="s">
        <v>264</v>
      </c>
      <c r="D813" s="492" t="s">
        <v>219</v>
      </c>
      <c r="E813" s="492" t="s">
        <v>915</v>
      </c>
      <c r="F813" s="492" t="s">
        <v>132</v>
      </c>
      <c r="G813" s="497">
        <f>G814</f>
        <v>0</v>
      </c>
      <c r="H813" s="501"/>
      <c r="I813" s="526"/>
      <c r="J813" s="501"/>
      <c r="K813" s="204"/>
    </row>
    <row r="814" spans="1:11" ht="33" hidden="1" customHeight="1" x14ac:dyDescent="0.25">
      <c r="A814" s="496" t="s">
        <v>133</v>
      </c>
      <c r="B814" s="490">
        <v>906</v>
      </c>
      <c r="C814" s="492" t="s">
        <v>264</v>
      </c>
      <c r="D814" s="492" t="s">
        <v>219</v>
      </c>
      <c r="E814" s="492" t="s">
        <v>915</v>
      </c>
      <c r="F814" s="492" t="s">
        <v>134</v>
      </c>
      <c r="G814" s="497"/>
      <c r="H814" s="501"/>
      <c r="I814" s="526"/>
      <c r="J814" s="501"/>
      <c r="K814" s="204"/>
    </row>
    <row r="815" spans="1:11" ht="15.75" hidden="1" x14ac:dyDescent="0.25">
      <c r="A815" s="496" t="s">
        <v>135</v>
      </c>
      <c r="B815" s="490">
        <v>906</v>
      </c>
      <c r="C815" s="492" t="s">
        <v>264</v>
      </c>
      <c r="D815" s="492" t="s">
        <v>219</v>
      </c>
      <c r="E815" s="492" t="s">
        <v>915</v>
      </c>
      <c r="F815" s="492" t="s">
        <v>145</v>
      </c>
      <c r="G815" s="497">
        <f>G816</f>
        <v>0</v>
      </c>
      <c r="H815" s="501"/>
      <c r="I815" s="526"/>
      <c r="J815" s="501"/>
      <c r="K815" s="204"/>
    </row>
    <row r="816" spans="1:11" ht="15.75" hidden="1" x14ac:dyDescent="0.25">
      <c r="A816" s="496" t="s">
        <v>568</v>
      </c>
      <c r="B816" s="490">
        <v>906</v>
      </c>
      <c r="C816" s="492" t="s">
        <v>264</v>
      </c>
      <c r="D816" s="492" t="s">
        <v>219</v>
      </c>
      <c r="E816" s="492" t="s">
        <v>915</v>
      </c>
      <c r="F816" s="492" t="s">
        <v>138</v>
      </c>
      <c r="G816" s="497"/>
      <c r="H816" s="501"/>
      <c r="I816" s="526"/>
      <c r="J816" s="501"/>
      <c r="K816" s="204"/>
    </row>
    <row r="817" spans="1:11" s="204" customFormat="1" ht="31.5" hidden="1" x14ac:dyDescent="0.25">
      <c r="A817" s="496" t="s">
        <v>839</v>
      </c>
      <c r="B817" s="490">
        <v>906</v>
      </c>
      <c r="C817" s="492" t="s">
        <v>264</v>
      </c>
      <c r="D817" s="492" t="s">
        <v>219</v>
      </c>
      <c r="E817" s="492" t="s">
        <v>916</v>
      </c>
      <c r="F817" s="492"/>
      <c r="G817" s="497">
        <f>G818</f>
        <v>0</v>
      </c>
      <c r="H817" s="501"/>
      <c r="I817" s="526"/>
      <c r="J817" s="501"/>
    </row>
    <row r="818" spans="1:11" s="204" customFormat="1" ht="63" hidden="1" x14ac:dyDescent="0.25">
      <c r="A818" s="496" t="s">
        <v>127</v>
      </c>
      <c r="B818" s="490">
        <v>906</v>
      </c>
      <c r="C818" s="492" t="s">
        <v>264</v>
      </c>
      <c r="D818" s="492" t="s">
        <v>219</v>
      </c>
      <c r="E818" s="492" t="s">
        <v>916</v>
      </c>
      <c r="F818" s="492" t="s">
        <v>128</v>
      </c>
      <c r="G818" s="497">
        <f>G819</f>
        <v>0</v>
      </c>
      <c r="H818" s="501"/>
      <c r="I818" s="526"/>
      <c r="J818" s="501"/>
    </row>
    <row r="819" spans="1:11" s="204" customFormat="1" ht="15.75" hidden="1" x14ac:dyDescent="0.25">
      <c r="A819" s="496" t="s">
        <v>342</v>
      </c>
      <c r="B819" s="490">
        <v>906</v>
      </c>
      <c r="C819" s="492" t="s">
        <v>264</v>
      </c>
      <c r="D819" s="492" t="s">
        <v>219</v>
      </c>
      <c r="E819" s="492" t="s">
        <v>916</v>
      </c>
      <c r="F819" s="492" t="s">
        <v>209</v>
      </c>
      <c r="G819" s="497"/>
      <c r="H819" s="501"/>
      <c r="I819" s="526"/>
      <c r="J819" s="501"/>
    </row>
    <row r="820" spans="1:11" ht="36.75" customHeight="1" x14ac:dyDescent="0.25">
      <c r="A820" s="491" t="s">
        <v>480</v>
      </c>
      <c r="B820" s="491">
        <v>907</v>
      </c>
      <c r="C820" s="492"/>
      <c r="D820" s="492"/>
      <c r="E820" s="492"/>
      <c r="F820" s="492"/>
      <c r="G820" s="493">
        <f>G828+G821</f>
        <v>74690.739999999991</v>
      </c>
      <c r="H820" s="113"/>
      <c r="I820" s="526"/>
      <c r="J820" s="501"/>
      <c r="K820" s="204"/>
    </row>
    <row r="821" spans="1:11" s="204" customFormat="1" ht="18.75" customHeight="1" x14ac:dyDescent="0.25">
      <c r="A821" s="494" t="s">
        <v>117</v>
      </c>
      <c r="B821" s="491">
        <v>907</v>
      </c>
      <c r="C821" s="495" t="s">
        <v>118</v>
      </c>
      <c r="D821" s="495"/>
      <c r="E821" s="495"/>
      <c r="F821" s="495"/>
      <c r="G821" s="493">
        <f t="shared" ref="G821:G822" si="68">G822</f>
        <v>100</v>
      </c>
      <c r="H821" s="501"/>
      <c r="I821" s="526"/>
      <c r="J821" s="501"/>
    </row>
    <row r="822" spans="1:11" s="204" customFormat="1" ht="21.75" customHeight="1" x14ac:dyDescent="0.25">
      <c r="A822" s="34" t="s">
        <v>139</v>
      </c>
      <c r="B822" s="491">
        <v>907</v>
      </c>
      <c r="C822" s="495" t="s">
        <v>118</v>
      </c>
      <c r="D822" s="495" t="s">
        <v>140</v>
      </c>
      <c r="E822" s="495"/>
      <c r="F822" s="495"/>
      <c r="G822" s="493">
        <f t="shared" si="68"/>
        <v>100</v>
      </c>
      <c r="H822" s="501"/>
      <c r="I822" s="526"/>
      <c r="J822" s="501"/>
    </row>
    <row r="823" spans="1:11" s="204" customFormat="1" ht="36.75" customHeight="1" x14ac:dyDescent="0.25">
      <c r="A823" s="494" t="s">
        <v>1359</v>
      </c>
      <c r="B823" s="491">
        <v>907</v>
      </c>
      <c r="C823" s="495" t="s">
        <v>118</v>
      </c>
      <c r="D823" s="495" t="s">
        <v>140</v>
      </c>
      <c r="E823" s="495" t="s">
        <v>335</v>
      </c>
      <c r="F823" s="495"/>
      <c r="G823" s="493">
        <f t="shared" ref="G823:G826" si="69">G824</f>
        <v>100</v>
      </c>
      <c r="H823" s="501"/>
      <c r="I823" s="526"/>
      <c r="J823" s="501"/>
    </row>
    <row r="824" spans="1:11" s="204" customFormat="1" ht="36.75" customHeight="1" x14ac:dyDescent="0.25">
      <c r="A824" s="213" t="s">
        <v>1049</v>
      </c>
      <c r="B824" s="491">
        <v>907</v>
      </c>
      <c r="C824" s="495" t="s">
        <v>118</v>
      </c>
      <c r="D824" s="495" t="s">
        <v>140</v>
      </c>
      <c r="E824" s="495" t="s">
        <v>1050</v>
      </c>
      <c r="F824" s="495"/>
      <c r="G824" s="493">
        <f t="shared" si="69"/>
        <v>100</v>
      </c>
      <c r="H824" s="501"/>
      <c r="I824" s="526"/>
      <c r="J824" s="501"/>
    </row>
    <row r="825" spans="1:11" s="204" customFormat="1" ht="29.85" customHeight="1" x14ac:dyDescent="0.25">
      <c r="A825" s="97" t="s">
        <v>336</v>
      </c>
      <c r="B825" s="490">
        <v>907</v>
      </c>
      <c r="C825" s="492" t="s">
        <v>118</v>
      </c>
      <c r="D825" s="492" t="s">
        <v>140</v>
      </c>
      <c r="E825" s="492" t="s">
        <v>1051</v>
      </c>
      <c r="F825" s="492"/>
      <c r="G825" s="497">
        <f t="shared" si="69"/>
        <v>100</v>
      </c>
      <c r="H825" s="501"/>
      <c r="I825" s="526"/>
      <c r="J825" s="501"/>
    </row>
    <row r="826" spans="1:11" s="204" customFormat="1" ht="29.85" customHeight="1" x14ac:dyDescent="0.25">
      <c r="A826" s="579" t="s">
        <v>131</v>
      </c>
      <c r="B826" s="490">
        <v>907</v>
      </c>
      <c r="C826" s="492" t="s">
        <v>118</v>
      </c>
      <c r="D826" s="492" t="s">
        <v>140</v>
      </c>
      <c r="E826" s="492" t="s">
        <v>1051</v>
      </c>
      <c r="F826" s="492" t="s">
        <v>132</v>
      </c>
      <c r="G826" s="497">
        <f t="shared" si="69"/>
        <v>100</v>
      </c>
      <c r="H826" s="501"/>
      <c r="I826" s="526"/>
      <c r="J826" s="501"/>
    </row>
    <row r="827" spans="1:11" s="204" customFormat="1" ht="36.75" customHeight="1" x14ac:dyDescent="0.25">
      <c r="A827" s="579" t="s">
        <v>133</v>
      </c>
      <c r="B827" s="490">
        <v>907</v>
      </c>
      <c r="C827" s="492" t="s">
        <v>118</v>
      </c>
      <c r="D827" s="492" t="s">
        <v>140</v>
      </c>
      <c r="E827" s="492" t="s">
        <v>1051</v>
      </c>
      <c r="F827" s="492" t="s">
        <v>134</v>
      </c>
      <c r="G827" s="497">
        <v>100</v>
      </c>
      <c r="H827" s="501"/>
      <c r="I827" s="526"/>
      <c r="J827" s="501"/>
    </row>
    <row r="828" spans="1:11" ht="15.75" x14ac:dyDescent="0.25">
      <c r="A828" s="494" t="s">
        <v>490</v>
      </c>
      <c r="B828" s="491">
        <v>907</v>
      </c>
      <c r="C828" s="495" t="s">
        <v>491</v>
      </c>
      <c r="D828" s="492"/>
      <c r="E828" s="492"/>
      <c r="F828" s="492"/>
      <c r="G828" s="493">
        <f>G829+G876</f>
        <v>74590.739999999991</v>
      </c>
      <c r="H828" s="501"/>
      <c r="I828" s="526"/>
      <c r="J828" s="501"/>
      <c r="K828" s="204"/>
    </row>
    <row r="829" spans="1:11" ht="15.75" x14ac:dyDescent="0.25">
      <c r="A829" s="494" t="s">
        <v>492</v>
      </c>
      <c r="B829" s="491">
        <v>907</v>
      </c>
      <c r="C829" s="495" t="s">
        <v>491</v>
      </c>
      <c r="D829" s="495" t="s">
        <v>118</v>
      </c>
      <c r="E829" s="492"/>
      <c r="F829" s="492"/>
      <c r="G829" s="493">
        <f>G830+G871</f>
        <v>61300.95</v>
      </c>
      <c r="H829" s="501"/>
      <c r="I829" s="526"/>
      <c r="J829" s="501"/>
      <c r="K829" s="204"/>
    </row>
    <row r="830" spans="1:11" ht="31.5" x14ac:dyDescent="0.25">
      <c r="A830" s="494" t="s">
        <v>1360</v>
      </c>
      <c r="B830" s="491">
        <v>907</v>
      </c>
      <c r="C830" s="495" t="s">
        <v>491</v>
      </c>
      <c r="D830" s="495" t="s">
        <v>118</v>
      </c>
      <c r="E830" s="495" t="s">
        <v>482</v>
      </c>
      <c r="F830" s="495"/>
      <c r="G830" s="493">
        <f>G831+G835+G848+G855+G859+G863+G867</f>
        <v>60721.85</v>
      </c>
      <c r="H830" s="501"/>
      <c r="I830" s="526"/>
      <c r="J830" s="501"/>
      <c r="K830" s="204"/>
    </row>
    <row r="831" spans="1:11" ht="31.5" x14ac:dyDescent="0.25">
      <c r="A831" s="494" t="s">
        <v>937</v>
      </c>
      <c r="B831" s="491">
        <v>907</v>
      </c>
      <c r="C831" s="495" t="s">
        <v>491</v>
      </c>
      <c r="D831" s="495" t="s">
        <v>118</v>
      </c>
      <c r="E831" s="495" t="s">
        <v>1263</v>
      </c>
      <c r="F831" s="495"/>
      <c r="G831" s="493">
        <f t="shared" ref="G831:G833" si="70">G832</f>
        <v>54428.95</v>
      </c>
      <c r="H831" s="501"/>
      <c r="I831" s="526"/>
      <c r="J831" s="501"/>
      <c r="K831" s="204"/>
    </row>
    <row r="832" spans="1:11" ht="31.5" x14ac:dyDescent="0.25">
      <c r="A832" s="579" t="s">
        <v>495</v>
      </c>
      <c r="B832" s="490">
        <v>907</v>
      </c>
      <c r="C832" s="492" t="s">
        <v>491</v>
      </c>
      <c r="D832" s="492" t="s">
        <v>118</v>
      </c>
      <c r="E832" s="492" t="s">
        <v>1264</v>
      </c>
      <c r="F832" s="492"/>
      <c r="G832" s="497">
        <f t="shared" si="70"/>
        <v>54428.95</v>
      </c>
      <c r="H832" s="501"/>
      <c r="I832" s="526"/>
      <c r="J832" s="501"/>
      <c r="K832" s="204"/>
    </row>
    <row r="833" spans="1:11" ht="36" customHeight="1" x14ac:dyDescent="0.25">
      <c r="A833" s="579" t="s">
        <v>272</v>
      </c>
      <c r="B833" s="490">
        <v>907</v>
      </c>
      <c r="C833" s="492" t="s">
        <v>491</v>
      </c>
      <c r="D833" s="492" t="s">
        <v>118</v>
      </c>
      <c r="E833" s="492" t="s">
        <v>1264</v>
      </c>
      <c r="F833" s="492" t="s">
        <v>273</v>
      </c>
      <c r="G833" s="497">
        <f t="shared" si="70"/>
        <v>54428.95</v>
      </c>
      <c r="H833" s="501"/>
      <c r="I833" s="526"/>
      <c r="J833" s="501"/>
      <c r="K833" s="204"/>
    </row>
    <row r="834" spans="1:11" ht="15.75" x14ac:dyDescent="0.25">
      <c r="A834" s="579" t="s">
        <v>274</v>
      </c>
      <c r="B834" s="490">
        <v>907</v>
      </c>
      <c r="C834" s="492" t="s">
        <v>491</v>
      </c>
      <c r="D834" s="492" t="s">
        <v>118</v>
      </c>
      <c r="E834" s="492" t="s">
        <v>1264</v>
      </c>
      <c r="F834" s="492" t="s">
        <v>275</v>
      </c>
      <c r="G834" s="27">
        <f>54428.95</f>
        <v>54428.95</v>
      </c>
      <c r="H834" s="162"/>
      <c r="I834" s="526"/>
      <c r="J834" s="501"/>
      <c r="K834" s="204"/>
    </row>
    <row r="835" spans="1:11" s="204" customFormat="1" ht="15.75" x14ac:dyDescent="0.25">
      <c r="A835" s="494" t="s">
        <v>945</v>
      </c>
      <c r="B835" s="491">
        <v>907</v>
      </c>
      <c r="C835" s="495" t="s">
        <v>491</v>
      </c>
      <c r="D835" s="495" t="s">
        <v>118</v>
      </c>
      <c r="E835" s="495" t="s">
        <v>1265</v>
      </c>
      <c r="F835" s="495"/>
      <c r="G835" s="44">
        <f>G836+G839+G842+G845</f>
        <v>36</v>
      </c>
      <c r="H835" s="501"/>
      <c r="I835" s="526"/>
      <c r="J835" s="501"/>
    </row>
    <row r="836" spans="1:11" ht="31.7" hidden="1" customHeight="1" x14ac:dyDescent="0.25">
      <c r="A836" s="496" t="s">
        <v>278</v>
      </c>
      <c r="B836" s="490">
        <v>907</v>
      </c>
      <c r="C836" s="492" t="s">
        <v>491</v>
      </c>
      <c r="D836" s="492" t="s">
        <v>118</v>
      </c>
      <c r="E836" s="492" t="s">
        <v>1323</v>
      </c>
      <c r="F836" s="492"/>
      <c r="G836" s="497">
        <f>G837</f>
        <v>0</v>
      </c>
      <c r="H836" s="501"/>
      <c r="I836" s="526"/>
      <c r="J836" s="501"/>
      <c r="K836" s="204"/>
    </row>
    <row r="837" spans="1:11" ht="31.7" hidden="1" customHeight="1" x14ac:dyDescent="0.25">
      <c r="A837" s="496" t="s">
        <v>272</v>
      </c>
      <c r="B837" s="490">
        <v>907</v>
      </c>
      <c r="C837" s="492" t="s">
        <v>491</v>
      </c>
      <c r="D837" s="492" t="s">
        <v>118</v>
      </c>
      <c r="E837" s="492" t="s">
        <v>1323</v>
      </c>
      <c r="F837" s="492" t="s">
        <v>273</v>
      </c>
      <c r="G837" s="497">
        <f>G838</f>
        <v>0</v>
      </c>
      <c r="H837" s="501"/>
      <c r="I837" s="526"/>
      <c r="J837" s="501"/>
      <c r="K837" s="204"/>
    </row>
    <row r="838" spans="1:11" ht="15.6" hidden="1" customHeight="1" x14ac:dyDescent="0.25">
      <c r="A838" s="496" t="s">
        <v>274</v>
      </c>
      <c r="B838" s="490">
        <v>907</v>
      </c>
      <c r="C838" s="492" t="s">
        <v>491</v>
      </c>
      <c r="D838" s="492" t="s">
        <v>118</v>
      </c>
      <c r="E838" s="492" t="s">
        <v>1323</v>
      </c>
      <c r="F838" s="492" t="s">
        <v>275</v>
      </c>
      <c r="G838" s="497"/>
      <c r="H838" s="502"/>
      <c r="I838" s="526"/>
      <c r="J838" s="501"/>
      <c r="K838" s="204"/>
    </row>
    <row r="839" spans="1:11" ht="33" hidden="1" customHeight="1" x14ac:dyDescent="0.25">
      <c r="A839" s="496" t="s">
        <v>280</v>
      </c>
      <c r="B839" s="490">
        <v>907</v>
      </c>
      <c r="C839" s="492" t="s">
        <v>491</v>
      </c>
      <c r="D839" s="492" t="s">
        <v>118</v>
      </c>
      <c r="E839" s="492" t="s">
        <v>1324</v>
      </c>
      <c r="F839" s="492"/>
      <c r="G839" s="497">
        <f>G840</f>
        <v>0</v>
      </c>
      <c r="H839" s="501"/>
      <c r="I839" s="526"/>
      <c r="J839" s="501"/>
      <c r="K839" s="204"/>
    </row>
    <row r="840" spans="1:11" ht="37.5" hidden="1" customHeight="1" x14ac:dyDescent="0.25">
      <c r="A840" s="496" t="s">
        <v>272</v>
      </c>
      <c r="B840" s="490">
        <v>907</v>
      </c>
      <c r="C840" s="492" t="s">
        <v>491</v>
      </c>
      <c r="D840" s="492" t="s">
        <v>118</v>
      </c>
      <c r="E840" s="492" t="s">
        <v>1324</v>
      </c>
      <c r="F840" s="492" t="s">
        <v>273</v>
      </c>
      <c r="G840" s="497">
        <f>G841</f>
        <v>0</v>
      </c>
      <c r="H840" s="501"/>
      <c r="I840" s="526"/>
      <c r="J840" s="501"/>
      <c r="K840" s="204"/>
    </row>
    <row r="841" spans="1:11" ht="15.75" hidden="1" customHeight="1" x14ac:dyDescent="0.25">
      <c r="A841" s="496" t="s">
        <v>274</v>
      </c>
      <c r="B841" s="490">
        <v>907</v>
      </c>
      <c r="C841" s="492" t="s">
        <v>491</v>
      </c>
      <c r="D841" s="492" t="s">
        <v>118</v>
      </c>
      <c r="E841" s="492" t="s">
        <v>1324</v>
      </c>
      <c r="F841" s="492" t="s">
        <v>275</v>
      </c>
      <c r="G841" s="497"/>
      <c r="H841" s="501"/>
      <c r="I841" s="526"/>
      <c r="J841" s="501"/>
      <c r="K841" s="204"/>
    </row>
    <row r="842" spans="1:11" s="204" customFormat="1" ht="15.75" customHeight="1" x14ac:dyDescent="0.25">
      <c r="A842" s="579" t="s">
        <v>830</v>
      </c>
      <c r="B842" s="490">
        <v>907</v>
      </c>
      <c r="C842" s="492" t="s">
        <v>491</v>
      </c>
      <c r="D842" s="492" t="s">
        <v>118</v>
      </c>
      <c r="E842" s="492" t="s">
        <v>1266</v>
      </c>
      <c r="F842" s="492"/>
      <c r="G842" s="497">
        <f>G843</f>
        <v>36</v>
      </c>
      <c r="H842" s="501"/>
      <c r="I842" s="526"/>
      <c r="J842" s="501"/>
    </row>
    <row r="843" spans="1:11" s="204" customFormat="1" ht="41.25" customHeight="1" x14ac:dyDescent="0.25">
      <c r="A843" s="579" t="s">
        <v>272</v>
      </c>
      <c r="B843" s="490">
        <v>907</v>
      </c>
      <c r="C843" s="492" t="s">
        <v>491</v>
      </c>
      <c r="D843" s="492" t="s">
        <v>118</v>
      </c>
      <c r="E843" s="492" t="s">
        <v>1266</v>
      </c>
      <c r="F843" s="492" t="s">
        <v>273</v>
      </c>
      <c r="G843" s="497">
        <f>G844</f>
        <v>36</v>
      </c>
      <c r="H843" s="501"/>
      <c r="I843" s="526"/>
      <c r="J843" s="501"/>
    </row>
    <row r="844" spans="1:11" s="204" customFormat="1" ht="15.75" customHeight="1" x14ac:dyDescent="0.25">
      <c r="A844" s="579" t="s">
        <v>274</v>
      </c>
      <c r="B844" s="490">
        <v>907</v>
      </c>
      <c r="C844" s="492" t="s">
        <v>491</v>
      </c>
      <c r="D844" s="492" t="s">
        <v>118</v>
      </c>
      <c r="E844" s="492" t="s">
        <v>1266</v>
      </c>
      <c r="F844" s="492" t="s">
        <v>275</v>
      </c>
      <c r="G844" s="497">
        <v>36</v>
      </c>
      <c r="H844" s="501"/>
      <c r="I844" s="526"/>
      <c r="J844" s="501"/>
    </row>
    <row r="845" spans="1:11" s="204" customFormat="1" ht="33.75" hidden="1" customHeight="1" x14ac:dyDescent="0.25">
      <c r="A845" s="496" t="s">
        <v>287</v>
      </c>
      <c r="B845" s="490">
        <v>907</v>
      </c>
      <c r="C845" s="492" t="s">
        <v>491</v>
      </c>
      <c r="D845" s="492" t="s">
        <v>118</v>
      </c>
      <c r="E845" s="492" t="s">
        <v>1687</v>
      </c>
      <c r="F845" s="492"/>
      <c r="G845" s="497">
        <f>G847</f>
        <v>0</v>
      </c>
      <c r="H845" s="501"/>
      <c r="I845" s="526"/>
      <c r="J845" s="501"/>
    </row>
    <row r="846" spans="1:11" s="204" customFormat="1" ht="15.75" hidden="1" customHeight="1" x14ac:dyDescent="0.25">
      <c r="A846" s="496" t="s">
        <v>272</v>
      </c>
      <c r="B846" s="490">
        <v>907</v>
      </c>
      <c r="C846" s="492" t="s">
        <v>491</v>
      </c>
      <c r="D846" s="492" t="s">
        <v>118</v>
      </c>
      <c r="E846" s="492" t="s">
        <v>1687</v>
      </c>
      <c r="F846" s="492" t="s">
        <v>273</v>
      </c>
      <c r="G846" s="497">
        <f>G847</f>
        <v>0</v>
      </c>
      <c r="H846" s="501"/>
      <c r="I846" s="526"/>
      <c r="J846" s="501"/>
    </row>
    <row r="847" spans="1:11" s="204" customFormat="1" ht="15.75" hidden="1" customHeight="1" x14ac:dyDescent="0.25">
      <c r="A847" s="496" t="s">
        <v>274</v>
      </c>
      <c r="B847" s="490">
        <v>907</v>
      </c>
      <c r="C847" s="492" t="s">
        <v>491</v>
      </c>
      <c r="D847" s="492" t="s">
        <v>118</v>
      </c>
      <c r="E847" s="492" t="s">
        <v>1687</v>
      </c>
      <c r="F847" s="492" t="s">
        <v>275</v>
      </c>
      <c r="G847" s="497"/>
      <c r="H847" s="501"/>
      <c r="I847" s="526"/>
      <c r="J847" s="501"/>
    </row>
    <row r="848" spans="1:11" s="204" customFormat="1" ht="35.450000000000003" customHeight="1" x14ac:dyDescent="0.25">
      <c r="A848" s="494" t="s">
        <v>947</v>
      </c>
      <c r="B848" s="491">
        <v>907</v>
      </c>
      <c r="C848" s="495" t="s">
        <v>491</v>
      </c>
      <c r="D848" s="495" t="s">
        <v>118</v>
      </c>
      <c r="E848" s="495" t="s">
        <v>1267</v>
      </c>
      <c r="F848" s="495"/>
      <c r="G848" s="493">
        <f>G849+G852</f>
        <v>1290</v>
      </c>
      <c r="H848" s="501"/>
      <c r="I848" s="526"/>
      <c r="J848" s="501"/>
    </row>
    <row r="849" spans="1:11" ht="33.75" hidden="1" customHeight="1" x14ac:dyDescent="0.25">
      <c r="A849" s="496" t="s">
        <v>791</v>
      </c>
      <c r="B849" s="490">
        <v>907</v>
      </c>
      <c r="C849" s="492" t="s">
        <v>491</v>
      </c>
      <c r="D849" s="492" t="s">
        <v>118</v>
      </c>
      <c r="E849" s="492" t="s">
        <v>1305</v>
      </c>
      <c r="F849" s="492"/>
      <c r="G849" s="497">
        <f>G850</f>
        <v>0</v>
      </c>
      <c r="H849" s="501"/>
      <c r="I849" s="526"/>
      <c r="J849" s="501"/>
      <c r="K849" s="204"/>
    </row>
    <row r="850" spans="1:11" ht="31.5" hidden="1" x14ac:dyDescent="0.25">
      <c r="A850" s="496" t="s">
        <v>272</v>
      </c>
      <c r="B850" s="490">
        <v>907</v>
      </c>
      <c r="C850" s="492" t="s">
        <v>491</v>
      </c>
      <c r="D850" s="492" t="s">
        <v>118</v>
      </c>
      <c r="E850" s="492" t="s">
        <v>1305</v>
      </c>
      <c r="F850" s="492" t="s">
        <v>273</v>
      </c>
      <c r="G850" s="497">
        <f>G851</f>
        <v>0</v>
      </c>
      <c r="H850" s="501"/>
      <c r="I850" s="526"/>
      <c r="J850" s="501"/>
      <c r="K850" s="204"/>
    </row>
    <row r="851" spans="1:11" ht="15.75" hidden="1" customHeight="1" x14ac:dyDescent="0.25">
      <c r="A851" s="496" t="s">
        <v>274</v>
      </c>
      <c r="B851" s="490">
        <v>907</v>
      </c>
      <c r="C851" s="492" t="s">
        <v>491</v>
      </c>
      <c r="D851" s="492" t="s">
        <v>118</v>
      </c>
      <c r="E851" s="492" t="s">
        <v>1305</v>
      </c>
      <c r="F851" s="492" t="s">
        <v>275</v>
      </c>
      <c r="G851" s="497"/>
      <c r="H851" s="501"/>
      <c r="I851" s="526"/>
      <c r="J851" s="501"/>
      <c r="K851" s="204"/>
    </row>
    <row r="852" spans="1:11" ht="34.5" customHeight="1" x14ac:dyDescent="0.25">
      <c r="A852" s="45" t="s">
        <v>764</v>
      </c>
      <c r="B852" s="490">
        <v>907</v>
      </c>
      <c r="C852" s="492" t="s">
        <v>491</v>
      </c>
      <c r="D852" s="492" t="s">
        <v>118</v>
      </c>
      <c r="E852" s="492" t="s">
        <v>1268</v>
      </c>
      <c r="F852" s="492"/>
      <c r="G852" s="497">
        <f>G853</f>
        <v>1290</v>
      </c>
      <c r="H852" s="501"/>
      <c r="I852" s="526"/>
      <c r="J852" s="501"/>
      <c r="K852" s="204"/>
    </row>
    <row r="853" spans="1:11" ht="33" customHeight="1" x14ac:dyDescent="0.25">
      <c r="A853" s="31" t="s">
        <v>272</v>
      </c>
      <c r="B853" s="490">
        <v>907</v>
      </c>
      <c r="C853" s="492" t="s">
        <v>491</v>
      </c>
      <c r="D853" s="492" t="s">
        <v>118</v>
      </c>
      <c r="E853" s="492" t="s">
        <v>1268</v>
      </c>
      <c r="F853" s="492" t="s">
        <v>273</v>
      </c>
      <c r="G853" s="497">
        <f>G854</f>
        <v>1290</v>
      </c>
      <c r="H853" s="501"/>
      <c r="I853" s="526"/>
      <c r="J853" s="501"/>
      <c r="K853" s="204"/>
    </row>
    <row r="854" spans="1:11" ht="15.75" customHeight="1" x14ac:dyDescent="0.25">
      <c r="A854" s="31" t="s">
        <v>274</v>
      </c>
      <c r="B854" s="490">
        <v>907</v>
      </c>
      <c r="C854" s="492" t="s">
        <v>491</v>
      </c>
      <c r="D854" s="492" t="s">
        <v>118</v>
      </c>
      <c r="E854" s="492" t="s">
        <v>1268</v>
      </c>
      <c r="F854" s="492" t="s">
        <v>275</v>
      </c>
      <c r="G854" s="497">
        <f>1204+86</f>
        <v>1290</v>
      </c>
      <c r="H854" s="501"/>
      <c r="I854" s="526"/>
      <c r="J854" s="501"/>
      <c r="K854" s="204"/>
    </row>
    <row r="855" spans="1:11" s="204" customFormat="1" ht="40.700000000000003" customHeight="1" x14ac:dyDescent="0.25">
      <c r="A855" s="494" t="s">
        <v>900</v>
      </c>
      <c r="B855" s="491">
        <v>907</v>
      </c>
      <c r="C855" s="495" t="s">
        <v>491</v>
      </c>
      <c r="D855" s="495" t="s">
        <v>118</v>
      </c>
      <c r="E855" s="495" t="s">
        <v>1269</v>
      </c>
      <c r="F855" s="495"/>
      <c r="G855" s="493">
        <f t="shared" ref="G855:G857" si="71">G856</f>
        <v>883.9</v>
      </c>
      <c r="H855" s="501"/>
      <c r="I855" s="526"/>
      <c r="J855" s="501"/>
    </row>
    <row r="856" spans="1:11" s="204" customFormat="1" ht="78.75" x14ac:dyDescent="0.25">
      <c r="A856" s="31" t="s">
        <v>464</v>
      </c>
      <c r="B856" s="490">
        <v>907</v>
      </c>
      <c r="C856" s="492" t="s">
        <v>491</v>
      </c>
      <c r="D856" s="492" t="s">
        <v>118</v>
      </c>
      <c r="E856" s="492" t="s">
        <v>1402</v>
      </c>
      <c r="F856" s="492"/>
      <c r="G856" s="497">
        <f t="shared" si="71"/>
        <v>883.9</v>
      </c>
      <c r="H856" s="501"/>
      <c r="I856" s="526"/>
      <c r="J856" s="501"/>
    </row>
    <row r="857" spans="1:11" s="204" customFormat="1" ht="31.5" x14ac:dyDescent="0.25">
      <c r="A857" s="579" t="s">
        <v>272</v>
      </c>
      <c r="B857" s="490">
        <v>907</v>
      </c>
      <c r="C857" s="492" t="s">
        <v>491</v>
      </c>
      <c r="D857" s="492" t="s">
        <v>118</v>
      </c>
      <c r="E857" s="492" t="s">
        <v>1402</v>
      </c>
      <c r="F857" s="492" t="s">
        <v>273</v>
      </c>
      <c r="G857" s="497">
        <f t="shared" si="71"/>
        <v>883.9</v>
      </c>
      <c r="H857" s="501"/>
      <c r="I857" s="526"/>
      <c r="J857" s="501"/>
    </row>
    <row r="858" spans="1:11" s="204" customFormat="1" ht="15.75" x14ac:dyDescent="0.25">
      <c r="A858" s="579" t="s">
        <v>274</v>
      </c>
      <c r="B858" s="490">
        <v>907</v>
      </c>
      <c r="C858" s="492" t="s">
        <v>491</v>
      </c>
      <c r="D858" s="492" t="s">
        <v>118</v>
      </c>
      <c r="E858" s="492" t="s">
        <v>1402</v>
      </c>
      <c r="F858" s="492" t="s">
        <v>275</v>
      </c>
      <c r="G858" s="497">
        <v>883.9</v>
      </c>
      <c r="H858" s="501"/>
      <c r="I858" s="526"/>
      <c r="J858" s="501"/>
    </row>
    <row r="859" spans="1:11" s="204" customFormat="1" ht="47.25" customHeight="1" x14ac:dyDescent="0.25">
      <c r="A859" s="494" t="s">
        <v>1668</v>
      </c>
      <c r="B859" s="491">
        <v>907</v>
      </c>
      <c r="C859" s="495" t="s">
        <v>491</v>
      </c>
      <c r="D859" s="495" t="s">
        <v>118</v>
      </c>
      <c r="E859" s="495" t="s">
        <v>1666</v>
      </c>
      <c r="F859" s="495"/>
      <c r="G859" s="493">
        <f t="shared" ref="G859:G860" si="72">G860</f>
        <v>3665.9</v>
      </c>
      <c r="H859" s="501"/>
      <c r="I859" s="526"/>
      <c r="J859" s="501"/>
    </row>
    <row r="860" spans="1:11" s="204" customFormat="1" ht="31.5" x14ac:dyDescent="0.25">
      <c r="A860" s="31" t="s">
        <v>1669</v>
      </c>
      <c r="B860" s="490">
        <v>907</v>
      </c>
      <c r="C860" s="492" t="s">
        <v>491</v>
      </c>
      <c r="D860" s="492" t="s">
        <v>118</v>
      </c>
      <c r="E860" s="492" t="s">
        <v>1667</v>
      </c>
      <c r="F860" s="492"/>
      <c r="G860" s="497">
        <f t="shared" si="72"/>
        <v>3665.9</v>
      </c>
      <c r="H860" s="501"/>
      <c r="I860" s="526"/>
      <c r="J860" s="501"/>
    </row>
    <row r="861" spans="1:11" s="204" customFormat="1" ht="31.5" x14ac:dyDescent="0.25">
      <c r="A861" s="579" t="s">
        <v>272</v>
      </c>
      <c r="B861" s="490">
        <v>907</v>
      </c>
      <c r="C861" s="492" t="s">
        <v>491</v>
      </c>
      <c r="D861" s="492" t="s">
        <v>118</v>
      </c>
      <c r="E861" s="492" t="s">
        <v>1667</v>
      </c>
      <c r="F861" s="492" t="s">
        <v>273</v>
      </c>
      <c r="G861" s="497">
        <v>3665.9</v>
      </c>
      <c r="H861" s="105"/>
      <c r="I861" s="526"/>
      <c r="J861" s="501"/>
    </row>
    <row r="862" spans="1:11" s="204" customFormat="1" ht="15.75" hidden="1" x14ac:dyDescent="0.25">
      <c r="A862" s="496" t="s">
        <v>274</v>
      </c>
      <c r="B862" s="490">
        <v>907</v>
      </c>
      <c r="C862" s="492" t="s">
        <v>491</v>
      </c>
      <c r="D862" s="492" t="s">
        <v>118</v>
      </c>
      <c r="E862" s="492" t="s">
        <v>1667</v>
      </c>
      <c r="F862" s="492" t="s">
        <v>275</v>
      </c>
      <c r="G862" s="497"/>
      <c r="H862" s="502"/>
      <c r="I862" s="526"/>
      <c r="J862" s="501"/>
    </row>
    <row r="863" spans="1:11" s="570" customFormat="1" ht="31.5" x14ac:dyDescent="0.25">
      <c r="A863" s="572" t="s">
        <v>1739</v>
      </c>
      <c r="B863" s="491">
        <v>907</v>
      </c>
      <c r="C863" s="495" t="s">
        <v>491</v>
      </c>
      <c r="D863" s="495" t="s">
        <v>118</v>
      </c>
      <c r="E863" s="495" t="s">
        <v>1740</v>
      </c>
      <c r="F863" s="495"/>
      <c r="G863" s="493">
        <f>G864</f>
        <v>417.1</v>
      </c>
      <c r="H863" s="107"/>
      <c r="I863" s="526"/>
      <c r="J863" s="501"/>
    </row>
    <row r="864" spans="1:11" s="570" customFormat="1" ht="31.5" x14ac:dyDescent="0.25">
      <c r="A864" s="29" t="s">
        <v>1742</v>
      </c>
      <c r="B864" s="490">
        <v>907</v>
      </c>
      <c r="C864" s="492" t="s">
        <v>491</v>
      </c>
      <c r="D864" s="492" t="s">
        <v>118</v>
      </c>
      <c r="E864" s="492" t="s">
        <v>1741</v>
      </c>
      <c r="F864" s="492"/>
      <c r="G864" s="497">
        <f>G865</f>
        <v>417.1</v>
      </c>
      <c r="H864" s="107"/>
      <c r="I864" s="526"/>
      <c r="J864" s="501"/>
    </row>
    <row r="865" spans="1:12" s="570" customFormat="1" ht="31.5" x14ac:dyDescent="0.25">
      <c r="A865" s="579" t="s">
        <v>272</v>
      </c>
      <c r="B865" s="490">
        <v>907</v>
      </c>
      <c r="C865" s="574" t="s">
        <v>491</v>
      </c>
      <c r="D865" s="574" t="s">
        <v>118</v>
      </c>
      <c r="E865" s="574" t="s">
        <v>1741</v>
      </c>
      <c r="F865" s="492" t="s">
        <v>273</v>
      </c>
      <c r="G865" s="497">
        <f>G866</f>
        <v>417.1</v>
      </c>
      <c r="H865" s="107"/>
      <c r="I865" s="526"/>
      <c r="J865" s="501"/>
    </row>
    <row r="866" spans="1:12" s="570" customFormat="1" ht="15.75" x14ac:dyDescent="0.25">
      <c r="A866" s="579" t="s">
        <v>274</v>
      </c>
      <c r="B866" s="490">
        <v>907</v>
      </c>
      <c r="C866" s="574" t="s">
        <v>491</v>
      </c>
      <c r="D866" s="574" t="s">
        <v>118</v>
      </c>
      <c r="E866" s="574" t="s">
        <v>1741</v>
      </c>
      <c r="F866" s="492" t="s">
        <v>275</v>
      </c>
      <c r="G866" s="497">
        <f>400+17.1</f>
        <v>417.1</v>
      </c>
      <c r="H866" s="107" t="s">
        <v>1744</v>
      </c>
      <c r="I866" s="526"/>
      <c r="J866" s="501"/>
    </row>
    <row r="867" spans="1:12" s="204" customFormat="1" ht="47.25" hidden="1" x14ac:dyDescent="0.25">
      <c r="A867" s="494" t="s">
        <v>1331</v>
      </c>
      <c r="B867" s="491">
        <v>907</v>
      </c>
      <c r="C867" s="495" t="s">
        <v>491</v>
      </c>
      <c r="D867" s="495" t="s">
        <v>118</v>
      </c>
      <c r="E867" s="495" t="s">
        <v>1270</v>
      </c>
      <c r="F867" s="495"/>
      <c r="G867" s="493">
        <f t="shared" ref="G867:G869" si="73">G868</f>
        <v>0</v>
      </c>
      <c r="H867" s="501"/>
      <c r="I867" s="526"/>
      <c r="J867" s="501"/>
    </row>
    <row r="868" spans="1:12" s="206" customFormat="1" ht="47.25" hidden="1" x14ac:dyDescent="0.25">
      <c r="A868" s="496" t="s">
        <v>1193</v>
      </c>
      <c r="B868" s="490">
        <v>907</v>
      </c>
      <c r="C868" s="492" t="s">
        <v>491</v>
      </c>
      <c r="D868" s="492" t="s">
        <v>118</v>
      </c>
      <c r="E868" s="492" t="s">
        <v>1325</v>
      </c>
      <c r="F868" s="492"/>
      <c r="G868" s="497">
        <f t="shared" si="73"/>
        <v>0</v>
      </c>
      <c r="H868" s="127"/>
      <c r="I868" s="529"/>
      <c r="J868" s="127"/>
    </row>
    <row r="869" spans="1:12" s="206" customFormat="1" ht="31.5" hidden="1" x14ac:dyDescent="0.25">
      <c r="A869" s="496" t="s">
        <v>272</v>
      </c>
      <c r="B869" s="490">
        <v>907</v>
      </c>
      <c r="C869" s="492" t="s">
        <v>491</v>
      </c>
      <c r="D869" s="492" t="s">
        <v>118</v>
      </c>
      <c r="E869" s="492" t="s">
        <v>1325</v>
      </c>
      <c r="F869" s="492" t="s">
        <v>273</v>
      </c>
      <c r="G869" s="497">
        <f t="shared" si="73"/>
        <v>0</v>
      </c>
      <c r="H869" s="127"/>
      <c r="I869" s="529"/>
      <c r="J869" s="127"/>
    </row>
    <row r="870" spans="1:12" s="206" customFormat="1" ht="15.75" hidden="1" x14ac:dyDescent="0.25">
      <c r="A870" s="496" t="s">
        <v>274</v>
      </c>
      <c r="B870" s="490">
        <v>907</v>
      </c>
      <c r="C870" s="492" t="s">
        <v>491</v>
      </c>
      <c r="D870" s="492" t="s">
        <v>118</v>
      </c>
      <c r="E870" s="492" t="s">
        <v>1325</v>
      </c>
      <c r="F870" s="492" t="s">
        <v>275</v>
      </c>
      <c r="G870" s="497"/>
      <c r="H870" s="127"/>
      <c r="I870" s="529"/>
      <c r="J870" s="127"/>
      <c r="L870" s="127"/>
    </row>
    <row r="871" spans="1:12" ht="47.25" x14ac:dyDescent="0.25">
      <c r="A871" s="572" t="s">
        <v>1341</v>
      </c>
      <c r="B871" s="491">
        <v>907</v>
      </c>
      <c r="C871" s="495" t="s">
        <v>491</v>
      </c>
      <c r="D871" s="495" t="s">
        <v>118</v>
      </c>
      <c r="E871" s="495" t="s">
        <v>705</v>
      </c>
      <c r="F871" s="504"/>
      <c r="G871" s="493">
        <f t="shared" ref="G871:G874" si="74">G872</f>
        <v>579.1</v>
      </c>
      <c r="H871" s="501"/>
      <c r="I871" s="526"/>
      <c r="J871" s="501"/>
      <c r="K871" s="204"/>
    </row>
    <row r="872" spans="1:12" s="204" customFormat="1" ht="47.25" x14ac:dyDescent="0.25">
      <c r="A872" s="572" t="s">
        <v>890</v>
      </c>
      <c r="B872" s="491">
        <v>907</v>
      </c>
      <c r="C872" s="495" t="s">
        <v>491</v>
      </c>
      <c r="D872" s="495" t="s">
        <v>118</v>
      </c>
      <c r="E872" s="495" t="s">
        <v>888</v>
      </c>
      <c r="F872" s="504"/>
      <c r="G872" s="493">
        <f t="shared" si="74"/>
        <v>579.1</v>
      </c>
      <c r="H872" s="501"/>
      <c r="I872" s="526"/>
      <c r="J872" s="501"/>
    </row>
    <row r="873" spans="1:12" ht="39.200000000000003" customHeight="1" x14ac:dyDescent="0.25">
      <c r="A873" s="98" t="s">
        <v>780</v>
      </c>
      <c r="B873" s="490">
        <v>907</v>
      </c>
      <c r="C873" s="492" t="s">
        <v>491</v>
      </c>
      <c r="D873" s="492" t="s">
        <v>118</v>
      </c>
      <c r="E873" s="492" t="s">
        <v>936</v>
      </c>
      <c r="F873" s="498"/>
      <c r="G873" s="497">
        <f t="shared" si="74"/>
        <v>579.1</v>
      </c>
      <c r="H873" s="501"/>
      <c r="I873" s="526"/>
      <c r="J873" s="501"/>
      <c r="K873" s="204"/>
    </row>
    <row r="874" spans="1:12" ht="31.5" x14ac:dyDescent="0.25">
      <c r="A874" s="29" t="s">
        <v>272</v>
      </c>
      <c r="B874" s="490">
        <v>907</v>
      </c>
      <c r="C874" s="492" t="s">
        <v>491</v>
      </c>
      <c r="D874" s="492" t="s">
        <v>118</v>
      </c>
      <c r="E874" s="492" t="s">
        <v>936</v>
      </c>
      <c r="F874" s="498" t="s">
        <v>273</v>
      </c>
      <c r="G874" s="497">
        <f t="shared" si="74"/>
        <v>579.1</v>
      </c>
      <c r="H874" s="501"/>
      <c r="I874" s="526"/>
      <c r="J874" s="501"/>
      <c r="K874" s="204"/>
    </row>
    <row r="875" spans="1:12" ht="15.75" x14ac:dyDescent="0.25">
      <c r="A875" s="182" t="s">
        <v>274</v>
      </c>
      <c r="B875" s="490">
        <v>907</v>
      </c>
      <c r="C875" s="492" t="s">
        <v>491</v>
      </c>
      <c r="D875" s="492" t="s">
        <v>118</v>
      </c>
      <c r="E875" s="492" t="s">
        <v>936</v>
      </c>
      <c r="F875" s="498" t="s">
        <v>275</v>
      </c>
      <c r="G875" s="497">
        <v>579.1</v>
      </c>
      <c r="H875" s="501"/>
      <c r="I875" s="526"/>
      <c r="J875" s="501"/>
      <c r="K875" s="204"/>
    </row>
    <row r="876" spans="1:12" ht="19.5" customHeight="1" x14ac:dyDescent="0.25">
      <c r="A876" s="494" t="s">
        <v>500</v>
      </c>
      <c r="B876" s="491">
        <v>907</v>
      </c>
      <c r="C876" s="495" t="s">
        <v>491</v>
      </c>
      <c r="D876" s="495" t="s">
        <v>234</v>
      </c>
      <c r="E876" s="495"/>
      <c r="F876" s="495"/>
      <c r="G876" s="493">
        <f>G877+G892+G904</f>
        <v>13289.79</v>
      </c>
      <c r="H876" s="501"/>
      <c r="I876" s="526"/>
      <c r="J876" s="501"/>
      <c r="K876" s="204"/>
    </row>
    <row r="877" spans="1:12" ht="31.5" x14ac:dyDescent="0.25">
      <c r="A877" s="494" t="s">
        <v>917</v>
      </c>
      <c r="B877" s="491">
        <v>907</v>
      </c>
      <c r="C877" s="495" t="s">
        <v>491</v>
      </c>
      <c r="D877" s="495" t="s">
        <v>234</v>
      </c>
      <c r="E877" s="495" t="s">
        <v>858</v>
      </c>
      <c r="F877" s="495"/>
      <c r="G877" s="493">
        <f>G878</f>
        <v>10589.79</v>
      </c>
      <c r="H877" s="501"/>
      <c r="I877" s="526"/>
      <c r="J877" s="501"/>
      <c r="K877" s="204"/>
    </row>
    <row r="878" spans="1:12" ht="15.75" x14ac:dyDescent="0.25">
      <c r="A878" s="494" t="s">
        <v>918</v>
      </c>
      <c r="B878" s="491">
        <v>907</v>
      </c>
      <c r="C878" s="495" t="s">
        <v>491</v>
      </c>
      <c r="D878" s="495" t="s">
        <v>234</v>
      </c>
      <c r="E878" s="495" t="s">
        <v>859</v>
      </c>
      <c r="F878" s="495"/>
      <c r="G878" s="493">
        <f>G879+G889+G882</f>
        <v>10589.79</v>
      </c>
      <c r="H878" s="501"/>
      <c r="I878" s="526"/>
      <c r="J878" s="501"/>
      <c r="K878" s="204"/>
    </row>
    <row r="879" spans="1:12" ht="28.15" customHeight="1" x14ac:dyDescent="0.25">
      <c r="A879" s="579" t="s">
        <v>897</v>
      </c>
      <c r="B879" s="490">
        <v>907</v>
      </c>
      <c r="C879" s="492" t="s">
        <v>491</v>
      </c>
      <c r="D879" s="492" t="s">
        <v>234</v>
      </c>
      <c r="E879" s="492" t="s">
        <v>860</v>
      </c>
      <c r="F879" s="492"/>
      <c r="G879" s="497">
        <f>G880</f>
        <v>4917.99</v>
      </c>
      <c r="H879" s="501"/>
      <c r="I879" s="526"/>
      <c r="J879" s="501"/>
      <c r="K879" s="204"/>
    </row>
    <row r="880" spans="1:12" ht="64.5" customHeight="1" x14ac:dyDescent="0.25">
      <c r="A880" s="579" t="s">
        <v>127</v>
      </c>
      <c r="B880" s="490">
        <v>907</v>
      </c>
      <c r="C880" s="492" t="s">
        <v>491</v>
      </c>
      <c r="D880" s="492" t="s">
        <v>234</v>
      </c>
      <c r="E880" s="492" t="s">
        <v>860</v>
      </c>
      <c r="F880" s="492" t="s">
        <v>128</v>
      </c>
      <c r="G880" s="497">
        <f>G881</f>
        <v>4917.99</v>
      </c>
      <c r="H880" s="501"/>
      <c r="I880" s="526"/>
      <c r="J880" s="501"/>
      <c r="K880" s="204"/>
    </row>
    <row r="881" spans="1:11" ht="31.5" x14ac:dyDescent="0.25">
      <c r="A881" s="579" t="s">
        <v>129</v>
      </c>
      <c r="B881" s="490">
        <v>907</v>
      </c>
      <c r="C881" s="492" t="s">
        <v>491</v>
      </c>
      <c r="D881" s="492" t="s">
        <v>234</v>
      </c>
      <c r="E881" s="492" t="s">
        <v>860</v>
      </c>
      <c r="F881" s="492" t="s">
        <v>130</v>
      </c>
      <c r="G881" s="27">
        <f>4917.99</f>
        <v>4917.99</v>
      </c>
      <c r="H881" s="501"/>
      <c r="I881" s="526"/>
      <c r="J881" s="501"/>
      <c r="K881" s="204"/>
    </row>
    <row r="882" spans="1:11" s="578" customFormat="1" ht="31.5" x14ac:dyDescent="0.25">
      <c r="A882" s="579" t="s">
        <v>840</v>
      </c>
      <c r="B882" s="490">
        <v>907</v>
      </c>
      <c r="C882" s="580" t="s">
        <v>491</v>
      </c>
      <c r="D882" s="580" t="s">
        <v>234</v>
      </c>
      <c r="E882" s="580" t="s">
        <v>861</v>
      </c>
      <c r="F882" s="580"/>
      <c r="G882" s="27">
        <f>G883+G885+G887</f>
        <v>5026.8</v>
      </c>
      <c r="H882" s="501"/>
      <c r="I882" s="526"/>
      <c r="J882" s="501"/>
    </row>
    <row r="883" spans="1:11" s="578" customFormat="1" ht="63" x14ac:dyDescent="0.25">
      <c r="A883" s="579" t="s">
        <v>127</v>
      </c>
      <c r="B883" s="490">
        <v>907</v>
      </c>
      <c r="C883" s="580" t="s">
        <v>491</v>
      </c>
      <c r="D883" s="580" t="s">
        <v>234</v>
      </c>
      <c r="E883" s="580" t="s">
        <v>861</v>
      </c>
      <c r="F883" s="580" t="s">
        <v>128</v>
      </c>
      <c r="G883" s="27">
        <f>G884</f>
        <v>4700.5</v>
      </c>
      <c r="H883" s="501"/>
      <c r="I883" s="526"/>
      <c r="J883" s="501"/>
    </row>
    <row r="884" spans="1:11" s="578" customFormat="1" ht="31.5" x14ac:dyDescent="0.25">
      <c r="A884" s="579" t="s">
        <v>129</v>
      </c>
      <c r="B884" s="490">
        <v>907</v>
      </c>
      <c r="C884" s="580" t="s">
        <v>491</v>
      </c>
      <c r="D884" s="580" t="s">
        <v>234</v>
      </c>
      <c r="E884" s="580" t="s">
        <v>861</v>
      </c>
      <c r="F884" s="580" t="s">
        <v>130</v>
      </c>
      <c r="G884" s="27">
        <v>4700.5</v>
      </c>
      <c r="H884" s="501"/>
      <c r="I884" s="526"/>
      <c r="J884" s="501"/>
    </row>
    <row r="885" spans="1:11" s="578" customFormat="1" ht="31.5" x14ac:dyDescent="0.25">
      <c r="A885" s="579" t="s">
        <v>131</v>
      </c>
      <c r="B885" s="490">
        <v>907</v>
      </c>
      <c r="C885" s="580" t="s">
        <v>491</v>
      </c>
      <c r="D885" s="580" t="s">
        <v>234</v>
      </c>
      <c r="E885" s="580" t="s">
        <v>861</v>
      </c>
      <c r="F885" s="580" t="s">
        <v>132</v>
      </c>
      <c r="G885" s="27">
        <f>G886</f>
        <v>275.3</v>
      </c>
      <c r="H885" s="501"/>
      <c r="I885" s="526"/>
      <c r="J885" s="501"/>
    </row>
    <row r="886" spans="1:11" s="578" customFormat="1" ht="31.5" x14ac:dyDescent="0.25">
      <c r="A886" s="579" t="s">
        <v>133</v>
      </c>
      <c r="B886" s="490">
        <v>907</v>
      </c>
      <c r="C886" s="580" t="s">
        <v>491</v>
      </c>
      <c r="D886" s="580" t="s">
        <v>234</v>
      </c>
      <c r="E886" s="580" t="s">
        <v>861</v>
      </c>
      <c r="F886" s="580" t="s">
        <v>134</v>
      </c>
      <c r="G886" s="27">
        <v>275.3</v>
      </c>
      <c r="H886" s="501"/>
      <c r="I886" s="526"/>
      <c r="J886" s="501"/>
    </row>
    <row r="887" spans="1:11" s="578" customFormat="1" ht="15.75" x14ac:dyDescent="0.25">
      <c r="A887" s="579" t="s">
        <v>135</v>
      </c>
      <c r="B887" s="490">
        <v>907</v>
      </c>
      <c r="C887" s="580" t="s">
        <v>491</v>
      </c>
      <c r="D887" s="580" t="s">
        <v>234</v>
      </c>
      <c r="E887" s="580" t="s">
        <v>861</v>
      </c>
      <c r="F887" s="580" t="s">
        <v>145</v>
      </c>
      <c r="G887" s="27">
        <f>G888</f>
        <v>51</v>
      </c>
      <c r="H887" s="501"/>
      <c r="I887" s="526"/>
      <c r="J887" s="501"/>
    </row>
    <row r="888" spans="1:11" s="578" customFormat="1" ht="15.75" x14ac:dyDescent="0.25">
      <c r="A888" s="579" t="s">
        <v>568</v>
      </c>
      <c r="B888" s="490">
        <v>907</v>
      </c>
      <c r="C888" s="580" t="s">
        <v>491</v>
      </c>
      <c r="D888" s="580" t="s">
        <v>234</v>
      </c>
      <c r="E888" s="580" t="s">
        <v>861</v>
      </c>
      <c r="F888" s="580" t="s">
        <v>138</v>
      </c>
      <c r="G888" s="27">
        <v>51</v>
      </c>
      <c r="H888" s="501"/>
      <c r="I888" s="526"/>
      <c r="J888" s="501"/>
    </row>
    <row r="889" spans="1:11" s="204" customFormat="1" ht="36.75" customHeight="1" x14ac:dyDescent="0.25">
      <c r="A889" s="579" t="s">
        <v>839</v>
      </c>
      <c r="B889" s="490">
        <v>907</v>
      </c>
      <c r="C889" s="492" t="s">
        <v>491</v>
      </c>
      <c r="D889" s="492" t="s">
        <v>234</v>
      </c>
      <c r="E889" s="492" t="s">
        <v>862</v>
      </c>
      <c r="F889" s="492"/>
      <c r="G889" s="497">
        <f>G890</f>
        <v>645</v>
      </c>
      <c r="H889" s="501"/>
      <c r="I889" s="526"/>
      <c r="J889" s="501"/>
    </row>
    <row r="890" spans="1:11" s="204" customFormat="1" ht="47.25" customHeight="1" x14ac:dyDescent="0.25">
      <c r="A890" s="579" t="s">
        <v>127</v>
      </c>
      <c r="B890" s="490">
        <v>907</v>
      </c>
      <c r="C890" s="492" t="s">
        <v>491</v>
      </c>
      <c r="D890" s="492" t="s">
        <v>234</v>
      </c>
      <c r="E890" s="492" t="s">
        <v>862</v>
      </c>
      <c r="F890" s="492" t="s">
        <v>128</v>
      </c>
      <c r="G890" s="497">
        <f>G891</f>
        <v>645</v>
      </c>
      <c r="H890" s="501"/>
      <c r="I890" s="526"/>
      <c r="J890" s="501"/>
    </row>
    <row r="891" spans="1:11" s="204" customFormat="1" ht="34.5" customHeight="1" x14ac:dyDescent="0.25">
      <c r="A891" s="579" t="s">
        <v>129</v>
      </c>
      <c r="B891" s="490">
        <v>907</v>
      </c>
      <c r="C891" s="492" t="s">
        <v>491</v>
      </c>
      <c r="D891" s="492" t="s">
        <v>234</v>
      </c>
      <c r="E891" s="492" t="s">
        <v>862</v>
      </c>
      <c r="F891" s="492" t="s">
        <v>130</v>
      </c>
      <c r="G891" s="497">
        <f>258+387</f>
        <v>645</v>
      </c>
      <c r="H891" s="501"/>
      <c r="I891" s="526"/>
      <c r="J891" s="501"/>
    </row>
    <row r="892" spans="1:11" ht="15.75" hidden="1" x14ac:dyDescent="0.25">
      <c r="A892" s="494" t="s">
        <v>141</v>
      </c>
      <c r="B892" s="491">
        <v>907</v>
      </c>
      <c r="C892" s="495" t="s">
        <v>491</v>
      </c>
      <c r="D892" s="495" t="s">
        <v>234</v>
      </c>
      <c r="E892" s="495" t="s">
        <v>866</v>
      </c>
      <c r="F892" s="495"/>
      <c r="G892" s="493">
        <f>G893</f>
        <v>0</v>
      </c>
      <c r="H892" s="501"/>
      <c r="I892" s="526"/>
      <c r="J892" s="501"/>
      <c r="K892" s="204"/>
    </row>
    <row r="893" spans="1:11" s="204" customFormat="1" ht="31.5" hidden="1" x14ac:dyDescent="0.25">
      <c r="A893" s="494" t="s">
        <v>929</v>
      </c>
      <c r="B893" s="491">
        <v>907</v>
      </c>
      <c r="C893" s="495" t="s">
        <v>491</v>
      </c>
      <c r="D893" s="495" t="s">
        <v>234</v>
      </c>
      <c r="E893" s="495" t="s">
        <v>914</v>
      </c>
      <c r="F893" s="495"/>
      <c r="G893" s="493">
        <f>G894+G901</f>
        <v>0</v>
      </c>
      <c r="H893" s="501"/>
      <c r="I893" s="526"/>
      <c r="J893" s="501"/>
    </row>
    <row r="894" spans="1:11" ht="31.5" hidden="1" x14ac:dyDescent="0.25">
      <c r="A894" s="496" t="s">
        <v>903</v>
      </c>
      <c r="B894" s="490">
        <v>907</v>
      </c>
      <c r="C894" s="492" t="s">
        <v>491</v>
      </c>
      <c r="D894" s="492" t="s">
        <v>234</v>
      </c>
      <c r="E894" s="492" t="s">
        <v>915</v>
      </c>
      <c r="F894" s="492"/>
      <c r="G894" s="497">
        <f>G895+G897+G899</f>
        <v>0</v>
      </c>
      <c r="H894" s="501"/>
      <c r="I894" s="526"/>
      <c r="J894" s="501"/>
      <c r="K894" s="204"/>
    </row>
    <row r="895" spans="1:11" ht="72.75" hidden="1" customHeight="1" x14ac:dyDescent="0.25">
      <c r="A895" s="496" t="s">
        <v>127</v>
      </c>
      <c r="B895" s="490">
        <v>907</v>
      </c>
      <c r="C895" s="492" t="s">
        <v>491</v>
      </c>
      <c r="D895" s="492" t="s">
        <v>234</v>
      </c>
      <c r="E895" s="492" t="s">
        <v>915</v>
      </c>
      <c r="F895" s="492" t="s">
        <v>128</v>
      </c>
      <c r="G895" s="497">
        <f>G896</f>
        <v>0</v>
      </c>
      <c r="H895" s="501"/>
      <c r="I895" s="526"/>
      <c r="J895" s="501"/>
      <c r="K895" s="204"/>
    </row>
    <row r="896" spans="1:11" ht="25.5" hidden="1" customHeight="1" x14ac:dyDescent="0.25">
      <c r="A896" s="496" t="s">
        <v>342</v>
      </c>
      <c r="B896" s="490">
        <v>907</v>
      </c>
      <c r="C896" s="492" t="s">
        <v>491</v>
      </c>
      <c r="D896" s="492" t="s">
        <v>234</v>
      </c>
      <c r="E896" s="492" t="s">
        <v>915</v>
      </c>
      <c r="F896" s="492" t="s">
        <v>209</v>
      </c>
      <c r="G896" s="27"/>
      <c r="H896" s="501"/>
      <c r="I896" s="526"/>
      <c r="J896" s="501"/>
      <c r="K896" s="204"/>
    </row>
    <row r="897" spans="1:11" ht="31.5" hidden="1" x14ac:dyDescent="0.25">
      <c r="A897" s="496" t="s">
        <v>131</v>
      </c>
      <c r="B897" s="490">
        <v>907</v>
      </c>
      <c r="C897" s="492" t="s">
        <v>491</v>
      </c>
      <c r="D897" s="492" t="s">
        <v>234</v>
      </c>
      <c r="E897" s="492" t="s">
        <v>915</v>
      </c>
      <c r="F897" s="492" t="s">
        <v>132</v>
      </c>
      <c r="G897" s="497">
        <f>G898</f>
        <v>0</v>
      </c>
      <c r="H897" s="501"/>
      <c r="I897" s="526"/>
      <c r="J897" s="501"/>
      <c r="K897" s="204"/>
    </row>
    <row r="898" spans="1:11" ht="31.5" hidden="1" x14ac:dyDescent="0.25">
      <c r="A898" s="496" t="s">
        <v>133</v>
      </c>
      <c r="B898" s="490">
        <v>907</v>
      </c>
      <c r="C898" s="492" t="s">
        <v>491</v>
      </c>
      <c r="D898" s="492" t="s">
        <v>234</v>
      </c>
      <c r="E898" s="492" t="s">
        <v>915</v>
      </c>
      <c r="F898" s="492" t="s">
        <v>134</v>
      </c>
      <c r="G898" s="27"/>
      <c r="H898" s="501"/>
      <c r="I898" s="526"/>
      <c r="J898" s="501"/>
      <c r="K898" s="204"/>
    </row>
    <row r="899" spans="1:11" ht="15.75" hidden="1" x14ac:dyDescent="0.25">
      <c r="A899" s="496" t="s">
        <v>135</v>
      </c>
      <c r="B899" s="490">
        <v>907</v>
      </c>
      <c r="C899" s="492" t="s">
        <v>491</v>
      </c>
      <c r="D899" s="492" t="s">
        <v>234</v>
      </c>
      <c r="E899" s="492" t="s">
        <v>915</v>
      </c>
      <c r="F899" s="492" t="s">
        <v>145</v>
      </c>
      <c r="G899" s="497">
        <f>G900</f>
        <v>0</v>
      </c>
      <c r="H899" s="501"/>
      <c r="I899" s="526"/>
      <c r="J899" s="501"/>
      <c r="K899" s="204"/>
    </row>
    <row r="900" spans="1:11" ht="15.75" hidden="1" x14ac:dyDescent="0.25">
      <c r="A900" s="496" t="s">
        <v>568</v>
      </c>
      <c r="B900" s="490">
        <v>907</v>
      </c>
      <c r="C900" s="492" t="s">
        <v>491</v>
      </c>
      <c r="D900" s="492" t="s">
        <v>234</v>
      </c>
      <c r="E900" s="492" t="s">
        <v>915</v>
      </c>
      <c r="F900" s="492" t="s">
        <v>138</v>
      </c>
      <c r="G900" s="497"/>
      <c r="H900" s="501"/>
      <c r="I900" s="526"/>
      <c r="J900" s="501"/>
      <c r="K900" s="204"/>
    </row>
    <row r="901" spans="1:11" s="204" customFormat="1" ht="31.5" hidden="1" x14ac:dyDescent="0.25">
      <c r="A901" s="496" t="s">
        <v>839</v>
      </c>
      <c r="B901" s="490">
        <v>907</v>
      </c>
      <c r="C901" s="492" t="s">
        <v>491</v>
      </c>
      <c r="D901" s="492" t="s">
        <v>234</v>
      </c>
      <c r="E901" s="492" t="s">
        <v>916</v>
      </c>
      <c r="F901" s="492"/>
      <c r="G901" s="497">
        <f>G902</f>
        <v>0</v>
      </c>
      <c r="H901" s="501"/>
      <c r="I901" s="526"/>
      <c r="J901" s="501"/>
    </row>
    <row r="902" spans="1:11" s="204" customFormat="1" ht="63" hidden="1" x14ac:dyDescent="0.25">
      <c r="A902" s="496" t="s">
        <v>127</v>
      </c>
      <c r="B902" s="490">
        <v>907</v>
      </c>
      <c r="C902" s="492" t="s">
        <v>491</v>
      </c>
      <c r="D902" s="492" t="s">
        <v>234</v>
      </c>
      <c r="E902" s="492" t="s">
        <v>916</v>
      </c>
      <c r="F902" s="492" t="s">
        <v>128</v>
      </c>
      <c r="G902" s="497">
        <f>G903</f>
        <v>0</v>
      </c>
      <c r="H902" s="501"/>
      <c r="I902" s="526"/>
      <c r="J902" s="501"/>
    </row>
    <row r="903" spans="1:11" s="204" customFormat="1" ht="15.75" hidden="1" x14ac:dyDescent="0.25">
      <c r="A903" s="496" t="s">
        <v>342</v>
      </c>
      <c r="B903" s="490">
        <v>907</v>
      </c>
      <c r="C903" s="492" t="s">
        <v>491</v>
      </c>
      <c r="D903" s="492" t="s">
        <v>234</v>
      </c>
      <c r="E903" s="492" t="s">
        <v>916</v>
      </c>
      <c r="F903" s="492" t="s">
        <v>209</v>
      </c>
      <c r="G903" s="497"/>
      <c r="H903" s="501"/>
      <c r="I903" s="526"/>
      <c r="J903" s="501"/>
    </row>
    <row r="904" spans="1:11" s="204" customFormat="1" ht="31.5" x14ac:dyDescent="0.25">
      <c r="A904" s="572" t="s">
        <v>1360</v>
      </c>
      <c r="B904" s="491">
        <v>907</v>
      </c>
      <c r="C904" s="495" t="s">
        <v>491</v>
      </c>
      <c r="D904" s="495" t="s">
        <v>234</v>
      </c>
      <c r="E904" s="7" t="s">
        <v>482</v>
      </c>
      <c r="F904" s="495"/>
      <c r="G904" s="493">
        <f>G905</f>
        <v>2700</v>
      </c>
      <c r="H904" s="501"/>
      <c r="I904" s="526"/>
      <c r="J904" s="501"/>
    </row>
    <row r="905" spans="1:11" s="204" customFormat="1" ht="31.5" x14ac:dyDescent="0.25">
      <c r="A905" s="58" t="s">
        <v>951</v>
      </c>
      <c r="B905" s="491">
        <v>907</v>
      </c>
      <c r="C905" s="495" t="s">
        <v>491</v>
      </c>
      <c r="D905" s="495" t="s">
        <v>234</v>
      </c>
      <c r="E905" s="7" t="s">
        <v>1271</v>
      </c>
      <c r="F905" s="495"/>
      <c r="G905" s="493">
        <f>G906</f>
        <v>2700</v>
      </c>
      <c r="H905" s="501"/>
      <c r="I905" s="526"/>
      <c r="J905" s="501"/>
    </row>
    <row r="906" spans="1:11" s="204" customFormat="1" ht="15.75" x14ac:dyDescent="0.25">
      <c r="A906" s="29" t="s">
        <v>952</v>
      </c>
      <c r="B906" s="490">
        <v>907</v>
      </c>
      <c r="C906" s="492" t="s">
        <v>491</v>
      </c>
      <c r="D906" s="492" t="s">
        <v>234</v>
      </c>
      <c r="E906" s="499" t="s">
        <v>1272</v>
      </c>
      <c r="F906" s="492"/>
      <c r="G906" s="497">
        <f>G907+G909</f>
        <v>2700</v>
      </c>
      <c r="H906" s="501"/>
      <c r="I906" s="526"/>
      <c r="J906" s="501"/>
    </row>
    <row r="907" spans="1:11" s="204" customFormat="1" ht="63" x14ac:dyDescent="0.25">
      <c r="A907" s="579" t="s">
        <v>127</v>
      </c>
      <c r="B907" s="490">
        <v>907</v>
      </c>
      <c r="C907" s="492" t="s">
        <v>491</v>
      </c>
      <c r="D907" s="492" t="s">
        <v>234</v>
      </c>
      <c r="E907" s="499" t="s">
        <v>1272</v>
      </c>
      <c r="F907" s="492" t="s">
        <v>128</v>
      </c>
      <c r="G907" s="497">
        <f>G908</f>
        <v>2286</v>
      </c>
      <c r="H907" s="501"/>
      <c r="I907" s="526"/>
      <c r="J907" s="501"/>
    </row>
    <row r="908" spans="1:11" s="204" customFormat="1" ht="15.75" x14ac:dyDescent="0.25">
      <c r="A908" s="579" t="s">
        <v>342</v>
      </c>
      <c r="B908" s="490">
        <v>907</v>
      </c>
      <c r="C908" s="492" t="s">
        <v>491</v>
      </c>
      <c r="D908" s="492" t="s">
        <v>234</v>
      </c>
      <c r="E908" s="499" t="s">
        <v>1272</v>
      </c>
      <c r="F908" s="492" t="s">
        <v>209</v>
      </c>
      <c r="G908" s="497">
        <v>2286</v>
      </c>
      <c r="H908" s="501"/>
      <c r="I908" s="526"/>
      <c r="J908" s="501"/>
    </row>
    <row r="909" spans="1:11" s="204" customFormat="1" ht="31.5" x14ac:dyDescent="0.25">
      <c r="A909" s="29" t="s">
        <v>131</v>
      </c>
      <c r="B909" s="490">
        <v>907</v>
      </c>
      <c r="C909" s="492" t="s">
        <v>491</v>
      </c>
      <c r="D909" s="492" t="s">
        <v>234</v>
      </c>
      <c r="E909" s="499" t="s">
        <v>1272</v>
      </c>
      <c r="F909" s="492" t="s">
        <v>132</v>
      </c>
      <c r="G909" s="497">
        <f>G910</f>
        <v>414</v>
      </c>
      <c r="H909" s="501"/>
      <c r="I909" s="526"/>
      <c r="J909" s="501"/>
    </row>
    <row r="910" spans="1:11" s="204" customFormat="1" ht="31.5" x14ac:dyDescent="0.25">
      <c r="A910" s="29" t="s">
        <v>133</v>
      </c>
      <c r="B910" s="490">
        <v>907</v>
      </c>
      <c r="C910" s="492" t="s">
        <v>491</v>
      </c>
      <c r="D910" s="492" t="s">
        <v>234</v>
      </c>
      <c r="E910" s="499" t="s">
        <v>1272</v>
      </c>
      <c r="F910" s="492" t="s">
        <v>134</v>
      </c>
      <c r="G910" s="497">
        <v>414</v>
      </c>
      <c r="H910" s="501"/>
      <c r="I910" s="526"/>
      <c r="J910" s="501"/>
    </row>
    <row r="911" spans="1:11" ht="31.5" x14ac:dyDescent="0.25">
      <c r="A911" s="491" t="s">
        <v>504</v>
      </c>
      <c r="B911" s="491">
        <v>908</v>
      </c>
      <c r="C911" s="492"/>
      <c r="D911" s="492"/>
      <c r="E911" s="492"/>
      <c r="F911" s="492"/>
      <c r="G911" s="493">
        <f>G926+G933+G954+G1145+G912</f>
        <v>111505.23999999999</v>
      </c>
      <c r="H911" s="501"/>
      <c r="I911" s="526"/>
      <c r="J911" s="501"/>
      <c r="K911" s="204"/>
    </row>
    <row r="912" spans="1:11" ht="15.75" x14ac:dyDescent="0.25">
      <c r="A912" s="34" t="s">
        <v>117</v>
      </c>
      <c r="B912" s="491">
        <v>908</v>
      </c>
      <c r="C912" s="495" t="s">
        <v>118</v>
      </c>
      <c r="D912" s="492"/>
      <c r="E912" s="492"/>
      <c r="F912" s="492"/>
      <c r="G912" s="493">
        <f t="shared" ref="G912:G914" si="75">G913</f>
        <v>44947.439999999995</v>
      </c>
      <c r="H912" s="501"/>
      <c r="I912" s="526"/>
      <c r="J912" s="501"/>
      <c r="K912" s="204"/>
    </row>
    <row r="913" spans="1:11" ht="15.75" x14ac:dyDescent="0.25">
      <c r="A913" s="34" t="s">
        <v>139</v>
      </c>
      <c r="B913" s="491">
        <v>908</v>
      </c>
      <c r="C913" s="495" t="s">
        <v>118</v>
      </c>
      <c r="D913" s="495" t="s">
        <v>140</v>
      </c>
      <c r="E913" s="492"/>
      <c r="F913" s="492"/>
      <c r="G913" s="493">
        <f t="shared" si="75"/>
        <v>44947.439999999995</v>
      </c>
      <c r="H913" s="501"/>
      <c r="I913" s="526"/>
      <c r="J913" s="501"/>
      <c r="K913" s="204"/>
    </row>
    <row r="914" spans="1:11" ht="21.2" customHeight="1" x14ac:dyDescent="0.25">
      <c r="A914" s="494" t="s">
        <v>141</v>
      </c>
      <c r="B914" s="491">
        <v>908</v>
      </c>
      <c r="C914" s="495" t="s">
        <v>118</v>
      </c>
      <c r="D914" s="495" t="s">
        <v>140</v>
      </c>
      <c r="E914" s="495" t="s">
        <v>866</v>
      </c>
      <c r="F914" s="495"/>
      <c r="G914" s="44">
        <f t="shared" si="75"/>
        <v>44947.439999999995</v>
      </c>
      <c r="H914" s="501"/>
      <c r="I914" s="526"/>
      <c r="J914" s="501"/>
      <c r="K914" s="204"/>
    </row>
    <row r="915" spans="1:11" ht="15.75" x14ac:dyDescent="0.25">
      <c r="A915" s="494" t="s">
        <v>954</v>
      </c>
      <c r="B915" s="491">
        <v>908</v>
      </c>
      <c r="C915" s="495" t="s">
        <v>118</v>
      </c>
      <c r="D915" s="495" t="s">
        <v>140</v>
      </c>
      <c r="E915" s="495" t="s">
        <v>953</v>
      </c>
      <c r="F915" s="495"/>
      <c r="G915" s="44">
        <f>G919+G916</f>
        <v>44947.439999999995</v>
      </c>
      <c r="H915" s="501"/>
      <c r="I915" s="526"/>
      <c r="J915" s="501"/>
      <c r="K915" s="204"/>
    </row>
    <row r="916" spans="1:11" s="204" customFormat="1" ht="31.5" x14ac:dyDescent="0.25">
      <c r="A916" s="579" t="s">
        <v>839</v>
      </c>
      <c r="B916" s="490">
        <v>908</v>
      </c>
      <c r="C916" s="492" t="s">
        <v>118</v>
      </c>
      <c r="D916" s="492" t="s">
        <v>140</v>
      </c>
      <c r="E916" s="492" t="s">
        <v>956</v>
      </c>
      <c r="F916" s="492"/>
      <c r="G916" s="497">
        <f>G917</f>
        <v>1118</v>
      </c>
      <c r="H916" s="501"/>
      <c r="I916" s="526"/>
      <c r="J916" s="501"/>
    </row>
    <row r="917" spans="1:11" s="204" customFormat="1" ht="63" x14ac:dyDescent="0.25">
      <c r="A917" s="579" t="s">
        <v>127</v>
      </c>
      <c r="B917" s="490">
        <v>908</v>
      </c>
      <c r="C917" s="492" t="s">
        <v>118</v>
      </c>
      <c r="D917" s="492" t="s">
        <v>140</v>
      </c>
      <c r="E917" s="492" t="s">
        <v>956</v>
      </c>
      <c r="F917" s="492" t="s">
        <v>128</v>
      </c>
      <c r="G917" s="497">
        <f>G918</f>
        <v>1118</v>
      </c>
      <c r="H917" s="501"/>
      <c r="I917" s="526"/>
      <c r="J917" s="501"/>
    </row>
    <row r="918" spans="1:11" s="204" customFormat="1" ht="31.5" x14ac:dyDescent="0.25">
      <c r="A918" s="579" t="s">
        <v>129</v>
      </c>
      <c r="B918" s="490">
        <v>908</v>
      </c>
      <c r="C918" s="492" t="s">
        <v>118</v>
      </c>
      <c r="D918" s="492" t="s">
        <v>140</v>
      </c>
      <c r="E918" s="492" t="s">
        <v>956</v>
      </c>
      <c r="F918" s="492" t="s">
        <v>209</v>
      </c>
      <c r="G918" s="497">
        <v>1118</v>
      </c>
      <c r="H918" s="501"/>
      <c r="I918" s="526"/>
      <c r="J918" s="501"/>
    </row>
    <row r="919" spans="1:11" s="204" customFormat="1" ht="15.75" x14ac:dyDescent="0.25">
      <c r="A919" s="579" t="s">
        <v>801</v>
      </c>
      <c r="B919" s="490">
        <v>908</v>
      </c>
      <c r="C919" s="492" t="s">
        <v>118</v>
      </c>
      <c r="D919" s="492" t="s">
        <v>140</v>
      </c>
      <c r="E919" s="492" t="s">
        <v>955</v>
      </c>
      <c r="F919" s="492"/>
      <c r="G919" s="27">
        <f>G920+G922+G924</f>
        <v>43829.439999999995</v>
      </c>
      <c r="H919" s="501"/>
      <c r="I919" s="526"/>
      <c r="J919" s="501"/>
    </row>
    <row r="920" spans="1:11" ht="74.25" customHeight="1" x14ac:dyDescent="0.25">
      <c r="A920" s="579" t="s">
        <v>127</v>
      </c>
      <c r="B920" s="490">
        <v>908</v>
      </c>
      <c r="C920" s="492" t="s">
        <v>118</v>
      </c>
      <c r="D920" s="492" t="s">
        <v>140</v>
      </c>
      <c r="E920" s="492" t="s">
        <v>955</v>
      </c>
      <c r="F920" s="492" t="s">
        <v>128</v>
      </c>
      <c r="G920" s="27">
        <f>G921</f>
        <v>34371.339999999997</v>
      </c>
      <c r="H920" s="501"/>
      <c r="I920" s="526"/>
      <c r="J920" s="501"/>
      <c r="K920" s="204"/>
    </row>
    <row r="921" spans="1:11" ht="15.75" x14ac:dyDescent="0.25">
      <c r="A921" s="46" t="s">
        <v>342</v>
      </c>
      <c r="B921" s="490">
        <v>908</v>
      </c>
      <c r="C921" s="492" t="s">
        <v>118</v>
      </c>
      <c r="D921" s="492" t="s">
        <v>140</v>
      </c>
      <c r="E921" s="492" t="s">
        <v>955</v>
      </c>
      <c r="F921" s="492" t="s">
        <v>209</v>
      </c>
      <c r="G921" s="27">
        <f>34371.34</f>
        <v>34371.339999999997</v>
      </c>
      <c r="H921" s="501"/>
      <c r="I921" s="526"/>
      <c r="J921" s="526"/>
      <c r="K921" s="204"/>
    </row>
    <row r="922" spans="1:11" ht="31.5" x14ac:dyDescent="0.25">
      <c r="A922" s="579" t="s">
        <v>131</v>
      </c>
      <c r="B922" s="490">
        <v>908</v>
      </c>
      <c r="C922" s="492" t="s">
        <v>118</v>
      </c>
      <c r="D922" s="492" t="s">
        <v>140</v>
      </c>
      <c r="E922" s="492" t="s">
        <v>955</v>
      </c>
      <c r="F922" s="492" t="s">
        <v>132</v>
      </c>
      <c r="G922" s="27">
        <f>G923</f>
        <v>9037.0999999999985</v>
      </c>
      <c r="H922" s="501"/>
      <c r="I922" s="526"/>
      <c r="J922" s="501"/>
      <c r="K922" s="204"/>
    </row>
    <row r="923" spans="1:11" ht="31.5" x14ac:dyDescent="0.25">
      <c r="A923" s="579" t="s">
        <v>133</v>
      </c>
      <c r="B923" s="490">
        <v>908</v>
      </c>
      <c r="C923" s="492" t="s">
        <v>118</v>
      </c>
      <c r="D923" s="492" t="s">
        <v>140</v>
      </c>
      <c r="E923" s="492" t="s">
        <v>955</v>
      </c>
      <c r="F923" s="492" t="s">
        <v>134</v>
      </c>
      <c r="G923" s="27">
        <f>9244.3-207.2</f>
        <v>9037.0999999999985</v>
      </c>
      <c r="H923" s="162"/>
      <c r="I923" s="534"/>
      <c r="J923" s="501"/>
      <c r="K923" s="531"/>
    </row>
    <row r="924" spans="1:11" ht="15.75" x14ac:dyDescent="0.25">
      <c r="A924" s="579" t="s">
        <v>135</v>
      </c>
      <c r="B924" s="490">
        <v>908</v>
      </c>
      <c r="C924" s="492" t="s">
        <v>118</v>
      </c>
      <c r="D924" s="492" t="s">
        <v>140</v>
      </c>
      <c r="E924" s="492" t="s">
        <v>955</v>
      </c>
      <c r="F924" s="492" t="s">
        <v>145</v>
      </c>
      <c r="G924" s="27">
        <f>G925</f>
        <v>421</v>
      </c>
      <c r="H924" s="501"/>
      <c r="I924" s="534"/>
      <c r="J924" s="501"/>
      <c r="K924" s="472"/>
    </row>
    <row r="925" spans="1:11" ht="15.75" x14ac:dyDescent="0.25">
      <c r="A925" s="579" t="s">
        <v>704</v>
      </c>
      <c r="B925" s="490">
        <v>908</v>
      </c>
      <c r="C925" s="492" t="s">
        <v>118</v>
      </c>
      <c r="D925" s="492" t="s">
        <v>140</v>
      </c>
      <c r="E925" s="492" t="s">
        <v>955</v>
      </c>
      <c r="F925" s="492" t="s">
        <v>138</v>
      </c>
      <c r="G925" s="27">
        <v>421</v>
      </c>
      <c r="H925" s="501"/>
      <c r="I925" s="534"/>
      <c r="J925" s="501"/>
      <c r="K925" s="472"/>
    </row>
    <row r="926" spans="1:11" ht="31.5" x14ac:dyDescent="0.25">
      <c r="A926" s="494" t="s">
        <v>222</v>
      </c>
      <c r="B926" s="491">
        <v>908</v>
      </c>
      <c r="C926" s="495" t="s">
        <v>215</v>
      </c>
      <c r="D926" s="495"/>
      <c r="E926" s="495"/>
      <c r="F926" s="495"/>
      <c r="G926" s="493">
        <f t="shared" ref="G926:G931" si="76">G927</f>
        <v>107</v>
      </c>
      <c r="H926" s="501"/>
      <c r="I926" s="534"/>
      <c r="J926" s="501"/>
      <c r="K926" s="473"/>
    </row>
    <row r="927" spans="1:11" ht="47.85" customHeight="1" x14ac:dyDescent="0.25">
      <c r="A927" s="494" t="s">
        <v>1345</v>
      </c>
      <c r="B927" s="491">
        <v>908</v>
      </c>
      <c r="C927" s="495" t="s">
        <v>215</v>
      </c>
      <c r="D927" s="495" t="s">
        <v>244</v>
      </c>
      <c r="E927" s="495"/>
      <c r="F927" s="495"/>
      <c r="G927" s="493">
        <f t="shared" si="76"/>
        <v>107</v>
      </c>
      <c r="H927" s="501"/>
      <c r="I927" s="526"/>
      <c r="J927" s="501"/>
      <c r="K927" s="204"/>
    </row>
    <row r="928" spans="1:11" ht="21.75" customHeight="1" x14ac:dyDescent="0.25">
      <c r="A928" s="494" t="s">
        <v>141</v>
      </c>
      <c r="B928" s="491">
        <v>908</v>
      </c>
      <c r="C928" s="495" t="s">
        <v>215</v>
      </c>
      <c r="D928" s="495" t="s">
        <v>244</v>
      </c>
      <c r="E928" s="495" t="s">
        <v>866</v>
      </c>
      <c r="F928" s="495"/>
      <c r="G928" s="493">
        <f t="shared" si="76"/>
        <v>107</v>
      </c>
      <c r="H928" s="501"/>
      <c r="I928" s="526"/>
      <c r="J928" s="501"/>
      <c r="K928" s="204"/>
    </row>
    <row r="929" spans="1:11" ht="31.5" x14ac:dyDescent="0.25">
      <c r="A929" s="494" t="s">
        <v>870</v>
      </c>
      <c r="B929" s="491">
        <v>908</v>
      </c>
      <c r="C929" s="495" t="s">
        <v>215</v>
      </c>
      <c r="D929" s="495" t="s">
        <v>244</v>
      </c>
      <c r="E929" s="495" t="s">
        <v>865</v>
      </c>
      <c r="F929" s="495"/>
      <c r="G929" s="493">
        <f t="shared" si="76"/>
        <v>107</v>
      </c>
      <c r="H929" s="501"/>
      <c r="I929" s="526"/>
      <c r="J929" s="501"/>
      <c r="K929" s="204"/>
    </row>
    <row r="930" spans="1:11" ht="15.75" x14ac:dyDescent="0.25">
      <c r="A930" s="579" t="s">
        <v>230</v>
      </c>
      <c r="B930" s="490">
        <v>908</v>
      </c>
      <c r="C930" s="492" t="s">
        <v>215</v>
      </c>
      <c r="D930" s="492" t="s">
        <v>244</v>
      </c>
      <c r="E930" s="492" t="s">
        <v>876</v>
      </c>
      <c r="F930" s="492"/>
      <c r="G930" s="497">
        <f t="shared" si="76"/>
        <v>107</v>
      </c>
      <c r="H930" s="501"/>
      <c r="I930" s="526"/>
      <c r="J930" s="501"/>
      <c r="K930" s="204"/>
    </row>
    <row r="931" spans="1:11" ht="31.5" x14ac:dyDescent="0.25">
      <c r="A931" s="579" t="s">
        <v>131</v>
      </c>
      <c r="B931" s="490">
        <v>908</v>
      </c>
      <c r="C931" s="492" t="s">
        <v>215</v>
      </c>
      <c r="D931" s="492" t="s">
        <v>244</v>
      </c>
      <c r="E931" s="492" t="s">
        <v>876</v>
      </c>
      <c r="F931" s="492" t="s">
        <v>132</v>
      </c>
      <c r="G931" s="497">
        <f t="shared" si="76"/>
        <v>107</v>
      </c>
      <c r="H931" s="501"/>
      <c r="I931" s="526"/>
      <c r="J931" s="501"/>
      <c r="K931" s="204"/>
    </row>
    <row r="932" spans="1:11" ht="31.5" x14ac:dyDescent="0.25">
      <c r="A932" s="579" t="s">
        <v>133</v>
      </c>
      <c r="B932" s="490">
        <v>908</v>
      </c>
      <c r="C932" s="492" t="s">
        <v>215</v>
      </c>
      <c r="D932" s="492" t="s">
        <v>244</v>
      </c>
      <c r="E932" s="492" t="s">
        <v>876</v>
      </c>
      <c r="F932" s="492" t="s">
        <v>134</v>
      </c>
      <c r="G932" s="497">
        <v>107</v>
      </c>
      <c r="H932" s="501"/>
      <c r="I932" s="526"/>
      <c r="J932" s="501"/>
      <c r="K932" s="204"/>
    </row>
    <row r="933" spans="1:11" ht="15.75" x14ac:dyDescent="0.25">
      <c r="A933" s="494" t="s">
        <v>232</v>
      </c>
      <c r="B933" s="491">
        <v>908</v>
      </c>
      <c r="C933" s="495" t="s">
        <v>150</v>
      </c>
      <c r="D933" s="495"/>
      <c r="E933" s="495"/>
      <c r="F933" s="495"/>
      <c r="G933" s="493">
        <f>G934+G940</f>
        <v>6329.6</v>
      </c>
      <c r="H933" s="501"/>
      <c r="I933" s="526"/>
      <c r="J933" s="501"/>
      <c r="K933" s="204"/>
    </row>
    <row r="934" spans="1:11" ht="15.75" x14ac:dyDescent="0.25">
      <c r="A934" s="494" t="s">
        <v>505</v>
      </c>
      <c r="B934" s="491">
        <v>908</v>
      </c>
      <c r="C934" s="495" t="s">
        <v>150</v>
      </c>
      <c r="D934" s="495" t="s">
        <v>299</v>
      </c>
      <c r="E934" s="495"/>
      <c r="F934" s="495"/>
      <c r="G934" s="493">
        <f t="shared" ref="G934:G938" si="77">G935</f>
        <v>3258</v>
      </c>
      <c r="H934" s="501"/>
      <c r="I934" s="526"/>
      <c r="J934" s="501"/>
      <c r="K934" s="204"/>
    </row>
    <row r="935" spans="1:11" ht="15.75" x14ac:dyDescent="0.25">
      <c r="A935" s="494" t="s">
        <v>141</v>
      </c>
      <c r="B935" s="491">
        <v>908</v>
      </c>
      <c r="C935" s="495" t="s">
        <v>150</v>
      </c>
      <c r="D935" s="495" t="s">
        <v>299</v>
      </c>
      <c r="E935" s="495" t="s">
        <v>866</v>
      </c>
      <c r="F935" s="495"/>
      <c r="G935" s="493">
        <f t="shared" si="77"/>
        <v>3258</v>
      </c>
      <c r="H935" s="501"/>
      <c r="I935" s="526"/>
      <c r="J935" s="501"/>
      <c r="K935" s="204"/>
    </row>
    <row r="936" spans="1:11" ht="31.5" x14ac:dyDescent="0.25">
      <c r="A936" s="494" t="s">
        <v>870</v>
      </c>
      <c r="B936" s="491">
        <v>908</v>
      </c>
      <c r="C936" s="495" t="s">
        <v>150</v>
      </c>
      <c r="D936" s="495" t="s">
        <v>299</v>
      </c>
      <c r="E936" s="495" t="s">
        <v>865</v>
      </c>
      <c r="F936" s="495"/>
      <c r="G936" s="493">
        <f t="shared" si="77"/>
        <v>3258</v>
      </c>
      <c r="H936" s="501"/>
      <c r="I936" s="526"/>
      <c r="J936" s="501"/>
      <c r="K936" s="204"/>
    </row>
    <row r="937" spans="1:11" ht="18" customHeight="1" x14ac:dyDescent="0.25">
      <c r="A937" s="579" t="s">
        <v>506</v>
      </c>
      <c r="B937" s="490">
        <v>908</v>
      </c>
      <c r="C937" s="492" t="s">
        <v>150</v>
      </c>
      <c r="D937" s="492" t="s">
        <v>299</v>
      </c>
      <c r="E937" s="492" t="s">
        <v>957</v>
      </c>
      <c r="F937" s="492"/>
      <c r="G937" s="497">
        <f t="shared" si="77"/>
        <v>3258</v>
      </c>
      <c r="H937" s="501"/>
      <c r="I937" s="526"/>
      <c r="J937" s="501"/>
      <c r="K937" s="204"/>
    </row>
    <row r="938" spans="1:11" ht="31.5" x14ac:dyDescent="0.25">
      <c r="A938" s="579" t="s">
        <v>131</v>
      </c>
      <c r="B938" s="490">
        <v>908</v>
      </c>
      <c r="C938" s="492" t="s">
        <v>150</v>
      </c>
      <c r="D938" s="492" t="s">
        <v>299</v>
      </c>
      <c r="E938" s="492" t="s">
        <v>957</v>
      </c>
      <c r="F938" s="492" t="s">
        <v>132</v>
      </c>
      <c r="G938" s="497">
        <f t="shared" si="77"/>
        <v>3258</v>
      </c>
      <c r="H938" s="501"/>
      <c r="I938" s="526"/>
      <c r="J938" s="501"/>
      <c r="K938" s="204"/>
    </row>
    <row r="939" spans="1:11" ht="31.5" x14ac:dyDescent="0.25">
      <c r="A939" s="579" t="s">
        <v>133</v>
      </c>
      <c r="B939" s="490">
        <v>908</v>
      </c>
      <c r="C939" s="492" t="s">
        <v>150</v>
      </c>
      <c r="D939" s="492" t="s">
        <v>299</v>
      </c>
      <c r="E939" s="492" t="s">
        <v>957</v>
      </c>
      <c r="F939" s="492" t="s">
        <v>134</v>
      </c>
      <c r="G939" s="497">
        <v>3258</v>
      </c>
      <c r="H939" s="501"/>
      <c r="I939" s="526"/>
      <c r="J939" s="501"/>
      <c r="K939" s="204"/>
    </row>
    <row r="940" spans="1:11" ht="15.75" x14ac:dyDescent="0.25">
      <c r="A940" s="494" t="s">
        <v>508</v>
      </c>
      <c r="B940" s="491">
        <v>908</v>
      </c>
      <c r="C940" s="495" t="s">
        <v>150</v>
      </c>
      <c r="D940" s="495" t="s">
        <v>219</v>
      </c>
      <c r="E940" s="492"/>
      <c r="F940" s="495"/>
      <c r="G940" s="493">
        <f>G941</f>
        <v>3071.6000000000004</v>
      </c>
      <c r="H940" s="501"/>
      <c r="I940" s="526"/>
      <c r="J940" s="501"/>
      <c r="K940" s="204"/>
    </row>
    <row r="941" spans="1:11" ht="36.75" customHeight="1" x14ac:dyDescent="0.25">
      <c r="A941" s="34" t="s">
        <v>1361</v>
      </c>
      <c r="B941" s="491">
        <v>908</v>
      </c>
      <c r="C941" s="495" t="s">
        <v>150</v>
      </c>
      <c r="D941" s="495" t="s">
        <v>219</v>
      </c>
      <c r="E941" s="495" t="s">
        <v>510</v>
      </c>
      <c r="F941" s="495"/>
      <c r="G941" s="493">
        <f>G947+G942</f>
        <v>3071.6000000000004</v>
      </c>
      <c r="H941" s="501"/>
      <c r="I941" s="526"/>
      <c r="J941" s="501"/>
      <c r="K941" s="204"/>
    </row>
    <row r="942" spans="1:11" s="204" customFormat="1" ht="31.5" hidden="1" x14ac:dyDescent="0.25">
      <c r="A942" s="34" t="s">
        <v>999</v>
      </c>
      <c r="B942" s="491">
        <v>908</v>
      </c>
      <c r="C942" s="495" t="s">
        <v>150</v>
      </c>
      <c r="D942" s="495" t="s">
        <v>219</v>
      </c>
      <c r="E942" s="7" t="s">
        <v>958</v>
      </c>
      <c r="F942" s="495"/>
      <c r="G942" s="493">
        <f t="shared" ref="G942:G944" si="78">G943</f>
        <v>0</v>
      </c>
      <c r="H942" s="501"/>
      <c r="I942" s="526"/>
      <c r="J942" s="501"/>
    </row>
    <row r="943" spans="1:11" s="204" customFormat="1" ht="15.75" hidden="1" x14ac:dyDescent="0.25">
      <c r="A943" s="29" t="s">
        <v>1001</v>
      </c>
      <c r="B943" s="490">
        <v>908</v>
      </c>
      <c r="C943" s="492" t="s">
        <v>150</v>
      </c>
      <c r="D943" s="492" t="s">
        <v>219</v>
      </c>
      <c r="E943" s="499" t="s">
        <v>1000</v>
      </c>
      <c r="F943" s="492"/>
      <c r="G943" s="497">
        <f t="shared" si="78"/>
        <v>0</v>
      </c>
      <c r="H943" s="501"/>
      <c r="I943" s="526"/>
      <c r="J943" s="501"/>
    </row>
    <row r="944" spans="1:11" s="204" customFormat="1" ht="31.5" hidden="1" x14ac:dyDescent="0.25">
      <c r="A944" s="496" t="s">
        <v>131</v>
      </c>
      <c r="B944" s="490">
        <v>908</v>
      </c>
      <c r="C944" s="492" t="s">
        <v>150</v>
      </c>
      <c r="D944" s="492" t="s">
        <v>219</v>
      </c>
      <c r="E944" s="499" t="s">
        <v>1000</v>
      </c>
      <c r="F944" s="492" t="s">
        <v>132</v>
      </c>
      <c r="G944" s="497">
        <f t="shared" si="78"/>
        <v>0</v>
      </c>
      <c r="H944" s="501"/>
      <c r="I944" s="526"/>
      <c r="J944" s="501"/>
    </row>
    <row r="945" spans="1:11" s="204" customFormat="1" ht="31.5" hidden="1" x14ac:dyDescent="0.25">
      <c r="A945" s="496" t="s">
        <v>133</v>
      </c>
      <c r="B945" s="490">
        <v>908</v>
      </c>
      <c r="C945" s="492" t="s">
        <v>150</v>
      </c>
      <c r="D945" s="492" t="s">
        <v>219</v>
      </c>
      <c r="E945" s="499" t="s">
        <v>1000</v>
      </c>
      <c r="F945" s="492" t="s">
        <v>134</v>
      </c>
      <c r="G945" s="497">
        <v>0</v>
      </c>
      <c r="H945" s="501"/>
      <c r="I945" s="526"/>
      <c r="J945" s="501"/>
    </row>
    <row r="946" spans="1:11" s="204" customFormat="1" ht="31.5" x14ac:dyDescent="0.25">
      <c r="A946" s="34" t="s">
        <v>1060</v>
      </c>
      <c r="B946" s="491">
        <v>908</v>
      </c>
      <c r="C946" s="495" t="s">
        <v>150</v>
      </c>
      <c r="D946" s="495" t="s">
        <v>219</v>
      </c>
      <c r="E946" s="495" t="s">
        <v>959</v>
      </c>
      <c r="F946" s="495"/>
      <c r="G946" s="493">
        <f>G947</f>
        <v>3071.6000000000004</v>
      </c>
      <c r="H946" s="501"/>
      <c r="I946" s="526"/>
      <c r="J946" s="501"/>
    </row>
    <row r="947" spans="1:11" ht="15.75" x14ac:dyDescent="0.25">
      <c r="A947" s="29" t="s">
        <v>511</v>
      </c>
      <c r="B947" s="490">
        <v>908</v>
      </c>
      <c r="C947" s="492" t="s">
        <v>150</v>
      </c>
      <c r="D947" s="492" t="s">
        <v>219</v>
      </c>
      <c r="E947" s="499" t="s">
        <v>1002</v>
      </c>
      <c r="F947" s="492"/>
      <c r="G947" s="497">
        <f>G950+G952+G948</f>
        <v>3071.6000000000004</v>
      </c>
      <c r="H947" s="501"/>
      <c r="I947" s="526"/>
      <c r="J947" s="501"/>
      <c r="K947" s="204"/>
    </row>
    <row r="948" spans="1:11" s="204" customFormat="1" ht="63" x14ac:dyDescent="0.25">
      <c r="A948" s="579" t="s">
        <v>127</v>
      </c>
      <c r="B948" s="490">
        <v>908</v>
      </c>
      <c r="C948" s="492" t="s">
        <v>150</v>
      </c>
      <c r="D948" s="492" t="s">
        <v>219</v>
      </c>
      <c r="E948" s="499" t="s">
        <v>1002</v>
      </c>
      <c r="F948" s="492" t="s">
        <v>128</v>
      </c>
      <c r="G948" s="497">
        <f>G949</f>
        <v>1907.4</v>
      </c>
      <c r="H948" s="501"/>
      <c r="I948" s="526"/>
      <c r="J948" s="501"/>
    </row>
    <row r="949" spans="1:11" s="204" customFormat="1" ht="15.75" x14ac:dyDescent="0.25">
      <c r="A949" s="579" t="s">
        <v>342</v>
      </c>
      <c r="B949" s="490">
        <v>908</v>
      </c>
      <c r="C949" s="492" t="s">
        <v>150</v>
      </c>
      <c r="D949" s="492" t="s">
        <v>219</v>
      </c>
      <c r="E949" s="499" t="s">
        <v>1002</v>
      </c>
      <c r="F949" s="492" t="s">
        <v>209</v>
      </c>
      <c r="G949" s="497">
        <f>1907.4</f>
        <v>1907.4</v>
      </c>
      <c r="H949" s="501"/>
      <c r="I949" s="526"/>
      <c r="J949" s="501"/>
    </row>
    <row r="950" spans="1:11" ht="31.5" x14ac:dyDescent="0.25">
      <c r="A950" s="579" t="s">
        <v>131</v>
      </c>
      <c r="B950" s="490">
        <v>908</v>
      </c>
      <c r="C950" s="492" t="s">
        <v>150</v>
      </c>
      <c r="D950" s="492" t="s">
        <v>219</v>
      </c>
      <c r="E950" s="499" t="s">
        <v>1002</v>
      </c>
      <c r="F950" s="492" t="s">
        <v>132</v>
      </c>
      <c r="G950" s="497">
        <f>G951</f>
        <v>1164.2</v>
      </c>
      <c r="H950" s="501"/>
      <c r="I950" s="526"/>
      <c r="J950" s="501"/>
      <c r="K950" s="204"/>
    </row>
    <row r="951" spans="1:11" ht="31.5" x14ac:dyDescent="0.25">
      <c r="A951" s="579" t="s">
        <v>133</v>
      </c>
      <c r="B951" s="490">
        <v>908</v>
      </c>
      <c r="C951" s="492" t="s">
        <v>150</v>
      </c>
      <c r="D951" s="492" t="s">
        <v>219</v>
      </c>
      <c r="E951" s="499" t="s">
        <v>1002</v>
      </c>
      <c r="F951" s="492" t="s">
        <v>134</v>
      </c>
      <c r="G951" s="497">
        <f>957+207.2</f>
        <v>1164.2</v>
      </c>
      <c r="H951" s="501"/>
      <c r="I951" s="526"/>
      <c r="J951" s="501"/>
      <c r="K951" s="204"/>
    </row>
    <row r="952" spans="1:11" ht="15.75" hidden="1" x14ac:dyDescent="0.25">
      <c r="A952" s="496" t="s">
        <v>135</v>
      </c>
      <c r="B952" s="490">
        <v>908</v>
      </c>
      <c r="C952" s="492" t="s">
        <v>150</v>
      </c>
      <c r="D952" s="492" t="s">
        <v>219</v>
      </c>
      <c r="E952" s="499" t="s">
        <v>1002</v>
      </c>
      <c r="F952" s="492" t="s">
        <v>145</v>
      </c>
      <c r="G952" s="497">
        <f>G953</f>
        <v>0</v>
      </c>
      <c r="H952" s="501"/>
      <c r="I952" s="526"/>
      <c r="J952" s="501"/>
      <c r="K952" s="204"/>
    </row>
    <row r="953" spans="1:11" ht="15.75" hidden="1" x14ac:dyDescent="0.25">
      <c r="A953" s="496" t="s">
        <v>568</v>
      </c>
      <c r="B953" s="490">
        <v>908</v>
      </c>
      <c r="C953" s="492" t="s">
        <v>150</v>
      </c>
      <c r="D953" s="492" t="s">
        <v>219</v>
      </c>
      <c r="E953" s="499" t="s">
        <v>1002</v>
      </c>
      <c r="F953" s="492" t="s">
        <v>138</v>
      </c>
      <c r="G953" s="497">
        <v>0</v>
      </c>
      <c r="H953" s="501"/>
      <c r="I953" s="526"/>
      <c r="J953" s="501"/>
      <c r="K953" s="204"/>
    </row>
    <row r="954" spans="1:11" ht="15.75" x14ac:dyDescent="0.25">
      <c r="A954" s="494" t="s">
        <v>390</v>
      </c>
      <c r="B954" s="491">
        <v>908</v>
      </c>
      <c r="C954" s="495" t="s">
        <v>234</v>
      </c>
      <c r="D954" s="495"/>
      <c r="E954" s="495"/>
      <c r="F954" s="495"/>
      <c r="G954" s="493">
        <f>G955+G972+G1037+G1099</f>
        <v>60036.090000000004</v>
      </c>
      <c r="H954" s="501"/>
      <c r="I954" s="526"/>
      <c r="J954" s="501"/>
      <c r="K954" s="204"/>
    </row>
    <row r="955" spans="1:11" ht="15.75" x14ac:dyDescent="0.25">
      <c r="A955" s="494" t="s">
        <v>391</v>
      </c>
      <c r="B955" s="491">
        <v>908</v>
      </c>
      <c r="C955" s="495" t="s">
        <v>234</v>
      </c>
      <c r="D955" s="495" t="s">
        <v>118</v>
      </c>
      <c r="E955" s="495"/>
      <c r="F955" s="495"/>
      <c r="G955" s="493">
        <f>G956</f>
        <v>13225.7</v>
      </c>
      <c r="H955" s="501"/>
      <c r="I955" s="526"/>
      <c r="J955" s="501"/>
      <c r="K955" s="204"/>
    </row>
    <row r="956" spans="1:11" ht="15.75" x14ac:dyDescent="0.25">
      <c r="A956" s="494" t="s">
        <v>141</v>
      </c>
      <c r="B956" s="491">
        <v>908</v>
      </c>
      <c r="C956" s="495" t="s">
        <v>234</v>
      </c>
      <c r="D956" s="495" t="s">
        <v>118</v>
      </c>
      <c r="E956" s="495" t="s">
        <v>866</v>
      </c>
      <c r="F956" s="495"/>
      <c r="G956" s="493">
        <f>G957</f>
        <v>13225.7</v>
      </c>
      <c r="H956" s="501"/>
      <c r="I956" s="526"/>
      <c r="J956" s="501"/>
      <c r="K956" s="204"/>
    </row>
    <row r="957" spans="1:11" ht="31.5" x14ac:dyDescent="0.25">
      <c r="A957" s="494" t="s">
        <v>870</v>
      </c>
      <c r="B957" s="491">
        <v>908</v>
      </c>
      <c r="C957" s="495" t="s">
        <v>234</v>
      </c>
      <c r="D957" s="495" t="s">
        <v>118</v>
      </c>
      <c r="E957" s="495" t="s">
        <v>865</v>
      </c>
      <c r="F957" s="495"/>
      <c r="G957" s="493">
        <f>G966+G963+G958+G969</f>
        <v>13225.7</v>
      </c>
      <c r="H957" s="501"/>
      <c r="I957" s="526"/>
      <c r="J957" s="501"/>
      <c r="K957" s="204"/>
    </row>
    <row r="958" spans="1:11" ht="15.75" hidden="1" x14ac:dyDescent="0.25">
      <c r="A958" s="496" t="s">
        <v>515</v>
      </c>
      <c r="B958" s="490">
        <v>908</v>
      </c>
      <c r="C958" s="492" t="s">
        <v>774</v>
      </c>
      <c r="D958" s="492" t="s">
        <v>118</v>
      </c>
      <c r="E958" s="492" t="s">
        <v>960</v>
      </c>
      <c r="F958" s="495"/>
      <c r="G958" s="497">
        <f>G961+G959</f>
        <v>0</v>
      </c>
      <c r="H958" s="501"/>
      <c r="I958" s="526"/>
      <c r="J958" s="501"/>
      <c r="K958" s="204"/>
    </row>
    <row r="959" spans="1:11" s="204" customFormat="1" ht="31.5" hidden="1" x14ac:dyDescent="0.25">
      <c r="A959" s="496" t="s">
        <v>131</v>
      </c>
      <c r="B959" s="490">
        <v>908</v>
      </c>
      <c r="C959" s="492" t="s">
        <v>234</v>
      </c>
      <c r="D959" s="492" t="s">
        <v>118</v>
      </c>
      <c r="E959" s="492" t="s">
        <v>960</v>
      </c>
      <c r="F959" s="492" t="s">
        <v>132</v>
      </c>
      <c r="G959" s="497">
        <f>G960</f>
        <v>0</v>
      </c>
      <c r="H959" s="501"/>
      <c r="I959" s="526"/>
      <c r="J959" s="501"/>
    </row>
    <row r="960" spans="1:11" s="204" customFormat="1" ht="31.5" hidden="1" x14ac:dyDescent="0.25">
      <c r="A960" s="496" t="s">
        <v>133</v>
      </c>
      <c r="B960" s="490">
        <v>908</v>
      </c>
      <c r="C960" s="492" t="s">
        <v>234</v>
      </c>
      <c r="D960" s="492" t="s">
        <v>118</v>
      </c>
      <c r="E960" s="492" t="s">
        <v>960</v>
      </c>
      <c r="F960" s="492" t="s">
        <v>134</v>
      </c>
      <c r="G960" s="497"/>
      <c r="H960" s="501"/>
      <c r="I960" s="526"/>
      <c r="J960" s="501"/>
    </row>
    <row r="961" spans="1:11" ht="15.75" hidden="1" x14ac:dyDescent="0.25">
      <c r="A961" s="496" t="s">
        <v>135</v>
      </c>
      <c r="B961" s="490">
        <v>908</v>
      </c>
      <c r="C961" s="492" t="s">
        <v>234</v>
      </c>
      <c r="D961" s="492" t="s">
        <v>118</v>
      </c>
      <c r="E961" s="492" t="s">
        <v>960</v>
      </c>
      <c r="F961" s="492" t="s">
        <v>145</v>
      </c>
      <c r="G961" s="497">
        <f>G962</f>
        <v>0</v>
      </c>
      <c r="H961" s="501"/>
      <c r="I961" s="526"/>
      <c r="J961" s="501"/>
      <c r="K961" s="204"/>
    </row>
    <row r="962" spans="1:11" ht="48.75" hidden="1" customHeight="1" x14ac:dyDescent="0.25">
      <c r="A962" s="496" t="s">
        <v>184</v>
      </c>
      <c r="B962" s="490">
        <v>908</v>
      </c>
      <c r="C962" s="492" t="s">
        <v>234</v>
      </c>
      <c r="D962" s="492" t="s">
        <v>118</v>
      </c>
      <c r="E962" s="492" t="s">
        <v>960</v>
      </c>
      <c r="F962" s="492" t="s">
        <v>160</v>
      </c>
      <c r="G962" s="497"/>
      <c r="H962" s="501"/>
      <c r="I962" s="526"/>
      <c r="J962" s="501"/>
      <c r="K962" s="204"/>
    </row>
    <row r="963" spans="1:11" ht="31.5" x14ac:dyDescent="0.25">
      <c r="A963" s="29" t="s">
        <v>398</v>
      </c>
      <c r="B963" s="490">
        <v>908</v>
      </c>
      <c r="C963" s="492" t="s">
        <v>234</v>
      </c>
      <c r="D963" s="492" t="s">
        <v>118</v>
      </c>
      <c r="E963" s="492" t="s">
        <v>961</v>
      </c>
      <c r="F963" s="495"/>
      <c r="G963" s="497">
        <f>G964</f>
        <v>4920.3999999999996</v>
      </c>
      <c r="H963" s="501"/>
      <c r="I963" s="526"/>
      <c r="J963" s="501"/>
      <c r="K963" s="204"/>
    </row>
    <row r="964" spans="1:11" ht="31.5" x14ac:dyDescent="0.25">
      <c r="A964" s="579" t="s">
        <v>131</v>
      </c>
      <c r="B964" s="490">
        <v>908</v>
      </c>
      <c r="C964" s="492" t="s">
        <v>234</v>
      </c>
      <c r="D964" s="492" t="s">
        <v>118</v>
      </c>
      <c r="E964" s="492" t="s">
        <v>961</v>
      </c>
      <c r="F964" s="492" t="s">
        <v>132</v>
      </c>
      <c r="G964" s="497">
        <f>G965</f>
        <v>4920.3999999999996</v>
      </c>
      <c r="H964" s="501"/>
      <c r="I964" s="526"/>
      <c r="J964" s="501"/>
      <c r="K964" s="204"/>
    </row>
    <row r="965" spans="1:11" ht="33" customHeight="1" x14ac:dyDescent="0.25">
      <c r="A965" s="579" t="s">
        <v>133</v>
      </c>
      <c r="B965" s="490">
        <v>908</v>
      </c>
      <c r="C965" s="492" t="s">
        <v>234</v>
      </c>
      <c r="D965" s="492" t="s">
        <v>118</v>
      </c>
      <c r="E965" s="492" t="s">
        <v>961</v>
      </c>
      <c r="F965" s="492" t="s">
        <v>134</v>
      </c>
      <c r="G965" s="27">
        <v>4920.3999999999996</v>
      </c>
      <c r="H965" s="501"/>
      <c r="I965" s="526"/>
      <c r="J965" s="501"/>
      <c r="K965" s="204"/>
    </row>
    <row r="966" spans="1:11" ht="31.5" x14ac:dyDescent="0.25">
      <c r="A966" s="29" t="s">
        <v>932</v>
      </c>
      <c r="B966" s="490">
        <v>908</v>
      </c>
      <c r="C966" s="492" t="s">
        <v>234</v>
      </c>
      <c r="D966" s="492" t="s">
        <v>118</v>
      </c>
      <c r="E966" s="492" t="s">
        <v>962</v>
      </c>
      <c r="F966" s="495"/>
      <c r="G966" s="497">
        <f>G967</f>
        <v>1140</v>
      </c>
      <c r="H966" s="501"/>
      <c r="I966" s="526"/>
      <c r="J966" s="501"/>
      <c r="K966" s="204"/>
    </row>
    <row r="967" spans="1:11" ht="31.5" x14ac:dyDescent="0.25">
      <c r="A967" s="579" t="s">
        <v>131</v>
      </c>
      <c r="B967" s="490">
        <v>908</v>
      </c>
      <c r="C967" s="492" t="s">
        <v>234</v>
      </c>
      <c r="D967" s="492" t="s">
        <v>118</v>
      </c>
      <c r="E967" s="492" t="s">
        <v>962</v>
      </c>
      <c r="F967" s="492" t="s">
        <v>132</v>
      </c>
      <c r="G967" s="497">
        <f>G968</f>
        <v>1140</v>
      </c>
      <c r="H967" s="501"/>
      <c r="I967" s="526"/>
      <c r="J967" s="501"/>
      <c r="K967" s="204"/>
    </row>
    <row r="968" spans="1:11" ht="33" customHeight="1" x14ac:dyDescent="0.25">
      <c r="A968" s="579" t="s">
        <v>133</v>
      </c>
      <c r="B968" s="490">
        <v>908</v>
      </c>
      <c r="C968" s="492" t="s">
        <v>234</v>
      </c>
      <c r="D968" s="492" t="s">
        <v>118</v>
      </c>
      <c r="E968" s="492" t="s">
        <v>962</v>
      </c>
      <c r="F968" s="492" t="s">
        <v>134</v>
      </c>
      <c r="G968" s="497">
        <v>1140</v>
      </c>
      <c r="H968" s="523"/>
      <c r="I968" s="526"/>
      <c r="J968" s="501"/>
      <c r="K968" s="537"/>
    </row>
    <row r="969" spans="1:11" s="204" customFormat="1" ht="33" customHeight="1" x14ac:dyDescent="0.25">
      <c r="A969" s="579" t="s">
        <v>1612</v>
      </c>
      <c r="B969" s="490">
        <v>908</v>
      </c>
      <c r="C969" s="492" t="s">
        <v>234</v>
      </c>
      <c r="D969" s="492" t="s">
        <v>118</v>
      </c>
      <c r="E969" s="492" t="s">
        <v>1613</v>
      </c>
      <c r="F969" s="492"/>
      <c r="G969" s="497">
        <f>G970</f>
        <v>7165.3</v>
      </c>
      <c r="H969" s="501"/>
      <c r="I969" s="526"/>
      <c r="J969" s="501"/>
    </row>
    <row r="970" spans="1:11" s="204" customFormat="1" ht="33" customHeight="1" x14ac:dyDescent="0.25">
      <c r="A970" s="579" t="s">
        <v>131</v>
      </c>
      <c r="B970" s="490">
        <v>908</v>
      </c>
      <c r="C970" s="492" t="s">
        <v>234</v>
      </c>
      <c r="D970" s="492" t="s">
        <v>118</v>
      </c>
      <c r="E970" s="492" t="s">
        <v>1613</v>
      </c>
      <c r="F970" s="492" t="s">
        <v>132</v>
      </c>
      <c r="G970" s="497">
        <f>G971</f>
        <v>7165.3</v>
      </c>
      <c r="H970" s="501"/>
      <c r="I970" s="526"/>
      <c r="J970" s="501"/>
    </row>
    <row r="971" spans="1:11" s="204" customFormat="1" ht="33" customHeight="1" x14ac:dyDescent="0.25">
      <c r="A971" s="579" t="s">
        <v>133</v>
      </c>
      <c r="B971" s="490">
        <v>908</v>
      </c>
      <c r="C971" s="492" t="s">
        <v>234</v>
      </c>
      <c r="D971" s="492" t="s">
        <v>118</v>
      </c>
      <c r="E971" s="492" t="s">
        <v>1613</v>
      </c>
      <c r="F971" s="492" t="s">
        <v>134</v>
      </c>
      <c r="G971" s="497">
        <f>6871.5+293.8</f>
        <v>7165.3</v>
      </c>
      <c r="H971" s="162"/>
      <c r="I971" s="526"/>
      <c r="J971" s="526"/>
    </row>
    <row r="972" spans="1:11" ht="15.75" x14ac:dyDescent="0.25">
      <c r="A972" s="494" t="s">
        <v>517</v>
      </c>
      <c r="B972" s="491">
        <v>908</v>
      </c>
      <c r="C972" s="495" t="s">
        <v>234</v>
      </c>
      <c r="D972" s="495" t="s">
        <v>213</v>
      </c>
      <c r="E972" s="495"/>
      <c r="F972" s="495"/>
      <c r="G972" s="493">
        <f>G973+G1003+G1032</f>
        <v>7810.420000000001</v>
      </c>
      <c r="H972" s="516"/>
      <c r="I972" s="526"/>
      <c r="J972" s="501"/>
      <c r="K972" s="204"/>
    </row>
    <row r="973" spans="1:11" s="204" customFormat="1" ht="15.75" x14ac:dyDescent="0.25">
      <c r="A973" s="494" t="s">
        <v>141</v>
      </c>
      <c r="B973" s="491">
        <v>908</v>
      </c>
      <c r="C973" s="495" t="s">
        <v>234</v>
      </c>
      <c r="D973" s="495" t="s">
        <v>213</v>
      </c>
      <c r="E973" s="495" t="s">
        <v>866</v>
      </c>
      <c r="F973" s="495"/>
      <c r="G973" s="493">
        <f>G974+G986</f>
        <v>6906.420000000001</v>
      </c>
      <c r="H973" s="501"/>
      <c r="I973" s="526"/>
      <c r="J973" s="501"/>
    </row>
    <row r="974" spans="1:11" s="204" customFormat="1" ht="31.5" x14ac:dyDescent="0.25">
      <c r="A974" s="494" t="s">
        <v>870</v>
      </c>
      <c r="B974" s="491">
        <v>908</v>
      </c>
      <c r="C974" s="495" t="s">
        <v>234</v>
      </c>
      <c r="D974" s="495" t="s">
        <v>213</v>
      </c>
      <c r="E974" s="495" t="s">
        <v>865</v>
      </c>
      <c r="F974" s="495"/>
      <c r="G974" s="493">
        <f>G975+G981</f>
        <v>6906.420000000001</v>
      </c>
      <c r="H974" s="501"/>
      <c r="I974" s="526"/>
      <c r="J974" s="501"/>
    </row>
    <row r="975" spans="1:11" s="204" customFormat="1" ht="15.75" hidden="1" x14ac:dyDescent="0.25">
      <c r="A975" s="35" t="s">
        <v>537</v>
      </c>
      <c r="B975" s="490">
        <v>908</v>
      </c>
      <c r="C975" s="492" t="s">
        <v>234</v>
      </c>
      <c r="D975" s="492" t="s">
        <v>213</v>
      </c>
      <c r="E975" s="492" t="s">
        <v>979</v>
      </c>
      <c r="F975" s="492"/>
      <c r="G975" s="497">
        <f>G976+G978</f>
        <v>0</v>
      </c>
      <c r="H975" s="501"/>
      <c r="I975" s="526"/>
      <c r="J975" s="501"/>
    </row>
    <row r="976" spans="1:11" s="204" customFormat="1" ht="31.5" hidden="1" x14ac:dyDescent="0.25">
      <c r="A976" s="496" t="s">
        <v>131</v>
      </c>
      <c r="B976" s="490">
        <v>908</v>
      </c>
      <c r="C976" s="492" t="s">
        <v>234</v>
      </c>
      <c r="D976" s="492" t="s">
        <v>213</v>
      </c>
      <c r="E976" s="492" t="s">
        <v>979</v>
      </c>
      <c r="F976" s="492" t="s">
        <v>132</v>
      </c>
      <c r="G976" s="497">
        <f>G977</f>
        <v>0</v>
      </c>
      <c r="H976" s="501"/>
      <c r="I976" s="526"/>
      <c r="J976" s="501"/>
    </row>
    <row r="977" spans="1:14" s="204" customFormat="1" ht="31.5" hidden="1" x14ac:dyDescent="0.25">
      <c r="A977" s="496" t="s">
        <v>133</v>
      </c>
      <c r="B977" s="490">
        <v>908</v>
      </c>
      <c r="C977" s="492" t="s">
        <v>234</v>
      </c>
      <c r="D977" s="492" t="s">
        <v>213</v>
      </c>
      <c r="E977" s="492" t="s">
        <v>979</v>
      </c>
      <c r="F977" s="492" t="s">
        <v>134</v>
      </c>
      <c r="G977" s="210"/>
      <c r="H977" s="162"/>
      <c r="I977" s="526"/>
      <c r="J977" s="534"/>
    </row>
    <row r="978" spans="1:14" s="204" customFormat="1" ht="15.75" hidden="1" x14ac:dyDescent="0.25">
      <c r="A978" s="496" t="s">
        <v>135</v>
      </c>
      <c r="B978" s="490">
        <v>908</v>
      </c>
      <c r="C978" s="492" t="s">
        <v>234</v>
      </c>
      <c r="D978" s="492" t="s">
        <v>213</v>
      </c>
      <c r="E978" s="492" t="s">
        <v>979</v>
      </c>
      <c r="F978" s="492" t="s">
        <v>145</v>
      </c>
      <c r="G978" s="210">
        <f>G979+G980</f>
        <v>0</v>
      </c>
      <c r="H978" s="501"/>
      <c r="I978" s="526"/>
      <c r="J978" s="501"/>
    </row>
    <row r="979" spans="1:14" s="204" customFormat="1" ht="47.25" hidden="1" x14ac:dyDescent="0.25">
      <c r="A979" s="496" t="s">
        <v>184</v>
      </c>
      <c r="B979" s="490">
        <v>908</v>
      </c>
      <c r="C979" s="492" t="s">
        <v>234</v>
      </c>
      <c r="D979" s="492" t="s">
        <v>213</v>
      </c>
      <c r="E979" s="492" t="s">
        <v>979</v>
      </c>
      <c r="F979" s="492" t="s">
        <v>160</v>
      </c>
      <c r="G979" s="210">
        <v>0</v>
      </c>
      <c r="H979" s="501"/>
      <c r="I979" s="526"/>
      <c r="J979" s="501"/>
    </row>
    <row r="980" spans="1:14" s="204" customFormat="1" ht="15.75" hidden="1" x14ac:dyDescent="0.25">
      <c r="A980" s="496" t="s">
        <v>146</v>
      </c>
      <c r="B980" s="490">
        <v>908</v>
      </c>
      <c r="C980" s="492" t="s">
        <v>234</v>
      </c>
      <c r="D980" s="492" t="s">
        <v>213</v>
      </c>
      <c r="E980" s="492" t="s">
        <v>979</v>
      </c>
      <c r="F980" s="492" t="s">
        <v>147</v>
      </c>
      <c r="G980" s="210">
        <v>0</v>
      </c>
      <c r="H980" s="501"/>
      <c r="I980" s="526"/>
      <c r="J980" s="501"/>
    </row>
    <row r="981" spans="1:14" s="204" customFormat="1" ht="31.5" x14ac:dyDescent="0.25">
      <c r="A981" s="29" t="s">
        <v>932</v>
      </c>
      <c r="B981" s="490">
        <v>908</v>
      </c>
      <c r="C981" s="492" t="s">
        <v>234</v>
      </c>
      <c r="D981" s="492" t="s">
        <v>213</v>
      </c>
      <c r="E981" s="492" t="s">
        <v>962</v>
      </c>
      <c r="F981" s="492"/>
      <c r="G981" s="497">
        <f>G984+G982</f>
        <v>6906.420000000001</v>
      </c>
      <c r="H981" s="501"/>
      <c r="I981" s="526"/>
      <c r="J981" s="501"/>
    </row>
    <row r="982" spans="1:14" s="204" customFormat="1" ht="31.5" x14ac:dyDescent="0.25">
      <c r="A982" s="579" t="s">
        <v>131</v>
      </c>
      <c r="B982" s="490">
        <v>908</v>
      </c>
      <c r="C982" s="492" t="s">
        <v>234</v>
      </c>
      <c r="D982" s="492" t="s">
        <v>213</v>
      </c>
      <c r="E982" s="492" t="s">
        <v>962</v>
      </c>
      <c r="F982" s="492" t="s">
        <v>132</v>
      </c>
      <c r="G982" s="497">
        <f>G983</f>
        <v>6906.420000000001</v>
      </c>
      <c r="H982" s="501"/>
      <c r="I982" s="526"/>
      <c r="J982" s="501"/>
    </row>
    <row r="983" spans="1:14" s="204" customFormat="1" ht="31.5" x14ac:dyDescent="0.25">
      <c r="A983" s="579" t="s">
        <v>133</v>
      </c>
      <c r="B983" s="490">
        <v>908</v>
      </c>
      <c r="C983" s="492" t="s">
        <v>234</v>
      </c>
      <c r="D983" s="492" t="s">
        <v>213</v>
      </c>
      <c r="E983" s="492" t="s">
        <v>962</v>
      </c>
      <c r="F983" s="492" t="s">
        <v>134</v>
      </c>
      <c r="G983" s="497">
        <f>6774.62+2692.6-1951.3-304.9+1599-431.6+56.2-700-328.2-500</f>
        <v>6906.420000000001</v>
      </c>
      <c r="H983" s="501"/>
      <c r="I983" s="526"/>
      <c r="J983" s="501"/>
    </row>
    <row r="984" spans="1:14" s="204" customFormat="1" ht="15.75" hidden="1" x14ac:dyDescent="0.25">
      <c r="A984" s="496" t="s">
        <v>135</v>
      </c>
      <c r="B984" s="490">
        <v>908</v>
      </c>
      <c r="C984" s="492" t="s">
        <v>234</v>
      </c>
      <c r="D984" s="492" t="s">
        <v>213</v>
      </c>
      <c r="E984" s="492" t="s">
        <v>962</v>
      </c>
      <c r="F984" s="492" t="s">
        <v>145</v>
      </c>
      <c r="G984" s="497">
        <f>G985</f>
        <v>0</v>
      </c>
      <c r="H984" s="501"/>
      <c r="I984" s="526"/>
      <c r="J984" s="501"/>
    </row>
    <row r="985" spans="1:14" ht="15.75" hidden="1" x14ac:dyDescent="0.25">
      <c r="A985" s="496" t="s">
        <v>146</v>
      </c>
      <c r="B985" s="490">
        <v>908</v>
      </c>
      <c r="C985" s="492" t="s">
        <v>234</v>
      </c>
      <c r="D985" s="492" t="s">
        <v>213</v>
      </c>
      <c r="E985" s="492" t="s">
        <v>962</v>
      </c>
      <c r="F985" s="492" t="s">
        <v>147</v>
      </c>
      <c r="G985" s="497">
        <v>0</v>
      </c>
      <c r="H985" s="501"/>
      <c r="I985" s="526"/>
      <c r="J985" s="501"/>
      <c r="K985" s="204"/>
    </row>
    <row r="986" spans="1:14" s="204" customFormat="1" ht="48.75" hidden="1" customHeight="1" x14ac:dyDescent="0.25">
      <c r="A986" s="494" t="s">
        <v>1013</v>
      </c>
      <c r="B986" s="491">
        <v>908</v>
      </c>
      <c r="C986" s="495" t="s">
        <v>234</v>
      </c>
      <c r="D986" s="495" t="s">
        <v>213</v>
      </c>
      <c r="E986" s="495" t="s">
        <v>980</v>
      </c>
      <c r="F986" s="495"/>
      <c r="G986" s="493">
        <f>G987+G995+G992+G1000</f>
        <v>0</v>
      </c>
      <c r="H986" s="501"/>
      <c r="I986" s="526"/>
      <c r="J986" s="501"/>
    </row>
    <row r="987" spans="1:14" s="204" customFormat="1" ht="35.450000000000003" hidden="1" customHeight="1" x14ac:dyDescent="0.25">
      <c r="A987" s="496" t="s">
        <v>827</v>
      </c>
      <c r="B987" s="490">
        <v>908</v>
      </c>
      <c r="C987" s="492" t="s">
        <v>234</v>
      </c>
      <c r="D987" s="492" t="s">
        <v>213</v>
      </c>
      <c r="E987" s="492" t="s">
        <v>981</v>
      </c>
      <c r="F987" s="492"/>
      <c r="G987" s="497">
        <f>G988+G990</f>
        <v>0</v>
      </c>
      <c r="H987" s="501"/>
      <c r="I987" s="526"/>
      <c r="J987" s="501"/>
      <c r="K987" s="501"/>
      <c r="L987" s="108"/>
      <c r="M987" s="108"/>
      <c r="N987" s="117"/>
    </row>
    <row r="988" spans="1:14" s="204" customFormat="1" ht="34.5" hidden="1" customHeight="1" x14ac:dyDescent="0.25">
      <c r="A988" s="496" t="s">
        <v>131</v>
      </c>
      <c r="B988" s="490">
        <v>908</v>
      </c>
      <c r="C988" s="492" t="s">
        <v>234</v>
      </c>
      <c r="D988" s="492" t="s">
        <v>213</v>
      </c>
      <c r="E988" s="492" t="s">
        <v>981</v>
      </c>
      <c r="F988" s="492" t="s">
        <v>132</v>
      </c>
      <c r="G988" s="497">
        <f>G989</f>
        <v>0</v>
      </c>
      <c r="H988" s="501"/>
      <c r="I988" s="526"/>
      <c r="J988" s="501"/>
      <c r="K988" s="501"/>
      <c r="L988" s="108"/>
      <c r="M988" s="108"/>
      <c r="N988" s="117"/>
    </row>
    <row r="989" spans="1:14" s="204" customFormat="1" ht="33" hidden="1" customHeight="1" x14ac:dyDescent="0.25">
      <c r="A989" s="496" t="s">
        <v>133</v>
      </c>
      <c r="B989" s="490">
        <v>908</v>
      </c>
      <c r="C989" s="492" t="s">
        <v>234</v>
      </c>
      <c r="D989" s="492" t="s">
        <v>213</v>
      </c>
      <c r="E989" s="492" t="s">
        <v>981</v>
      </c>
      <c r="F989" s="492" t="s">
        <v>134</v>
      </c>
      <c r="G989" s="497"/>
      <c r="H989" s="501"/>
      <c r="I989" s="526"/>
      <c r="J989" s="501"/>
      <c r="K989" s="501"/>
      <c r="L989" s="108"/>
      <c r="M989" s="108"/>
      <c r="N989" s="117"/>
    </row>
    <row r="990" spans="1:14" s="204" customFormat="1" ht="20.25" hidden="1" customHeight="1" x14ac:dyDescent="0.25">
      <c r="A990" s="496" t="s">
        <v>135</v>
      </c>
      <c r="B990" s="490">
        <v>908</v>
      </c>
      <c r="C990" s="492" t="s">
        <v>234</v>
      </c>
      <c r="D990" s="492" t="s">
        <v>213</v>
      </c>
      <c r="E990" s="492" t="s">
        <v>981</v>
      </c>
      <c r="F990" s="492" t="s">
        <v>837</v>
      </c>
      <c r="G990" s="497">
        <f>G991</f>
        <v>0</v>
      </c>
      <c r="H990" s="501"/>
      <c r="I990" s="526"/>
      <c r="J990" s="117"/>
      <c r="K990" s="501"/>
      <c r="L990" s="108"/>
      <c r="M990" s="108"/>
      <c r="N990" s="108"/>
    </row>
    <row r="991" spans="1:14" s="204" customFormat="1" ht="20.25" hidden="1" customHeight="1" x14ac:dyDescent="0.25">
      <c r="A991" s="496" t="s">
        <v>568</v>
      </c>
      <c r="B991" s="490">
        <v>908</v>
      </c>
      <c r="C991" s="492" t="s">
        <v>234</v>
      </c>
      <c r="D991" s="492" t="s">
        <v>213</v>
      </c>
      <c r="E991" s="492" t="s">
        <v>981</v>
      </c>
      <c r="F991" s="492" t="s">
        <v>1067</v>
      </c>
      <c r="G991" s="497">
        <v>0</v>
      </c>
      <c r="H991" s="501"/>
      <c r="I991" s="526"/>
      <c r="J991" s="117"/>
      <c r="K991" s="501"/>
      <c r="L991" s="108"/>
      <c r="M991" s="108"/>
      <c r="N991" s="108"/>
    </row>
    <row r="992" spans="1:14" s="204" customFormat="1" ht="47.25" hidden="1" customHeight="1" x14ac:dyDescent="0.25">
      <c r="A992" s="496" t="s">
        <v>793</v>
      </c>
      <c r="B992" s="490">
        <v>908</v>
      </c>
      <c r="C992" s="492" t="s">
        <v>234</v>
      </c>
      <c r="D992" s="492" t="s">
        <v>213</v>
      </c>
      <c r="E992" s="492" t="s">
        <v>982</v>
      </c>
      <c r="F992" s="492"/>
      <c r="G992" s="497">
        <f>G993</f>
        <v>0</v>
      </c>
      <c r="H992" s="501"/>
      <c r="I992" s="526"/>
      <c r="J992" s="117"/>
      <c r="K992" s="501"/>
      <c r="L992" s="108"/>
      <c r="M992" s="108"/>
      <c r="N992" s="108"/>
    </row>
    <row r="993" spans="1:14" s="204" customFormat="1" ht="33.75" hidden="1" customHeight="1" x14ac:dyDescent="0.25">
      <c r="A993" s="496" t="s">
        <v>131</v>
      </c>
      <c r="B993" s="490">
        <v>908</v>
      </c>
      <c r="C993" s="492" t="s">
        <v>234</v>
      </c>
      <c r="D993" s="492" t="s">
        <v>213</v>
      </c>
      <c r="E993" s="492" t="s">
        <v>982</v>
      </c>
      <c r="F993" s="492" t="s">
        <v>132</v>
      </c>
      <c r="G993" s="497">
        <f>G994</f>
        <v>0</v>
      </c>
      <c r="H993" s="501"/>
      <c r="I993" s="526"/>
      <c r="J993" s="117"/>
      <c r="K993" s="501"/>
      <c r="L993" s="108"/>
      <c r="M993" s="108"/>
      <c r="N993" s="108"/>
    </row>
    <row r="994" spans="1:14" s="204" customFormat="1" ht="32.25" hidden="1" customHeight="1" x14ac:dyDescent="0.25">
      <c r="A994" s="496" t="s">
        <v>133</v>
      </c>
      <c r="B994" s="490">
        <v>908</v>
      </c>
      <c r="C994" s="492" t="s">
        <v>234</v>
      </c>
      <c r="D994" s="492" t="s">
        <v>213</v>
      </c>
      <c r="E994" s="492" t="s">
        <v>982</v>
      </c>
      <c r="F994" s="492" t="s">
        <v>134</v>
      </c>
      <c r="G994" s="497">
        <v>0</v>
      </c>
      <c r="H994" s="501"/>
      <c r="I994" s="526"/>
      <c r="J994" s="117"/>
      <c r="K994" s="501"/>
      <c r="L994" s="108"/>
      <c r="M994" s="108"/>
      <c r="N994" s="108"/>
    </row>
    <row r="995" spans="1:14" s="204" customFormat="1" ht="47.25" hidden="1" customHeight="1" x14ac:dyDescent="0.25">
      <c r="A995" s="97" t="s">
        <v>833</v>
      </c>
      <c r="B995" s="490">
        <v>908</v>
      </c>
      <c r="C995" s="492" t="s">
        <v>234</v>
      </c>
      <c r="D995" s="492" t="s">
        <v>213</v>
      </c>
      <c r="E995" s="492" t="s">
        <v>983</v>
      </c>
      <c r="F995" s="492"/>
      <c r="G995" s="497">
        <f>G996+G998</f>
        <v>0</v>
      </c>
      <c r="H995" s="501"/>
      <c r="I995" s="526"/>
      <c r="J995" s="117"/>
      <c r="K995" s="501"/>
      <c r="L995" s="108"/>
      <c r="M995" s="108"/>
      <c r="N995" s="108"/>
    </row>
    <row r="996" spans="1:14" s="204" customFormat="1" ht="34.5" hidden="1" customHeight="1" x14ac:dyDescent="0.25">
      <c r="A996" s="496" t="s">
        <v>838</v>
      </c>
      <c r="B996" s="490">
        <v>908</v>
      </c>
      <c r="C996" s="492" t="s">
        <v>234</v>
      </c>
      <c r="D996" s="492" t="s">
        <v>213</v>
      </c>
      <c r="E996" s="492" t="s">
        <v>983</v>
      </c>
      <c r="F996" s="492" t="s">
        <v>837</v>
      </c>
      <c r="G996" s="497">
        <f>G997</f>
        <v>0</v>
      </c>
      <c r="H996" s="501"/>
      <c r="I996" s="526"/>
      <c r="J996" s="117"/>
      <c r="K996" s="501"/>
      <c r="L996" s="108"/>
      <c r="M996" s="108"/>
      <c r="N996" s="108"/>
    </row>
    <row r="997" spans="1:14" s="204" customFormat="1" ht="47.25" hidden="1" customHeight="1" x14ac:dyDescent="0.25">
      <c r="A997" s="496" t="s">
        <v>1048</v>
      </c>
      <c r="B997" s="490">
        <v>908</v>
      </c>
      <c r="C997" s="492" t="s">
        <v>234</v>
      </c>
      <c r="D997" s="492" t="s">
        <v>213</v>
      </c>
      <c r="E997" s="492" t="s">
        <v>983</v>
      </c>
      <c r="F997" s="492" t="s">
        <v>1067</v>
      </c>
      <c r="G997" s="497">
        <v>0</v>
      </c>
      <c r="H997" s="501"/>
      <c r="I997" s="526"/>
      <c r="J997" s="117"/>
      <c r="K997" s="501"/>
      <c r="L997" s="108"/>
      <c r="M997" s="108"/>
      <c r="N997" s="108"/>
    </row>
    <row r="998" spans="1:14" s="204" customFormat="1" ht="17.45" hidden="1" customHeight="1" x14ac:dyDescent="0.25">
      <c r="A998" s="496" t="s">
        <v>135</v>
      </c>
      <c r="B998" s="490">
        <v>908</v>
      </c>
      <c r="C998" s="492" t="s">
        <v>234</v>
      </c>
      <c r="D998" s="492" t="s">
        <v>213</v>
      </c>
      <c r="E998" s="492" t="s">
        <v>983</v>
      </c>
      <c r="F998" s="492" t="s">
        <v>145</v>
      </c>
      <c r="G998" s="497">
        <f>G999</f>
        <v>0</v>
      </c>
      <c r="H998" s="501"/>
      <c r="I998" s="526"/>
      <c r="J998" s="117"/>
      <c r="K998" s="501"/>
      <c r="L998" s="108"/>
      <c r="M998" s="108"/>
      <c r="N998" s="108"/>
    </row>
    <row r="999" spans="1:14" s="204" customFormat="1" ht="18.75" hidden="1" customHeight="1" x14ac:dyDescent="0.25">
      <c r="A999" s="496" t="s">
        <v>704</v>
      </c>
      <c r="B999" s="490">
        <v>908</v>
      </c>
      <c r="C999" s="492" t="s">
        <v>234</v>
      </c>
      <c r="D999" s="492" t="s">
        <v>213</v>
      </c>
      <c r="E999" s="492" t="s">
        <v>983</v>
      </c>
      <c r="F999" s="492" t="s">
        <v>138</v>
      </c>
      <c r="G999" s="497">
        <v>0</v>
      </c>
      <c r="H999" s="501"/>
      <c r="I999" s="526"/>
      <c r="J999" s="117"/>
      <c r="K999" s="501"/>
      <c r="L999" s="108"/>
      <c r="M999" s="108"/>
      <c r="N999" s="108"/>
    </row>
    <row r="1000" spans="1:14" s="204" customFormat="1" ht="38.25" hidden="1" customHeight="1" x14ac:dyDescent="0.25">
      <c r="A1000" s="496" t="s">
        <v>1068</v>
      </c>
      <c r="B1000" s="490">
        <v>908</v>
      </c>
      <c r="C1000" s="492" t="s">
        <v>234</v>
      </c>
      <c r="D1000" s="492" t="s">
        <v>213</v>
      </c>
      <c r="E1000" s="492" t="s">
        <v>1069</v>
      </c>
      <c r="F1000" s="492"/>
      <c r="G1000" s="497">
        <f>G1001</f>
        <v>0</v>
      </c>
      <c r="H1000" s="501"/>
      <c r="I1000" s="526"/>
      <c r="J1000" s="117"/>
      <c r="K1000" s="501"/>
      <c r="L1000" s="108"/>
      <c r="M1000" s="108"/>
      <c r="N1000" s="108"/>
    </row>
    <row r="1001" spans="1:14" s="204" customFormat="1" ht="32.25" hidden="1" customHeight="1" x14ac:dyDescent="0.25">
      <c r="A1001" s="496" t="s">
        <v>131</v>
      </c>
      <c r="B1001" s="490">
        <v>908</v>
      </c>
      <c r="C1001" s="492" t="s">
        <v>234</v>
      </c>
      <c r="D1001" s="492" t="s">
        <v>213</v>
      </c>
      <c r="E1001" s="492" t="s">
        <v>1069</v>
      </c>
      <c r="F1001" s="492" t="s">
        <v>132</v>
      </c>
      <c r="G1001" s="497">
        <f>G1002</f>
        <v>0</v>
      </c>
      <c r="H1001" s="501"/>
      <c r="I1001" s="526"/>
      <c r="J1001" s="117"/>
      <c r="K1001" s="501"/>
      <c r="L1001" s="108"/>
      <c r="M1001" s="108"/>
      <c r="N1001" s="108"/>
    </row>
    <row r="1002" spans="1:14" s="204" customFormat="1" ht="35.450000000000003" hidden="1" customHeight="1" x14ac:dyDescent="0.25">
      <c r="A1002" s="496" t="s">
        <v>133</v>
      </c>
      <c r="B1002" s="490">
        <v>908</v>
      </c>
      <c r="C1002" s="492" t="s">
        <v>234</v>
      </c>
      <c r="D1002" s="492" t="s">
        <v>213</v>
      </c>
      <c r="E1002" s="492" t="s">
        <v>1069</v>
      </c>
      <c r="F1002" s="492" t="s">
        <v>134</v>
      </c>
      <c r="G1002" s="497">
        <v>0</v>
      </c>
      <c r="H1002" s="501"/>
      <c r="I1002" s="526"/>
      <c r="J1002" s="117"/>
      <c r="K1002" s="501"/>
      <c r="L1002" s="108"/>
      <c r="M1002" s="108"/>
      <c r="N1002" s="108"/>
    </row>
    <row r="1003" spans="1:14" s="204" customFormat="1" ht="47.25" customHeight="1" x14ac:dyDescent="0.25">
      <c r="A1003" s="494" t="s">
        <v>1526</v>
      </c>
      <c r="B1003" s="491">
        <v>908</v>
      </c>
      <c r="C1003" s="495" t="s">
        <v>234</v>
      </c>
      <c r="D1003" s="495" t="s">
        <v>213</v>
      </c>
      <c r="E1003" s="495" t="s">
        <v>518</v>
      </c>
      <c r="F1003" s="495"/>
      <c r="G1003" s="493">
        <f>G1004+G1008+G1012+G1016+G1028+G1024</f>
        <v>700</v>
      </c>
      <c r="H1003" s="501"/>
      <c r="I1003" s="526"/>
      <c r="J1003" s="117"/>
      <c r="K1003" s="501"/>
      <c r="L1003" s="108"/>
      <c r="M1003" s="108"/>
      <c r="N1003" s="117"/>
    </row>
    <row r="1004" spans="1:14" s="204" customFormat="1" ht="30.75" customHeight="1" x14ac:dyDescent="0.25">
      <c r="A1004" s="494" t="s">
        <v>963</v>
      </c>
      <c r="B1004" s="491">
        <v>908</v>
      </c>
      <c r="C1004" s="495" t="s">
        <v>234</v>
      </c>
      <c r="D1004" s="495" t="s">
        <v>213</v>
      </c>
      <c r="E1004" s="495" t="s">
        <v>965</v>
      </c>
      <c r="F1004" s="495"/>
      <c r="G1004" s="493">
        <f t="shared" ref="G1004:G1006" si="79">G1005</f>
        <v>700</v>
      </c>
      <c r="H1004" s="501"/>
      <c r="I1004" s="526"/>
      <c r="J1004" s="117"/>
      <c r="K1004" s="501"/>
      <c r="L1004" s="108"/>
      <c r="M1004" s="108"/>
      <c r="N1004" s="108"/>
    </row>
    <row r="1005" spans="1:14" ht="15.75" x14ac:dyDescent="0.25">
      <c r="A1005" s="45" t="s">
        <v>964</v>
      </c>
      <c r="B1005" s="490">
        <v>908</v>
      </c>
      <c r="C1005" s="499" t="s">
        <v>234</v>
      </c>
      <c r="D1005" s="499" t="s">
        <v>213</v>
      </c>
      <c r="E1005" s="492" t="s">
        <v>966</v>
      </c>
      <c r="F1005" s="499"/>
      <c r="G1005" s="497">
        <f t="shared" si="79"/>
        <v>700</v>
      </c>
      <c r="H1005" s="501"/>
      <c r="I1005" s="526"/>
      <c r="J1005" s="117"/>
      <c r="K1005" s="501"/>
      <c r="L1005" s="108"/>
      <c r="M1005" s="108"/>
      <c r="N1005" s="108"/>
    </row>
    <row r="1006" spans="1:14" ht="31.5" x14ac:dyDescent="0.25">
      <c r="A1006" s="31" t="s">
        <v>131</v>
      </c>
      <c r="B1006" s="490">
        <v>908</v>
      </c>
      <c r="C1006" s="499" t="s">
        <v>234</v>
      </c>
      <c r="D1006" s="499" t="s">
        <v>213</v>
      </c>
      <c r="E1006" s="492" t="s">
        <v>966</v>
      </c>
      <c r="F1006" s="499" t="s">
        <v>132</v>
      </c>
      <c r="G1006" s="497">
        <f t="shared" si="79"/>
        <v>700</v>
      </c>
      <c r="H1006" s="501"/>
      <c r="I1006" s="526"/>
      <c r="J1006" s="117"/>
      <c r="K1006" s="501"/>
      <c r="L1006" s="108"/>
      <c r="M1006" s="108"/>
      <c r="N1006" s="108"/>
    </row>
    <row r="1007" spans="1:14" ht="31.5" x14ac:dyDescent="0.25">
      <c r="A1007" s="31" t="s">
        <v>133</v>
      </c>
      <c r="B1007" s="490">
        <v>908</v>
      </c>
      <c r="C1007" s="499" t="s">
        <v>234</v>
      </c>
      <c r="D1007" s="499" t="s">
        <v>213</v>
      </c>
      <c r="E1007" s="492" t="s">
        <v>966</v>
      </c>
      <c r="F1007" s="499" t="s">
        <v>134</v>
      </c>
      <c r="G1007" s="497">
        <v>700</v>
      </c>
      <c r="H1007" s="501"/>
      <c r="I1007" s="526"/>
      <c r="J1007" s="117"/>
      <c r="K1007" s="501"/>
      <c r="L1007" s="108"/>
      <c r="M1007" s="108"/>
      <c r="N1007" s="108"/>
    </row>
    <row r="1008" spans="1:14" s="204" customFormat="1" ht="15.75" hidden="1" x14ac:dyDescent="0.25">
      <c r="A1008" s="34" t="s">
        <v>967</v>
      </c>
      <c r="B1008" s="491">
        <v>908</v>
      </c>
      <c r="C1008" s="7" t="s">
        <v>234</v>
      </c>
      <c r="D1008" s="7" t="s">
        <v>213</v>
      </c>
      <c r="E1008" s="495" t="s">
        <v>968</v>
      </c>
      <c r="F1008" s="7"/>
      <c r="G1008" s="493">
        <f t="shared" ref="G1008:G1010" si="80">G1009</f>
        <v>0</v>
      </c>
      <c r="H1008" s="501"/>
      <c r="I1008" s="526"/>
      <c r="J1008" s="117"/>
      <c r="K1008" s="501"/>
      <c r="L1008" s="108"/>
      <c r="M1008" s="108"/>
      <c r="N1008" s="117"/>
    </row>
    <row r="1009" spans="1:14" ht="15.75" hidden="1" x14ac:dyDescent="0.25">
      <c r="A1009" s="45" t="s">
        <v>523</v>
      </c>
      <c r="B1009" s="490">
        <v>908</v>
      </c>
      <c r="C1009" s="499" t="s">
        <v>234</v>
      </c>
      <c r="D1009" s="499" t="s">
        <v>213</v>
      </c>
      <c r="E1009" s="492" t="s">
        <v>971</v>
      </c>
      <c r="F1009" s="499"/>
      <c r="G1009" s="497">
        <f t="shared" si="80"/>
        <v>0</v>
      </c>
      <c r="H1009" s="501"/>
      <c r="I1009" s="526"/>
      <c r="J1009" s="117"/>
      <c r="K1009" s="501"/>
      <c r="L1009" s="108"/>
      <c r="M1009" s="108"/>
      <c r="N1009" s="117"/>
    </row>
    <row r="1010" spans="1:14" ht="31.5" hidden="1" x14ac:dyDescent="0.25">
      <c r="A1010" s="31" t="s">
        <v>131</v>
      </c>
      <c r="B1010" s="490">
        <v>908</v>
      </c>
      <c r="C1010" s="499" t="s">
        <v>234</v>
      </c>
      <c r="D1010" s="499" t="s">
        <v>213</v>
      </c>
      <c r="E1010" s="492" t="s">
        <v>971</v>
      </c>
      <c r="F1010" s="499" t="s">
        <v>132</v>
      </c>
      <c r="G1010" s="497">
        <f t="shared" si="80"/>
        <v>0</v>
      </c>
      <c r="H1010" s="501"/>
      <c r="I1010" s="526"/>
      <c r="J1010" s="117"/>
      <c r="K1010" s="501"/>
      <c r="L1010" s="108"/>
      <c r="M1010" s="108"/>
      <c r="N1010" s="108"/>
    </row>
    <row r="1011" spans="1:14" ht="31.5" hidden="1" x14ac:dyDescent="0.25">
      <c r="A1011" s="31" t="s">
        <v>133</v>
      </c>
      <c r="B1011" s="490">
        <v>908</v>
      </c>
      <c r="C1011" s="499" t="s">
        <v>234</v>
      </c>
      <c r="D1011" s="499" t="s">
        <v>213</v>
      </c>
      <c r="E1011" s="492" t="s">
        <v>971</v>
      </c>
      <c r="F1011" s="499" t="s">
        <v>134</v>
      </c>
      <c r="G1011" s="489"/>
      <c r="H1011" s="501"/>
      <c r="I1011" s="526"/>
      <c r="J1011" s="117"/>
      <c r="K1011" s="501"/>
      <c r="L1011" s="108"/>
      <c r="M1011" s="108"/>
      <c r="N1011" s="108"/>
    </row>
    <row r="1012" spans="1:14" s="204" customFormat="1" ht="16.5" hidden="1" customHeight="1" x14ac:dyDescent="0.25">
      <c r="A1012" s="58" t="s">
        <v>969</v>
      </c>
      <c r="B1012" s="491">
        <v>908</v>
      </c>
      <c r="C1012" s="7" t="s">
        <v>234</v>
      </c>
      <c r="D1012" s="7" t="s">
        <v>213</v>
      </c>
      <c r="E1012" s="495" t="s">
        <v>970</v>
      </c>
      <c r="F1012" s="7"/>
      <c r="G1012" s="488">
        <f t="shared" ref="G1012:G1014" si="81">G1013</f>
        <v>0</v>
      </c>
      <c r="H1012" s="501"/>
      <c r="I1012" s="526"/>
      <c r="J1012" s="117"/>
      <c r="K1012" s="501"/>
      <c r="L1012" s="108"/>
      <c r="M1012" s="108"/>
      <c r="N1012" s="108"/>
    </row>
    <row r="1013" spans="1:14" ht="15.75" hidden="1" x14ac:dyDescent="0.25">
      <c r="A1013" s="45" t="s">
        <v>525</v>
      </c>
      <c r="B1013" s="490">
        <v>908</v>
      </c>
      <c r="C1013" s="499" t="s">
        <v>234</v>
      </c>
      <c r="D1013" s="499" t="s">
        <v>213</v>
      </c>
      <c r="E1013" s="492" t="s">
        <v>972</v>
      </c>
      <c r="F1013" s="499"/>
      <c r="G1013" s="497">
        <f t="shared" si="81"/>
        <v>0</v>
      </c>
      <c r="H1013" s="501"/>
      <c r="I1013" s="526"/>
      <c r="J1013" s="117"/>
      <c r="K1013" s="501"/>
      <c r="L1013" s="108"/>
      <c r="M1013" s="108"/>
      <c r="N1013" s="108"/>
    </row>
    <row r="1014" spans="1:14" ht="31.5" hidden="1" x14ac:dyDescent="0.25">
      <c r="A1014" s="31" t="s">
        <v>131</v>
      </c>
      <c r="B1014" s="490">
        <v>908</v>
      </c>
      <c r="C1014" s="499" t="s">
        <v>234</v>
      </c>
      <c r="D1014" s="499" t="s">
        <v>213</v>
      </c>
      <c r="E1014" s="492" t="s">
        <v>972</v>
      </c>
      <c r="F1014" s="499" t="s">
        <v>132</v>
      </c>
      <c r="G1014" s="497">
        <f t="shared" si="81"/>
        <v>0</v>
      </c>
      <c r="H1014" s="501"/>
      <c r="I1014" s="526"/>
      <c r="J1014" s="117"/>
      <c r="K1014" s="501"/>
      <c r="L1014" s="108"/>
      <c r="M1014" s="108"/>
      <c r="N1014" s="108"/>
    </row>
    <row r="1015" spans="1:14" ht="31.5" hidden="1" x14ac:dyDescent="0.25">
      <c r="A1015" s="31" t="s">
        <v>133</v>
      </c>
      <c r="B1015" s="490">
        <v>908</v>
      </c>
      <c r="C1015" s="499" t="s">
        <v>234</v>
      </c>
      <c r="D1015" s="499" t="s">
        <v>213</v>
      </c>
      <c r="E1015" s="492" t="s">
        <v>972</v>
      </c>
      <c r="F1015" s="499" t="s">
        <v>134</v>
      </c>
      <c r="G1015" s="489"/>
      <c r="H1015" s="501"/>
      <c r="I1015" s="526"/>
      <c r="J1015" s="117"/>
      <c r="K1015" s="501"/>
      <c r="L1015" s="108"/>
      <c r="M1015" s="108"/>
      <c r="N1015" s="108"/>
    </row>
    <row r="1016" spans="1:14" s="204" customFormat="1" ht="31.5" hidden="1" x14ac:dyDescent="0.25">
      <c r="A1016" s="58" t="s">
        <v>973</v>
      </c>
      <c r="B1016" s="491">
        <v>908</v>
      </c>
      <c r="C1016" s="7" t="s">
        <v>234</v>
      </c>
      <c r="D1016" s="7" t="s">
        <v>213</v>
      </c>
      <c r="E1016" s="495" t="s">
        <v>974</v>
      </c>
      <c r="F1016" s="7"/>
      <c r="G1016" s="488">
        <f t="shared" ref="G1016:G1018" si="82">G1017</f>
        <v>0</v>
      </c>
      <c r="H1016" s="501"/>
      <c r="I1016" s="526"/>
      <c r="J1016" s="117"/>
      <c r="K1016" s="501"/>
      <c r="L1016" s="108"/>
      <c r="M1016" s="108"/>
      <c r="N1016" s="108"/>
    </row>
    <row r="1017" spans="1:14" ht="15.75" hidden="1" x14ac:dyDescent="0.25">
      <c r="A1017" s="45" t="s">
        <v>527</v>
      </c>
      <c r="B1017" s="490">
        <v>908</v>
      </c>
      <c r="C1017" s="499" t="s">
        <v>234</v>
      </c>
      <c r="D1017" s="499" t="s">
        <v>213</v>
      </c>
      <c r="E1017" s="492" t="s">
        <v>975</v>
      </c>
      <c r="F1017" s="499"/>
      <c r="G1017" s="497">
        <f t="shared" si="82"/>
        <v>0</v>
      </c>
      <c r="H1017" s="501"/>
      <c r="I1017" s="526"/>
      <c r="J1017" s="117"/>
      <c r="K1017" s="501"/>
      <c r="L1017" s="108"/>
      <c r="M1017" s="108"/>
      <c r="N1017" s="108"/>
    </row>
    <row r="1018" spans="1:14" ht="31.5" hidden="1" x14ac:dyDescent="0.25">
      <c r="A1018" s="31" t="s">
        <v>131</v>
      </c>
      <c r="B1018" s="490">
        <v>908</v>
      </c>
      <c r="C1018" s="499" t="s">
        <v>234</v>
      </c>
      <c r="D1018" s="499" t="s">
        <v>213</v>
      </c>
      <c r="E1018" s="492" t="s">
        <v>975</v>
      </c>
      <c r="F1018" s="499" t="s">
        <v>132</v>
      </c>
      <c r="G1018" s="497">
        <f t="shared" si="82"/>
        <v>0</v>
      </c>
      <c r="H1018" s="501"/>
      <c r="I1018" s="526"/>
      <c r="J1018" s="117"/>
      <c r="K1018" s="501"/>
      <c r="L1018" s="108"/>
      <c r="M1018" s="108"/>
      <c r="N1018" s="108"/>
    </row>
    <row r="1019" spans="1:14" ht="31.5" hidden="1" x14ac:dyDescent="0.25">
      <c r="A1019" s="31" t="s">
        <v>133</v>
      </c>
      <c r="B1019" s="490">
        <v>908</v>
      </c>
      <c r="C1019" s="499" t="s">
        <v>234</v>
      </c>
      <c r="D1019" s="499" t="s">
        <v>213</v>
      </c>
      <c r="E1019" s="492" t="s">
        <v>975</v>
      </c>
      <c r="F1019" s="499" t="s">
        <v>134</v>
      </c>
      <c r="G1019" s="489"/>
      <c r="H1019" s="501"/>
      <c r="I1019" s="526"/>
      <c r="J1019" s="117"/>
      <c r="K1019" s="501"/>
      <c r="L1019" s="108"/>
      <c r="M1019" s="108"/>
      <c r="N1019" s="108"/>
    </row>
    <row r="1020" spans="1:14" s="204" customFormat="1" ht="31.7" hidden="1" customHeight="1" x14ac:dyDescent="0.25">
      <c r="A1020" s="34" t="s">
        <v>1014</v>
      </c>
      <c r="B1020" s="491">
        <v>908</v>
      </c>
      <c r="C1020" s="7" t="s">
        <v>234</v>
      </c>
      <c r="D1020" s="7" t="s">
        <v>213</v>
      </c>
      <c r="E1020" s="495" t="s">
        <v>1015</v>
      </c>
      <c r="F1020" s="7"/>
      <c r="G1020" s="488">
        <f t="shared" ref="G1020:G1022" si="83">G1021</f>
        <v>0</v>
      </c>
      <c r="H1020" s="501"/>
      <c r="I1020" s="526"/>
      <c r="J1020" s="117"/>
      <c r="K1020" s="501"/>
      <c r="L1020" s="108"/>
      <c r="M1020" s="108"/>
      <c r="N1020" s="108"/>
    </row>
    <row r="1021" spans="1:14" ht="15.75" hidden="1" x14ac:dyDescent="0.25">
      <c r="A1021" s="45" t="s">
        <v>529</v>
      </c>
      <c r="B1021" s="490">
        <v>908</v>
      </c>
      <c r="C1021" s="499" t="s">
        <v>234</v>
      </c>
      <c r="D1021" s="499" t="s">
        <v>213</v>
      </c>
      <c r="E1021" s="492" t="s">
        <v>1018</v>
      </c>
      <c r="F1021" s="499"/>
      <c r="G1021" s="497">
        <f t="shared" si="83"/>
        <v>0</v>
      </c>
      <c r="H1021" s="501"/>
      <c r="I1021" s="526"/>
      <c r="J1021" s="117"/>
      <c r="K1021" s="501"/>
      <c r="L1021" s="108"/>
      <c r="M1021" s="108"/>
      <c r="N1021" s="108"/>
    </row>
    <row r="1022" spans="1:14" ht="31.5" hidden="1" x14ac:dyDescent="0.25">
      <c r="A1022" s="31" t="s">
        <v>131</v>
      </c>
      <c r="B1022" s="490">
        <v>908</v>
      </c>
      <c r="C1022" s="499" t="s">
        <v>234</v>
      </c>
      <c r="D1022" s="499" t="s">
        <v>213</v>
      </c>
      <c r="E1022" s="492" t="s">
        <v>1018</v>
      </c>
      <c r="F1022" s="499" t="s">
        <v>132</v>
      </c>
      <c r="G1022" s="497">
        <f t="shared" si="83"/>
        <v>0</v>
      </c>
      <c r="H1022" s="501"/>
      <c r="I1022" s="526"/>
      <c r="J1022" s="117"/>
      <c r="K1022" s="501"/>
      <c r="L1022" s="108"/>
      <c r="M1022" s="108"/>
      <c r="N1022" s="108"/>
    </row>
    <row r="1023" spans="1:14" ht="31.5" hidden="1" x14ac:dyDescent="0.25">
      <c r="A1023" s="31" t="s">
        <v>133</v>
      </c>
      <c r="B1023" s="490">
        <v>908</v>
      </c>
      <c r="C1023" s="499" t="s">
        <v>234</v>
      </c>
      <c r="D1023" s="499" t="s">
        <v>213</v>
      </c>
      <c r="E1023" s="492" t="s">
        <v>1018</v>
      </c>
      <c r="F1023" s="499" t="s">
        <v>134</v>
      </c>
      <c r="G1023" s="497">
        <v>0</v>
      </c>
      <c r="H1023" s="501"/>
      <c r="I1023" s="526"/>
      <c r="J1023" s="117"/>
      <c r="K1023" s="501"/>
      <c r="L1023" s="108"/>
      <c r="M1023" s="108"/>
      <c r="N1023" s="108"/>
    </row>
    <row r="1024" spans="1:14" s="204" customFormat="1" ht="31.5" hidden="1" x14ac:dyDescent="0.25">
      <c r="A1024" s="220" t="s">
        <v>1016</v>
      </c>
      <c r="B1024" s="491">
        <v>908</v>
      </c>
      <c r="C1024" s="7" t="s">
        <v>234</v>
      </c>
      <c r="D1024" s="7" t="s">
        <v>213</v>
      </c>
      <c r="E1024" s="495" t="s">
        <v>1017</v>
      </c>
      <c r="F1024" s="7"/>
      <c r="G1024" s="493">
        <f t="shared" ref="G1024:G1026" si="84">G1025</f>
        <v>0</v>
      </c>
      <c r="H1024" s="501"/>
      <c r="I1024" s="526"/>
      <c r="J1024" s="117"/>
      <c r="K1024" s="501"/>
      <c r="L1024" s="108"/>
      <c r="M1024" s="108"/>
      <c r="N1024" s="108"/>
    </row>
    <row r="1025" spans="1:14" ht="21.75" hidden="1" customHeight="1" x14ac:dyDescent="0.25">
      <c r="A1025" s="174" t="s">
        <v>531</v>
      </c>
      <c r="B1025" s="490">
        <v>908</v>
      </c>
      <c r="C1025" s="499" t="s">
        <v>234</v>
      </c>
      <c r="D1025" s="499" t="s">
        <v>213</v>
      </c>
      <c r="E1025" s="492" t="s">
        <v>1019</v>
      </c>
      <c r="F1025" s="499"/>
      <c r="G1025" s="497">
        <f t="shared" si="84"/>
        <v>0</v>
      </c>
      <c r="H1025" s="501"/>
      <c r="I1025" s="526"/>
      <c r="J1025" s="117"/>
      <c r="K1025" s="501"/>
      <c r="L1025" s="108"/>
      <c r="M1025" s="108"/>
      <c r="N1025" s="108"/>
    </row>
    <row r="1026" spans="1:14" ht="31.7" hidden="1" customHeight="1" x14ac:dyDescent="0.25">
      <c r="A1026" s="31" t="s">
        <v>131</v>
      </c>
      <c r="B1026" s="490">
        <v>908</v>
      </c>
      <c r="C1026" s="499" t="s">
        <v>234</v>
      </c>
      <c r="D1026" s="499" t="s">
        <v>213</v>
      </c>
      <c r="E1026" s="492" t="s">
        <v>1019</v>
      </c>
      <c r="F1026" s="499" t="s">
        <v>132</v>
      </c>
      <c r="G1026" s="497">
        <f t="shared" si="84"/>
        <v>0</v>
      </c>
      <c r="H1026" s="501"/>
      <c r="I1026" s="526"/>
      <c r="J1026" s="117"/>
      <c r="K1026" s="501"/>
      <c r="L1026" s="108"/>
      <c r="M1026" s="108"/>
      <c r="N1026" s="108"/>
    </row>
    <row r="1027" spans="1:14" ht="36" hidden="1" customHeight="1" x14ac:dyDescent="0.25">
      <c r="A1027" s="31" t="s">
        <v>133</v>
      </c>
      <c r="B1027" s="490">
        <v>908</v>
      </c>
      <c r="C1027" s="499" t="s">
        <v>234</v>
      </c>
      <c r="D1027" s="499" t="s">
        <v>213</v>
      </c>
      <c r="E1027" s="492" t="s">
        <v>1019</v>
      </c>
      <c r="F1027" s="499" t="s">
        <v>134</v>
      </c>
      <c r="G1027" s="497">
        <v>0</v>
      </c>
      <c r="H1027" s="501"/>
      <c r="I1027" s="526"/>
      <c r="J1027" s="117"/>
      <c r="K1027" s="501"/>
      <c r="L1027" s="108"/>
      <c r="M1027" s="108"/>
      <c r="N1027" s="108"/>
    </row>
    <row r="1028" spans="1:14" s="204" customFormat="1" ht="31.7" hidden="1" customHeight="1" x14ac:dyDescent="0.25">
      <c r="A1028" s="220" t="s">
        <v>977</v>
      </c>
      <c r="B1028" s="491">
        <v>908</v>
      </c>
      <c r="C1028" s="7" t="s">
        <v>234</v>
      </c>
      <c r="D1028" s="7" t="s">
        <v>213</v>
      </c>
      <c r="E1028" s="495" t="s">
        <v>978</v>
      </c>
      <c r="F1028" s="7"/>
      <c r="G1028" s="493">
        <f t="shared" ref="G1028:G1030" si="85">G1029</f>
        <v>0</v>
      </c>
      <c r="H1028" s="476"/>
      <c r="I1028" s="526"/>
      <c r="J1028" s="117"/>
      <c r="K1028" s="501"/>
      <c r="L1028" s="108"/>
      <c r="M1028" s="108"/>
      <c r="N1028" s="108"/>
    </row>
    <row r="1029" spans="1:14" ht="15.75" hidden="1" x14ac:dyDescent="0.25">
      <c r="A1029" s="174" t="s">
        <v>533</v>
      </c>
      <c r="B1029" s="490">
        <v>908</v>
      </c>
      <c r="C1029" s="499" t="s">
        <v>234</v>
      </c>
      <c r="D1029" s="499" t="s">
        <v>213</v>
      </c>
      <c r="E1029" s="492" t="s">
        <v>976</v>
      </c>
      <c r="F1029" s="499"/>
      <c r="G1029" s="497">
        <f t="shared" si="85"/>
        <v>0</v>
      </c>
      <c r="H1029" s="501"/>
      <c r="I1029" s="526"/>
      <c r="J1029" s="117"/>
      <c r="K1029" s="501"/>
    </row>
    <row r="1030" spans="1:14" ht="31.5" hidden="1" x14ac:dyDescent="0.25">
      <c r="A1030" s="496" t="s">
        <v>131</v>
      </c>
      <c r="B1030" s="490">
        <v>908</v>
      </c>
      <c r="C1030" s="499" t="s">
        <v>234</v>
      </c>
      <c r="D1030" s="499" t="s">
        <v>213</v>
      </c>
      <c r="E1030" s="492" t="s">
        <v>976</v>
      </c>
      <c r="F1030" s="499" t="s">
        <v>132</v>
      </c>
      <c r="G1030" s="497">
        <f t="shared" si="85"/>
        <v>0</v>
      </c>
      <c r="H1030" s="501"/>
      <c r="I1030" s="526"/>
      <c r="J1030" s="117"/>
      <c r="K1030" s="204"/>
    </row>
    <row r="1031" spans="1:14" ht="31.5" hidden="1" x14ac:dyDescent="0.25">
      <c r="A1031" s="496" t="s">
        <v>133</v>
      </c>
      <c r="B1031" s="490">
        <v>908</v>
      </c>
      <c r="C1031" s="499" t="s">
        <v>234</v>
      </c>
      <c r="D1031" s="499" t="s">
        <v>213</v>
      </c>
      <c r="E1031" s="492" t="s">
        <v>976</v>
      </c>
      <c r="F1031" s="499" t="s">
        <v>134</v>
      </c>
      <c r="G1031" s="497"/>
      <c r="H1031" s="501"/>
      <c r="I1031" s="526"/>
      <c r="J1031" s="117"/>
      <c r="K1031" s="204"/>
    </row>
    <row r="1032" spans="1:14" s="204" customFormat="1" ht="31.5" x14ac:dyDescent="0.25">
      <c r="A1032" s="494" t="s">
        <v>1528</v>
      </c>
      <c r="B1032" s="491">
        <v>908</v>
      </c>
      <c r="C1032" s="7" t="s">
        <v>234</v>
      </c>
      <c r="D1032" s="7" t="s">
        <v>213</v>
      </c>
      <c r="E1032" s="495" t="s">
        <v>1141</v>
      </c>
      <c r="F1032" s="7"/>
      <c r="G1032" s="493">
        <f t="shared" ref="G1032:G1035" si="86">G1033</f>
        <v>204</v>
      </c>
      <c r="H1032" s="501"/>
      <c r="I1032" s="526"/>
      <c r="J1032" s="117"/>
    </row>
    <row r="1033" spans="1:14" s="204" customFormat="1" ht="31.5" x14ac:dyDescent="0.25">
      <c r="A1033" s="494" t="s">
        <v>1142</v>
      </c>
      <c r="B1033" s="491">
        <v>908</v>
      </c>
      <c r="C1033" s="7" t="s">
        <v>234</v>
      </c>
      <c r="D1033" s="7" t="s">
        <v>213</v>
      </c>
      <c r="E1033" s="495" t="s">
        <v>1143</v>
      </c>
      <c r="F1033" s="7"/>
      <c r="G1033" s="493">
        <f t="shared" si="86"/>
        <v>204</v>
      </c>
      <c r="H1033" s="501"/>
      <c r="I1033" s="526"/>
      <c r="J1033" s="117"/>
    </row>
    <row r="1034" spans="1:14" s="204" customFormat="1" ht="15.75" x14ac:dyDescent="0.25">
      <c r="A1034" s="579" t="s">
        <v>537</v>
      </c>
      <c r="B1034" s="490">
        <v>908</v>
      </c>
      <c r="C1034" s="499" t="s">
        <v>234</v>
      </c>
      <c r="D1034" s="499" t="s">
        <v>213</v>
      </c>
      <c r="E1034" s="492" t="s">
        <v>1144</v>
      </c>
      <c r="F1034" s="499"/>
      <c r="G1034" s="497">
        <f t="shared" si="86"/>
        <v>204</v>
      </c>
      <c r="H1034" s="501"/>
      <c r="I1034" s="526"/>
      <c r="J1034" s="117"/>
    </row>
    <row r="1035" spans="1:14" s="204" customFormat="1" ht="31.5" x14ac:dyDescent="0.25">
      <c r="A1035" s="579" t="s">
        <v>131</v>
      </c>
      <c r="B1035" s="490">
        <v>908</v>
      </c>
      <c r="C1035" s="499" t="s">
        <v>234</v>
      </c>
      <c r="D1035" s="499" t="s">
        <v>213</v>
      </c>
      <c r="E1035" s="492" t="s">
        <v>1144</v>
      </c>
      <c r="F1035" s="499" t="s">
        <v>132</v>
      </c>
      <c r="G1035" s="497">
        <f t="shared" si="86"/>
        <v>204</v>
      </c>
      <c r="H1035" s="501"/>
      <c r="I1035" s="526"/>
      <c r="J1035" s="117"/>
    </row>
    <row r="1036" spans="1:14" s="204" customFormat="1" ht="31.5" x14ac:dyDescent="0.25">
      <c r="A1036" s="579" t="s">
        <v>133</v>
      </c>
      <c r="B1036" s="490">
        <v>908</v>
      </c>
      <c r="C1036" s="499" t="s">
        <v>234</v>
      </c>
      <c r="D1036" s="499" t="s">
        <v>213</v>
      </c>
      <c r="E1036" s="492" t="s">
        <v>1144</v>
      </c>
      <c r="F1036" s="499" t="s">
        <v>134</v>
      </c>
      <c r="G1036" s="497">
        <f>204</f>
        <v>204</v>
      </c>
      <c r="H1036" s="501"/>
      <c r="I1036" s="526"/>
      <c r="J1036" s="117"/>
    </row>
    <row r="1037" spans="1:14" ht="15.75" x14ac:dyDescent="0.25">
      <c r="A1037" s="494" t="s">
        <v>541</v>
      </c>
      <c r="B1037" s="491">
        <v>908</v>
      </c>
      <c r="C1037" s="495" t="s">
        <v>234</v>
      </c>
      <c r="D1037" s="495" t="s">
        <v>215</v>
      </c>
      <c r="E1037" s="495"/>
      <c r="F1037" s="495"/>
      <c r="G1037" s="493">
        <f>G1038+G1043+G1090</f>
        <v>9635.7199999999993</v>
      </c>
      <c r="H1037" s="501"/>
      <c r="I1037" s="526"/>
      <c r="J1037" s="501"/>
      <c r="K1037" s="204"/>
    </row>
    <row r="1038" spans="1:14" s="204" customFormat="1" ht="15.75" x14ac:dyDescent="0.25">
      <c r="A1038" s="494" t="s">
        <v>141</v>
      </c>
      <c r="B1038" s="491">
        <v>908</v>
      </c>
      <c r="C1038" s="495" t="s">
        <v>234</v>
      </c>
      <c r="D1038" s="495" t="s">
        <v>215</v>
      </c>
      <c r="E1038" s="495" t="s">
        <v>866</v>
      </c>
      <c r="F1038" s="495"/>
      <c r="G1038" s="493">
        <f t="shared" ref="G1038:G1041" si="87">G1039</f>
        <v>390</v>
      </c>
      <c r="H1038" s="501"/>
      <c r="I1038" s="526"/>
      <c r="J1038" s="501"/>
    </row>
    <row r="1039" spans="1:14" s="204" customFormat="1" ht="31.5" x14ac:dyDescent="0.25">
      <c r="A1039" s="494" t="s">
        <v>870</v>
      </c>
      <c r="B1039" s="491">
        <v>908</v>
      </c>
      <c r="C1039" s="495" t="s">
        <v>234</v>
      </c>
      <c r="D1039" s="495" t="s">
        <v>215</v>
      </c>
      <c r="E1039" s="495" t="s">
        <v>865</v>
      </c>
      <c r="F1039" s="495"/>
      <c r="G1039" s="493">
        <f t="shared" si="87"/>
        <v>390</v>
      </c>
      <c r="H1039" s="501"/>
      <c r="I1039" s="526"/>
      <c r="J1039" s="501"/>
    </row>
    <row r="1040" spans="1:14" s="204" customFormat="1" ht="15.75" x14ac:dyDescent="0.25">
      <c r="A1040" s="579" t="s">
        <v>564</v>
      </c>
      <c r="B1040" s="490">
        <v>908</v>
      </c>
      <c r="C1040" s="492" t="s">
        <v>234</v>
      </c>
      <c r="D1040" s="492" t="s">
        <v>215</v>
      </c>
      <c r="E1040" s="492" t="s">
        <v>1074</v>
      </c>
      <c r="F1040" s="492"/>
      <c r="G1040" s="497">
        <f t="shared" si="87"/>
        <v>390</v>
      </c>
      <c r="H1040" s="501"/>
      <c r="I1040" s="526"/>
      <c r="J1040" s="501"/>
    </row>
    <row r="1041" spans="1:17" s="204" customFormat="1" ht="31.5" x14ac:dyDescent="0.25">
      <c r="A1041" s="579" t="s">
        <v>131</v>
      </c>
      <c r="B1041" s="490">
        <v>908</v>
      </c>
      <c r="C1041" s="492" t="s">
        <v>234</v>
      </c>
      <c r="D1041" s="492" t="s">
        <v>215</v>
      </c>
      <c r="E1041" s="492" t="s">
        <v>1074</v>
      </c>
      <c r="F1041" s="492" t="s">
        <v>132</v>
      </c>
      <c r="G1041" s="497">
        <f t="shared" si="87"/>
        <v>390</v>
      </c>
      <c r="H1041" s="501"/>
      <c r="I1041" s="526"/>
      <c r="J1041" s="117"/>
    </row>
    <row r="1042" spans="1:17" s="204" customFormat="1" ht="31.5" x14ac:dyDescent="0.25">
      <c r="A1042" s="579" t="s">
        <v>133</v>
      </c>
      <c r="B1042" s="490">
        <v>908</v>
      </c>
      <c r="C1042" s="492" t="s">
        <v>234</v>
      </c>
      <c r="D1042" s="492" t="s">
        <v>215</v>
      </c>
      <c r="E1042" s="492" t="s">
        <v>1074</v>
      </c>
      <c r="F1042" s="492" t="s">
        <v>134</v>
      </c>
      <c r="G1042" s="27">
        <v>390</v>
      </c>
      <c r="H1042" s="501"/>
      <c r="I1042" s="526"/>
      <c r="J1042" s="501"/>
    </row>
    <row r="1043" spans="1:17" ht="34.5" customHeight="1" x14ac:dyDescent="0.25">
      <c r="A1043" s="494" t="s">
        <v>1362</v>
      </c>
      <c r="B1043" s="491">
        <v>908</v>
      </c>
      <c r="C1043" s="495" t="s">
        <v>234</v>
      </c>
      <c r="D1043" s="495" t="s">
        <v>215</v>
      </c>
      <c r="E1043" s="495" t="s">
        <v>543</v>
      </c>
      <c r="F1043" s="495"/>
      <c r="G1043" s="493">
        <f>G1044+G1075+G1048+G1082+G1086</f>
        <v>8745.7199999999993</v>
      </c>
      <c r="H1043" s="501"/>
      <c r="I1043" s="526"/>
      <c r="J1043" s="501"/>
      <c r="K1043" s="204"/>
    </row>
    <row r="1044" spans="1:17" s="204" customFormat="1" ht="35.450000000000003" hidden="1" customHeight="1" x14ac:dyDescent="0.25">
      <c r="A1044" s="494" t="s">
        <v>1430</v>
      </c>
      <c r="B1044" s="491">
        <v>908</v>
      </c>
      <c r="C1044" s="495" t="s">
        <v>234</v>
      </c>
      <c r="D1044" s="495" t="s">
        <v>215</v>
      </c>
      <c r="E1044" s="495" t="s">
        <v>1273</v>
      </c>
      <c r="F1044" s="495"/>
      <c r="G1044" s="493">
        <f t="shared" ref="G1044:G1046" si="88">G1045</f>
        <v>0</v>
      </c>
      <c r="H1044" s="501"/>
      <c r="I1044" s="526"/>
      <c r="J1044" s="501"/>
    </row>
    <row r="1045" spans="1:17" s="204" customFormat="1" ht="21.2" hidden="1" customHeight="1" x14ac:dyDescent="0.25">
      <c r="A1045" s="327" t="s">
        <v>1431</v>
      </c>
      <c r="B1045" s="490">
        <v>908</v>
      </c>
      <c r="C1045" s="492" t="s">
        <v>234</v>
      </c>
      <c r="D1045" s="492" t="s">
        <v>215</v>
      </c>
      <c r="E1045" s="492" t="s">
        <v>1419</v>
      </c>
      <c r="F1045" s="492"/>
      <c r="G1045" s="497">
        <f t="shared" si="88"/>
        <v>0</v>
      </c>
      <c r="H1045" s="501"/>
      <c r="I1045" s="526"/>
      <c r="J1045" s="501"/>
    </row>
    <row r="1046" spans="1:17" s="204" customFormat="1" ht="35.450000000000003" hidden="1" customHeight="1" x14ac:dyDescent="0.25">
      <c r="A1046" s="496" t="s">
        <v>131</v>
      </c>
      <c r="B1046" s="490">
        <v>908</v>
      </c>
      <c r="C1046" s="492" t="s">
        <v>234</v>
      </c>
      <c r="D1046" s="492" t="s">
        <v>215</v>
      </c>
      <c r="E1046" s="492" t="s">
        <v>1419</v>
      </c>
      <c r="F1046" s="492" t="s">
        <v>132</v>
      </c>
      <c r="G1046" s="497">
        <f t="shared" si="88"/>
        <v>0</v>
      </c>
      <c r="H1046" s="501"/>
      <c r="I1046" s="526"/>
      <c r="J1046" s="501"/>
    </row>
    <row r="1047" spans="1:17" s="204" customFormat="1" ht="35.450000000000003" hidden="1" customHeight="1" x14ac:dyDescent="0.25">
      <c r="A1047" s="496" t="s">
        <v>133</v>
      </c>
      <c r="B1047" s="490">
        <v>908</v>
      </c>
      <c r="C1047" s="492" t="s">
        <v>234</v>
      </c>
      <c r="D1047" s="492" t="s">
        <v>215</v>
      </c>
      <c r="E1047" s="492" t="s">
        <v>1419</v>
      </c>
      <c r="F1047" s="492" t="s">
        <v>134</v>
      </c>
      <c r="G1047" s="497">
        <v>0</v>
      </c>
      <c r="H1047" s="501"/>
      <c r="I1047" s="526"/>
      <c r="J1047" s="501"/>
    </row>
    <row r="1048" spans="1:17" s="204" customFormat="1" ht="35.450000000000003" customHeight="1" x14ac:dyDescent="0.25">
      <c r="A1048" s="494" t="s">
        <v>1450</v>
      </c>
      <c r="B1048" s="491">
        <v>908</v>
      </c>
      <c r="C1048" s="495" t="s">
        <v>234</v>
      </c>
      <c r="D1048" s="495" t="s">
        <v>215</v>
      </c>
      <c r="E1048" s="495" t="s">
        <v>1274</v>
      </c>
      <c r="F1048" s="495"/>
      <c r="G1048" s="493">
        <f>G1049+G1052+G1058+G1061+G1064+G1069+G1072</f>
        <v>2248.02</v>
      </c>
      <c r="H1048" s="501"/>
      <c r="I1048" s="526"/>
      <c r="J1048" s="501"/>
    </row>
    <row r="1049" spans="1:17" ht="19.5" customHeight="1" x14ac:dyDescent="0.25">
      <c r="A1049" s="579" t="s">
        <v>546</v>
      </c>
      <c r="B1049" s="490">
        <v>908</v>
      </c>
      <c r="C1049" s="492" t="s">
        <v>234</v>
      </c>
      <c r="D1049" s="492" t="s">
        <v>215</v>
      </c>
      <c r="E1049" s="492" t="s">
        <v>1429</v>
      </c>
      <c r="F1049" s="492"/>
      <c r="G1049" s="497">
        <f>G1050</f>
        <v>365</v>
      </c>
      <c r="H1049" s="501"/>
      <c r="I1049" s="526"/>
      <c r="J1049" s="501"/>
      <c r="K1049" s="204"/>
    </row>
    <row r="1050" spans="1:17" ht="31.5" x14ac:dyDescent="0.25">
      <c r="A1050" s="579" t="s">
        <v>131</v>
      </c>
      <c r="B1050" s="490">
        <v>908</v>
      </c>
      <c r="C1050" s="492" t="s">
        <v>234</v>
      </c>
      <c r="D1050" s="492" t="s">
        <v>215</v>
      </c>
      <c r="E1050" s="492" t="s">
        <v>1429</v>
      </c>
      <c r="F1050" s="492" t="s">
        <v>132</v>
      </c>
      <c r="G1050" s="497">
        <f>G1051</f>
        <v>365</v>
      </c>
      <c r="H1050" s="501"/>
      <c r="I1050" s="526"/>
      <c r="J1050" s="501"/>
      <c r="K1050" s="204"/>
    </row>
    <row r="1051" spans="1:17" ht="31.5" x14ac:dyDescent="0.25">
      <c r="A1051" s="579" t="s">
        <v>133</v>
      </c>
      <c r="B1051" s="490">
        <v>908</v>
      </c>
      <c r="C1051" s="492" t="s">
        <v>234</v>
      </c>
      <c r="D1051" s="492" t="s">
        <v>215</v>
      </c>
      <c r="E1051" s="492" t="s">
        <v>1429</v>
      </c>
      <c r="F1051" s="492" t="s">
        <v>134</v>
      </c>
      <c r="G1051" s="497">
        <v>365</v>
      </c>
      <c r="H1051" s="523"/>
      <c r="I1051" s="526"/>
      <c r="J1051" s="501"/>
      <c r="K1051" s="537"/>
    </row>
    <row r="1052" spans="1:17" ht="15.75" x14ac:dyDescent="0.25">
      <c r="A1052" s="579" t="s">
        <v>1086</v>
      </c>
      <c r="B1052" s="490">
        <v>908</v>
      </c>
      <c r="C1052" s="492" t="s">
        <v>234</v>
      </c>
      <c r="D1052" s="492" t="s">
        <v>215</v>
      </c>
      <c r="E1052" s="492" t="s">
        <v>1418</v>
      </c>
      <c r="F1052" s="492"/>
      <c r="G1052" s="497">
        <f>G1053+G1055</f>
        <v>1408.02</v>
      </c>
      <c r="H1052" s="501"/>
      <c r="I1052" s="526"/>
      <c r="J1052" s="501"/>
      <c r="K1052" s="204"/>
    </row>
    <row r="1053" spans="1:17" ht="31.5" x14ac:dyDescent="0.25">
      <c r="A1053" s="579" t="s">
        <v>131</v>
      </c>
      <c r="B1053" s="490">
        <v>908</v>
      </c>
      <c r="C1053" s="492" t="s">
        <v>234</v>
      </c>
      <c r="D1053" s="492" t="s">
        <v>215</v>
      </c>
      <c r="E1053" s="492" t="s">
        <v>1418</v>
      </c>
      <c r="F1053" s="492" t="s">
        <v>132</v>
      </c>
      <c r="G1053" s="497">
        <f>G1054</f>
        <v>1408.02</v>
      </c>
      <c r="H1053" s="501"/>
      <c r="I1053" s="526"/>
      <c r="J1053" s="501"/>
      <c r="K1053" s="204"/>
    </row>
    <row r="1054" spans="1:17" ht="31.5" x14ac:dyDescent="0.25">
      <c r="A1054" s="579" t="s">
        <v>133</v>
      </c>
      <c r="B1054" s="490">
        <v>908</v>
      </c>
      <c r="C1054" s="492" t="s">
        <v>234</v>
      </c>
      <c r="D1054" s="492" t="s">
        <v>215</v>
      </c>
      <c r="E1054" s="492" t="s">
        <v>1418</v>
      </c>
      <c r="F1054" s="492" t="s">
        <v>134</v>
      </c>
      <c r="G1054" s="497">
        <f>1408.02</f>
        <v>1408.02</v>
      </c>
      <c r="H1054" s="119"/>
      <c r="I1054" s="526"/>
      <c r="J1054" s="501"/>
      <c r="K1054" s="204"/>
      <c r="N1054" s="537"/>
      <c r="O1054" s="204"/>
      <c r="Q1054" s="537"/>
    </row>
    <row r="1055" spans="1:17" ht="15.75" hidden="1" x14ac:dyDescent="0.25">
      <c r="A1055" s="496" t="s">
        <v>135</v>
      </c>
      <c r="B1055" s="490">
        <v>908</v>
      </c>
      <c r="C1055" s="492" t="s">
        <v>234</v>
      </c>
      <c r="D1055" s="492" t="s">
        <v>215</v>
      </c>
      <c r="E1055" s="492" t="s">
        <v>1418</v>
      </c>
      <c r="F1055" s="492" t="s">
        <v>145</v>
      </c>
      <c r="G1055" s="497">
        <f>G1057+G1056</f>
        <v>0</v>
      </c>
      <c r="H1055" s="501"/>
      <c r="I1055" s="526"/>
      <c r="J1055" s="501"/>
      <c r="K1055" s="204"/>
    </row>
    <row r="1056" spans="1:17" s="204" customFormat="1" ht="32.25" hidden="1" customHeight="1" x14ac:dyDescent="0.25">
      <c r="A1056" s="496" t="s">
        <v>836</v>
      </c>
      <c r="B1056" s="490">
        <v>908</v>
      </c>
      <c r="C1056" s="492" t="s">
        <v>234</v>
      </c>
      <c r="D1056" s="492" t="s">
        <v>215</v>
      </c>
      <c r="E1056" s="492" t="s">
        <v>1418</v>
      </c>
      <c r="F1056" s="492" t="s">
        <v>147</v>
      </c>
      <c r="G1056" s="497">
        <v>0</v>
      </c>
      <c r="H1056" s="501"/>
      <c r="I1056" s="526"/>
      <c r="J1056" s="501"/>
    </row>
    <row r="1057" spans="1:11" ht="15.75" hidden="1" x14ac:dyDescent="0.25">
      <c r="A1057" s="496" t="s">
        <v>704</v>
      </c>
      <c r="B1057" s="490">
        <v>908</v>
      </c>
      <c r="C1057" s="492" t="s">
        <v>234</v>
      </c>
      <c r="D1057" s="492" t="s">
        <v>215</v>
      </c>
      <c r="E1057" s="492" t="s">
        <v>1418</v>
      </c>
      <c r="F1057" s="492" t="s">
        <v>138</v>
      </c>
      <c r="G1057" s="497">
        <f>3.4+37.5-40.9</f>
        <v>0</v>
      </c>
      <c r="H1057" s="501"/>
      <c r="I1057" s="526"/>
      <c r="J1057" s="501"/>
      <c r="K1057" s="204"/>
    </row>
    <row r="1058" spans="1:11" ht="15.75" hidden="1" x14ac:dyDescent="0.25">
      <c r="A1058" s="496" t="s">
        <v>550</v>
      </c>
      <c r="B1058" s="490">
        <v>908</v>
      </c>
      <c r="C1058" s="492" t="s">
        <v>234</v>
      </c>
      <c r="D1058" s="492" t="s">
        <v>215</v>
      </c>
      <c r="E1058" s="492" t="s">
        <v>1298</v>
      </c>
      <c r="F1058" s="492"/>
      <c r="G1058" s="497">
        <f>G1059</f>
        <v>0</v>
      </c>
      <c r="H1058" s="501"/>
      <c r="I1058" s="526"/>
      <c r="J1058" s="501"/>
      <c r="K1058" s="204"/>
    </row>
    <row r="1059" spans="1:11" ht="31.5" hidden="1" x14ac:dyDescent="0.25">
      <c r="A1059" s="496" t="s">
        <v>131</v>
      </c>
      <c r="B1059" s="490">
        <v>908</v>
      </c>
      <c r="C1059" s="492" t="s">
        <v>234</v>
      </c>
      <c r="D1059" s="492" t="s">
        <v>215</v>
      </c>
      <c r="E1059" s="492" t="s">
        <v>1298</v>
      </c>
      <c r="F1059" s="492" t="s">
        <v>132</v>
      </c>
      <c r="G1059" s="497">
        <f>G1060</f>
        <v>0</v>
      </c>
      <c r="H1059" s="501"/>
      <c r="I1059" s="526"/>
      <c r="J1059" s="501"/>
      <c r="K1059" s="204"/>
    </row>
    <row r="1060" spans="1:11" ht="31.5" hidden="1" x14ac:dyDescent="0.25">
      <c r="A1060" s="496" t="s">
        <v>133</v>
      </c>
      <c r="B1060" s="490">
        <v>908</v>
      </c>
      <c r="C1060" s="492" t="s">
        <v>234</v>
      </c>
      <c r="D1060" s="492" t="s">
        <v>215</v>
      </c>
      <c r="E1060" s="492" t="s">
        <v>1298</v>
      </c>
      <c r="F1060" s="492" t="s">
        <v>134</v>
      </c>
      <c r="G1060" s="497">
        <v>0</v>
      </c>
      <c r="H1060" s="501"/>
      <c r="I1060" s="526"/>
      <c r="J1060" s="501"/>
      <c r="K1060" s="204"/>
    </row>
    <row r="1061" spans="1:11" ht="15.75" x14ac:dyDescent="0.25">
      <c r="A1061" s="579" t="s">
        <v>555</v>
      </c>
      <c r="B1061" s="490">
        <v>908</v>
      </c>
      <c r="C1061" s="492" t="s">
        <v>234</v>
      </c>
      <c r="D1061" s="492" t="s">
        <v>215</v>
      </c>
      <c r="E1061" s="492" t="s">
        <v>1275</v>
      </c>
      <c r="F1061" s="492"/>
      <c r="G1061" s="497">
        <f>G1062</f>
        <v>50</v>
      </c>
      <c r="H1061" s="501"/>
      <c r="I1061" s="526"/>
      <c r="J1061" s="501"/>
      <c r="K1061" s="204"/>
    </row>
    <row r="1062" spans="1:11" ht="31.5" x14ac:dyDescent="0.25">
      <c r="A1062" s="579" t="s">
        <v>131</v>
      </c>
      <c r="B1062" s="490">
        <v>908</v>
      </c>
      <c r="C1062" s="492" t="s">
        <v>234</v>
      </c>
      <c r="D1062" s="492" t="s">
        <v>215</v>
      </c>
      <c r="E1062" s="492" t="s">
        <v>1275</v>
      </c>
      <c r="F1062" s="492" t="s">
        <v>132</v>
      </c>
      <c r="G1062" s="497">
        <f>G1063</f>
        <v>50</v>
      </c>
      <c r="H1062" s="501"/>
      <c r="I1062" s="526"/>
      <c r="J1062" s="501"/>
      <c r="K1062" s="204"/>
    </row>
    <row r="1063" spans="1:11" ht="36" customHeight="1" x14ac:dyDescent="0.25">
      <c r="A1063" s="579" t="s">
        <v>133</v>
      </c>
      <c r="B1063" s="490">
        <v>908</v>
      </c>
      <c r="C1063" s="492" t="s">
        <v>234</v>
      </c>
      <c r="D1063" s="492" t="s">
        <v>215</v>
      </c>
      <c r="E1063" s="492" t="s">
        <v>1275</v>
      </c>
      <c r="F1063" s="492" t="s">
        <v>134</v>
      </c>
      <c r="G1063" s="497">
        <v>50</v>
      </c>
      <c r="H1063" s="501"/>
      <c r="I1063" s="526"/>
      <c r="J1063" s="501"/>
      <c r="K1063" s="204"/>
    </row>
    <row r="1064" spans="1:11" ht="30.75" customHeight="1" x14ac:dyDescent="0.25">
      <c r="A1064" s="325" t="s">
        <v>1432</v>
      </c>
      <c r="B1064" s="490">
        <v>908</v>
      </c>
      <c r="C1064" s="492" t="s">
        <v>234</v>
      </c>
      <c r="D1064" s="492" t="s">
        <v>215</v>
      </c>
      <c r="E1064" s="492" t="s">
        <v>1276</v>
      </c>
      <c r="F1064" s="492"/>
      <c r="G1064" s="497">
        <f>G1065+G1067</f>
        <v>375</v>
      </c>
      <c r="H1064" s="501"/>
      <c r="I1064" s="526"/>
      <c r="J1064" s="501"/>
      <c r="K1064" s="204"/>
    </row>
    <row r="1065" spans="1:11" ht="31.5" x14ac:dyDescent="0.25">
      <c r="A1065" s="579" t="s">
        <v>131</v>
      </c>
      <c r="B1065" s="490">
        <v>908</v>
      </c>
      <c r="C1065" s="492" t="s">
        <v>234</v>
      </c>
      <c r="D1065" s="492" t="s">
        <v>215</v>
      </c>
      <c r="E1065" s="492" t="s">
        <v>1276</v>
      </c>
      <c r="F1065" s="492" t="s">
        <v>132</v>
      </c>
      <c r="G1065" s="497">
        <f>G1066</f>
        <v>375</v>
      </c>
      <c r="H1065" s="501"/>
      <c r="I1065" s="526"/>
      <c r="J1065" s="501"/>
      <c r="K1065" s="204"/>
    </row>
    <row r="1066" spans="1:11" ht="31.5" x14ac:dyDescent="0.25">
      <c r="A1066" s="579" t="s">
        <v>133</v>
      </c>
      <c r="B1066" s="490">
        <v>908</v>
      </c>
      <c r="C1066" s="492" t="s">
        <v>234</v>
      </c>
      <c r="D1066" s="492" t="s">
        <v>215</v>
      </c>
      <c r="E1066" s="492" t="s">
        <v>1276</v>
      </c>
      <c r="F1066" s="492" t="s">
        <v>134</v>
      </c>
      <c r="G1066" s="497">
        <f>375</f>
        <v>375</v>
      </c>
      <c r="H1066" s="162"/>
      <c r="I1066" s="526"/>
      <c r="J1066" s="501"/>
      <c r="K1066" s="204"/>
    </row>
    <row r="1067" spans="1:11" s="204" customFormat="1" ht="15.75" hidden="1" x14ac:dyDescent="0.25">
      <c r="A1067" s="496" t="s">
        <v>135</v>
      </c>
      <c r="B1067" s="490">
        <v>908</v>
      </c>
      <c r="C1067" s="492" t="s">
        <v>234</v>
      </c>
      <c r="D1067" s="492" t="s">
        <v>215</v>
      </c>
      <c r="E1067" s="492" t="s">
        <v>1276</v>
      </c>
      <c r="F1067" s="492" t="s">
        <v>145</v>
      </c>
      <c r="G1067" s="497">
        <f>G1068</f>
        <v>0</v>
      </c>
      <c r="H1067" s="501"/>
      <c r="I1067" s="526"/>
      <c r="J1067" s="501"/>
    </row>
    <row r="1068" spans="1:11" s="204" customFormat="1" ht="15.75" hidden="1" x14ac:dyDescent="0.25">
      <c r="A1068" s="496" t="s">
        <v>704</v>
      </c>
      <c r="B1068" s="490">
        <v>908</v>
      </c>
      <c r="C1068" s="492" t="s">
        <v>234</v>
      </c>
      <c r="D1068" s="492" t="s">
        <v>215</v>
      </c>
      <c r="E1068" s="492" t="s">
        <v>1276</v>
      </c>
      <c r="F1068" s="492" t="s">
        <v>138</v>
      </c>
      <c r="G1068" s="497">
        <f>75-75</f>
        <v>0</v>
      </c>
      <c r="H1068" s="501"/>
      <c r="I1068" s="526"/>
      <c r="J1068" s="501"/>
    </row>
    <row r="1069" spans="1:11" ht="15.75" hidden="1" x14ac:dyDescent="0.25">
      <c r="A1069" s="45" t="s">
        <v>559</v>
      </c>
      <c r="B1069" s="490">
        <v>908</v>
      </c>
      <c r="C1069" s="492" t="s">
        <v>234</v>
      </c>
      <c r="D1069" s="492" t="s">
        <v>215</v>
      </c>
      <c r="E1069" s="492" t="s">
        <v>1277</v>
      </c>
      <c r="F1069" s="492"/>
      <c r="G1069" s="497">
        <f>G1070</f>
        <v>0</v>
      </c>
      <c r="H1069" s="501"/>
      <c r="I1069" s="526"/>
      <c r="J1069" s="501"/>
      <c r="K1069" s="204"/>
    </row>
    <row r="1070" spans="1:11" ht="31.5" hidden="1" x14ac:dyDescent="0.25">
      <c r="A1070" s="496" t="s">
        <v>131</v>
      </c>
      <c r="B1070" s="490">
        <v>908</v>
      </c>
      <c r="C1070" s="492" t="s">
        <v>234</v>
      </c>
      <c r="D1070" s="492" t="s">
        <v>215</v>
      </c>
      <c r="E1070" s="492" t="s">
        <v>1277</v>
      </c>
      <c r="F1070" s="492" t="s">
        <v>132</v>
      </c>
      <c r="G1070" s="497">
        <f>G1071</f>
        <v>0</v>
      </c>
      <c r="H1070" s="501"/>
      <c r="I1070" s="526"/>
      <c r="J1070" s="501"/>
      <c r="K1070" s="204"/>
    </row>
    <row r="1071" spans="1:11" ht="31.5" hidden="1" x14ac:dyDescent="0.25">
      <c r="A1071" s="496" t="s">
        <v>133</v>
      </c>
      <c r="B1071" s="490">
        <v>908</v>
      </c>
      <c r="C1071" s="492" t="s">
        <v>234</v>
      </c>
      <c r="D1071" s="492" t="s">
        <v>215</v>
      </c>
      <c r="E1071" s="492" t="s">
        <v>1277</v>
      </c>
      <c r="F1071" s="492" t="s">
        <v>134</v>
      </c>
      <c r="G1071" s="497">
        <v>0</v>
      </c>
      <c r="H1071" s="501"/>
      <c r="I1071" s="526"/>
      <c r="J1071" s="501"/>
      <c r="K1071" s="204"/>
    </row>
    <row r="1072" spans="1:11" s="204" customFormat="1" ht="31.5" x14ac:dyDescent="0.25">
      <c r="A1072" s="326" t="s">
        <v>1088</v>
      </c>
      <c r="B1072" s="490">
        <v>908</v>
      </c>
      <c r="C1072" s="492" t="s">
        <v>234</v>
      </c>
      <c r="D1072" s="492" t="s">
        <v>215</v>
      </c>
      <c r="E1072" s="492" t="s">
        <v>1278</v>
      </c>
      <c r="F1072" s="492"/>
      <c r="G1072" s="497">
        <f>G1073</f>
        <v>50</v>
      </c>
      <c r="H1072" s="501"/>
      <c r="I1072" s="526"/>
      <c r="J1072" s="501"/>
    </row>
    <row r="1073" spans="1:10" s="204" customFormat="1" ht="31.5" x14ac:dyDescent="0.25">
      <c r="A1073" s="579" t="s">
        <v>131</v>
      </c>
      <c r="B1073" s="490">
        <v>908</v>
      </c>
      <c r="C1073" s="492" t="s">
        <v>234</v>
      </c>
      <c r="D1073" s="492" t="s">
        <v>215</v>
      </c>
      <c r="E1073" s="492" t="s">
        <v>1278</v>
      </c>
      <c r="F1073" s="492" t="s">
        <v>132</v>
      </c>
      <c r="G1073" s="497">
        <f>G1074</f>
        <v>50</v>
      </c>
      <c r="H1073" s="501"/>
      <c r="I1073" s="526"/>
      <c r="J1073" s="501"/>
    </row>
    <row r="1074" spans="1:10" s="204" customFormat="1" ht="31.5" x14ac:dyDescent="0.25">
      <c r="A1074" s="579" t="s">
        <v>133</v>
      </c>
      <c r="B1074" s="490">
        <v>908</v>
      </c>
      <c r="C1074" s="492" t="s">
        <v>234</v>
      </c>
      <c r="D1074" s="492" t="s">
        <v>215</v>
      </c>
      <c r="E1074" s="492" t="s">
        <v>1278</v>
      </c>
      <c r="F1074" s="492" t="s">
        <v>134</v>
      </c>
      <c r="G1074" s="497">
        <f>50</f>
        <v>50</v>
      </c>
      <c r="H1074" s="501"/>
      <c r="I1074" s="526"/>
      <c r="J1074" s="501"/>
    </row>
    <row r="1075" spans="1:10" s="204" customFormat="1" ht="31.5" x14ac:dyDescent="0.25">
      <c r="A1075" s="494" t="s">
        <v>891</v>
      </c>
      <c r="B1075" s="491">
        <v>908</v>
      </c>
      <c r="C1075" s="495" t="s">
        <v>234</v>
      </c>
      <c r="D1075" s="495" t="s">
        <v>215</v>
      </c>
      <c r="E1075" s="495" t="s">
        <v>1296</v>
      </c>
      <c r="F1075" s="495"/>
      <c r="G1075" s="493">
        <f>G1076+G1079</f>
        <v>2145.8000000000002</v>
      </c>
      <c r="H1075" s="501"/>
      <c r="I1075" s="526"/>
      <c r="J1075" s="501"/>
    </row>
    <row r="1076" spans="1:10" s="204" customFormat="1" ht="31.5" hidden="1" x14ac:dyDescent="0.25">
      <c r="A1076" s="496" t="s">
        <v>690</v>
      </c>
      <c r="B1076" s="490">
        <v>908</v>
      </c>
      <c r="C1076" s="492" t="s">
        <v>234</v>
      </c>
      <c r="D1076" s="492" t="s">
        <v>215</v>
      </c>
      <c r="E1076" s="492" t="s">
        <v>1327</v>
      </c>
      <c r="F1076" s="492"/>
      <c r="G1076" s="497">
        <f>G1077</f>
        <v>0</v>
      </c>
      <c r="H1076" s="501"/>
      <c r="I1076" s="526"/>
      <c r="J1076" s="501"/>
    </row>
    <row r="1077" spans="1:10" s="204" customFormat="1" ht="31.5" hidden="1" x14ac:dyDescent="0.25">
      <c r="A1077" s="496" t="s">
        <v>131</v>
      </c>
      <c r="B1077" s="490">
        <v>908</v>
      </c>
      <c r="C1077" s="492" t="s">
        <v>234</v>
      </c>
      <c r="D1077" s="492" t="s">
        <v>215</v>
      </c>
      <c r="E1077" s="492" t="s">
        <v>1327</v>
      </c>
      <c r="F1077" s="492" t="s">
        <v>132</v>
      </c>
      <c r="G1077" s="497">
        <f>G1078</f>
        <v>0</v>
      </c>
      <c r="H1077" s="501"/>
      <c r="I1077" s="526"/>
      <c r="J1077" s="501"/>
    </row>
    <row r="1078" spans="1:10" s="204" customFormat="1" ht="31.5" hidden="1" x14ac:dyDescent="0.25">
      <c r="A1078" s="496" t="s">
        <v>133</v>
      </c>
      <c r="B1078" s="490">
        <v>908</v>
      </c>
      <c r="C1078" s="492" t="s">
        <v>234</v>
      </c>
      <c r="D1078" s="492" t="s">
        <v>215</v>
      </c>
      <c r="E1078" s="492" t="s">
        <v>1327</v>
      </c>
      <c r="F1078" s="492" t="s">
        <v>134</v>
      </c>
      <c r="G1078" s="497">
        <v>0</v>
      </c>
      <c r="H1078" s="501"/>
      <c r="I1078" s="526"/>
      <c r="J1078" s="501"/>
    </row>
    <row r="1079" spans="1:10" s="204" customFormat="1" ht="47.25" x14ac:dyDescent="0.25">
      <c r="A1079" s="579" t="s">
        <v>1070</v>
      </c>
      <c r="B1079" s="490">
        <v>908</v>
      </c>
      <c r="C1079" s="492" t="s">
        <v>234</v>
      </c>
      <c r="D1079" s="492" t="s">
        <v>215</v>
      </c>
      <c r="E1079" s="492" t="s">
        <v>1295</v>
      </c>
      <c r="F1079" s="492"/>
      <c r="G1079" s="497">
        <f>G1080</f>
        <v>2145.8000000000002</v>
      </c>
      <c r="H1079" s="501"/>
      <c r="I1079" s="526"/>
      <c r="J1079" s="501"/>
    </row>
    <row r="1080" spans="1:10" s="204" customFormat="1" ht="31.5" x14ac:dyDescent="0.25">
      <c r="A1080" s="579" t="s">
        <v>131</v>
      </c>
      <c r="B1080" s="490">
        <v>908</v>
      </c>
      <c r="C1080" s="492" t="s">
        <v>234</v>
      </c>
      <c r="D1080" s="492" t="s">
        <v>215</v>
      </c>
      <c r="E1080" s="492" t="s">
        <v>1295</v>
      </c>
      <c r="F1080" s="492" t="s">
        <v>132</v>
      </c>
      <c r="G1080" s="497">
        <f>G1081</f>
        <v>2145.8000000000002</v>
      </c>
      <c r="H1080" s="501"/>
      <c r="I1080" s="526"/>
      <c r="J1080" s="501"/>
    </row>
    <row r="1081" spans="1:10" s="204" customFormat="1" ht="31.5" x14ac:dyDescent="0.25">
      <c r="A1081" s="579" t="s">
        <v>133</v>
      </c>
      <c r="B1081" s="490">
        <v>908</v>
      </c>
      <c r="C1081" s="492" t="s">
        <v>234</v>
      </c>
      <c r="D1081" s="492" t="s">
        <v>215</v>
      </c>
      <c r="E1081" s="492" t="s">
        <v>1295</v>
      </c>
      <c r="F1081" s="492" t="s">
        <v>134</v>
      </c>
      <c r="G1081" s="497">
        <v>2145.8000000000002</v>
      </c>
      <c r="H1081" s="501"/>
      <c r="I1081" s="526"/>
      <c r="J1081" s="501"/>
    </row>
    <row r="1082" spans="1:10" s="204" customFormat="1" ht="31.5" hidden="1" x14ac:dyDescent="0.25">
      <c r="A1082" s="34" t="s">
        <v>1651</v>
      </c>
      <c r="B1082" s="491">
        <v>908</v>
      </c>
      <c r="C1082" s="495" t="s">
        <v>234</v>
      </c>
      <c r="D1082" s="495" t="s">
        <v>215</v>
      </c>
      <c r="E1082" s="495" t="s">
        <v>1652</v>
      </c>
      <c r="F1082" s="495"/>
      <c r="G1082" s="493">
        <f t="shared" ref="G1082:G1084" si="89">G1083</f>
        <v>0</v>
      </c>
      <c r="H1082" s="501"/>
      <c r="I1082" s="526"/>
      <c r="J1082" s="501"/>
    </row>
    <row r="1083" spans="1:10" s="204" customFormat="1" ht="15.75" hidden="1" x14ac:dyDescent="0.25">
      <c r="A1083" s="31" t="s">
        <v>1650</v>
      </c>
      <c r="B1083" s="490">
        <v>908</v>
      </c>
      <c r="C1083" s="492" t="s">
        <v>234</v>
      </c>
      <c r="D1083" s="492" t="s">
        <v>215</v>
      </c>
      <c r="E1083" s="492" t="s">
        <v>1653</v>
      </c>
      <c r="F1083" s="492"/>
      <c r="G1083" s="497">
        <f t="shared" si="89"/>
        <v>0</v>
      </c>
      <c r="H1083" s="501"/>
      <c r="I1083" s="526"/>
      <c r="J1083" s="501"/>
    </row>
    <row r="1084" spans="1:10" s="204" customFormat="1" ht="31.5" hidden="1" x14ac:dyDescent="0.25">
      <c r="A1084" s="496" t="s">
        <v>131</v>
      </c>
      <c r="B1084" s="490">
        <v>908</v>
      </c>
      <c r="C1084" s="492" t="s">
        <v>234</v>
      </c>
      <c r="D1084" s="492" t="s">
        <v>215</v>
      </c>
      <c r="E1084" s="492" t="s">
        <v>1653</v>
      </c>
      <c r="F1084" s="492" t="s">
        <v>132</v>
      </c>
      <c r="G1084" s="497">
        <f t="shared" si="89"/>
        <v>0</v>
      </c>
      <c r="H1084" s="501"/>
      <c r="I1084" s="526"/>
      <c r="J1084" s="501"/>
    </row>
    <row r="1085" spans="1:10" s="204" customFormat="1" ht="31.5" hidden="1" x14ac:dyDescent="0.25">
      <c r="A1085" s="496" t="s">
        <v>133</v>
      </c>
      <c r="B1085" s="490">
        <v>908</v>
      </c>
      <c r="C1085" s="492" t="s">
        <v>234</v>
      </c>
      <c r="D1085" s="492" t="s">
        <v>215</v>
      </c>
      <c r="E1085" s="492" t="s">
        <v>1653</v>
      </c>
      <c r="F1085" s="492" t="s">
        <v>134</v>
      </c>
      <c r="G1085" s="497"/>
      <c r="H1085" s="517"/>
      <c r="I1085" s="535"/>
      <c r="J1085" s="501"/>
    </row>
    <row r="1086" spans="1:10" s="204" customFormat="1" ht="31.5" x14ac:dyDescent="0.25">
      <c r="A1086" s="34" t="s">
        <v>1678</v>
      </c>
      <c r="B1086" s="491">
        <v>908</v>
      </c>
      <c r="C1086" s="495" t="s">
        <v>234</v>
      </c>
      <c r="D1086" s="495" t="s">
        <v>215</v>
      </c>
      <c r="E1086" s="495" t="s">
        <v>1677</v>
      </c>
      <c r="F1086" s="495"/>
      <c r="G1086" s="493">
        <f t="shared" ref="G1086:G1088" si="90">G1087</f>
        <v>4351.8999999999996</v>
      </c>
      <c r="H1086" s="502"/>
      <c r="I1086" s="540"/>
      <c r="J1086" s="501"/>
    </row>
    <row r="1087" spans="1:10" s="204" customFormat="1" ht="15.75" x14ac:dyDescent="0.25">
      <c r="A1087" s="31" t="s">
        <v>1747</v>
      </c>
      <c r="B1087" s="490">
        <v>908</v>
      </c>
      <c r="C1087" s="492" t="s">
        <v>234</v>
      </c>
      <c r="D1087" s="492" t="s">
        <v>215</v>
      </c>
      <c r="E1087" s="492" t="s">
        <v>1686</v>
      </c>
      <c r="F1087" s="492"/>
      <c r="G1087" s="497">
        <f t="shared" si="90"/>
        <v>4351.8999999999996</v>
      </c>
      <c r="H1087" s="502"/>
      <c r="I1087" s="540"/>
      <c r="J1087" s="501"/>
    </row>
    <row r="1088" spans="1:10" s="204" customFormat="1" ht="31.5" x14ac:dyDescent="0.25">
      <c r="A1088" s="579" t="s">
        <v>131</v>
      </c>
      <c r="B1088" s="490">
        <v>908</v>
      </c>
      <c r="C1088" s="492" t="s">
        <v>234</v>
      </c>
      <c r="D1088" s="492" t="s">
        <v>215</v>
      </c>
      <c r="E1088" s="492" t="s">
        <v>1686</v>
      </c>
      <c r="F1088" s="492" t="s">
        <v>132</v>
      </c>
      <c r="G1088" s="497">
        <f t="shared" si="90"/>
        <v>4351.8999999999996</v>
      </c>
      <c r="H1088" s="502"/>
      <c r="I1088" s="540"/>
      <c r="J1088" s="501"/>
    </row>
    <row r="1089" spans="1:11" s="204" customFormat="1" ht="31.5" x14ac:dyDescent="0.25">
      <c r="A1089" s="579" t="s">
        <v>133</v>
      </c>
      <c r="B1089" s="490">
        <v>908</v>
      </c>
      <c r="C1089" s="492" t="s">
        <v>234</v>
      </c>
      <c r="D1089" s="492" t="s">
        <v>215</v>
      </c>
      <c r="E1089" s="492" t="s">
        <v>1686</v>
      </c>
      <c r="F1089" s="492" t="s">
        <v>134</v>
      </c>
      <c r="G1089" s="497">
        <f>4173.5+178.4</f>
        <v>4351.8999999999996</v>
      </c>
      <c r="H1089" s="541"/>
      <c r="I1089" s="540"/>
      <c r="J1089" s="501"/>
    </row>
    <row r="1090" spans="1:11" ht="51" customHeight="1" x14ac:dyDescent="0.25">
      <c r="A1090" s="494" t="s">
        <v>1607</v>
      </c>
      <c r="B1090" s="491">
        <v>908</v>
      </c>
      <c r="C1090" s="495" t="s">
        <v>234</v>
      </c>
      <c r="D1090" s="495" t="s">
        <v>215</v>
      </c>
      <c r="E1090" s="495" t="s">
        <v>711</v>
      </c>
      <c r="F1090" s="495"/>
      <c r="G1090" s="493">
        <f>G1091+G1095</f>
        <v>500</v>
      </c>
      <c r="H1090" s="513"/>
      <c r="I1090" s="526"/>
      <c r="J1090" s="501"/>
      <c r="K1090" s="204"/>
    </row>
    <row r="1091" spans="1:11" s="204" customFormat="1" ht="34.5" customHeight="1" x14ac:dyDescent="0.25">
      <c r="A1091" s="494" t="s">
        <v>1066</v>
      </c>
      <c r="B1091" s="491">
        <v>908</v>
      </c>
      <c r="C1091" s="495" t="s">
        <v>234</v>
      </c>
      <c r="D1091" s="495" t="s">
        <v>215</v>
      </c>
      <c r="E1091" s="495" t="s">
        <v>1087</v>
      </c>
      <c r="F1091" s="495"/>
      <c r="G1091" s="493">
        <f t="shared" ref="G1091:G1093" si="91">G1092</f>
        <v>500</v>
      </c>
      <c r="H1091" s="501"/>
      <c r="I1091" s="526"/>
      <c r="J1091" s="501"/>
    </row>
    <row r="1092" spans="1:11" ht="48.75" customHeight="1" x14ac:dyDescent="0.25">
      <c r="A1092" s="80" t="s">
        <v>693</v>
      </c>
      <c r="B1092" s="490">
        <v>908</v>
      </c>
      <c r="C1092" s="492" t="s">
        <v>234</v>
      </c>
      <c r="D1092" s="492" t="s">
        <v>215</v>
      </c>
      <c r="E1092" s="492" t="s">
        <v>835</v>
      </c>
      <c r="F1092" s="492"/>
      <c r="G1092" s="497">
        <f t="shared" si="91"/>
        <v>500</v>
      </c>
      <c r="H1092" s="501"/>
      <c r="I1092" s="526"/>
      <c r="J1092" s="501"/>
      <c r="K1092" s="204"/>
    </row>
    <row r="1093" spans="1:11" ht="31.5" x14ac:dyDescent="0.25">
      <c r="A1093" s="579" t="s">
        <v>131</v>
      </c>
      <c r="B1093" s="490">
        <v>908</v>
      </c>
      <c r="C1093" s="492" t="s">
        <v>234</v>
      </c>
      <c r="D1093" s="492" t="s">
        <v>215</v>
      </c>
      <c r="E1093" s="492" t="s">
        <v>835</v>
      </c>
      <c r="F1093" s="492" t="s">
        <v>132</v>
      </c>
      <c r="G1093" s="497">
        <f t="shared" si="91"/>
        <v>500</v>
      </c>
      <c r="H1093" s="501"/>
      <c r="I1093" s="526"/>
      <c r="J1093" s="501"/>
      <c r="K1093" s="204"/>
    </row>
    <row r="1094" spans="1:11" ht="31.5" x14ac:dyDescent="0.25">
      <c r="A1094" s="579" t="s">
        <v>133</v>
      </c>
      <c r="B1094" s="490">
        <v>908</v>
      </c>
      <c r="C1094" s="492" t="s">
        <v>234</v>
      </c>
      <c r="D1094" s="492" t="s">
        <v>215</v>
      </c>
      <c r="E1094" s="492" t="s">
        <v>835</v>
      </c>
      <c r="F1094" s="492" t="s">
        <v>134</v>
      </c>
      <c r="G1094" s="497">
        <f>500</f>
        <v>500</v>
      </c>
      <c r="H1094" s="501"/>
      <c r="I1094" s="526"/>
      <c r="J1094" s="501"/>
      <c r="K1094" s="204"/>
    </row>
    <row r="1095" spans="1:11" s="204" customFormat="1" ht="98.25" hidden="1" customHeight="1" x14ac:dyDescent="0.25">
      <c r="A1095" s="494" t="s">
        <v>1681</v>
      </c>
      <c r="B1095" s="491">
        <v>908</v>
      </c>
      <c r="C1095" s="495" t="s">
        <v>234</v>
      </c>
      <c r="D1095" s="495" t="s">
        <v>215</v>
      </c>
      <c r="E1095" s="495" t="s">
        <v>1682</v>
      </c>
      <c r="F1095" s="495"/>
      <c r="G1095" s="493">
        <f t="shared" ref="G1095:G1097" si="92">G1096</f>
        <v>0</v>
      </c>
      <c r="H1095" s="501"/>
      <c r="I1095" s="526"/>
      <c r="J1095" s="501"/>
    </row>
    <row r="1096" spans="1:11" s="204" customFormat="1" ht="76.150000000000006" hidden="1" customHeight="1" x14ac:dyDescent="0.25">
      <c r="A1096" s="80" t="s">
        <v>1704</v>
      </c>
      <c r="B1096" s="490">
        <v>908</v>
      </c>
      <c r="C1096" s="492" t="s">
        <v>234</v>
      </c>
      <c r="D1096" s="492" t="s">
        <v>215</v>
      </c>
      <c r="E1096" s="492" t="s">
        <v>1683</v>
      </c>
      <c r="F1096" s="492"/>
      <c r="G1096" s="497">
        <f t="shared" si="92"/>
        <v>0</v>
      </c>
      <c r="H1096" s="501"/>
      <c r="I1096" s="526"/>
      <c r="J1096" s="501"/>
    </row>
    <row r="1097" spans="1:11" s="204" customFormat="1" ht="31.15" hidden="1" customHeight="1" x14ac:dyDescent="0.25">
      <c r="A1097" s="496" t="s">
        <v>131</v>
      </c>
      <c r="B1097" s="490">
        <v>908</v>
      </c>
      <c r="C1097" s="492" t="s">
        <v>234</v>
      </c>
      <c r="D1097" s="492" t="s">
        <v>215</v>
      </c>
      <c r="E1097" s="492" t="s">
        <v>1683</v>
      </c>
      <c r="F1097" s="492" t="s">
        <v>132</v>
      </c>
      <c r="G1097" s="497">
        <f t="shared" si="92"/>
        <v>0</v>
      </c>
      <c r="H1097" s="501"/>
      <c r="I1097" s="526"/>
      <c r="J1097" s="501"/>
    </row>
    <row r="1098" spans="1:11" s="204" customFormat="1" ht="31.15" hidden="1" customHeight="1" x14ac:dyDescent="0.25">
      <c r="A1098" s="496" t="s">
        <v>133</v>
      </c>
      <c r="B1098" s="490">
        <v>908</v>
      </c>
      <c r="C1098" s="492" t="s">
        <v>234</v>
      </c>
      <c r="D1098" s="492" t="s">
        <v>215</v>
      </c>
      <c r="E1098" s="492" t="s">
        <v>1683</v>
      </c>
      <c r="F1098" s="492" t="s">
        <v>134</v>
      </c>
      <c r="G1098" s="497"/>
      <c r="H1098" s="501"/>
      <c r="I1098" s="526"/>
      <c r="J1098" s="501"/>
    </row>
    <row r="1099" spans="1:11" ht="31.5" x14ac:dyDescent="0.25">
      <c r="A1099" s="494" t="s">
        <v>569</v>
      </c>
      <c r="B1099" s="491">
        <v>908</v>
      </c>
      <c r="C1099" s="495" t="s">
        <v>234</v>
      </c>
      <c r="D1099" s="495" t="s">
        <v>234</v>
      </c>
      <c r="E1099" s="495"/>
      <c r="F1099" s="495"/>
      <c r="G1099" s="493">
        <f>G1100+G1115+G1140</f>
        <v>29364.25</v>
      </c>
      <c r="H1099" s="501"/>
      <c r="I1099" s="526"/>
      <c r="J1099" s="501"/>
      <c r="K1099" s="204"/>
    </row>
    <row r="1100" spans="1:11" ht="31.5" x14ac:dyDescent="0.25">
      <c r="A1100" s="494" t="s">
        <v>917</v>
      </c>
      <c r="B1100" s="491">
        <v>908</v>
      </c>
      <c r="C1100" s="495" t="s">
        <v>234</v>
      </c>
      <c r="D1100" s="495" t="s">
        <v>234</v>
      </c>
      <c r="E1100" s="495" t="s">
        <v>858</v>
      </c>
      <c r="F1100" s="495"/>
      <c r="G1100" s="493">
        <f>G1101</f>
        <v>15775.449999999999</v>
      </c>
      <c r="H1100" s="501"/>
      <c r="I1100" s="526"/>
      <c r="J1100" s="501"/>
      <c r="K1100" s="204"/>
    </row>
    <row r="1101" spans="1:11" ht="15.75" x14ac:dyDescent="0.25">
      <c r="A1101" s="494" t="s">
        <v>918</v>
      </c>
      <c r="B1101" s="491">
        <v>908</v>
      </c>
      <c r="C1101" s="495" t="s">
        <v>234</v>
      </c>
      <c r="D1101" s="495" t="s">
        <v>234</v>
      </c>
      <c r="E1101" s="495" t="s">
        <v>859</v>
      </c>
      <c r="F1101" s="495"/>
      <c r="G1101" s="493">
        <f>G1102+G1112+G1109</f>
        <v>15775.449999999999</v>
      </c>
      <c r="H1101" s="501"/>
      <c r="I1101" s="526"/>
      <c r="J1101" s="501"/>
      <c r="K1101" s="204"/>
    </row>
    <row r="1102" spans="1:11" ht="31.9" customHeight="1" x14ac:dyDescent="0.25">
      <c r="A1102" s="579" t="s">
        <v>897</v>
      </c>
      <c r="B1102" s="490">
        <v>908</v>
      </c>
      <c r="C1102" s="492" t="s">
        <v>234</v>
      </c>
      <c r="D1102" s="492" t="s">
        <v>234</v>
      </c>
      <c r="E1102" s="492" t="s">
        <v>860</v>
      </c>
      <c r="F1102" s="492"/>
      <c r="G1102" s="497">
        <f>G1103+G1107+G1105</f>
        <v>13836.15</v>
      </c>
      <c r="H1102" s="501"/>
      <c r="I1102" s="526"/>
      <c r="J1102" s="501"/>
      <c r="K1102" s="204"/>
    </row>
    <row r="1103" spans="1:11" ht="60.75" customHeight="1" x14ac:dyDescent="0.25">
      <c r="A1103" s="579" t="s">
        <v>127</v>
      </c>
      <c r="B1103" s="490">
        <v>908</v>
      </c>
      <c r="C1103" s="492" t="s">
        <v>234</v>
      </c>
      <c r="D1103" s="492" t="s">
        <v>234</v>
      </c>
      <c r="E1103" s="492" t="s">
        <v>860</v>
      </c>
      <c r="F1103" s="492" t="s">
        <v>128</v>
      </c>
      <c r="G1103" s="497">
        <f>G1104</f>
        <v>13811.15</v>
      </c>
      <c r="H1103" s="501"/>
      <c r="I1103" s="526"/>
      <c r="J1103" s="501"/>
      <c r="K1103" s="204"/>
    </row>
    <row r="1104" spans="1:11" ht="31.5" x14ac:dyDescent="0.25">
      <c r="A1104" s="579" t="s">
        <v>129</v>
      </c>
      <c r="B1104" s="490">
        <v>908</v>
      </c>
      <c r="C1104" s="492" t="s">
        <v>234</v>
      </c>
      <c r="D1104" s="492" t="s">
        <v>234</v>
      </c>
      <c r="E1104" s="492" t="s">
        <v>860</v>
      </c>
      <c r="F1104" s="492" t="s">
        <v>130</v>
      </c>
      <c r="G1104" s="27">
        <f>13811.15</f>
        <v>13811.15</v>
      </c>
      <c r="H1104" s="162"/>
      <c r="I1104" s="526"/>
      <c r="J1104" s="501"/>
      <c r="K1104" s="204"/>
    </row>
    <row r="1105" spans="1:11" ht="31.5" x14ac:dyDescent="0.25">
      <c r="A1105" s="579" t="s">
        <v>131</v>
      </c>
      <c r="B1105" s="490">
        <v>908</v>
      </c>
      <c r="C1105" s="492" t="s">
        <v>234</v>
      </c>
      <c r="D1105" s="492" t="s">
        <v>234</v>
      </c>
      <c r="E1105" s="492" t="s">
        <v>860</v>
      </c>
      <c r="F1105" s="492" t="s">
        <v>132</v>
      </c>
      <c r="G1105" s="497">
        <f>G1106</f>
        <v>25</v>
      </c>
      <c r="H1105" s="501"/>
      <c r="I1105" s="526"/>
      <c r="J1105" s="501"/>
      <c r="K1105" s="204"/>
    </row>
    <row r="1106" spans="1:11" ht="36.75" customHeight="1" x14ac:dyDescent="0.25">
      <c r="A1106" s="579" t="s">
        <v>133</v>
      </c>
      <c r="B1106" s="490">
        <v>908</v>
      </c>
      <c r="C1106" s="492" t="s">
        <v>234</v>
      </c>
      <c r="D1106" s="492" t="s">
        <v>234</v>
      </c>
      <c r="E1106" s="492" t="s">
        <v>860</v>
      </c>
      <c r="F1106" s="492" t="s">
        <v>134</v>
      </c>
      <c r="G1106" s="27">
        <v>25</v>
      </c>
      <c r="H1106" s="501"/>
      <c r="I1106" s="526"/>
      <c r="J1106" s="501"/>
      <c r="K1106" s="204"/>
    </row>
    <row r="1107" spans="1:11" ht="15.75" hidden="1" x14ac:dyDescent="0.25">
      <c r="A1107" s="496" t="s">
        <v>135</v>
      </c>
      <c r="B1107" s="490">
        <v>908</v>
      </c>
      <c r="C1107" s="492" t="s">
        <v>234</v>
      </c>
      <c r="D1107" s="492" t="s">
        <v>234</v>
      </c>
      <c r="E1107" s="492" t="s">
        <v>860</v>
      </c>
      <c r="F1107" s="492" t="s">
        <v>145</v>
      </c>
      <c r="G1107" s="497">
        <f>G1108</f>
        <v>0</v>
      </c>
      <c r="H1107" s="501"/>
      <c r="I1107" s="526"/>
      <c r="J1107" s="501"/>
      <c r="K1107" s="204"/>
    </row>
    <row r="1108" spans="1:11" ht="15.75" hidden="1" x14ac:dyDescent="0.25">
      <c r="A1108" s="496" t="s">
        <v>568</v>
      </c>
      <c r="B1108" s="490">
        <v>908</v>
      </c>
      <c r="C1108" s="492" t="s">
        <v>234</v>
      </c>
      <c r="D1108" s="492" t="s">
        <v>234</v>
      </c>
      <c r="E1108" s="492" t="s">
        <v>860</v>
      </c>
      <c r="F1108" s="492" t="s">
        <v>138</v>
      </c>
      <c r="G1108" s="497"/>
      <c r="H1108" s="501"/>
      <c r="I1108" s="526"/>
      <c r="J1108" s="501"/>
      <c r="K1108" s="204"/>
    </row>
    <row r="1109" spans="1:11" s="204" customFormat="1" ht="31.5" x14ac:dyDescent="0.25">
      <c r="A1109" s="579" t="s">
        <v>840</v>
      </c>
      <c r="B1109" s="490">
        <v>908</v>
      </c>
      <c r="C1109" s="492" t="s">
        <v>234</v>
      </c>
      <c r="D1109" s="492" t="s">
        <v>234</v>
      </c>
      <c r="E1109" s="492" t="s">
        <v>861</v>
      </c>
      <c r="F1109" s="492"/>
      <c r="G1109" s="497">
        <f>G1110</f>
        <v>1231.3</v>
      </c>
      <c r="H1109" s="501"/>
      <c r="I1109" s="526"/>
      <c r="J1109" s="501"/>
    </row>
    <row r="1110" spans="1:11" s="204" customFormat="1" ht="63" x14ac:dyDescent="0.25">
      <c r="A1110" s="579" t="s">
        <v>127</v>
      </c>
      <c r="B1110" s="490">
        <v>908</v>
      </c>
      <c r="C1110" s="492" t="s">
        <v>234</v>
      </c>
      <c r="D1110" s="492" t="s">
        <v>234</v>
      </c>
      <c r="E1110" s="492" t="s">
        <v>861</v>
      </c>
      <c r="F1110" s="492" t="s">
        <v>128</v>
      </c>
      <c r="G1110" s="497">
        <f>G1111</f>
        <v>1231.3</v>
      </c>
      <c r="H1110" s="501"/>
      <c r="I1110" s="526"/>
      <c r="J1110" s="501"/>
    </row>
    <row r="1111" spans="1:11" s="204" customFormat="1" ht="31.5" x14ac:dyDescent="0.25">
      <c r="A1111" s="579" t="s">
        <v>129</v>
      </c>
      <c r="B1111" s="490">
        <v>908</v>
      </c>
      <c r="C1111" s="492" t="s">
        <v>234</v>
      </c>
      <c r="D1111" s="492" t="s">
        <v>234</v>
      </c>
      <c r="E1111" s="492" t="s">
        <v>861</v>
      </c>
      <c r="F1111" s="492" t="s">
        <v>130</v>
      </c>
      <c r="G1111" s="497">
        <v>1231.3</v>
      </c>
      <c r="H1111" s="501"/>
      <c r="I1111" s="526"/>
      <c r="J1111" s="501"/>
    </row>
    <row r="1112" spans="1:11" s="204" customFormat="1" ht="31.5" x14ac:dyDescent="0.25">
      <c r="A1112" s="579" t="s">
        <v>839</v>
      </c>
      <c r="B1112" s="490">
        <v>908</v>
      </c>
      <c r="C1112" s="492" t="s">
        <v>234</v>
      </c>
      <c r="D1112" s="492" t="s">
        <v>234</v>
      </c>
      <c r="E1112" s="492" t="s">
        <v>862</v>
      </c>
      <c r="F1112" s="492"/>
      <c r="G1112" s="497">
        <f>G1113</f>
        <v>708</v>
      </c>
      <c r="H1112" s="501"/>
      <c r="I1112" s="526"/>
      <c r="J1112" s="501"/>
    </row>
    <row r="1113" spans="1:11" s="204" customFormat="1" ht="63" x14ac:dyDescent="0.25">
      <c r="A1113" s="579" t="s">
        <v>127</v>
      </c>
      <c r="B1113" s="490">
        <v>908</v>
      </c>
      <c r="C1113" s="492" t="s">
        <v>234</v>
      </c>
      <c r="D1113" s="492" t="s">
        <v>234</v>
      </c>
      <c r="E1113" s="492" t="s">
        <v>862</v>
      </c>
      <c r="F1113" s="492" t="s">
        <v>128</v>
      </c>
      <c r="G1113" s="497">
        <f>G1114</f>
        <v>708</v>
      </c>
      <c r="H1113" s="501"/>
      <c r="I1113" s="526"/>
      <c r="J1113" s="501"/>
    </row>
    <row r="1114" spans="1:11" s="204" customFormat="1" ht="31.5" x14ac:dyDescent="0.25">
      <c r="A1114" s="579" t="s">
        <v>129</v>
      </c>
      <c r="B1114" s="490">
        <v>908</v>
      </c>
      <c r="C1114" s="492" t="s">
        <v>234</v>
      </c>
      <c r="D1114" s="492" t="s">
        <v>234</v>
      </c>
      <c r="E1114" s="492" t="s">
        <v>862</v>
      </c>
      <c r="F1114" s="492" t="s">
        <v>130</v>
      </c>
      <c r="G1114" s="497">
        <f>368+340</f>
        <v>708</v>
      </c>
      <c r="H1114" s="501"/>
      <c r="I1114" s="526"/>
      <c r="J1114" s="501"/>
    </row>
    <row r="1115" spans="1:11" ht="15.75" x14ac:dyDescent="0.25">
      <c r="A1115" s="494" t="s">
        <v>141</v>
      </c>
      <c r="B1115" s="491">
        <v>908</v>
      </c>
      <c r="C1115" s="495" t="s">
        <v>234</v>
      </c>
      <c r="D1115" s="495" t="s">
        <v>234</v>
      </c>
      <c r="E1115" s="495" t="s">
        <v>866</v>
      </c>
      <c r="F1115" s="495"/>
      <c r="G1115" s="493">
        <f>G1116+G1127</f>
        <v>13588.800000000001</v>
      </c>
      <c r="H1115" s="501"/>
      <c r="I1115" s="526"/>
      <c r="J1115" s="501"/>
      <c r="K1115" s="204"/>
    </row>
    <row r="1116" spans="1:11" s="578" customFormat="1" ht="15.75" x14ac:dyDescent="0.25">
      <c r="A1116" s="494" t="s">
        <v>954</v>
      </c>
      <c r="B1116" s="491">
        <v>908</v>
      </c>
      <c r="C1116" s="495" t="s">
        <v>234</v>
      </c>
      <c r="D1116" s="495" t="s">
        <v>234</v>
      </c>
      <c r="E1116" s="495" t="s">
        <v>953</v>
      </c>
      <c r="F1116" s="495"/>
      <c r="G1116" s="44">
        <f>G1117+G1120</f>
        <v>12606.800000000001</v>
      </c>
      <c r="H1116" s="501"/>
      <c r="I1116" s="526"/>
      <c r="J1116" s="501"/>
    </row>
    <row r="1117" spans="1:11" s="578" customFormat="1" ht="31.5" x14ac:dyDescent="0.25">
      <c r="A1117" s="579" t="s">
        <v>839</v>
      </c>
      <c r="B1117" s="490">
        <v>908</v>
      </c>
      <c r="C1117" s="492" t="s">
        <v>234</v>
      </c>
      <c r="D1117" s="492" t="s">
        <v>234</v>
      </c>
      <c r="E1117" s="492" t="s">
        <v>956</v>
      </c>
      <c r="F1117" s="492"/>
      <c r="G1117" s="497">
        <f>G1118</f>
        <v>498</v>
      </c>
      <c r="H1117" s="501"/>
      <c r="I1117" s="526"/>
      <c r="J1117" s="501"/>
    </row>
    <row r="1118" spans="1:11" s="578" customFormat="1" ht="63" x14ac:dyDescent="0.25">
      <c r="A1118" s="579" t="s">
        <v>127</v>
      </c>
      <c r="B1118" s="490">
        <v>908</v>
      </c>
      <c r="C1118" s="492" t="s">
        <v>234</v>
      </c>
      <c r="D1118" s="492" t="s">
        <v>234</v>
      </c>
      <c r="E1118" s="492" t="s">
        <v>956</v>
      </c>
      <c r="F1118" s="492" t="s">
        <v>128</v>
      </c>
      <c r="G1118" s="497">
        <f>G1119</f>
        <v>498</v>
      </c>
      <c r="H1118" s="501"/>
      <c r="I1118" s="526"/>
      <c r="J1118" s="501"/>
    </row>
    <row r="1119" spans="1:11" s="578" customFormat="1" ht="15.75" x14ac:dyDescent="0.25">
      <c r="A1119" s="579" t="s">
        <v>342</v>
      </c>
      <c r="B1119" s="490">
        <v>908</v>
      </c>
      <c r="C1119" s="492" t="s">
        <v>234</v>
      </c>
      <c r="D1119" s="492" t="s">
        <v>234</v>
      </c>
      <c r="E1119" s="492" t="s">
        <v>956</v>
      </c>
      <c r="F1119" s="492" t="s">
        <v>209</v>
      </c>
      <c r="G1119" s="497">
        <v>498</v>
      </c>
      <c r="H1119" s="501"/>
      <c r="I1119" s="526"/>
      <c r="J1119" s="501"/>
    </row>
    <row r="1120" spans="1:11" s="578" customFormat="1" ht="15.75" x14ac:dyDescent="0.25">
      <c r="A1120" s="579" t="s">
        <v>801</v>
      </c>
      <c r="B1120" s="490">
        <v>908</v>
      </c>
      <c r="C1120" s="492" t="s">
        <v>234</v>
      </c>
      <c r="D1120" s="492" t="s">
        <v>234</v>
      </c>
      <c r="E1120" s="492" t="s">
        <v>955</v>
      </c>
      <c r="F1120" s="492"/>
      <c r="G1120" s="497">
        <f>G1122+G1124+G1125</f>
        <v>12108.800000000001</v>
      </c>
      <c r="H1120" s="501"/>
      <c r="I1120" s="526"/>
      <c r="J1120" s="501"/>
    </row>
    <row r="1121" spans="1:19" s="578" customFormat="1" ht="63" x14ac:dyDescent="0.25">
      <c r="A1121" s="579" t="s">
        <v>127</v>
      </c>
      <c r="B1121" s="490">
        <v>908</v>
      </c>
      <c r="C1121" s="492" t="s">
        <v>234</v>
      </c>
      <c r="D1121" s="492" t="s">
        <v>234</v>
      </c>
      <c r="E1121" s="492" t="s">
        <v>955</v>
      </c>
      <c r="F1121" s="492" t="s">
        <v>128</v>
      </c>
      <c r="G1121" s="497">
        <f>G1122</f>
        <v>10270.700000000001</v>
      </c>
      <c r="H1121" s="501"/>
      <c r="I1121" s="526"/>
      <c r="J1121" s="501"/>
    </row>
    <row r="1122" spans="1:19" s="578" customFormat="1" ht="15.75" x14ac:dyDescent="0.25">
      <c r="A1122" s="579" t="s">
        <v>342</v>
      </c>
      <c r="B1122" s="490">
        <v>908</v>
      </c>
      <c r="C1122" s="492" t="s">
        <v>234</v>
      </c>
      <c r="D1122" s="492" t="s">
        <v>234</v>
      </c>
      <c r="E1122" s="492" t="s">
        <v>955</v>
      </c>
      <c r="F1122" s="492" t="s">
        <v>209</v>
      </c>
      <c r="G1122" s="27">
        <f>10270.7</f>
        <v>10270.700000000001</v>
      </c>
      <c r="H1122" s="501"/>
      <c r="I1122" s="526"/>
      <c r="J1122" s="501"/>
    </row>
    <row r="1123" spans="1:19" s="578" customFormat="1" ht="31.5" x14ac:dyDescent="0.25">
      <c r="A1123" s="579" t="s">
        <v>131</v>
      </c>
      <c r="B1123" s="490">
        <v>908</v>
      </c>
      <c r="C1123" s="492" t="s">
        <v>234</v>
      </c>
      <c r="D1123" s="492" t="s">
        <v>234</v>
      </c>
      <c r="E1123" s="492" t="s">
        <v>955</v>
      </c>
      <c r="F1123" s="492" t="s">
        <v>132</v>
      </c>
      <c r="G1123" s="497">
        <f>G1124</f>
        <v>1791.1</v>
      </c>
      <c r="H1123" s="501"/>
      <c r="I1123" s="526"/>
      <c r="J1123" s="501"/>
    </row>
    <row r="1124" spans="1:19" s="578" customFormat="1" ht="31.5" x14ac:dyDescent="0.25">
      <c r="A1124" s="579" t="s">
        <v>133</v>
      </c>
      <c r="B1124" s="490">
        <v>908</v>
      </c>
      <c r="C1124" s="492" t="s">
        <v>234</v>
      </c>
      <c r="D1124" s="492" t="s">
        <v>234</v>
      </c>
      <c r="E1124" s="492" t="s">
        <v>955</v>
      </c>
      <c r="F1124" s="492" t="s">
        <v>134</v>
      </c>
      <c r="G1124" s="27">
        <f>1791.1</f>
        <v>1791.1</v>
      </c>
      <c r="H1124" s="501"/>
      <c r="I1124" s="526"/>
      <c r="J1124" s="501"/>
    </row>
    <row r="1125" spans="1:19" s="578" customFormat="1" ht="15.75" x14ac:dyDescent="0.25">
      <c r="A1125" s="579" t="s">
        <v>135</v>
      </c>
      <c r="B1125" s="490">
        <v>908</v>
      </c>
      <c r="C1125" s="492" t="s">
        <v>234</v>
      </c>
      <c r="D1125" s="492" t="s">
        <v>234</v>
      </c>
      <c r="E1125" s="492" t="s">
        <v>955</v>
      </c>
      <c r="F1125" s="492" t="s">
        <v>145</v>
      </c>
      <c r="G1125" s="27">
        <f>G1126</f>
        <v>47</v>
      </c>
      <c r="H1125" s="501"/>
      <c r="I1125" s="526"/>
      <c r="J1125" s="501"/>
    </row>
    <row r="1126" spans="1:19" s="578" customFormat="1" ht="15.75" x14ac:dyDescent="0.25">
      <c r="A1126" s="579" t="s">
        <v>568</v>
      </c>
      <c r="B1126" s="490">
        <v>908</v>
      </c>
      <c r="C1126" s="492" t="s">
        <v>234</v>
      </c>
      <c r="D1126" s="492" t="s">
        <v>234</v>
      </c>
      <c r="E1126" s="492" t="s">
        <v>955</v>
      </c>
      <c r="F1126" s="492" t="s">
        <v>138</v>
      </c>
      <c r="G1126" s="27">
        <f>47</f>
        <v>47</v>
      </c>
      <c r="H1126" s="501"/>
      <c r="I1126" s="526"/>
      <c r="J1126" s="501"/>
    </row>
    <row r="1127" spans="1:19" s="204" customFormat="1" ht="31.5" x14ac:dyDescent="0.25">
      <c r="A1127" s="494" t="s">
        <v>870</v>
      </c>
      <c r="B1127" s="491">
        <v>908</v>
      </c>
      <c r="C1127" s="495" t="s">
        <v>234</v>
      </c>
      <c r="D1127" s="495" t="s">
        <v>234</v>
      </c>
      <c r="E1127" s="495" t="s">
        <v>865</v>
      </c>
      <c r="F1127" s="495"/>
      <c r="G1127" s="493">
        <f>G1128+G1135</f>
        <v>982</v>
      </c>
      <c r="H1127" s="501"/>
      <c r="I1127" s="526"/>
      <c r="J1127" s="501"/>
    </row>
    <row r="1128" spans="1:19" ht="31.5" x14ac:dyDescent="0.25">
      <c r="A1128" s="579" t="s">
        <v>570</v>
      </c>
      <c r="B1128" s="490">
        <v>908</v>
      </c>
      <c r="C1128" s="492" t="s">
        <v>234</v>
      </c>
      <c r="D1128" s="492" t="s">
        <v>234</v>
      </c>
      <c r="E1128" s="492" t="s">
        <v>984</v>
      </c>
      <c r="F1128" s="492"/>
      <c r="G1128" s="27">
        <f>G1131+G1129</f>
        <v>982</v>
      </c>
      <c r="H1128" s="501"/>
      <c r="I1128" s="526"/>
      <c r="J1128" s="501"/>
      <c r="K1128" s="204"/>
    </row>
    <row r="1129" spans="1:19" s="204" customFormat="1" ht="15.75" hidden="1" x14ac:dyDescent="0.25">
      <c r="A1129" s="496" t="s">
        <v>1535</v>
      </c>
      <c r="B1129" s="490">
        <v>908</v>
      </c>
      <c r="C1129" s="492" t="s">
        <v>234</v>
      </c>
      <c r="D1129" s="492" t="s">
        <v>234</v>
      </c>
      <c r="E1129" s="492" t="s">
        <v>984</v>
      </c>
      <c r="F1129" s="492" t="s">
        <v>249</v>
      </c>
      <c r="G1129" s="27">
        <f>G1130</f>
        <v>0</v>
      </c>
      <c r="H1129" s="501"/>
      <c r="I1129" s="526"/>
      <c r="J1129" s="501"/>
    </row>
    <row r="1130" spans="1:19" s="204" customFormat="1" ht="15.75" hidden="1" x14ac:dyDescent="0.25">
      <c r="A1130" s="496" t="s">
        <v>1534</v>
      </c>
      <c r="B1130" s="490">
        <v>908</v>
      </c>
      <c r="C1130" s="492" t="s">
        <v>234</v>
      </c>
      <c r="D1130" s="492" t="s">
        <v>234</v>
      </c>
      <c r="E1130" s="492" t="s">
        <v>984</v>
      </c>
      <c r="F1130" s="492" t="s">
        <v>1536</v>
      </c>
      <c r="G1130" s="27">
        <f>4500-240-240-1748.75-2271.25</f>
        <v>0</v>
      </c>
      <c r="H1130" s="162"/>
      <c r="I1130" s="526"/>
      <c r="J1130" s="501"/>
    </row>
    <row r="1131" spans="1:19" ht="15.75" x14ac:dyDescent="0.25">
      <c r="A1131" s="579" t="s">
        <v>135</v>
      </c>
      <c r="B1131" s="490">
        <v>908</v>
      </c>
      <c r="C1131" s="492" t="s">
        <v>234</v>
      </c>
      <c r="D1131" s="492" t="s">
        <v>234</v>
      </c>
      <c r="E1131" s="492" t="s">
        <v>984</v>
      </c>
      <c r="F1131" s="492" t="s">
        <v>145</v>
      </c>
      <c r="G1131" s="27">
        <f>G1132+G1133+G1134</f>
        <v>982</v>
      </c>
      <c r="H1131" s="523"/>
      <c r="I1131" s="526"/>
      <c r="J1131" s="501"/>
      <c r="K1131" s="204"/>
    </row>
    <row r="1132" spans="1:19" ht="47.25" customHeight="1" x14ac:dyDescent="0.25">
      <c r="A1132" s="579" t="s">
        <v>184</v>
      </c>
      <c r="B1132" s="490">
        <v>908</v>
      </c>
      <c r="C1132" s="492" t="s">
        <v>234</v>
      </c>
      <c r="D1132" s="492" t="s">
        <v>234</v>
      </c>
      <c r="E1132" s="492" t="s">
        <v>984</v>
      </c>
      <c r="F1132" s="492" t="s">
        <v>160</v>
      </c>
      <c r="G1132" s="27">
        <v>982</v>
      </c>
      <c r="H1132" s="523"/>
      <c r="I1132" s="526"/>
      <c r="J1132" s="501"/>
      <c r="K1132" s="204"/>
    </row>
    <row r="1133" spans="1:19" s="204" customFormat="1" ht="15.75" hidden="1" x14ac:dyDescent="0.25">
      <c r="A1133" s="496" t="s">
        <v>704</v>
      </c>
      <c r="B1133" s="490">
        <v>908</v>
      </c>
      <c r="C1133" s="492" t="s">
        <v>234</v>
      </c>
      <c r="D1133" s="492" t="s">
        <v>234</v>
      </c>
      <c r="E1133" s="492" t="s">
        <v>984</v>
      </c>
      <c r="F1133" s="492" t="s">
        <v>138</v>
      </c>
      <c r="G1133" s="27"/>
      <c r="H1133" s="162"/>
      <c r="I1133" s="534"/>
      <c r="J1133" s="501"/>
      <c r="K1133" s="537"/>
      <c r="N1133" s="537"/>
      <c r="Q1133" s="537"/>
      <c r="S1133" s="537"/>
    </row>
    <row r="1134" spans="1:19" s="204" customFormat="1" ht="15.75" hidden="1" x14ac:dyDescent="0.25">
      <c r="A1134" s="496" t="s">
        <v>1657</v>
      </c>
      <c r="B1134" s="490">
        <v>908</v>
      </c>
      <c r="C1134" s="492" t="s">
        <v>234</v>
      </c>
      <c r="D1134" s="492" t="s">
        <v>234</v>
      </c>
      <c r="E1134" s="492" t="s">
        <v>984</v>
      </c>
      <c r="F1134" s="492" t="s">
        <v>1658</v>
      </c>
      <c r="G1134" s="27">
        <f>240-240</f>
        <v>0</v>
      </c>
      <c r="H1134" s="523"/>
      <c r="I1134" s="526"/>
      <c r="J1134" s="501"/>
    </row>
    <row r="1135" spans="1:19" s="204" customFormat="1" ht="37.5" hidden="1" customHeight="1" x14ac:dyDescent="0.25">
      <c r="A1135" s="496" t="s">
        <v>1671</v>
      </c>
      <c r="B1135" s="490">
        <v>908</v>
      </c>
      <c r="C1135" s="492" t="s">
        <v>234</v>
      </c>
      <c r="D1135" s="492" t="s">
        <v>234</v>
      </c>
      <c r="E1135" s="492" t="s">
        <v>1672</v>
      </c>
      <c r="F1135" s="492"/>
      <c r="G1135" s="27">
        <f>G1136+G1138</f>
        <v>0</v>
      </c>
      <c r="H1135" s="501"/>
      <c r="I1135" s="526"/>
      <c r="J1135" s="501"/>
    </row>
    <row r="1136" spans="1:19" s="204" customFormat="1" ht="21.75" hidden="1" customHeight="1" x14ac:dyDescent="0.25">
      <c r="A1136" s="496" t="s">
        <v>1674</v>
      </c>
      <c r="B1136" s="490">
        <v>908</v>
      </c>
      <c r="C1136" s="492" t="s">
        <v>234</v>
      </c>
      <c r="D1136" s="492" t="s">
        <v>234</v>
      </c>
      <c r="E1136" s="492" t="s">
        <v>1672</v>
      </c>
      <c r="F1136" s="492" t="s">
        <v>837</v>
      </c>
      <c r="G1136" s="27">
        <f>G1137</f>
        <v>0</v>
      </c>
      <c r="H1136" s="501"/>
      <c r="I1136" s="526"/>
      <c r="J1136" s="501"/>
    </row>
    <row r="1137" spans="1:11" s="204" customFormat="1" ht="35.25" hidden="1" customHeight="1" x14ac:dyDescent="0.25">
      <c r="A1137" s="496" t="s">
        <v>838</v>
      </c>
      <c r="B1137" s="490">
        <v>908</v>
      </c>
      <c r="C1137" s="492" t="s">
        <v>234</v>
      </c>
      <c r="D1137" s="492" t="s">
        <v>234</v>
      </c>
      <c r="E1137" s="492" t="s">
        <v>1672</v>
      </c>
      <c r="F1137" s="492" t="s">
        <v>1675</v>
      </c>
      <c r="G1137" s="27"/>
      <c r="H1137" s="526"/>
      <c r="I1137" s="526"/>
      <c r="J1137" s="501"/>
    </row>
    <row r="1138" spans="1:11" s="204" customFormat="1" ht="21.75" hidden="1" customHeight="1" x14ac:dyDescent="0.25">
      <c r="A1138" s="496" t="s">
        <v>135</v>
      </c>
      <c r="B1138" s="490">
        <v>908</v>
      </c>
      <c r="C1138" s="492" t="s">
        <v>234</v>
      </c>
      <c r="D1138" s="492" t="s">
        <v>234</v>
      </c>
      <c r="E1138" s="492" t="s">
        <v>1672</v>
      </c>
      <c r="F1138" s="492" t="s">
        <v>145</v>
      </c>
      <c r="G1138" s="27">
        <f>G1139</f>
        <v>0</v>
      </c>
      <c r="H1138" s="526"/>
      <c r="I1138" s="526"/>
      <c r="J1138" s="501"/>
    </row>
    <row r="1139" spans="1:11" s="204" customFormat="1" ht="39.75" hidden="1" customHeight="1" x14ac:dyDescent="0.25">
      <c r="A1139" s="496" t="s">
        <v>184</v>
      </c>
      <c r="B1139" s="490">
        <v>908</v>
      </c>
      <c r="C1139" s="492" t="s">
        <v>234</v>
      </c>
      <c r="D1139" s="492" t="s">
        <v>234</v>
      </c>
      <c r="E1139" s="492" t="s">
        <v>1672</v>
      </c>
      <c r="F1139" s="492" t="s">
        <v>160</v>
      </c>
      <c r="G1139" s="27"/>
      <c r="H1139" s="526"/>
      <c r="I1139" s="526"/>
      <c r="J1139" s="501"/>
    </row>
    <row r="1140" spans="1:11" s="204" customFormat="1" ht="47.25" hidden="1" x14ac:dyDescent="0.25">
      <c r="A1140" s="34" t="s">
        <v>1357</v>
      </c>
      <c r="B1140" s="491">
        <v>908</v>
      </c>
      <c r="C1140" s="495" t="s">
        <v>234</v>
      </c>
      <c r="D1140" s="495" t="s">
        <v>234</v>
      </c>
      <c r="E1140" s="495" t="s">
        <v>324</v>
      </c>
      <c r="F1140" s="495"/>
      <c r="G1140" s="493">
        <f t="shared" ref="G1140:G1143" si="93">G1141</f>
        <v>0</v>
      </c>
      <c r="H1140" s="501"/>
      <c r="I1140" s="526"/>
      <c r="J1140" s="501"/>
    </row>
    <row r="1141" spans="1:11" s="204" customFormat="1" ht="47.25" hidden="1" x14ac:dyDescent="0.25">
      <c r="A1141" s="34" t="s">
        <v>1009</v>
      </c>
      <c r="B1141" s="491">
        <v>908</v>
      </c>
      <c r="C1141" s="495" t="s">
        <v>234</v>
      </c>
      <c r="D1141" s="495" t="s">
        <v>234</v>
      </c>
      <c r="E1141" s="495" t="s">
        <v>934</v>
      </c>
      <c r="F1141" s="495"/>
      <c r="G1141" s="493">
        <f t="shared" si="93"/>
        <v>0</v>
      </c>
      <c r="H1141" s="501"/>
      <c r="I1141" s="526"/>
      <c r="J1141" s="501"/>
    </row>
    <row r="1142" spans="1:11" s="204" customFormat="1" ht="47.25" hidden="1" x14ac:dyDescent="0.25">
      <c r="A1142" s="31" t="s">
        <v>1080</v>
      </c>
      <c r="B1142" s="490">
        <v>908</v>
      </c>
      <c r="C1142" s="492" t="s">
        <v>234</v>
      </c>
      <c r="D1142" s="492" t="s">
        <v>234</v>
      </c>
      <c r="E1142" s="492" t="s">
        <v>1026</v>
      </c>
      <c r="F1142" s="492"/>
      <c r="G1142" s="497">
        <f t="shared" si="93"/>
        <v>0</v>
      </c>
      <c r="H1142" s="501"/>
      <c r="I1142" s="526"/>
      <c r="J1142" s="501"/>
    </row>
    <row r="1143" spans="1:11" s="204" customFormat="1" ht="31.5" hidden="1" x14ac:dyDescent="0.25">
      <c r="A1143" s="496" t="s">
        <v>131</v>
      </c>
      <c r="B1143" s="490">
        <v>908</v>
      </c>
      <c r="C1143" s="492" t="s">
        <v>234</v>
      </c>
      <c r="D1143" s="492" t="s">
        <v>234</v>
      </c>
      <c r="E1143" s="492" t="s">
        <v>1026</v>
      </c>
      <c r="F1143" s="492" t="s">
        <v>132</v>
      </c>
      <c r="G1143" s="497">
        <f t="shared" si="93"/>
        <v>0</v>
      </c>
      <c r="H1143" s="501"/>
      <c r="I1143" s="526"/>
      <c r="J1143" s="501"/>
    </row>
    <row r="1144" spans="1:11" s="204" customFormat="1" ht="31.5" hidden="1" x14ac:dyDescent="0.25">
      <c r="A1144" s="496" t="s">
        <v>133</v>
      </c>
      <c r="B1144" s="490">
        <v>908</v>
      </c>
      <c r="C1144" s="492" t="s">
        <v>234</v>
      </c>
      <c r="D1144" s="492" t="s">
        <v>234</v>
      </c>
      <c r="E1144" s="492" t="s">
        <v>1026</v>
      </c>
      <c r="F1144" s="492" t="s">
        <v>134</v>
      </c>
      <c r="G1144" s="497"/>
      <c r="H1144" s="501"/>
      <c r="I1144" s="526"/>
      <c r="J1144" s="501"/>
    </row>
    <row r="1145" spans="1:11" ht="15.75" x14ac:dyDescent="0.25">
      <c r="A1145" s="494" t="s">
        <v>243</v>
      </c>
      <c r="B1145" s="491">
        <v>908</v>
      </c>
      <c r="C1145" s="495" t="s">
        <v>244</v>
      </c>
      <c r="D1145" s="495"/>
      <c r="E1145" s="495"/>
      <c r="F1145" s="495"/>
      <c r="G1145" s="493">
        <f t="shared" ref="G1145:G1146" si="94">G1146</f>
        <v>85.11</v>
      </c>
      <c r="H1145" s="501"/>
      <c r="I1145" s="526"/>
      <c r="J1145" s="501"/>
      <c r="K1145" s="204"/>
    </row>
    <row r="1146" spans="1:11" ht="15.75" x14ac:dyDescent="0.25">
      <c r="A1146" s="494" t="s">
        <v>258</v>
      </c>
      <c r="B1146" s="491">
        <v>908</v>
      </c>
      <c r="C1146" s="495" t="s">
        <v>244</v>
      </c>
      <c r="D1146" s="495" t="s">
        <v>120</v>
      </c>
      <c r="E1146" s="495"/>
      <c r="F1146" s="495"/>
      <c r="G1146" s="493">
        <f t="shared" si="94"/>
        <v>85.11</v>
      </c>
      <c r="H1146" s="501"/>
      <c r="I1146" s="526"/>
      <c r="J1146" s="501"/>
      <c r="K1146" s="204"/>
    </row>
    <row r="1147" spans="1:11" ht="15.75" x14ac:dyDescent="0.25">
      <c r="A1147" s="494" t="s">
        <v>141</v>
      </c>
      <c r="B1147" s="491">
        <v>908</v>
      </c>
      <c r="C1147" s="495" t="s">
        <v>244</v>
      </c>
      <c r="D1147" s="495" t="s">
        <v>120</v>
      </c>
      <c r="E1147" s="495" t="s">
        <v>866</v>
      </c>
      <c r="F1147" s="495"/>
      <c r="G1147" s="493">
        <f t="shared" ref="G1147:G1151" si="95">G1148</f>
        <v>85.11</v>
      </c>
      <c r="H1147" s="501"/>
      <c r="I1147" s="526"/>
      <c r="J1147" s="501"/>
      <c r="K1147" s="204"/>
    </row>
    <row r="1148" spans="1:11" ht="15.75" x14ac:dyDescent="0.25">
      <c r="A1148" s="494" t="s">
        <v>141</v>
      </c>
      <c r="B1148" s="491">
        <v>908</v>
      </c>
      <c r="C1148" s="495" t="s">
        <v>244</v>
      </c>
      <c r="D1148" s="495" t="s">
        <v>120</v>
      </c>
      <c r="E1148" s="495" t="s">
        <v>865</v>
      </c>
      <c r="F1148" s="495"/>
      <c r="G1148" s="493">
        <f t="shared" si="95"/>
        <v>85.11</v>
      </c>
      <c r="H1148" s="501"/>
      <c r="I1148" s="526"/>
      <c r="J1148" s="501"/>
      <c r="K1148" s="204"/>
    </row>
    <row r="1149" spans="1:11" ht="31.5" x14ac:dyDescent="0.25">
      <c r="A1149" s="494" t="s">
        <v>870</v>
      </c>
      <c r="B1149" s="491">
        <v>908</v>
      </c>
      <c r="C1149" s="495" t="s">
        <v>244</v>
      </c>
      <c r="D1149" s="495" t="s">
        <v>120</v>
      </c>
      <c r="E1149" s="495" t="s">
        <v>865</v>
      </c>
      <c r="F1149" s="495"/>
      <c r="G1149" s="493">
        <f t="shared" si="95"/>
        <v>85.11</v>
      </c>
      <c r="H1149" s="501"/>
      <c r="I1149" s="526"/>
      <c r="J1149" s="501"/>
      <c r="K1149" s="204"/>
    </row>
    <row r="1150" spans="1:11" ht="15.75" x14ac:dyDescent="0.25">
      <c r="A1150" s="579" t="s">
        <v>572</v>
      </c>
      <c r="B1150" s="490">
        <v>908</v>
      </c>
      <c r="C1150" s="492" t="s">
        <v>244</v>
      </c>
      <c r="D1150" s="492" t="s">
        <v>120</v>
      </c>
      <c r="E1150" s="492" t="s">
        <v>985</v>
      </c>
      <c r="F1150" s="492"/>
      <c r="G1150" s="497">
        <f t="shared" si="95"/>
        <v>85.11</v>
      </c>
      <c r="H1150" s="501"/>
      <c r="I1150" s="526"/>
      <c r="J1150" s="501"/>
      <c r="K1150" s="204"/>
    </row>
    <row r="1151" spans="1:11" ht="31.5" x14ac:dyDescent="0.25">
      <c r="A1151" s="579" t="s">
        <v>131</v>
      </c>
      <c r="B1151" s="490">
        <v>908</v>
      </c>
      <c r="C1151" s="492" t="s">
        <v>244</v>
      </c>
      <c r="D1151" s="492" t="s">
        <v>120</v>
      </c>
      <c r="E1151" s="492" t="s">
        <v>985</v>
      </c>
      <c r="F1151" s="492" t="s">
        <v>132</v>
      </c>
      <c r="G1151" s="497">
        <f t="shared" si="95"/>
        <v>85.11</v>
      </c>
      <c r="H1151" s="501"/>
      <c r="I1151" s="526"/>
      <c r="J1151" s="501"/>
      <c r="K1151" s="204"/>
    </row>
    <row r="1152" spans="1:11" ht="31.5" x14ac:dyDescent="0.25">
      <c r="A1152" s="579" t="s">
        <v>133</v>
      </c>
      <c r="B1152" s="490">
        <v>908</v>
      </c>
      <c r="C1152" s="492" t="s">
        <v>244</v>
      </c>
      <c r="D1152" s="492" t="s">
        <v>120</v>
      </c>
      <c r="E1152" s="492" t="s">
        <v>985</v>
      </c>
      <c r="F1152" s="492" t="s">
        <v>134</v>
      </c>
      <c r="G1152" s="497">
        <f>85.11</f>
        <v>85.11</v>
      </c>
      <c r="H1152" s="501"/>
      <c r="I1152" s="526"/>
      <c r="J1152" s="501"/>
      <c r="K1152" s="204"/>
    </row>
    <row r="1153" spans="1:11" ht="33.950000000000003" customHeight="1" x14ac:dyDescent="0.25">
      <c r="A1153" s="491" t="s">
        <v>574</v>
      </c>
      <c r="B1153" s="491">
        <v>910</v>
      </c>
      <c r="C1153" s="47"/>
      <c r="D1153" s="47"/>
      <c r="E1153" s="47"/>
      <c r="F1153" s="47"/>
      <c r="G1153" s="493">
        <f>G1154</f>
        <v>5815.08</v>
      </c>
      <c r="H1153" s="113"/>
      <c r="I1153" s="526"/>
      <c r="J1153" s="501"/>
      <c r="K1153" s="204"/>
    </row>
    <row r="1154" spans="1:11" ht="15.75" x14ac:dyDescent="0.25">
      <c r="A1154" s="494" t="s">
        <v>117</v>
      </c>
      <c r="B1154" s="491">
        <v>910</v>
      </c>
      <c r="C1154" s="495" t="s">
        <v>118</v>
      </c>
      <c r="D1154" s="495"/>
      <c r="E1154" s="495"/>
      <c r="F1154" s="495"/>
      <c r="G1154" s="493">
        <f>G1155</f>
        <v>5815.08</v>
      </c>
      <c r="H1154" s="501"/>
      <c r="I1154" s="526"/>
      <c r="J1154" s="501"/>
      <c r="K1154" s="204"/>
    </row>
    <row r="1155" spans="1:11" ht="47.25" customHeight="1" x14ac:dyDescent="0.25">
      <c r="A1155" s="494" t="s">
        <v>578</v>
      </c>
      <c r="B1155" s="491">
        <v>910</v>
      </c>
      <c r="C1155" s="495" t="s">
        <v>118</v>
      </c>
      <c r="D1155" s="495" t="s">
        <v>215</v>
      </c>
      <c r="E1155" s="495"/>
      <c r="F1155" s="495"/>
      <c r="G1155" s="493">
        <f>G1156</f>
        <v>5815.08</v>
      </c>
      <c r="H1155" s="501"/>
      <c r="I1155" s="526"/>
      <c r="J1155" s="501"/>
      <c r="K1155" s="204"/>
    </row>
    <row r="1156" spans="1:11" ht="31.5" x14ac:dyDescent="0.25">
      <c r="A1156" s="494" t="s">
        <v>917</v>
      </c>
      <c r="B1156" s="491">
        <v>910</v>
      </c>
      <c r="C1156" s="495" t="s">
        <v>118</v>
      </c>
      <c r="D1156" s="495" t="s">
        <v>215</v>
      </c>
      <c r="E1156" s="495" t="s">
        <v>858</v>
      </c>
      <c r="F1156" s="495"/>
      <c r="G1156" s="493">
        <f>G1157</f>
        <v>5815.08</v>
      </c>
      <c r="H1156" s="501"/>
      <c r="I1156" s="526"/>
      <c r="J1156" s="501"/>
      <c r="K1156" s="204"/>
    </row>
    <row r="1157" spans="1:11" ht="15.75" x14ac:dyDescent="0.25">
      <c r="A1157" s="494" t="s">
        <v>986</v>
      </c>
      <c r="B1157" s="491">
        <v>910</v>
      </c>
      <c r="C1157" s="495" t="s">
        <v>118</v>
      </c>
      <c r="D1157" s="495" t="s">
        <v>215</v>
      </c>
      <c r="E1157" s="495" t="s">
        <v>987</v>
      </c>
      <c r="F1157" s="495"/>
      <c r="G1157" s="493">
        <f>G1163+G1168+G1158</f>
        <v>5815.08</v>
      </c>
      <c r="H1157" s="501"/>
      <c r="I1157" s="526"/>
      <c r="J1157" s="501"/>
      <c r="K1157" s="204"/>
    </row>
    <row r="1158" spans="1:11" s="204" customFormat="1" ht="31.5" x14ac:dyDescent="0.25">
      <c r="A1158" s="291" t="s">
        <v>1363</v>
      </c>
      <c r="B1158" s="490">
        <v>910</v>
      </c>
      <c r="C1158" s="492" t="s">
        <v>118</v>
      </c>
      <c r="D1158" s="492" t="s">
        <v>215</v>
      </c>
      <c r="E1158" s="492" t="s">
        <v>1401</v>
      </c>
      <c r="F1158" s="495"/>
      <c r="G1158" s="497">
        <f>G1159+G1161</f>
        <v>4602.43</v>
      </c>
      <c r="H1158" s="501"/>
      <c r="I1158" s="526"/>
      <c r="J1158" s="501"/>
    </row>
    <row r="1159" spans="1:11" s="204" customFormat="1" ht="63" x14ac:dyDescent="0.25">
      <c r="A1159" s="579" t="s">
        <v>127</v>
      </c>
      <c r="B1159" s="490">
        <v>910</v>
      </c>
      <c r="C1159" s="492" t="s">
        <v>118</v>
      </c>
      <c r="D1159" s="492" t="s">
        <v>215</v>
      </c>
      <c r="E1159" s="492" t="s">
        <v>1401</v>
      </c>
      <c r="F1159" s="492" t="s">
        <v>128</v>
      </c>
      <c r="G1159" s="497">
        <f>G1160</f>
        <v>4509.43</v>
      </c>
      <c r="H1159" s="501"/>
      <c r="I1159" s="526"/>
      <c r="J1159" s="501"/>
    </row>
    <row r="1160" spans="1:11" s="204" customFormat="1" ht="31.5" x14ac:dyDescent="0.25">
      <c r="A1160" s="579" t="s">
        <v>129</v>
      </c>
      <c r="B1160" s="490">
        <v>910</v>
      </c>
      <c r="C1160" s="492" t="s">
        <v>118</v>
      </c>
      <c r="D1160" s="492" t="s">
        <v>215</v>
      </c>
      <c r="E1160" s="492" t="s">
        <v>1401</v>
      </c>
      <c r="F1160" s="492" t="s">
        <v>130</v>
      </c>
      <c r="G1160" s="497">
        <f>4509.43</f>
        <v>4509.43</v>
      </c>
      <c r="H1160" s="105"/>
      <c r="I1160" s="526"/>
      <c r="J1160" s="501"/>
    </row>
    <row r="1161" spans="1:11" s="204" customFormat="1" ht="31.5" x14ac:dyDescent="0.25">
      <c r="A1161" s="579" t="s">
        <v>198</v>
      </c>
      <c r="B1161" s="490">
        <v>910</v>
      </c>
      <c r="C1161" s="492" t="s">
        <v>118</v>
      </c>
      <c r="D1161" s="492" t="s">
        <v>215</v>
      </c>
      <c r="E1161" s="492" t="s">
        <v>1401</v>
      </c>
      <c r="F1161" s="492" t="s">
        <v>132</v>
      </c>
      <c r="G1161" s="497">
        <f>G1162</f>
        <v>93</v>
      </c>
      <c r="H1161" s="501"/>
      <c r="I1161" s="526"/>
      <c r="J1161" s="501"/>
    </row>
    <row r="1162" spans="1:11" s="204" customFormat="1" ht="31.5" x14ac:dyDescent="0.25">
      <c r="A1162" s="579" t="s">
        <v>133</v>
      </c>
      <c r="B1162" s="490">
        <v>910</v>
      </c>
      <c r="C1162" s="492" t="s">
        <v>118</v>
      </c>
      <c r="D1162" s="492" t="s">
        <v>215</v>
      </c>
      <c r="E1162" s="492" t="s">
        <v>1401</v>
      </c>
      <c r="F1162" s="492" t="s">
        <v>134</v>
      </c>
      <c r="G1162" s="497">
        <v>93</v>
      </c>
      <c r="H1162" s="501"/>
      <c r="I1162" s="526"/>
      <c r="J1162" s="501"/>
    </row>
    <row r="1163" spans="1:11" ht="37.35" customHeight="1" x14ac:dyDescent="0.25">
      <c r="A1163" s="579" t="s">
        <v>990</v>
      </c>
      <c r="B1163" s="490">
        <v>910</v>
      </c>
      <c r="C1163" s="492" t="s">
        <v>118</v>
      </c>
      <c r="D1163" s="492" t="s">
        <v>215</v>
      </c>
      <c r="E1163" s="492" t="s">
        <v>991</v>
      </c>
      <c r="F1163" s="492"/>
      <c r="G1163" s="497">
        <f>G1164+G1166</f>
        <v>1212.6500000000001</v>
      </c>
      <c r="H1163" s="501"/>
      <c r="I1163" s="526"/>
      <c r="J1163" s="501"/>
      <c r="K1163" s="204"/>
    </row>
    <row r="1164" spans="1:11" ht="63" x14ac:dyDescent="0.25">
      <c r="A1164" s="579" t="s">
        <v>127</v>
      </c>
      <c r="B1164" s="490">
        <v>910</v>
      </c>
      <c r="C1164" s="492" t="s">
        <v>118</v>
      </c>
      <c r="D1164" s="492" t="s">
        <v>215</v>
      </c>
      <c r="E1164" s="492" t="s">
        <v>991</v>
      </c>
      <c r="F1164" s="492" t="s">
        <v>128</v>
      </c>
      <c r="G1164" s="497">
        <f>G1165</f>
        <v>1212.6500000000001</v>
      </c>
      <c r="H1164" s="501"/>
      <c r="I1164" s="526"/>
      <c r="J1164" s="501"/>
      <c r="K1164" s="204"/>
    </row>
    <row r="1165" spans="1:11" ht="31.5" x14ac:dyDescent="0.25">
      <c r="A1165" s="579" t="s">
        <v>129</v>
      </c>
      <c r="B1165" s="490">
        <v>910</v>
      </c>
      <c r="C1165" s="492" t="s">
        <v>118</v>
      </c>
      <c r="D1165" s="492" t="s">
        <v>215</v>
      </c>
      <c r="E1165" s="492" t="s">
        <v>991</v>
      </c>
      <c r="F1165" s="492" t="s">
        <v>130</v>
      </c>
      <c r="G1165" s="497">
        <f>1212.65</f>
        <v>1212.6500000000001</v>
      </c>
      <c r="H1165" s="501"/>
      <c r="I1165" s="526"/>
      <c r="J1165" s="501"/>
      <c r="K1165" s="204"/>
    </row>
    <row r="1166" spans="1:11" ht="31.5" hidden="1" x14ac:dyDescent="0.25">
      <c r="A1166" s="496" t="s">
        <v>198</v>
      </c>
      <c r="B1166" s="490">
        <v>910</v>
      </c>
      <c r="C1166" s="492" t="s">
        <v>118</v>
      </c>
      <c r="D1166" s="492" t="s">
        <v>215</v>
      </c>
      <c r="E1166" s="492" t="s">
        <v>991</v>
      </c>
      <c r="F1166" s="492" t="s">
        <v>132</v>
      </c>
      <c r="G1166" s="497">
        <f>G1167</f>
        <v>0</v>
      </c>
      <c r="H1166" s="501"/>
      <c r="I1166" s="526"/>
      <c r="J1166" s="501"/>
      <c r="K1166" s="204"/>
    </row>
    <row r="1167" spans="1:11" ht="31.5" hidden="1" x14ac:dyDescent="0.25">
      <c r="A1167" s="496" t="s">
        <v>133</v>
      </c>
      <c r="B1167" s="490">
        <v>910</v>
      </c>
      <c r="C1167" s="492" t="s">
        <v>118</v>
      </c>
      <c r="D1167" s="492" t="s">
        <v>215</v>
      </c>
      <c r="E1167" s="492" t="s">
        <v>991</v>
      </c>
      <c r="F1167" s="492" t="s">
        <v>134</v>
      </c>
      <c r="G1167" s="497">
        <v>0</v>
      </c>
      <c r="H1167" s="501"/>
      <c r="I1167" s="526"/>
      <c r="J1167" s="501"/>
      <c r="K1167" s="204"/>
    </row>
    <row r="1168" spans="1:11" s="204" customFormat="1" ht="39.75" hidden="1" customHeight="1" x14ac:dyDescent="0.25">
      <c r="A1168" s="496" t="s">
        <v>839</v>
      </c>
      <c r="B1168" s="490">
        <v>910</v>
      </c>
      <c r="C1168" s="492" t="s">
        <v>118</v>
      </c>
      <c r="D1168" s="492" t="s">
        <v>215</v>
      </c>
      <c r="E1168" s="492" t="s">
        <v>989</v>
      </c>
      <c r="F1168" s="492"/>
      <c r="G1168" s="497">
        <f>G1169</f>
        <v>0</v>
      </c>
      <c r="H1168" s="501"/>
      <c r="I1168" s="526"/>
      <c r="J1168" s="501"/>
    </row>
    <row r="1169" spans="1:38" s="204" customFormat="1" ht="69.75" hidden="1" customHeight="1" x14ac:dyDescent="0.25">
      <c r="A1169" s="496" t="s">
        <v>127</v>
      </c>
      <c r="B1169" s="490">
        <v>910</v>
      </c>
      <c r="C1169" s="492" t="s">
        <v>118</v>
      </c>
      <c r="D1169" s="492" t="s">
        <v>215</v>
      </c>
      <c r="E1169" s="492" t="s">
        <v>989</v>
      </c>
      <c r="F1169" s="492" t="s">
        <v>128</v>
      </c>
      <c r="G1169" s="497">
        <f>G1170</f>
        <v>0</v>
      </c>
      <c r="H1169" s="501"/>
      <c r="I1169" s="526"/>
      <c r="J1169" s="501"/>
    </row>
    <row r="1170" spans="1:38" s="204" customFormat="1" ht="35.450000000000003" hidden="1" customHeight="1" x14ac:dyDescent="0.25">
      <c r="A1170" s="496" t="s">
        <v>129</v>
      </c>
      <c r="B1170" s="490">
        <v>910</v>
      </c>
      <c r="C1170" s="492" t="s">
        <v>118</v>
      </c>
      <c r="D1170" s="492" t="s">
        <v>215</v>
      </c>
      <c r="E1170" s="492" t="s">
        <v>989</v>
      </c>
      <c r="F1170" s="492" t="s">
        <v>130</v>
      </c>
      <c r="G1170" s="497"/>
      <c r="H1170" s="501"/>
      <c r="I1170" s="526"/>
      <c r="J1170" s="501"/>
    </row>
    <row r="1171" spans="1:38" ht="15.75" x14ac:dyDescent="0.25">
      <c r="A1171" s="48" t="s">
        <v>587</v>
      </c>
      <c r="B1171" s="48"/>
      <c r="C1171" s="495"/>
      <c r="D1171" s="495"/>
      <c r="E1171" s="495"/>
      <c r="F1171" s="495"/>
      <c r="G1171" s="394">
        <f>G1153+G911+G820+G585+G534+G240+G30+G9+G518</f>
        <v>802553.19000000029</v>
      </c>
      <c r="H1171" s="115">
        <f>G1174-H1174</f>
        <v>2.0000000251457095E-2</v>
      </c>
      <c r="J1171" s="204"/>
      <c r="K1171" s="204"/>
    </row>
    <row r="1172" spans="1:38" s="204" customFormat="1" ht="15.75" x14ac:dyDescent="0.25">
      <c r="A1172" s="284"/>
      <c r="B1172" s="284"/>
      <c r="C1172" s="285"/>
      <c r="D1172" s="285"/>
      <c r="E1172" s="285"/>
      <c r="F1172" s="285"/>
      <c r="G1172" s="286">
        <f>пр.1дох.22!C197</f>
        <v>802553.17</v>
      </c>
      <c r="I1172" s="527"/>
      <c r="J1172" s="735"/>
      <c r="K1172" s="736"/>
      <c r="L1172" s="736"/>
      <c r="M1172" s="736"/>
      <c r="N1172" s="736"/>
      <c r="O1172" s="736"/>
      <c r="P1172" s="736"/>
      <c r="Q1172" s="736"/>
      <c r="R1172" s="736"/>
      <c r="S1172" s="737"/>
    </row>
    <row r="1173" spans="1:38" ht="28.5" hidden="1" customHeight="1" x14ac:dyDescent="0.25">
      <c r="A1173" s="50"/>
      <c r="B1173" s="50"/>
      <c r="C1173" s="50"/>
      <c r="D1173" s="50"/>
      <c r="E1173" s="50">
        <f>пр.1дох.22!C76-пр.1дох.22!C78</f>
        <v>274315.80000000005</v>
      </c>
      <c r="F1173" s="50"/>
      <c r="G1173" s="115">
        <f>G1171-G1172</f>
        <v>2.0000000251457095E-2</v>
      </c>
      <c r="J1173" s="318"/>
      <c r="K1173" s="318"/>
      <c r="L1173" s="318"/>
      <c r="M1173" s="318"/>
      <c r="N1173" s="318"/>
      <c r="O1173" s="318"/>
      <c r="P1173" s="318"/>
      <c r="Q1173" s="318"/>
      <c r="R1173" s="318"/>
      <c r="S1173" s="318"/>
      <c r="T1173" s="204"/>
      <c r="U1173" s="204"/>
      <c r="V1173" s="204"/>
      <c r="W1173" s="204"/>
      <c r="X1173" s="204"/>
      <c r="Y1173" s="204"/>
      <c r="Z1173" s="204"/>
      <c r="AA1173" s="204"/>
    </row>
    <row r="1174" spans="1:38" ht="18.75" x14ac:dyDescent="0.3">
      <c r="A1174" s="50"/>
      <c r="B1174" s="50"/>
      <c r="C1174" s="51"/>
      <c r="D1174" s="51"/>
      <c r="E1174" s="51"/>
      <c r="F1174" s="397" t="s">
        <v>588</v>
      </c>
      <c r="G1174" s="395">
        <f>G1171-G1175</f>
        <v>528237.39000000025</v>
      </c>
      <c r="H1174" s="115">
        <f>пр.1дох.22!C8+пр.1дох.22!C78</f>
        <v>528237.37</v>
      </c>
      <c r="I1174" s="536"/>
      <c r="J1174" s="409"/>
      <c r="K1174" s="511"/>
      <c r="L1174" s="409"/>
      <c r="M1174" s="409"/>
      <c r="N1174" s="409"/>
      <c r="O1174" s="409"/>
      <c r="P1174" s="409"/>
      <c r="Q1174" s="409"/>
      <c r="R1174" s="409"/>
      <c r="S1174" s="427"/>
      <c r="T1174" s="204"/>
      <c r="U1174" s="204"/>
      <c r="V1174" s="204"/>
      <c r="W1174" s="204"/>
      <c r="X1174" s="204"/>
      <c r="Y1174" s="204"/>
      <c r="Z1174" s="204"/>
      <c r="AA1174" s="204"/>
    </row>
    <row r="1175" spans="1:38" ht="18.75" x14ac:dyDescent="0.3">
      <c r="A1175" s="50"/>
      <c r="B1175" s="50"/>
      <c r="C1175" s="51"/>
      <c r="D1175" s="51"/>
      <c r="E1175" s="51"/>
      <c r="F1175" s="397" t="s">
        <v>589</v>
      </c>
      <c r="G1175" s="395">
        <f>G66+G208+G234+G324+G390+G549+G600+G662+G754+G855+G1075+Лист1!E24</f>
        <v>274315.80000000005</v>
      </c>
      <c r="H1175" s="230">
        <f>пр.1дох.22!C76-пр.1дох.22!C78</f>
        <v>274315.80000000005</v>
      </c>
      <c r="I1175" s="536"/>
      <c r="J1175" s="409"/>
      <c r="K1175" s="409"/>
      <c r="L1175" s="409"/>
      <c r="M1175" s="409"/>
      <c r="N1175" s="409"/>
      <c r="O1175" s="409"/>
      <c r="P1175" s="409"/>
      <c r="Q1175" s="427"/>
      <c r="R1175" s="409"/>
      <c r="S1175" s="427"/>
      <c r="T1175" s="204"/>
      <c r="U1175" s="204"/>
      <c r="V1175" s="204"/>
      <c r="W1175" s="204"/>
      <c r="X1175" s="204"/>
      <c r="Y1175" s="204"/>
      <c r="Z1175" s="204"/>
      <c r="AA1175" s="204"/>
    </row>
    <row r="1176" spans="1:38" s="204" customFormat="1" ht="18.75" x14ac:dyDescent="0.3">
      <c r="A1176" s="50"/>
      <c r="B1176" s="50"/>
      <c r="C1176" s="51"/>
      <c r="D1176" s="51"/>
      <c r="E1176" s="51"/>
      <c r="F1176" s="397"/>
      <c r="G1176" s="395">
        <f>пр.1дох.22!C76-пр.1дох.22!C78</f>
        <v>274315.80000000005</v>
      </c>
      <c r="H1176" s="230"/>
      <c r="I1176" s="534"/>
      <c r="J1176" s="409"/>
      <c r="K1176" s="511"/>
      <c r="L1176" s="409"/>
      <c r="M1176" s="409"/>
      <c r="N1176" s="409"/>
      <c r="O1176" s="409"/>
      <c r="P1176" s="409"/>
      <c r="Q1176" s="409"/>
      <c r="R1176" s="409"/>
      <c r="S1176" s="409"/>
      <c r="T1176" s="230"/>
    </row>
    <row r="1177" spans="1:38" ht="15.75" hidden="1" x14ac:dyDescent="0.25">
      <c r="A1177" s="50"/>
      <c r="B1177" s="50"/>
      <c r="C1177" s="51"/>
      <c r="D1177" s="53"/>
      <c r="E1177" s="53"/>
      <c r="F1177" s="398" t="s">
        <v>674</v>
      </c>
      <c r="G1177" s="102">
        <f>пр.1дох.22!C197-'Пр.4 ведом.22'!G1171</f>
        <v>-2.0000000251457095E-2</v>
      </c>
      <c r="H1177" s="230"/>
      <c r="J1177" s="426"/>
      <c r="K1177" s="426"/>
      <c r="L1177" s="426"/>
      <c r="M1177" s="426"/>
      <c r="N1177" s="426"/>
      <c r="O1177" s="426"/>
      <c r="P1177" s="426"/>
      <c r="Q1177" s="426"/>
      <c r="R1177" s="480"/>
      <c r="S1177" s="426"/>
      <c r="T1177" s="204"/>
      <c r="U1177" s="204"/>
      <c r="V1177" s="204"/>
      <c r="W1177" s="204"/>
      <c r="X1177" s="204"/>
      <c r="Y1177" s="204"/>
      <c r="Z1177" s="204"/>
      <c r="AA1177" s="204"/>
    </row>
    <row r="1178" spans="1:38" ht="15.75" hidden="1" x14ac:dyDescent="0.25">
      <c r="A1178" s="50"/>
      <c r="B1178" s="50"/>
      <c r="C1178" s="51"/>
      <c r="D1178" s="53"/>
      <c r="E1178" s="53"/>
      <c r="F1178" s="53"/>
      <c r="G1178" s="102"/>
      <c r="H1178" s="230"/>
      <c r="J1178" s="115"/>
      <c r="K1178" s="115"/>
      <c r="L1178" s="204"/>
      <c r="M1178" s="204"/>
      <c r="N1178" s="204"/>
      <c r="O1178" s="115"/>
      <c r="P1178" s="204"/>
      <c r="Q1178" s="115"/>
      <c r="R1178" s="115"/>
      <c r="S1178" s="115"/>
      <c r="T1178" s="204"/>
      <c r="U1178" s="204"/>
      <c r="V1178" s="204"/>
      <c r="W1178" s="204"/>
      <c r="X1178" s="204"/>
      <c r="Y1178" s="204"/>
      <c r="Z1178" s="204"/>
      <c r="AA1178" s="204"/>
    </row>
    <row r="1179" spans="1:38" ht="15.75" hidden="1" x14ac:dyDescent="0.25">
      <c r="A1179" s="50"/>
      <c r="B1179" s="50"/>
      <c r="C1179" s="51"/>
      <c r="D1179" s="53"/>
      <c r="E1179" s="53"/>
      <c r="F1179" s="53"/>
      <c r="G1179" s="102"/>
      <c r="J1179" s="419"/>
      <c r="K1179" s="230"/>
      <c r="L1179" s="204"/>
      <c r="M1179" s="204"/>
      <c r="N1179" s="204"/>
      <c r="O1179" s="204"/>
      <c r="P1179" s="204"/>
      <c r="Q1179" s="204"/>
      <c r="R1179" s="204"/>
      <c r="S1179" s="230"/>
      <c r="T1179" s="204"/>
      <c r="U1179" s="204"/>
      <c r="V1179" s="204"/>
      <c r="W1179" s="204"/>
      <c r="X1179" s="204"/>
      <c r="Y1179" s="204"/>
      <c r="Z1179" s="204"/>
      <c r="AA1179" s="204"/>
    </row>
    <row r="1180" spans="1:38" ht="15.75" x14ac:dyDescent="0.25">
      <c r="A1180" s="50"/>
      <c r="B1180" s="50"/>
      <c r="C1180" s="54">
        <v>1</v>
      </c>
      <c r="D1180" s="53"/>
      <c r="E1180" s="53"/>
      <c r="F1180" s="53"/>
      <c r="G1180" s="102">
        <f>G10+G31+G241+G535+G586+G912+G1154+G821</f>
        <v>155183.45000000001</v>
      </c>
      <c r="H1180" s="115"/>
      <c r="J1180" s="419"/>
      <c r="K1180" s="204"/>
      <c r="L1180" s="204"/>
      <c r="M1180" s="204"/>
      <c r="N1180" s="204"/>
      <c r="O1180" s="204"/>
      <c r="P1180" s="204"/>
      <c r="Q1180" s="204"/>
      <c r="R1180" s="204"/>
      <c r="S1180" s="115"/>
      <c r="T1180" s="204"/>
      <c r="U1180" s="204"/>
      <c r="V1180" s="204"/>
      <c r="W1180" s="204"/>
      <c r="X1180" s="204"/>
      <c r="Y1180" s="204"/>
      <c r="Z1180" s="204"/>
      <c r="AA1180" s="204"/>
    </row>
    <row r="1181" spans="1:38" ht="15.75" hidden="1" customHeight="1" x14ac:dyDescent="0.25">
      <c r="A1181" s="50"/>
      <c r="B1181" s="50"/>
      <c r="C1181" s="54" t="s">
        <v>588</v>
      </c>
      <c r="D1181" s="53"/>
      <c r="E1181" s="53"/>
      <c r="F1181" s="53"/>
      <c r="G1181" s="102"/>
      <c r="H1181" s="115"/>
      <c r="I1181" s="534"/>
      <c r="J1181" s="419"/>
      <c r="K1181" s="204"/>
      <c r="L1181" s="204"/>
      <c r="M1181" s="204"/>
      <c r="N1181" s="204"/>
      <c r="O1181" s="204"/>
      <c r="P1181" s="204"/>
      <c r="Q1181" s="204"/>
      <c r="R1181" s="204"/>
      <c r="S1181" s="204"/>
      <c r="T1181" s="204"/>
      <c r="U1181" s="204"/>
      <c r="V1181" s="204"/>
      <c r="W1181" s="204"/>
      <c r="X1181" s="204"/>
      <c r="Y1181" s="204"/>
      <c r="Z1181" s="204"/>
      <c r="AA1181" s="204"/>
    </row>
    <row r="1182" spans="1:38" ht="15.75" hidden="1" x14ac:dyDescent="0.25">
      <c r="A1182" s="50"/>
      <c r="B1182" s="50"/>
      <c r="C1182" s="54" t="s">
        <v>589</v>
      </c>
      <c r="D1182" s="53"/>
      <c r="E1182" s="53"/>
      <c r="F1182" s="53"/>
      <c r="G1182" s="102"/>
      <c r="H1182" s="115"/>
      <c r="I1182" s="534"/>
      <c r="J1182" s="738"/>
      <c r="K1182" s="739"/>
      <c r="L1182" s="739"/>
      <c r="M1182" s="739"/>
      <c r="N1182" s="739"/>
      <c r="O1182" s="739"/>
      <c r="P1182" s="739"/>
      <c r="Q1182" s="739"/>
      <c r="R1182" s="739"/>
      <c r="S1182" s="739"/>
      <c r="T1182" s="739"/>
      <c r="U1182" s="739"/>
      <c r="V1182" s="739"/>
      <c r="W1182" s="739"/>
      <c r="X1182" s="739"/>
      <c r="Y1182" s="739"/>
      <c r="Z1182" s="739"/>
      <c r="AA1182" s="739"/>
      <c r="AB1182" s="739"/>
      <c r="AC1182" s="739"/>
      <c r="AD1182" s="739"/>
      <c r="AE1182" s="739"/>
      <c r="AF1182" s="507"/>
      <c r="AG1182" s="512"/>
      <c r="AH1182" s="518"/>
      <c r="AI1182" s="524"/>
      <c r="AJ1182" s="539"/>
      <c r="AK1182" s="542"/>
    </row>
    <row r="1183" spans="1:38" ht="60" hidden="1" x14ac:dyDescent="0.25">
      <c r="A1183" s="50"/>
      <c r="B1183" s="50"/>
      <c r="C1183" s="54">
        <v>2</v>
      </c>
      <c r="D1183" s="53"/>
      <c r="E1183" s="53"/>
      <c r="F1183" s="53"/>
      <c r="G1183" s="102">
        <f>G158</f>
        <v>0</v>
      </c>
      <c r="H1183" s="115"/>
      <c r="J1183" s="479"/>
      <c r="K1183" s="479"/>
      <c r="L1183" s="479"/>
      <c r="M1183" s="479"/>
      <c r="N1183" s="479"/>
      <c r="O1183" s="479"/>
      <c r="P1183" s="479"/>
      <c r="Q1183" s="479"/>
      <c r="R1183" s="732"/>
      <c r="S1183" s="733"/>
      <c r="T1183" s="734"/>
      <c r="U1183" s="479"/>
      <c r="V1183" s="479"/>
      <c r="W1183" s="479"/>
      <c r="X1183" s="479"/>
      <c r="Y1183" s="479"/>
      <c r="Z1183" s="479"/>
      <c r="AA1183" s="479"/>
      <c r="AB1183" s="479"/>
      <c r="AC1183" s="479"/>
      <c r="AD1183" s="479"/>
      <c r="AE1183" s="479"/>
      <c r="AF1183" s="479" t="s">
        <v>1639</v>
      </c>
      <c r="AG1183" s="479" t="s">
        <v>1654</v>
      </c>
      <c r="AH1183" s="479" t="s">
        <v>1661</v>
      </c>
      <c r="AI1183" s="479" t="s">
        <v>1670</v>
      </c>
      <c r="AJ1183" s="479" t="s">
        <v>1680</v>
      </c>
      <c r="AK1183" s="549" t="s">
        <v>1684</v>
      </c>
    </row>
    <row r="1184" spans="1:38" ht="15.75" x14ac:dyDescent="0.25">
      <c r="A1184" s="50"/>
      <c r="B1184" s="50"/>
      <c r="C1184" s="54">
        <v>3</v>
      </c>
      <c r="D1184" s="53"/>
      <c r="E1184" s="53"/>
      <c r="F1184" s="53"/>
      <c r="G1184" s="102">
        <f>G926+G165</f>
        <v>7394</v>
      </c>
      <c r="H1184" s="115"/>
      <c r="I1184" s="536"/>
      <c r="J1184" s="356"/>
      <c r="K1184" s="356"/>
      <c r="L1184" s="418"/>
      <c r="M1184" s="356"/>
      <c r="N1184" s="356"/>
      <c r="O1184" s="356"/>
      <c r="P1184" s="356"/>
      <c r="Q1184" s="356"/>
      <c r="R1184" s="417"/>
      <c r="S1184" s="417"/>
      <c r="T1184" s="417"/>
      <c r="U1184" s="356"/>
      <c r="V1184" s="418"/>
      <c r="W1184" s="418"/>
      <c r="X1184" s="418"/>
      <c r="Y1184" s="418"/>
      <c r="Z1184" s="356"/>
      <c r="AA1184" s="356"/>
      <c r="AB1184" s="356"/>
      <c r="AC1184" s="356"/>
      <c r="AD1184" s="356"/>
      <c r="AE1184" s="356"/>
      <c r="AF1184" s="356">
        <v>106.89</v>
      </c>
      <c r="AG1184" s="356">
        <v>21.5</v>
      </c>
      <c r="AH1184" s="356">
        <v>100</v>
      </c>
      <c r="AI1184" s="356">
        <v>205.9</v>
      </c>
      <c r="AJ1184" s="356">
        <v>463.7</v>
      </c>
      <c r="AK1184" s="418">
        <v>63.805999999999997</v>
      </c>
      <c r="AL1184" s="1">
        <f>SUM(J1184:AK1184)</f>
        <v>961.79600000000005</v>
      </c>
    </row>
    <row r="1185" spans="1:40" s="204" customFormat="1" ht="15.75" x14ac:dyDescent="0.25">
      <c r="A1185" s="50"/>
      <c r="B1185" s="50"/>
      <c r="C1185" s="54" t="s">
        <v>588</v>
      </c>
      <c r="D1185" s="53"/>
      <c r="E1185" s="53"/>
      <c r="F1185" s="53"/>
      <c r="G1185" s="102">
        <f>G1184-G1186</f>
        <v>7494</v>
      </c>
      <c r="H1185" s="115"/>
      <c r="I1185" s="536"/>
      <c r="J1185" s="356"/>
      <c r="K1185" s="356"/>
      <c r="L1185" s="356"/>
      <c r="M1185" s="356"/>
      <c r="N1185" s="356"/>
      <c r="O1185" s="356"/>
      <c r="P1185" s="356"/>
      <c r="Q1185" s="356"/>
      <c r="R1185" s="418"/>
      <c r="S1185" s="418"/>
      <c r="T1185" s="418"/>
      <c r="U1185" s="356"/>
      <c r="V1185" s="418"/>
      <c r="W1185" s="418"/>
      <c r="X1185" s="356"/>
      <c r="Y1185" s="356"/>
      <c r="Z1185" s="356"/>
      <c r="AA1185" s="356"/>
      <c r="AB1185" s="356"/>
      <c r="AC1185" s="356"/>
      <c r="AD1185" s="356"/>
      <c r="AE1185" s="356"/>
      <c r="AF1185" s="356">
        <v>2500</v>
      </c>
      <c r="AG1185" s="356">
        <v>501.7</v>
      </c>
      <c r="AH1185" s="356">
        <v>448</v>
      </c>
      <c r="AI1185" s="356">
        <v>4816.3</v>
      </c>
      <c r="AJ1185" s="356">
        <v>4173.5</v>
      </c>
      <c r="AK1185" s="418">
        <v>1492.7</v>
      </c>
      <c r="AL1185" s="204">
        <f t="shared" ref="AL1185:AL1186" si="96">SUM(J1185:AK1185)</f>
        <v>13932.2</v>
      </c>
      <c r="AN1185" s="230">
        <f>S1179+AL1185</f>
        <v>13932.2</v>
      </c>
    </row>
    <row r="1186" spans="1:40" s="204" customFormat="1" ht="15.75" x14ac:dyDescent="0.25">
      <c r="A1186" s="50"/>
      <c r="B1186" s="50"/>
      <c r="C1186" s="54" t="s">
        <v>589</v>
      </c>
      <c r="D1186" s="53"/>
      <c r="E1186" s="53"/>
      <c r="F1186" s="53"/>
      <c r="G1186" s="102">
        <f>G194-AH1184</f>
        <v>-100</v>
      </c>
      <c r="H1186" s="115"/>
      <c r="I1186" s="534"/>
      <c r="J1186" s="409"/>
      <c r="K1186" s="409"/>
      <c r="L1186" s="409"/>
      <c r="M1186" s="409"/>
      <c r="N1186" s="409"/>
      <c r="O1186" s="409"/>
      <c r="P1186" s="409"/>
      <c r="Q1186" s="409"/>
      <c r="R1186" s="409"/>
      <c r="S1186" s="409"/>
      <c r="T1186" s="409"/>
      <c r="U1186" s="409"/>
      <c r="V1186" s="409"/>
      <c r="W1186" s="409"/>
      <c r="X1186" s="409"/>
      <c r="Y1186" s="409"/>
      <c r="Z1186" s="409"/>
      <c r="AA1186" s="409"/>
      <c r="AB1186" s="409"/>
      <c r="AC1186" s="409"/>
      <c r="AD1186" s="409"/>
      <c r="AE1186" s="409"/>
      <c r="AF1186" s="409">
        <f t="shared" ref="AF1186:AK1186" si="97">AF1184+AF1185</f>
        <v>2606.89</v>
      </c>
      <c r="AG1186" s="409">
        <f t="shared" si="97"/>
        <v>523.20000000000005</v>
      </c>
      <c r="AH1186" s="409">
        <f t="shared" si="97"/>
        <v>548</v>
      </c>
      <c r="AI1186" s="409">
        <f t="shared" si="97"/>
        <v>5022.2</v>
      </c>
      <c r="AJ1186" s="409">
        <f t="shared" si="97"/>
        <v>4637.2</v>
      </c>
      <c r="AK1186" s="550">
        <f t="shared" si="97"/>
        <v>1556.5060000000001</v>
      </c>
      <c r="AL1186" s="204">
        <f t="shared" si="96"/>
        <v>14893.996000000001</v>
      </c>
    </row>
    <row r="1187" spans="1:40" ht="15.75" x14ac:dyDescent="0.25">
      <c r="A1187" s="50"/>
      <c r="B1187" s="50"/>
      <c r="C1187" s="54">
        <v>4</v>
      </c>
      <c r="D1187" s="53"/>
      <c r="E1187" s="53"/>
      <c r="F1187" s="53"/>
      <c r="G1187" s="102">
        <f>G933+G277+G195</f>
        <v>7329.4000000000005</v>
      </c>
      <c r="H1187" s="115"/>
      <c r="J1187" s="426"/>
      <c r="K1187" s="426"/>
      <c r="L1187" s="426"/>
      <c r="M1187" s="426"/>
      <c r="N1187" s="426"/>
      <c r="O1187" s="426"/>
      <c r="P1187" s="426"/>
      <c r="Q1187" s="426"/>
      <c r="R1187" s="480"/>
      <c r="S1187" s="426"/>
      <c r="T1187" s="480"/>
      <c r="U1187" s="426"/>
      <c r="V1187" s="426"/>
      <c r="W1187" s="426"/>
      <c r="X1187" s="426"/>
      <c r="Y1187" s="426"/>
      <c r="Z1187" s="426"/>
      <c r="AA1187" s="426"/>
      <c r="AB1187" s="426"/>
      <c r="AC1187" s="426"/>
      <c r="AD1187" s="426"/>
      <c r="AE1187" s="426"/>
      <c r="AF1187" s="426" t="s">
        <v>1492</v>
      </c>
      <c r="AG1187" s="426" t="s">
        <v>1427</v>
      </c>
      <c r="AH1187" s="426" t="s">
        <v>1662</v>
      </c>
      <c r="AI1187" s="426" t="s">
        <v>1676</v>
      </c>
      <c r="AJ1187" s="426" t="s">
        <v>1427</v>
      </c>
      <c r="AK1187" s="551" t="s">
        <v>1427</v>
      </c>
    </row>
    <row r="1188" spans="1:40" ht="15.75" x14ac:dyDescent="0.25">
      <c r="A1188" s="50"/>
      <c r="B1188" s="50"/>
      <c r="C1188" s="54" t="s">
        <v>588</v>
      </c>
      <c r="D1188" s="53"/>
      <c r="E1188" s="53"/>
      <c r="F1188" s="53"/>
      <c r="G1188" s="102">
        <f>G1187-G1189</f>
        <v>6329.6</v>
      </c>
      <c r="H1188" s="115"/>
      <c r="AD1188" s="1"/>
      <c r="AE1188" s="1"/>
      <c r="AF1188" s="1"/>
      <c r="AG1188" s="1"/>
      <c r="AH1188" s="1"/>
    </row>
    <row r="1189" spans="1:40" ht="15.75" x14ac:dyDescent="0.25">
      <c r="A1189" s="50"/>
      <c r="B1189" s="50"/>
      <c r="C1189" s="54" t="s">
        <v>589</v>
      </c>
      <c r="D1189" s="53"/>
      <c r="E1189" s="53"/>
      <c r="F1189" s="53"/>
      <c r="G1189" s="102">
        <f>G286+G216+G208+G199-U1184-W1184-Z1184</f>
        <v>999.8</v>
      </c>
      <c r="H1189" s="115"/>
      <c r="AD1189" s="1"/>
      <c r="AE1189" s="1"/>
      <c r="AF1189" s="1"/>
      <c r="AG1189" s="1"/>
      <c r="AH1189" s="1"/>
    </row>
    <row r="1190" spans="1:40" ht="15.75" x14ac:dyDescent="0.25">
      <c r="A1190" s="50"/>
      <c r="B1190" s="50"/>
      <c r="C1190" s="54">
        <v>5</v>
      </c>
      <c r="D1190" s="53"/>
      <c r="E1190" s="53"/>
      <c r="F1190" s="53"/>
      <c r="G1190" s="102">
        <f>G954+G569</f>
        <v>60306.490000000005</v>
      </c>
      <c r="H1190" s="115"/>
      <c r="J1190" s="204"/>
      <c r="K1190" s="115"/>
      <c r="L1190" s="204"/>
      <c r="M1190" s="204"/>
      <c r="N1190" s="204"/>
      <c r="O1190" s="204"/>
      <c r="P1190" s="204"/>
      <c r="Q1190" s="204"/>
      <c r="R1190" s="204"/>
      <c r="S1190" s="204"/>
      <c r="T1190" s="204"/>
      <c r="U1190" s="204"/>
      <c r="V1190" s="204"/>
      <c r="W1190" s="204"/>
      <c r="X1190" s="204"/>
      <c r="Y1190" s="204"/>
      <c r="Z1190" s="204"/>
      <c r="AA1190" s="230"/>
    </row>
    <row r="1191" spans="1:40" ht="15.75" x14ac:dyDescent="0.25">
      <c r="A1191" s="50"/>
      <c r="B1191" s="50"/>
      <c r="C1191" s="54" t="s">
        <v>588</v>
      </c>
      <c r="D1191" s="53"/>
      <c r="E1191" s="53"/>
      <c r="F1191" s="53"/>
      <c r="G1191" s="102">
        <f>G1190-G1192</f>
        <v>46692.496000000006</v>
      </c>
      <c r="H1191" s="115"/>
      <c r="J1191" s="115"/>
      <c r="K1191" s="115"/>
      <c r="L1191" s="115"/>
      <c r="M1191" s="115"/>
      <c r="N1191" s="115"/>
      <c r="O1191" s="115"/>
      <c r="P1191" s="115"/>
      <c r="Q1191" s="115"/>
      <c r="R1191" s="204"/>
      <c r="S1191" s="204"/>
      <c r="T1191" s="115"/>
      <c r="U1191" s="115"/>
      <c r="V1191" s="115"/>
      <c r="W1191" s="115"/>
      <c r="X1191" s="115"/>
      <c r="Y1191" s="115"/>
      <c r="Z1191" s="115"/>
      <c r="AA1191" s="204"/>
    </row>
    <row r="1192" spans="1:40" ht="15.75" x14ac:dyDescent="0.25">
      <c r="A1192" s="50"/>
      <c r="B1192" s="50"/>
      <c r="C1192" s="54" t="s">
        <v>589</v>
      </c>
      <c r="D1192" s="53"/>
      <c r="E1192" s="53"/>
      <c r="F1192" s="53"/>
      <c r="G1192" s="102">
        <f>G986+G1075+G1092-J1174+G1047-P1174-AG1184-AC1184+G1085+G971+G1089-AJ1184+G1098-AK1184</f>
        <v>13613.993999999999</v>
      </c>
      <c r="H1192" s="115"/>
      <c r="J1192" s="204"/>
      <c r="K1192" s="204"/>
      <c r="L1192" s="204"/>
      <c r="M1192" s="204"/>
      <c r="N1192" s="204"/>
      <c r="O1192" s="204"/>
      <c r="P1192" s="204"/>
      <c r="Q1192" s="204"/>
      <c r="R1192" s="204"/>
      <c r="S1192" s="204"/>
      <c r="T1192" s="204"/>
      <c r="U1192" s="204"/>
      <c r="V1192" s="204"/>
      <c r="W1192" s="204"/>
      <c r="X1192" s="204"/>
      <c r="Y1192" s="204"/>
      <c r="Z1192" s="204"/>
    </row>
    <row r="1193" spans="1:40" ht="15.75" x14ac:dyDescent="0.25">
      <c r="A1193" s="50"/>
      <c r="B1193" s="50"/>
      <c r="C1193" s="54">
        <v>7</v>
      </c>
      <c r="D1193" s="53"/>
      <c r="E1193" s="53"/>
      <c r="F1193" s="53"/>
      <c r="G1193" s="102">
        <f>G593+G297</f>
        <v>384414.46000000008</v>
      </c>
      <c r="H1193" s="115"/>
      <c r="J1193" s="115"/>
    </row>
    <row r="1194" spans="1:40" ht="15.75" x14ac:dyDescent="0.25">
      <c r="A1194" s="50"/>
      <c r="B1194" s="50"/>
      <c r="C1194" s="54" t="s">
        <v>588</v>
      </c>
      <c r="D1194" s="53"/>
      <c r="E1194" s="53"/>
      <c r="F1194" s="53"/>
      <c r="G1194" s="102">
        <f>G1193-G1195</f>
        <v>144183.24000000011</v>
      </c>
      <c r="H1194" s="115"/>
      <c r="J1194" s="230"/>
      <c r="K1194" s="230"/>
    </row>
    <row r="1195" spans="1:40" ht="15.75" x14ac:dyDescent="0.25">
      <c r="A1195" s="50"/>
      <c r="B1195" s="50"/>
      <c r="C1195" s="54" t="s">
        <v>589</v>
      </c>
      <c r="D1195" s="53"/>
      <c r="E1195" s="53"/>
      <c r="F1195" s="53"/>
      <c r="G1195" s="102">
        <f>G754+G662+G600+G324+G723+G635+G708-O1174+G727-Q1174-R1174+G781+G751+G712+G704+G700+G696+G632+G628+G308-K1184-L1184-M1184-N1184-O1184-P1184-Q1184-R1184-S1184-AB1184-AD1184-AE1184-AF1184+G641+G645+G715+G719+G362</f>
        <v>240231.21999999997</v>
      </c>
      <c r="H1195" s="115"/>
      <c r="J1195" s="230"/>
      <c r="K1195" s="230"/>
    </row>
    <row r="1196" spans="1:40" ht="15.75" x14ac:dyDescent="0.25">
      <c r="A1196" s="50"/>
      <c r="B1196" s="50"/>
      <c r="C1196" s="54">
        <v>8</v>
      </c>
      <c r="D1196" s="53"/>
      <c r="E1196" s="53"/>
      <c r="F1196" s="53"/>
      <c r="G1196" s="102">
        <f>G366</f>
        <v>89258.319999999992</v>
      </c>
      <c r="H1196" s="115"/>
      <c r="J1196" s="115"/>
    </row>
    <row r="1197" spans="1:40" ht="15.75" hidden="1" x14ac:dyDescent="0.25">
      <c r="A1197" s="50"/>
      <c r="B1197" s="50"/>
      <c r="C1197" s="54" t="s">
        <v>588</v>
      </c>
      <c r="D1197" s="53"/>
      <c r="E1197" s="53"/>
      <c r="F1197" s="53"/>
      <c r="G1197" s="102"/>
      <c r="H1197" s="115"/>
      <c r="J1197" s="115"/>
    </row>
    <row r="1198" spans="1:40" ht="15.75" hidden="1" x14ac:dyDescent="0.25">
      <c r="A1198" s="50"/>
      <c r="B1198" s="50"/>
      <c r="C1198" s="54" t="s">
        <v>589</v>
      </c>
      <c r="D1198" s="53"/>
      <c r="E1198" s="53"/>
      <c r="F1198" s="53"/>
      <c r="G1198" s="102"/>
      <c r="H1198" s="115"/>
      <c r="J1198" s="230"/>
    </row>
    <row r="1199" spans="1:40" ht="15.75" x14ac:dyDescent="0.25">
      <c r="A1199" s="50"/>
      <c r="B1199" s="50"/>
      <c r="C1199" s="54">
        <v>10</v>
      </c>
      <c r="D1199" s="53"/>
      <c r="E1199" s="53"/>
      <c r="F1199" s="53"/>
      <c r="G1199" s="102">
        <f>G1145+G473+G219+G579</f>
        <v>15126.01</v>
      </c>
      <c r="H1199" s="115"/>
    </row>
    <row r="1200" spans="1:40" ht="15.75" x14ac:dyDescent="0.25">
      <c r="A1200" s="50"/>
      <c r="B1200" s="50"/>
      <c r="C1200" s="54" t="s">
        <v>588</v>
      </c>
      <c r="D1200" s="53"/>
      <c r="E1200" s="53"/>
      <c r="F1200" s="53"/>
      <c r="G1200" s="102">
        <f>G1199-G1201</f>
        <v>11305.61</v>
      </c>
      <c r="H1200" s="115"/>
    </row>
    <row r="1201" spans="1:10" ht="15.75" x14ac:dyDescent="0.25">
      <c r="A1201" s="50"/>
      <c r="B1201" s="50"/>
      <c r="C1201" s="54" t="s">
        <v>589</v>
      </c>
      <c r="D1201" s="53"/>
      <c r="E1201" s="53"/>
      <c r="F1201" s="53"/>
      <c r="G1201" s="102">
        <f>G234+G478+G579-M1174+G229-V1184</f>
        <v>3820.4</v>
      </c>
      <c r="H1201" s="115"/>
      <c r="J1201" s="230"/>
    </row>
    <row r="1202" spans="1:10" ht="15.75" x14ac:dyDescent="0.25">
      <c r="A1202" s="50"/>
      <c r="B1202" s="50"/>
      <c r="C1202" s="54">
        <v>11</v>
      </c>
      <c r="D1202" s="53"/>
      <c r="E1202" s="53"/>
      <c r="F1202" s="53"/>
      <c r="G1202" s="102">
        <f>G828</f>
        <v>74590.739999999991</v>
      </c>
      <c r="H1202" s="115"/>
    </row>
    <row r="1203" spans="1:10" ht="15.75" x14ac:dyDescent="0.25">
      <c r="A1203" s="50"/>
      <c r="B1203" s="50"/>
      <c r="C1203" s="54" t="s">
        <v>588</v>
      </c>
      <c r="D1203" s="53"/>
      <c r="E1203" s="53"/>
      <c r="F1203" s="53"/>
      <c r="G1203" s="102">
        <f>G1202-G1204</f>
        <v>70246.84</v>
      </c>
      <c r="H1203" s="115"/>
    </row>
    <row r="1204" spans="1:10" ht="15.75" x14ac:dyDescent="0.25">
      <c r="A1204" s="50"/>
      <c r="B1204" s="50"/>
      <c r="C1204" s="54" t="s">
        <v>589</v>
      </c>
      <c r="D1204" s="53"/>
      <c r="E1204" s="53"/>
      <c r="F1204" s="53"/>
      <c r="G1204" s="102">
        <f>G855+G867-S1174+G859-AI1184</f>
        <v>4343.9000000000005</v>
      </c>
      <c r="H1204" s="115"/>
    </row>
    <row r="1205" spans="1:10" ht="15.75" x14ac:dyDescent="0.25">
      <c r="A1205" s="50"/>
      <c r="B1205" s="50"/>
      <c r="C1205" s="54">
        <v>12</v>
      </c>
      <c r="D1205" s="53"/>
      <c r="E1205" s="53"/>
      <c r="F1205" s="53"/>
      <c r="G1205" s="102">
        <f>G498</f>
        <v>6128.15</v>
      </c>
      <c r="H1205" s="115"/>
    </row>
    <row r="1206" spans="1:10" ht="15.75" x14ac:dyDescent="0.25">
      <c r="A1206" s="50"/>
      <c r="B1206" s="50"/>
      <c r="C1206" s="55"/>
      <c r="D1206" s="53"/>
      <c r="E1206" s="53"/>
      <c r="F1206" s="53"/>
      <c r="G1206" s="396">
        <f>G1180+G1183+G1184+G1187+G1190+G1193+G1196+G1199+G1202+G1205</f>
        <v>799731.02</v>
      </c>
      <c r="H1206" s="115"/>
    </row>
    <row r="1207" spans="1:10" ht="15.75" x14ac:dyDescent="0.25">
      <c r="A1207" s="50"/>
      <c r="B1207" s="50"/>
      <c r="C1207" s="54" t="s">
        <v>588</v>
      </c>
      <c r="D1207" s="53"/>
      <c r="E1207" s="53"/>
      <c r="F1207" s="53"/>
      <c r="G1207" s="396">
        <f>G1181+G1183+G1185+G1188+G1191+G1194+G1197+G1200+G1203+G1205</f>
        <v>292379.9360000001</v>
      </c>
      <c r="H1207" s="115"/>
    </row>
    <row r="1208" spans="1:10" ht="15.75" x14ac:dyDescent="0.25">
      <c r="A1208" s="50"/>
      <c r="B1208" s="50"/>
      <c r="C1208" s="54" t="s">
        <v>589</v>
      </c>
      <c r="D1208" s="53"/>
      <c r="E1208" s="53"/>
      <c r="F1208" s="53"/>
      <c r="G1208" s="396">
        <f>G1182+G1189+G1192+G1195+G1198+G1201+G1204+G1186</f>
        <v>262909.31399999995</v>
      </c>
      <c r="H1208" s="115"/>
    </row>
    <row r="1210" spans="1:10" ht="18.75" x14ac:dyDescent="0.3">
      <c r="D1210" s="204" t="s">
        <v>590</v>
      </c>
      <c r="E1210" s="204">
        <v>50</v>
      </c>
      <c r="G1210" s="391">
        <f>G941</f>
        <v>3071.6000000000004</v>
      </c>
    </row>
    <row r="1211" spans="1:10" ht="18.75" x14ac:dyDescent="0.3">
      <c r="E1211" s="204">
        <v>51</v>
      </c>
      <c r="G1211" s="391">
        <f>G243+G280+G342+G462+G475</f>
        <v>3610.8</v>
      </c>
    </row>
    <row r="1212" spans="1:10" ht="18.75" x14ac:dyDescent="0.3">
      <c r="E1212" s="204">
        <v>52</v>
      </c>
      <c r="G1212" s="391">
        <f>G595+G657+G746+G779</f>
        <v>339511.29000000004</v>
      </c>
    </row>
    <row r="1213" spans="1:10" ht="18.75" x14ac:dyDescent="0.3">
      <c r="E1213" s="204">
        <v>53</v>
      </c>
      <c r="G1213" s="391">
        <f>G214</f>
        <v>150</v>
      </c>
    </row>
    <row r="1214" spans="1:10" ht="18.75" x14ac:dyDescent="0.3">
      <c r="E1214" s="204">
        <v>54</v>
      </c>
      <c r="G1214" s="391">
        <f>G43+G85</f>
        <v>604</v>
      </c>
    </row>
    <row r="1215" spans="1:10" ht="18.75" x14ac:dyDescent="0.3">
      <c r="E1215" s="204">
        <v>55</v>
      </c>
      <c r="G1215" s="391">
        <f>G227</f>
        <v>10</v>
      </c>
    </row>
    <row r="1216" spans="1:10" ht="18.75" x14ac:dyDescent="0.3">
      <c r="E1216" s="204">
        <v>56</v>
      </c>
      <c r="G1216" s="391"/>
    </row>
    <row r="1217" spans="1:9" ht="18.75" x14ac:dyDescent="0.3">
      <c r="E1217" s="204">
        <v>57</v>
      </c>
      <c r="G1217" s="391">
        <f>G830+G904</f>
        <v>63421.85</v>
      </c>
    </row>
    <row r="1218" spans="1:9" ht="18.75" x14ac:dyDescent="0.3">
      <c r="E1218" s="204">
        <v>58</v>
      </c>
      <c r="G1218" s="391">
        <f>G299+G368+G500</f>
        <v>93541.99</v>
      </c>
    </row>
    <row r="1219" spans="1:9" ht="18.75" x14ac:dyDescent="0.3">
      <c r="E1219" s="204">
        <v>59</v>
      </c>
      <c r="G1219" s="391">
        <f>G135+G331+G422+G468+G646+G735+G1140</f>
        <v>168</v>
      </c>
    </row>
    <row r="1220" spans="1:9" ht="18.75" x14ac:dyDescent="0.3">
      <c r="E1220" s="204">
        <v>60</v>
      </c>
      <c r="G1220" s="391">
        <f>G1043</f>
        <v>8745.7199999999993</v>
      </c>
    </row>
    <row r="1221" spans="1:9" ht="18.75" x14ac:dyDescent="0.3">
      <c r="E1221" s="204">
        <v>61</v>
      </c>
      <c r="G1221" s="391">
        <f>G197</f>
        <v>274</v>
      </c>
    </row>
    <row r="1222" spans="1:9" ht="18.75" x14ac:dyDescent="0.3">
      <c r="E1222" s="204">
        <v>62</v>
      </c>
      <c r="G1222" s="391">
        <f>G1003</f>
        <v>700</v>
      </c>
    </row>
    <row r="1223" spans="1:9" ht="18.75" x14ac:dyDescent="0.3">
      <c r="E1223" s="204">
        <v>63</v>
      </c>
      <c r="G1223" s="391">
        <f>G255+G588+G823</f>
        <v>120</v>
      </c>
    </row>
    <row r="1224" spans="1:9" ht="18.75" x14ac:dyDescent="0.3">
      <c r="E1224" s="204">
        <v>64</v>
      </c>
      <c r="G1224" s="391">
        <f>G139+G184+G272+G336+G427+G513+G651+G740+G773+G871</f>
        <v>3826.6400000000003</v>
      </c>
    </row>
    <row r="1225" spans="1:9" ht="18.75" x14ac:dyDescent="0.3">
      <c r="E1225" s="204">
        <v>65</v>
      </c>
      <c r="G1225" s="391">
        <f>G1090</f>
        <v>500</v>
      </c>
    </row>
    <row r="1226" spans="1:9" ht="18.75" x14ac:dyDescent="0.3">
      <c r="E1226" s="204">
        <v>66</v>
      </c>
      <c r="G1226" s="391">
        <f>G564</f>
        <v>0</v>
      </c>
    </row>
    <row r="1227" spans="1:9" ht="18.75" x14ac:dyDescent="0.3">
      <c r="E1227" s="204">
        <v>67</v>
      </c>
      <c r="G1227" s="391">
        <f>G148</f>
        <v>45</v>
      </c>
    </row>
    <row r="1228" spans="1:9" ht="18.75" x14ac:dyDescent="0.3">
      <c r="E1228" s="204">
        <v>69</v>
      </c>
      <c r="G1228" s="391">
        <f>G153</f>
        <v>80</v>
      </c>
    </row>
    <row r="1229" spans="1:9" s="204" customFormat="1" ht="18.75" x14ac:dyDescent="0.3">
      <c r="A1229" s="578"/>
      <c r="E1229" s="204">
        <v>70</v>
      </c>
      <c r="G1229" s="391">
        <f>G1036</f>
        <v>204</v>
      </c>
      <c r="I1229" s="527"/>
    </row>
    <row r="1230" spans="1:9" ht="18.75" x14ac:dyDescent="0.3">
      <c r="G1230" s="391">
        <f>SUM(G1210:G1229)</f>
        <v>518584.89</v>
      </c>
      <c r="H1230" s="115"/>
    </row>
    <row r="1231" spans="1:9" x14ac:dyDescent="0.25">
      <c r="H1231" s="115"/>
    </row>
  </sheetData>
  <autoFilter ref="A8:G1208">
    <filterColumn colId="6">
      <filters>
        <filter val="0,5"/>
        <filter val="1 000,9"/>
        <filter val="1 118,0"/>
        <filter val="1 140,0"/>
        <filter val="1 164,2"/>
        <filter val="1 165,4"/>
        <filter val="1 204,0"/>
        <filter val="1 212,7"/>
        <filter val="1 231,3"/>
        <filter val="1 260,0"/>
        <filter val="1 290,0"/>
        <filter val="1 307,0"/>
        <filter val="1 349,3"/>
        <filter val="1 352,0"/>
        <filter val="1 379,5"/>
        <filter val="1 400,0"/>
        <filter val="1 408,0"/>
        <filter val="1 420,8"/>
        <filter val="1 435,0"/>
        <filter val="1 437,7"/>
        <filter val="1 565,9"/>
        <filter val="1 578,5"/>
        <filter val="1 591,0"/>
        <filter val="1 791,1"/>
        <filter val="1 845,8"/>
        <filter val="1 890,1"/>
        <filter val="1 907,4"/>
        <filter val="1 974,2"/>
        <filter val="10 126,9"/>
        <filter val="10 257,5"/>
        <filter val="10 270,7"/>
        <filter val="10 526,3"/>
        <filter val="10 589,8"/>
        <filter val="10 650,0"/>
        <filter val="10,0"/>
        <filter val="10,5"/>
        <filter val="100,0"/>
        <filter val="-100,0"/>
        <filter val="107,0"/>
        <filter val="108,9"/>
        <filter val="11 305,6"/>
        <filter val="11 821,6"/>
        <filter val="112 333,4"/>
        <filter val="119 185,6"/>
        <filter val="12 108,8"/>
        <filter val="12 161,6"/>
        <filter val="12 362,6"/>
        <filter val="12 376,6"/>
        <filter val="12 532,6"/>
        <filter val="12 606,8"/>
        <filter val="12 835,6"/>
        <filter val="12 852,2"/>
        <filter val="12,0"/>
        <filter val="123,7"/>
        <filter val="124,4"/>
        <filter val="129,0"/>
        <filter val="13 041,5"/>
        <filter val="13 225,7"/>
        <filter val="13 289,8"/>
        <filter val="13 475,0"/>
        <filter val="13 530,1"/>
        <filter val="13 588,8"/>
        <filter val="13 614,0"/>
        <filter val="13 811,2"/>
        <filter val="13 836,2"/>
        <filter val="13 980,1"/>
        <filter val="131,0"/>
        <filter val="14 030,1"/>
        <filter val="14 493,2"/>
        <filter val="14,0"/>
        <filter val="141 811,2"/>
        <filter val="143,5"/>
        <filter val="144 192,6"/>
        <filter val="15 126,0"/>
        <filter val="15 775,5"/>
        <filter val="15,0"/>
        <filter val="150,0"/>
        <filter val="154 661,9"/>
        <filter val="155 183,5"/>
        <filter val="16 276,0"/>
        <filter val="16 777,2"/>
        <filter val="16,6"/>
        <filter val="163,0"/>
        <filter val="18 323,2"/>
        <filter val="18 780,9"/>
        <filter val="19 051,3"/>
        <filter val="197,0"/>
        <filter val="2 100,5"/>
        <filter val="2 133,1"/>
        <filter val="2 145,8"/>
        <filter val="2 243,0"/>
        <filter val="2 248,0"/>
        <filter val="2 286,0"/>
        <filter val="2 485,0"/>
        <filter val="2 557,5"/>
        <filter val="2 700,0"/>
        <filter val="2 822,2"/>
        <filter val="2 882,0"/>
        <filter val="2 967,0"/>
        <filter val="20 253,6"/>
        <filter val="20 750,5"/>
        <filter val="20,0"/>
        <filter val="201 416,1"/>
        <filter val="202 347,0"/>
        <filter val="204,0"/>
        <filter val="208,6"/>
        <filter val="21 007,5"/>
        <filter val="21 134,5"/>
        <filter val="21 507,5"/>
        <filter val="21 510,6"/>
        <filter val="215,0"/>
        <filter val="24,0"/>
        <filter val="240 221,8"/>
        <filter val="25,0"/>
        <filter val="250,0"/>
        <filter val="257,0"/>
        <filter val="258,0"/>
        <filter val="258,9"/>
        <filter val="260,0"/>
        <filter val="262 899,9"/>
        <filter val="270,4"/>
        <filter val="274 315,8"/>
        <filter val="274,0"/>
        <filter val="275,3"/>
        <filter val="28,0"/>
        <filter val="280,0"/>
        <filter val="285,0"/>
        <filter val="29 364,3"/>
        <filter val="291,8"/>
        <filter val="292 717,5"/>
        <filter val="292,0"/>
        <filter val="3 071,6"/>
        <filter val="3 228,6"/>
        <filter val="3 230,0"/>
        <filter val="3 258,0"/>
        <filter val="3 551,5"/>
        <filter val="3 665,9"/>
        <filter val="3 670,3"/>
        <filter val="3 820,4"/>
        <filter val="3,5"/>
        <filter val="30 618,4"/>
        <filter val="302,4"/>
        <filter val="315,8"/>
        <filter val="322,9"/>
        <filter val="34 371,3"/>
        <filter val="36,0"/>
        <filter val="362 903,9"/>
        <filter val="365,0"/>
        <filter val="37 018,1"/>
        <filter val="37,0"/>
        <filter val="37,2"/>
        <filter val="375,0"/>
        <filter val="384 414,5"/>
        <filter val="384,5"/>
        <filter val="39,8"/>
        <filter val="390,0"/>
        <filter val="4 142,0"/>
        <filter val="4 343,9"/>
        <filter val="4 351,9"/>
        <filter val="4 509,4"/>
        <filter val="4 520,0"/>
        <filter val="4 548,4"/>
        <filter val="4 566,0"/>
        <filter val="4 602,4"/>
        <filter val="4 700,5"/>
        <filter val="4 894,5"/>
        <filter val="4 918,0"/>
        <filter val="4 920,4"/>
        <filter val="4 934,5"/>
        <filter val="40,1"/>
        <filter val="404,4"/>
        <filter val="41 466,0"/>
        <filter val="41 768,4"/>
        <filter val="41,3"/>
        <filter val="410,0"/>
        <filter val="414,0"/>
        <filter val="415,0"/>
        <filter val="417,1"/>
        <filter val="42 283,8"/>
        <filter val="42,0"/>
        <filter val="420,0"/>
        <filter val="421,0"/>
        <filter val="43 829,4"/>
        <filter val="43 968,8"/>
        <filter val="430,0"/>
        <filter val="44 947,4"/>
        <filter val="447,3"/>
        <filter val="45,0"/>
        <filter val="450,0"/>
        <filter val="455,1"/>
        <filter val="465,8"/>
        <filter val="47 520,7"/>
        <filter val="47,0"/>
        <filter val="473,0"/>
        <filter val="475,0"/>
        <filter val="482,0"/>
        <filter val="49 704,1"/>
        <filter val="490,9"/>
        <filter val="498,0"/>
        <filter val="5 024,5"/>
        <filter val="5 025,0"/>
        <filter val="5 026,8"/>
        <filter val="5 400,8"/>
        <filter val="5 660,3"/>
        <filter val="5 713,6"/>
        <filter val="5 789,3"/>
        <filter val="5 795,3"/>
        <filter val="5 815,1"/>
        <filter val="5 884,0"/>
        <filter val="5 897,7"/>
        <filter val="5 928,7"/>
        <filter val="50,0"/>
        <filter val="500,0"/>
        <filter val="51,0"/>
        <filter val="52 473,6"/>
        <filter val="52,0"/>
        <filter val="526,0"/>
        <filter val="528 237,4"/>
        <filter val="53 852,6"/>
        <filter val="54 429,0"/>
        <filter val="57 522,9"/>
        <filter val="571,8"/>
        <filter val="579,1"/>
        <filter val="58 126,4"/>
        <filter val="59 595,8"/>
        <filter val="596,1"/>
        <filter val="6 026,7"/>
        <filter val="6 039,3"/>
        <filter val="6 047,0"/>
        <filter val="6 053,3"/>
        <filter val="6 128,2"/>
        <filter val="6 215,7"/>
        <filter val="6 305,0"/>
        <filter val="6 329,6"/>
        <filter val="6 787,0"/>
        <filter val="6 894,0"/>
        <filter val="6 994,0"/>
        <filter val="6,0"/>
        <filter val="60 721,9"/>
        <filter val="60 864,3"/>
        <filter val="60,0"/>
        <filter val="603,5"/>
        <filter val="61 134,7"/>
        <filter val="61 301,0"/>
        <filter val="61,8"/>
        <filter val="62 825,8"/>
        <filter val="63,0"/>
        <filter val="630,0"/>
        <filter val="645,0"/>
        <filter val="65,3"/>
        <filter val="66 906,9"/>
        <filter val="67 795,6"/>
        <filter val="671,0"/>
        <filter val="679,9"/>
        <filter val="689,1"/>
        <filter val="7 119,6"/>
        <filter val="7 165,3"/>
        <filter val="7 329,4"/>
        <filter val="7 421,4"/>
        <filter val="7 513,9"/>
        <filter val="7 734,6"/>
        <filter val="70 246,8"/>
        <filter val="70 719,1"/>
        <filter val="700,0"/>
        <filter val="708,0"/>
        <filter val="73,0"/>
        <filter val="739,8"/>
        <filter val="74 590,7"/>
        <filter val="74 690,7"/>
        <filter val="74,9"/>
        <filter val="75,0"/>
        <filter val="760,1"/>
        <filter val="761,0"/>
        <filter val="764,8"/>
        <filter val="77,0"/>
        <filter val="790,8"/>
        <filter val="799 731,0"/>
        <filter val="8 497,8"/>
        <filter val="8 638,6"/>
        <filter val="8 745,7"/>
        <filter val="80,0"/>
        <filter val="802 553,2"/>
        <filter val="843,0"/>
        <filter val="85,1"/>
        <filter val="870,8"/>
        <filter val="878,7"/>
        <filter val="88 930,1"/>
        <filter val="883,9"/>
        <filter val="89 115,3"/>
        <filter val="89 767,1"/>
        <filter val="890,3"/>
        <filter val="9 037,1"/>
        <filter val="9 635,7"/>
        <filter val="9 913,5"/>
        <filter val="90,0"/>
        <filter val="903,0"/>
        <filter val="909,3"/>
        <filter val="91 720,9"/>
        <filter val="93,0"/>
        <filter val="948,2"/>
        <filter val="969,5"/>
        <filter val="982,0"/>
        <filter val="999,8"/>
      </filters>
    </filterColumn>
  </autoFilter>
  <mergeCells count="7">
    <mergeCell ref="R1183:T1183"/>
    <mergeCell ref="E3:G3"/>
    <mergeCell ref="E2:G2"/>
    <mergeCell ref="E1:G1"/>
    <mergeCell ref="A5:G5"/>
    <mergeCell ref="J1172:S1172"/>
    <mergeCell ref="J1182:AE1182"/>
  </mergeCells>
  <pageMargins left="0.23622047244094491" right="0.23622047244094491" top="0.74803149606299213" bottom="0.74803149606299213" header="0.31496062992125984" footer="0.31496062992125984"/>
  <pageSetup paperSize="9" scale="76" orientation="portrait" r:id="rId1"/>
  <rowBreaks count="1" manualBreakCount="1">
    <brk id="1171" max="6" man="1"/>
  </rowBreaks>
  <colBreaks count="3" manualBreakCount="3">
    <brk id="8" max="1201" man="1"/>
    <brk id="15" max="1201" man="1"/>
    <brk id="22" max="118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010"/>
  <sheetViews>
    <sheetView view="pageBreakPreview" topLeftCell="A695" zoomScaleNormal="100" zoomScaleSheetLayoutView="100" workbookViewId="0">
      <selection activeCell="J840" sqref="J840"/>
    </sheetView>
  </sheetViews>
  <sheetFormatPr defaultColWidth="9.140625" defaultRowHeight="15" x14ac:dyDescent="0.25"/>
  <cols>
    <col min="1" max="1" width="48.42578125" style="1" customWidth="1"/>
    <col min="2" max="2" width="9.140625" style="1"/>
    <col min="3" max="3" width="5.42578125" style="1" customWidth="1"/>
    <col min="4" max="4" width="5.5703125" style="1" customWidth="1"/>
    <col min="5" max="5" width="17.140625" style="1" customWidth="1"/>
    <col min="6" max="6" width="9.140625" style="1"/>
    <col min="7" max="7" width="19" style="1" customWidth="1"/>
    <col min="8" max="8" width="14.28515625" style="1" customWidth="1"/>
    <col min="9" max="9" width="11.28515625" style="108" hidden="1" customWidth="1"/>
    <col min="10" max="10" width="9.140625" style="1"/>
    <col min="11" max="11" width="0" style="1" hidden="1" customWidth="1"/>
    <col min="12" max="12" width="10.5703125" style="1" customWidth="1"/>
    <col min="13" max="16384" width="9.140625" style="1"/>
  </cols>
  <sheetData>
    <row r="1" spans="1:9" ht="18.75" x14ac:dyDescent="0.3">
      <c r="A1" s="63"/>
      <c r="B1" s="63"/>
      <c r="C1" s="63"/>
      <c r="D1" s="63"/>
      <c r="E1" s="62"/>
      <c r="F1" s="152" t="s">
        <v>108</v>
      </c>
      <c r="G1" s="63"/>
      <c r="H1" s="173"/>
    </row>
    <row r="2" spans="1:9" ht="18.75" x14ac:dyDescent="0.3">
      <c r="A2" s="63"/>
      <c r="B2" s="63"/>
      <c r="C2" s="63"/>
      <c r="D2" s="63"/>
      <c r="E2" s="62"/>
      <c r="F2" s="152" t="s">
        <v>0</v>
      </c>
      <c r="G2" s="63"/>
      <c r="H2" s="173"/>
    </row>
    <row r="3" spans="1:9" ht="18.75" x14ac:dyDescent="0.3">
      <c r="A3" s="63"/>
      <c r="B3" s="63"/>
      <c r="C3" s="63"/>
      <c r="D3" s="63"/>
      <c r="E3" s="62"/>
      <c r="F3" s="152" t="s">
        <v>737</v>
      </c>
      <c r="G3" s="63"/>
      <c r="H3" s="173"/>
    </row>
    <row r="4" spans="1:9" ht="15.75" x14ac:dyDescent="0.25">
      <c r="A4" s="740"/>
      <c r="B4" s="740"/>
      <c r="C4" s="740"/>
      <c r="D4" s="740"/>
      <c r="E4" s="740"/>
      <c r="F4" s="740"/>
      <c r="G4" s="740"/>
      <c r="H4" s="173"/>
    </row>
    <row r="5" spans="1:9" ht="15.75" x14ac:dyDescent="0.25">
      <c r="A5" s="731" t="s">
        <v>109</v>
      </c>
      <c r="B5" s="731"/>
      <c r="C5" s="731"/>
      <c r="D5" s="731"/>
      <c r="E5" s="731"/>
      <c r="F5" s="731"/>
      <c r="G5" s="731"/>
      <c r="H5" s="173"/>
    </row>
    <row r="6" spans="1:9" ht="15.75" x14ac:dyDescent="0.25">
      <c r="A6" s="170"/>
      <c r="B6" s="170"/>
      <c r="C6" s="170"/>
      <c r="D6" s="170"/>
      <c r="E6" s="170"/>
      <c r="F6" s="170"/>
      <c r="G6" s="170"/>
      <c r="H6" s="173"/>
    </row>
    <row r="7" spans="1:9" ht="15.75" x14ac:dyDescent="0.25">
      <c r="A7" s="13"/>
      <c r="B7" s="13"/>
      <c r="C7" s="13"/>
      <c r="D7" s="13"/>
      <c r="E7" s="13"/>
      <c r="F7" s="13"/>
      <c r="G7" s="100" t="s">
        <v>1</v>
      </c>
      <c r="H7" s="173"/>
    </row>
    <row r="8" spans="1:9" ht="47.25" x14ac:dyDescent="0.25">
      <c r="A8" s="14" t="s">
        <v>110</v>
      </c>
      <c r="B8" s="14" t="s">
        <v>111</v>
      </c>
      <c r="C8" s="15" t="s">
        <v>112</v>
      </c>
      <c r="D8" s="15" t="s">
        <v>113</v>
      </c>
      <c r="E8" s="15" t="s">
        <v>114</v>
      </c>
      <c r="F8" s="15" t="s">
        <v>115</v>
      </c>
      <c r="G8" s="14" t="s">
        <v>4</v>
      </c>
      <c r="H8" s="173"/>
    </row>
    <row r="9" spans="1:9" ht="15.75" x14ac:dyDescent="0.25">
      <c r="A9" s="16">
        <v>1</v>
      </c>
      <c r="B9" s="17">
        <v>2</v>
      </c>
      <c r="C9" s="17">
        <v>3</v>
      </c>
      <c r="D9" s="17">
        <v>4</v>
      </c>
      <c r="E9" s="17">
        <v>5</v>
      </c>
      <c r="F9" s="17">
        <v>6</v>
      </c>
      <c r="G9" s="18">
        <v>7</v>
      </c>
      <c r="H9" s="173"/>
    </row>
    <row r="10" spans="1:9" ht="31.5" x14ac:dyDescent="0.25">
      <c r="A10" s="19" t="s">
        <v>116</v>
      </c>
      <c r="B10" s="19">
        <v>901</v>
      </c>
      <c r="C10" s="20"/>
      <c r="D10" s="20"/>
      <c r="E10" s="20"/>
      <c r="F10" s="20"/>
      <c r="G10" s="21">
        <f>G11</f>
        <v>14164.460000000001</v>
      </c>
      <c r="H10" s="173"/>
      <c r="I10" s="113"/>
    </row>
    <row r="11" spans="1:9" ht="15.75" x14ac:dyDescent="0.25">
      <c r="A11" s="23" t="s">
        <v>117</v>
      </c>
      <c r="B11" s="19">
        <v>901</v>
      </c>
      <c r="C11" s="24" t="s">
        <v>118</v>
      </c>
      <c r="D11" s="20"/>
      <c r="E11" s="20"/>
      <c r="F11" s="20"/>
      <c r="G11" s="21">
        <f>G12+G22</f>
        <v>14164.460000000001</v>
      </c>
      <c r="H11" s="173"/>
    </row>
    <row r="12" spans="1:9" ht="63" x14ac:dyDescent="0.25">
      <c r="A12" s="23" t="s">
        <v>119</v>
      </c>
      <c r="B12" s="19">
        <v>901</v>
      </c>
      <c r="C12" s="24" t="s">
        <v>118</v>
      </c>
      <c r="D12" s="24" t="s">
        <v>120</v>
      </c>
      <c r="E12" s="24"/>
      <c r="F12" s="24"/>
      <c r="G12" s="21">
        <f>G13</f>
        <v>14114.460000000001</v>
      </c>
      <c r="H12" s="173"/>
    </row>
    <row r="13" spans="1:9" ht="15.75" x14ac:dyDescent="0.25">
      <c r="A13" s="25" t="s">
        <v>121</v>
      </c>
      <c r="B13" s="16">
        <v>901</v>
      </c>
      <c r="C13" s="20" t="s">
        <v>118</v>
      </c>
      <c r="D13" s="20" t="s">
        <v>120</v>
      </c>
      <c r="E13" s="20" t="s">
        <v>122</v>
      </c>
      <c r="F13" s="20"/>
      <c r="G13" s="26">
        <f>G14</f>
        <v>14114.460000000001</v>
      </c>
      <c r="H13" s="173"/>
    </row>
    <row r="14" spans="1:9" ht="31.5" x14ac:dyDescent="0.25">
      <c r="A14" s="25" t="s">
        <v>123</v>
      </c>
      <c r="B14" s="16">
        <v>901</v>
      </c>
      <c r="C14" s="20" t="s">
        <v>118</v>
      </c>
      <c r="D14" s="20" t="s">
        <v>120</v>
      </c>
      <c r="E14" s="20" t="s">
        <v>124</v>
      </c>
      <c r="F14" s="20"/>
      <c r="G14" s="26">
        <f>G15</f>
        <v>14114.460000000001</v>
      </c>
      <c r="H14" s="173"/>
    </row>
    <row r="15" spans="1:9" ht="47.25" x14ac:dyDescent="0.25">
      <c r="A15" s="25" t="s">
        <v>125</v>
      </c>
      <c r="B15" s="16">
        <v>901</v>
      </c>
      <c r="C15" s="20" t="s">
        <v>118</v>
      </c>
      <c r="D15" s="20" t="s">
        <v>120</v>
      </c>
      <c r="E15" s="20" t="s">
        <v>126</v>
      </c>
      <c r="F15" s="20"/>
      <c r="G15" s="26">
        <f>G16+G18+G20</f>
        <v>14114.460000000001</v>
      </c>
      <c r="H15" s="173"/>
    </row>
    <row r="16" spans="1:9" ht="94.5" x14ac:dyDescent="0.25">
      <c r="A16" s="25" t="s">
        <v>127</v>
      </c>
      <c r="B16" s="16">
        <v>901</v>
      </c>
      <c r="C16" s="20" t="s">
        <v>118</v>
      </c>
      <c r="D16" s="20" t="s">
        <v>120</v>
      </c>
      <c r="E16" s="20" t="s">
        <v>126</v>
      </c>
      <c r="F16" s="20" t="s">
        <v>128</v>
      </c>
      <c r="G16" s="26">
        <f>G17</f>
        <v>12784.1</v>
      </c>
      <c r="H16" s="173"/>
    </row>
    <row r="17" spans="1:8" ht="31.5" x14ac:dyDescent="0.25">
      <c r="A17" s="25" t="s">
        <v>129</v>
      </c>
      <c r="B17" s="16">
        <v>901</v>
      </c>
      <c r="C17" s="20" t="s">
        <v>118</v>
      </c>
      <c r="D17" s="20" t="s">
        <v>120</v>
      </c>
      <c r="E17" s="20" t="s">
        <v>126</v>
      </c>
      <c r="F17" s="20" t="s">
        <v>130</v>
      </c>
      <c r="G17" s="27">
        <v>12784.1</v>
      </c>
      <c r="H17" s="173"/>
    </row>
    <row r="18" spans="1:8" ht="31.5" x14ac:dyDescent="0.25">
      <c r="A18" s="25" t="s">
        <v>131</v>
      </c>
      <c r="B18" s="16">
        <v>901</v>
      </c>
      <c r="C18" s="20" t="s">
        <v>118</v>
      </c>
      <c r="D18" s="20" t="s">
        <v>120</v>
      </c>
      <c r="E18" s="20" t="s">
        <v>126</v>
      </c>
      <c r="F18" s="20" t="s">
        <v>132</v>
      </c>
      <c r="G18" s="26">
        <f>G19</f>
        <v>1302.3599999999999</v>
      </c>
      <c r="H18" s="173"/>
    </row>
    <row r="19" spans="1:8" ht="47.25" x14ac:dyDescent="0.25">
      <c r="A19" s="25" t="s">
        <v>133</v>
      </c>
      <c r="B19" s="16">
        <v>901</v>
      </c>
      <c r="C19" s="20" t="s">
        <v>118</v>
      </c>
      <c r="D19" s="20" t="s">
        <v>120</v>
      </c>
      <c r="E19" s="20" t="s">
        <v>126</v>
      </c>
      <c r="F19" s="20" t="s">
        <v>134</v>
      </c>
      <c r="G19" s="27">
        <v>1302.3599999999999</v>
      </c>
      <c r="H19" s="173"/>
    </row>
    <row r="20" spans="1:8" ht="15.75" x14ac:dyDescent="0.25">
      <c r="A20" s="25" t="s">
        <v>135</v>
      </c>
      <c r="B20" s="16">
        <v>901</v>
      </c>
      <c r="C20" s="20" t="s">
        <v>118</v>
      </c>
      <c r="D20" s="20" t="s">
        <v>120</v>
      </c>
      <c r="E20" s="20" t="s">
        <v>126</v>
      </c>
      <c r="F20" s="20" t="s">
        <v>136</v>
      </c>
      <c r="G20" s="26">
        <f>G21</f>
        <v>28</v>
      </c>
      <c r="H20" s="173"/>
    </row>
    <row r="21" spans="1:8" ht="15.75" x14ac:dyDescent="0.25">
      <c r="A21" s="25" t="s">
        <v>568</v>
      </c>
      <c r="B21" s="16">
        <v>901</v>
      </c>
      <c r="C21" s="20" t="s">
        <v>118</v>
      </c>
      <c r="D21" s="20" t="s">
        <v>120</v>
      </c>
      <c r="E21" s="20" t="s">
        <v>126</v>
      </c>
      <c r="F21" s="20" t="s">
        <v>138</v>
      </c>
      <c r="G21" s="26">
        <v>28</v>
      </c>
      <c r="H21" s="173"/>
    </row>
    <row r="22" spans="1:8" ht="31.7" customHeight="1" x14ac:dyDescent="0.25">
      <c r="A22" s="23" t="s">
        <v>139</v>
      </c>
      <c r="B22" s="19">
        <v>901</v>
      </c>
      <c r="C22" s="24" t="s">
        <v>118</v>
      </c>
      <c r="D22" s="24" t="s">
        <v>140</v>
      </c>
      <c r="E22" s="24"/>
      <c r="F22" s="24"/>
      <c r="G22" s="21">
        <f>G23</f>
        <v>50</v>
      </c>
      <c r="H22" s="173"/>
    </row>
    <row r="23" spans="1:8" ht="15.75" x14ac:dyDescent="0.25">
      <c r="A23" s="25" t="s">
        <v>141</v>
      </c>
      <c r="B23" s="16">
        <v>901</v>
      </c>
      <c r="C23" s="20" t="s">
        <v>118</v>
      </c>
      <c r="D23" s="20" t="s">
        <v>140</v>
      </c>
      <c r="E23" s="20" t="s">
        <v>142</v>
      </c>
      <c r="F23" s="20"/>
      <c r="G23" s="26">
        <f>G24</f>
        <v>50</v>
      </c>
      <c r="H23" s="173"/>
    </row>
    <row r="24" spans="1:8" ht="15.75" x14ac:dyDescent="0.25">
      <c r="A24" s="25" t="s">
        <v>143</v>
      </c>
      <c r="B24" s="16">
        <v>901</v>
      </c>
      <c r="C24" s="20" t="s">
        <v>118</v>
      </c>
      <c r="D24" s="20" t="s">
        <v>140</v>
      </c>
      <c r="E24" s="20" t="s">
        <v>144</v>
      </c>
      <c r="F24" s="20"/>
      <c r="G24" s="26">
        <f>G25</f>
        <v>50</v>
      </c>
      <c r="H24" s="173"/>
    </row>
    <row r="25" spans="1:8" ht="15.75" x14ac:dyDescent="0.25">
      <c r="A25" s="25" t="s">
        <v>135</v>
      </c>
      <c r="B25" s="16">
        <v>901</v>
      </c>
      <c r="C25" s="20" t="s">
        <v>118</v>
      </c>
      <c r="D25" s="20" t="s">
        <v>140</v>
      </c>
      <c r="E25" s="20" t="s">
        <v>144</v>
      </c>
      <c r="F25" s="20" t="s">
        <v>145</v>
      </c>
      <c r="G25" s="26">
        <f>G26</f>
        <v>50</v>
      </c>
      <c r="H25" s="173"/>
    </row>
    <row r="26" spans="1:8" ht="15.75" x14ac:dyDescent="0.25">
      <c r="A26" s="25" t="s">
        <v>146</v>
      </c>
      <c r="B26" s="16">
        <v>901</v>
      </c>
      <c r="C26" s="20" t="s">
        <v>118</v>
      </c>
      <c r="D26" s="20" t="s">
        <v>140</v>
      </c>
      <c r="E26" s="20" t="s">
        <v>144</v>
      </c>
      <c r="F26" s="20" t="s">
        <v>147</v>
      </c>
      <c r="G26" s="26">
        <v>50</v>
      </c>
      <c r="H26" s="173"/>
    </row>
    <row r="27" spans="1:8" ht="31.5" x14ac:dyDescent="0.25">
      <c r="A27" s="19" t="s">
        <v>148</v>
      </c>
      <c r="B27" s="19">
        <v>902</v>
      </c>
      <c r="C27" s="20"/>
      <c r="D27" s="20"/>
      <c r="E27" s="20"/>
      <c r="F27" s="20"/>
      <c r="G27" s="21">
        <f>G28+G159+G177+G195</f>
        <v>87268.39999999998</v>
      </c>
      <c r="H27" s="173"/>
    </row>
    <row r="28" spans="1:8" ht="15.75" x14ac:dyDescent="0.25">
      <c r="A28" s="23" t="s">
        <v>117</v>
      </c>
      <c r="B28" s="19">
        <v>902</v>
      </c>
      <c r="C28" s="24" t="s">
        <v>118</v>
      </c>
      <c r="D28" s="20"/>
      <c r="E28" s="20"/>
      <c r="F28" s="20"/>
      <c r="G28" s="21">
        <f>G29+G48+G56</f>
        <v>66062.7</v>
      </c>
      <c r="H28" s="173"/>
    </row>
    <row r="29" spans="1:8" ht="78.75" x14ac:dyDescent="0.25">
      <c r="A29" s="23" t="s">
        <v>149</v>
      </c>
      <c r="B29" s="19">
        <v>902</v>
      </c>
      <c r="C29" s="24" t="s">
        <v>118</v>
      </c>
      <c r="D29" s="24" t="s">
        <v>150</v>
      </c>
      <c r="E29" s="24"/>
      <c r="F29" s="24"/>
      <c r="G29" s="21">
        <f>G30</f>
        <v>51508.2</v>
      </c>
      <c r="H29" s="173"/>
    </row>
    <row r="30" spans="1:8" ht="15.75" x14ac:dyDescent="0.25">
      <c r="A30" s="25" t="s">
        <v>121</v>
      </c>
      <c r="B30" s="16">
        <v>902</v>
      </c>
      <c r="C30" s="20" t="s">
        <v>118</v>
      </c>
      <c r="D30" s="20" t="s">
        <v>150</v>
      </c>
      <c r="E30" s="20" t="s">
        <v>122</v>
      </c>
      <c r="F30" s="20"/>
      <c r="G30" s="27">
        <f>G31+G42</f>
        <v>51508.2</v>
      </c>
      <c r="H30" s="173"/>
    </row>
    <row r="31" spans="1:8" ht="31.5" x14ac:dyDescent="0.25">
      <c r="A31" s="25" t="s">
        <v>123</v>
      </c>
      <c r="B31" s="16">
        <v>902</v>
      </c>
      <c r="C31" s="20" t="s">
        <v>118</v>
      </c>
      <c r="D31" s="20" t="s">
        <v>150</v>
      </c>
      <c r="E31" s="20" t="s">
        <v>124</v>
      </c>
      <c r="F31" s="20"/>
      <c r="G31" s="27">
        <f>G32+G39</f>
        <v>43489.2</v>
      </c>
      <c r="H31" s="173"/>
    </row>
    <row r="32" spans="1:8" ht="47.25" x14ac:dyDescent="0.25">
      <c r="A32" s="25" t="s">
        <v>125</v>
      </c>
      <c r="B32" s="16">
        <v>902</v>
      </c>
      <c r="C32" s="20" t="s">
        <v>118</v>
      </c>
      <c r="D32" s="20" t="s">
        <v>150</v>
      </c>
      <c r="E32" s="20" t="s">
        <v>126</v>
      </c>
      <c r="F32" s="20"/>
      <c r="G32" s="26">
        <f>G33+G35+G37</f>
        <v>39943.599999999999</v>
      </c>
      <c r="H32" s="173"/>
    </row>
    <row r="33" spans="1:10" ht="94.5" x14ac:dyDescent="0.25">
      <c r="A33" s="25" t="s">
        <v>127</v>
      </c>
      <c r="B33" s="16">
        <v>902</v>
      </c>
      <c r="C33" s="20" t="s">
        <v>118</v>
      </c>
      <c r="D33" s="20" t="s">
        <v>150</v>
      </c>
      <c r="E33" s="20" t="s">
        <v>126</v>
      </c>
      <c r="F33" s="20" t="s">
        <v>128</v>
      </c>
      <c r="G33" s="26">
        <f>G34</f>
        <v>34230.5</v>
      </c>
      <c r="H33" s="173"/>
    </row>
    <row r="34" spans="1:10" ht="31.5" x14ac:dyDescent="0.25">
      <c r="A34" s="25" t="s">
        <v>129</v>
      </c>
      <c r="B34" s="16">
        <v>902</v>
      </c>
      <c r="C34" s="20" t="s">
        <v>118</v>
      </c>
      <c r="D34" s="20" t="s">
        <v>150</v>
      </c>
      <c r="E34" s="20" t="s">
        <v>126</v>
      </c>
      <c r="F34" s="20" t="s">
        <v>130</v>
      </c>
      <c r="G34" s="153">
        <f>36517.7-553.5-1733.7</f>
        <v>34230.5</v>
      </c>
      <c r="H34" s="154" t="s">
        <v>715</v>
      </c>
      <c r="J34" s="168" t="s">
        <v>757</v>
      </c>
    </row>
    <row r="35" spans="1:10" ht="31.5" x14ac:dyDescent="0.25">
      <c r="A35" s="25" t="s">
        <v>131</v>
      </c>
      <c r="B35" s="16">
        <v>902</v>
      </c>
      <c r="C35" s="20" t="s">
        <v>118</v>
      </c>
      <c r="D35" s="20" t="s">
        <v>150</v>
      </c>
      <c r="E35" s="20" t="s">
        <v>126</v>
      </c>
      <c r="F35" s="20" t="s">
        <v>132</v>
      </c>
      <c r="G35" s="26">
        <f>G36</f>
        <v>5592.4</v>
      </c>
      <c r="H35" s="173"/>
    </row>
    <row r="36" spans="1:10" ht="47.25" x14ac:dyDescent="0.25">
      <c r="A36" s="25" t="s">
        <v>133</v>
      </c>
      <c r="B36" s="16">
        <v>902</v>
      </c>
      <c r="C36" s="20" t="s">
        <v>118</v>
      </c>
      <c r="D36" s="20" t="s">
        <v>150</v>
      </c>
      <c r="E36" s="20" t="s">
        <v>126</v>
      </c>
      <c r="F36" s="20" t="s">
        <v>134</v>
      </c>
      <c r="G36" s="27">
        <f>3962.7+1800-140.3-30</f>
        <v>5592.4</v>
      </c>
      <c r="H36" s="105"/>
      <c r="I36" s="124"/>
    </row>
    <row r="37" spans="1:10" ht="15.75" x14ac:dyDescent="0.25">
      <c r="A37" s="25" t="s">
        <v>135</v>
      </c>
      <c r="B37" s="16">
        <v>902</v>
      </c>
      <c r="C37" s="20" t="s">
        <v>118</v>
      </c>
      <c r="D37" s="20" t="s">
        <v>150</v>
      </c>
      <c r="E37" s="20" t="s">
        <v>126</v>
      </c>
      <c r="F37" s="20" t="s">
        <v>145</v>
      </c>
      <c r="G37" s="26">
        <f>G38</f>
        <v>120.7</v>
      </c>
      <c r="H37" s="173"/>
    </row>
    <row r="38" spans="1:10" ht="15.75" x14ac:dyDescent="0.25">
      <c r="A38" s="25" t="s">
        <v>568</v>
      </c>
      <c r="B38" s="16">
        <v>902</v>
      </c>
      <c r="C38" s="20" t="s">
        <v>118</v>
      </c>
      <c r="D38" s="20" t="s">
        <v>150</v>
      </c>
      <c r="E38" s="20" t="s">
        <v>126</v>
      </c>
      <c r="F38" s="20" t="s">
        <v>138</v>
      </c>
      <c r="G38" s="27">
        <f>90.7+30</f>
        <v>120.7</v>
      </c>
      <c r="H38" s="105"/>
      <c r="I38" s="123"/>
    </row>
    <row r="39" spans="1:10" ht="31.5" x14ac:dyDescent="0.25">
      <c r="A39" s="25" t="s">
        <v>151</v>
      </c>
      <c r="B39" s="16">
        <v>902</v>
      </c>
      <c r="C39" s="20" t="s">
        <v>118</v>
      </c>
      <c r="D39" s="20" t="s">
        <v>150</v>
      </c>
      <c r="E39" s="20" t="s">
        <v>152</v>
      </c>
      <c r="F39" s="20"/>
      <c r="G39" s="26">
        <f>G40</f>
        <v>3545.6</v>
      </c>
      <c r="H39" s="173"/>
    </row>
    <row r="40" spans="1:10" ht="94.5" x14ac:dyDescent="0.25">
      <c r="A40" s="25" t="s">
        <v>127</v>
      </c>
      <c r="B40" s="16">
        <v>902</v>
      </c>
      <c r="C40" s="20" t="s">
        <v>118</v>
      </c>
      <c r="D40" s="20" t="s">
        <v>150</v>
      </c>
      <c r="E40" s="20" t="s">
        <v>152</v>
      </c>
      <c r="F40" s="20" t="s">
        <v>128</v>
      </c>
      <c r="G40" s="26">
        <f>G41</f>
        <v>3545.6</v>
      </c>
      <c r="H40" s="173"/>
    </row>
    <row r="41" spans="1:10" ht="31.5" x14ac:dyDescent="0.25">
      <c r="A41" s="25" t="s">
        <v>129</v>
      </c>
      <c r="B41" s="16">
        <v>902</v>
      </c>
      <c r="C41" s="20" t="s">
        <v>118</v>
      </c>
      <c r="D41" s="20" t="s">
        <v>150</v>
      </c>
      <c r="E41" s="20" t="s">
        <v>152</v>
      </c>
      <c r="F41" s="20" t="s">
        <v>130</v>
      </c>
      <c r="G41" s="27">
        <v>3545.6</v>
      </c>
      <c r="H41" s="173"/>
    </row>
    <row r="42" spans="1:10" ht="15.75" x14ac:dyDescent="0.25">
      <c r="A42" s="25" t="s">
        <v>141</v>
      </c>
      <c r="B42" s="16">
        <v>902</v>
      </c>
      <c r="C42" s="20" t="s">
        <v>118</v>
      </c>
      <c r="D42" s="20" t="s">
        <v>150</v>
      </c>
      <c r="E42" s="20" t="s">
        <v>142</v>
      </c>
      <c r="F42" s="20"/>
      <c r="G42" s="28">
        <f>G43</f>
        <v>8019</v>
      </c>
      <c r="H42" s="173"/>
    </row>
    <row r="43" spans="1:10" ht="31.5" x14ac:dyDescent="0.25">
      <c r="A43" s="25" t="s">
        <v>153</v>
      </c>
      <c r="B43" s="16">
        <v>902</v>
      </c>
      <c r="C43" s="20" t="s">
        <v>118</v>
      </c>
      <c r="D43" s="20" t="s">
        <v>150</v>
      </c>
      <c r="E43" s="20" t="s">
        <v>154</v>
      </c>
      <c r="F43" s="20"/>
      <c r="G43" s="26">
        <f>G44+G46</f>
        <v>8019</v>
      </c>
      <c r="H43" s="173"/>
    </row>
    <row r="44" spans="1:10" ht="94.5" x14ac:dyDescent="0.25">
      <c r="A44" s="25" t="s">
        <v>127</v>
      </c>
      <c r="B44" s="16">
        <v>902</v>
      </c>
      <c r="C44" s="20" t="s">
        <v>118</v>
      </c>
      <c r="D44" s="20" t="s">
        <v>150</v>
      </c>
      <c r="E44" s="20" t="s">
        <v>154</v>
      </c>
      <c r="F44" s="20" t="s">
        <v>128</v>
      </c>
      <c r="G44" s="26">
        <f>G45</f>
        <v>5761.2</v>
      </c>
      <c r="H44" s="173"/>
    </row>
    <row r="45" spans="1:10" ht="31.5" x14ac:dyDescent="0.25">
      <c r="A45" s="25" t="s">
        <v>129</v>
      </c>
      <c r="B45" s="16">
        <v>902</v>
      </c>
      <c r="C45" s="20" t="s">
        <v>118</v>
      </c>
      <c r="D45" s="20" t="s">
        <v>150</v>
      </c>
      <c r="E45" s="20" t="s">
        <v>154</v>
      </c>
      <c r="F45" s="20" t="s">
        <v>130</v>
      </c>
      <c r="G45" s="153">
        <f>6958.6+88.4-2398.3+1112.5</f>
        <v>5761.2</v>
      </c>
      <c r="H45" s="105" t="s">
        <v>716</v>
      </c>
      <c r="I45" s="123"/>
      <c r="J45" s="167" t="s">
        <v>758</v>
      </c>
    </row>
    <row r="46" spans="1:10" ht="31.5" x14ac:dyDescent="0.25">
      <c r="A46" s="25" t="s">
        <v>131</v>
      </c>
      <c r="B46" s="16">
        <v>902</v>
      </c>
      <c r="C46" s="20" t="s">
        <v>118</v>
      </c>
      <c r="D46" s="20" t="s">
        <v>150</v>
      </c>
      <c r="E46" s="20" t="s">
        <v>154</v>
      </c>
      <c r="F46" s="20" t="s">
        <v>132</v>
      </c>
      <c r="G46" s="26">
        <f>G47</f>
        <v>2257.8000000000002</v>
      </c>
      <c r="H46" s="173"/>
    </row>
    <row r="47" spans="1:10" ht="47.25" x14ac:dyDescent="0.25">
      <c r="A47" s="25" t="s">
        <v>133</v>
      </c>
      <c r="B47" s="16">
        <v>902</v>
      </c>
      <c r="C47" s="20" t="s">
        <v>118</v>
      </c>
      <c r="D47" s="20" t="s">
        <v>150</v>
      </c>
      <c r="E47" s="20" t="s">
        <v>154</v>
      </c>
      <c r="F47" s="20" t="s">
        <v>134</v>
      </c>
      <c r="G47" s="153">
        <f>2109.3+129.9+835.5-1438.1+621.2</f>
        <v>2257.8000000000002</v>
      </c>
      <c r="H47" s="105" t="s">
        <v>717</v>
      </c>
      <c r="I47" s="124"/>
    </row>
    <row r="48" spans="1:10" ht="63" x14ac:dyDescent="0.25">
      <c r="A48" s="23" t="s">
        <v>119</v>
      </c>
      <c r="B48" s="19">
        <v>902</v>
      </c>
      <c r="C48" s="24" t="s">
        <v>118</v>
      </c>
      <c r="D48" s="24" t="s">
        <v>120</v>
      </c>
      <c r="E48" s="24"/>
      <c r="F48" s="20"/>
      <c r="G48" s="21">
        <f>G49</f>
        <v>1081.7</v>
      </c>
      <c r="H48" s="173"/>
    </row>
    <row r="49" spans="1:11" ht="21.2" customHeight="1" x14ac:dyDescent="0.25">
      <c r="A49" s="25" t="s">
        <v>121</v>
      </c>
      <c r="B49" s="16">
        <v>902</v>
      </c>
      <c r="C49" s="20" t="s">
        <v>118</v>
      </c>
      <c r="D49" s="20" t="s">
        <v>120</v>
      </c>
      <c r="E49" s="20" t="s">
        <v>122</v>
      </c>
      <c r="F49" s="20"/>
      <c r="G49" s="26">
        <f>G50</f>
        <v>1081.7</v>
      </c>
      <c r="H49" s="173"/>
    </row>
    <row r="50" spans="1:11" ht="31.5" x14ac:dyDescent="0.25">
      <c r="A50" s="25" t="s">
        <v>123</v>
      </c>
      <c r="B50" s="16">
        <v>902</v>
      </c>
      <c r="C50" s="20" t="s">
        <v>118</v>
      </c>
      <c r="D50" s="20" t="s">
        <v>120</v>
      </c>
      <c r="E50" s="20" t="s">
        <v>124</v>
      </c>
      <c r="F50" s="20"/>
      <c r="G50" s="26">
        <f>G51</f>
        <v>1081.7</v>
      </c>
      <c r="H50" s="173"/>
      <c r="K50" s="26"/>
    </row>
    <row r="51" spans="1:11" ht="47.25" x14ac:dyDescent="0.25">
      <c r="A51" s="25" t="s">
        <v>125</v>
      </c>
      <c r="B51" s="16">
        <v>902</v>
      </c>
      <c r="C51" s="20" t="s">
        <v>118</v>
      </c>
      <c r="D51" s="20" t="s">
        <v>120</v>
      </c>
      <c r="E51" s="20" t="s">
        <v>126</v>
      </c>
      <c r="F51" s="20"/>
      <c r="G51" s="26">
        <f>G52+G54</f>
        <v>1081.7</v>
      </c>
      <c r="H51" s="173"/>
      <c r="K51" s="26"/>
    </row>
    <row r="52" spans="1:11" ht="94.5" x14ac:dyDescent="0.25">
      <c r="A52" s="25" t="s">
        <v>127</v>
      </c>
      <c r="B52" s="16">
        <v>902</v>
      </c>
      <c r="C52" s="20" t="s">
        <v>118</v>
      </c>
      <c r="D52" s="20" t="s">
        <v>120</v>
      </c>
      <c r="E52" s="20" t="s">
        <v>126</v>
      </c>
      <c r="F52" s="20" t="s">
        <v>128</v>
      </c>
      <c r="G52" s="26">
        <f>G53</f>
        <v>1081.7</v>
      </c>
      <c r="H52" s="173"/>
      <c r="K52" s="27"/>
    </row>
    <row r="53" spans="1:11" ht="31.5" x14ac:dyDescent="0.25">
      <c r="A53" s="25" t="s">
        <v>129</v>
      </c>
      <c r="B53" s="16">
        <v>902</v>
      </c>
      <c r="C53" s="20" t="s">
        <v>118</v>
      </c>
      <c r="D53" s="20" t="s">
        <v>120</v>
      </c>
      <c r="E53" s="20" t="s">
        <v>126</v>
      </c>
      <c r="F53" s="20" t="s">
        <v>130</v>
      </c>
      <c r="G53" s="27">
        <f>1081.7</f>
        <v>1081.7</v>
      </c>
      <c r="H53" s="173"/>
      <c r="I53" s="114"/>
      <c r="K53" s="26"/>
    </row>
    <row r="54" spans="1:11" ht="31.5" hidden="1" x14ac:dyDescent="0.25">
      <c r="A54" s="25" t="s">
        <v>131</v>
      </c>
      <c r="B54" s="16">
        <v>902</v>
      </c>
      <c r="C54" s="20" t="s">
        <v>118</v>
      </c>
      <c r="D54" s="20" t="s">
        <v>120</v>
      </c>
      <c r="E54" s="20" t="s">
        <v>126</v>
      </c>
      <c r="F54" s="20" t="s">
        <v>132</v>
      </c>
      <c r="G54" s="27">
        <f>G55</f>
        <v>0</v>
      </c>
      <c r="H54" s="173"/>
      <c r="K54" s="26"/>
    </row>
    <row r="55" spans="1:11" ht="47.25" hidden="1" x14ac:dyDescent="0.25">
      <c r="A55" s="25" t="s">
        <v>133</v>
      </c>
      <c r="B55" s="16">
        <v>902</v>
      </c>
      <c r="C55" s="20" t="s">
        <v>118</v>
      </c>
      <c r="D55" s="20" t="s">
        <v>120</v>
      </c>
      <c r="E55" s="20" t="s">
        <v>126</v>
      </c>
      <c r="F55" s="20" t="s">
        <v>134</v>
      </c>
      <c r="G55" s="27"/>
      <c r="H55" s="173"/>
      <c r="I55" s="114"/>
      <c r="K55" s="26"/>
    </row>
    <row r="56" spans="1:11" ht="15.75" x14ac:dyDescent="0.25">
      <c r="A56" s="23" t="s">
        <v>139</v>
      </c>
      <c r="B56" s="19">
        <v>902</v>
      </c>
      <c r="C56" s="24" t="s">
        <v>118</v>
      </c>
      <c r="D56" s="24" t="s">
        <v>140</v>
      </c>
      <c r="E56" s="24"/>
      <c r="F56" s="24"/>
      <c r="G56" s="21">
        <f>G57+G61+G73+G86+G97+G90</f>
        <v>13472.8</v>
      </c>
      <c r="H56" s="173"/>
      <c r="I56" s="113"/>
      <c r="K56" s="26"/>
    </row>
    <row r="57" spans="1:11" ht="63" x14ac:dyDescent="0.25">
      <c r="A57" s="25" t="s">
        <v>155</v>
      </c>
      <c r="B57" s="16">
        <v>902</v>
      </c>
      <c r="C57" s="20" t="s">
        <v>118</v>
      </c>
      <c r="D57" s="20" t="s">
        <v>140</v>
      </c>
      <c r="E57" s="20" t="s">
        <v>156</v>
      </c>
      <c r="F57" s="20"/>
      <c r="G57" s="26">
        <f>G58</f>
        <v>250</v>
      </c>
      <c r="H57" s="173"/>
    </row>
    <row r="58" spans="1:11" ht="31.5" x14ac:dyDescent="0.25">
      <c r="A58" s="25" t="s">
        <v>157</v>
      </c>
      <c r="B58" s="16">
        <v>902</v>
      </c>
      <c r="C58" s="20" t="s">
        <v>118</v>
      </c>
      <c r="D58" s="20" t="s">
        <v>140</v>
      </c>
      <c r="E58" s="20" t="s">
        <v>158</v>
      </c>
      <c r="F58" s="20"/>
      <c r="G58" s="26">
        <f>G59</f>
        <v>250</v>
      </c>
      <c r="H58" s="173"/>
    </row>
    <row r="59" spans="1:11" ht="15.75" x14ac:dyDescent="0.25">
      <c r="A59" s="25" t="s">
        <v>135</v>
      </c>
      <c r="B59" s="16">
        <v>902</v>
      </c>
      <c r="C59" s="20" t="s">
        <v>118</v>
      </c>
      <c r="D59" s="20" t="s">
        <v>140</v>
      </c>
      <c r="E59" s="20" t="s">
        <v>158</v>
      </c>
      <c r="F59" s="20" t="s">
        <v>145</v>
      </c>
      <c r="G59" s="26">
        <f>G60</f>
        <v>250</v>
      </c>
      <c r="H59" s="173"/>
    </row>
    <row r="60" spans="1:11" ht="78.75" x14ac:dyDescent="0.25">
      <c r="A60" s="25" t="s">
        <v>159</v>
      </c>
      <c r="B60" s="16">
        <v>902</v>
      </c>
      <c r="C60" s="20" t="s">
        <v>118</v>
      </c>
      <c r="D60" s="20" t="s">
        <v>140</v>
      </c>
      <c r="E60" s="20" t="s">
        <v>158</v>
      </c>
      <c r="F60" s="20" t="s">
        <v>160</v>
      </c>
      <c r="G60" s="26">
        <f>100+150</f>
        <v>250</v>
      </c>
      <c r="H60" s="173"/>
      <c r="I60" s="114"/>
    </row>
    <row r="61" spans="1:11" ht="47.25" x14ac:dyDescent="0.25">
      <c r="A61" s="25" t="s">
        <v>161</v>
      </c>
      <c r="B61" s="16">
        <v>902</v>
      </c>
      <c r="C61" s="20" t="s">
        <v>118</v>
      </c>
      <c r="D61" s="20" t="s">
        <v>140</v>
      </c>
      <c r="E61" s="20" t="s">
        <v>162</v>
      </c>
      <c r="F61" s="20"/>
      <c r="G61" s="26">
        <f>G62+G65+G70</f>
        <v>653.5</v>
      </c>
      <c r="H61" s="173"/>
    </row>
    <row r="62" spans="1:11" ht="31.5" x14ac:dyDescent="0.25">
      <c r="A62" s="29" t="s">
        <v>163</v>
      </c>
      <c r="B62" s="16">
        <v>902</v>
      </c>
      <c r="C62" s="20" t="s">
        <v>118</v>
      </c>
      <c r="D62" s="20" t="s">
        <v>140</v>
      </c>
      <c r="E62" s="40" t="s">
        <v>164</v>
      </c>
      <c r="F62" s="20"/>
      <c r="G62" s="26">
        <f>G63</f>
        <v>428.1</v>
      </c>
      <c r="H62" s="173"/>
    </row>
    <row r="63" spans="1:11" ht="31.5" x14ac:dyDescent="0.25">
      <c r="A63" s="25" t="s">
        <v>131</v>
      </c>
      <c r="B63" s="16">
        <v>902</v>
      </c>
      <c r="C63" s="20" t="s">
        <v>118</v>
      </c>
      <c r="D63" s="20" t="s">
        <v>140</v>
      </c>
      <c r="E63" s="40" t="s">
        <v>164</v>
      </c>
      <c r="F63" s="20" t="s">
        <v>132</v>
      </c>
      <c r="G63" s="26">
        <f>G64</f>
        <v>428.1</v>
      </c>
      <c r="H63" s="173"/>
    </row>
    <row r="64" spans="1:11" ht="47.25" x14ac:dyDescent="0.25">
      <c r="A64" s="25" t="s">
        <v>133</v>
      </c>
      <c r="B64" s="16">
        <v>902</v>
      </c>
      <c r="C64" s="20" t="s">
        <v>118</v>
      </c>
      <c r="D64" s="20" t="s">
        <v>140</v>
      </c>
      <c r="E64" s="40" t="s">
        <v>164</v>
      </c>
      <c r="F64" s="20" t="s">
        <v>134</v>
      </c>
      <c r="G64" s="26">
        <f>494.3-66.2</f>
        <v>428.1</v>
      </c>
      <c r="H64" s="173"/>
    </row>
    <row r="65" spans="1:8" ht="63" x14ac:dyDescent="0.25">
      <c r="A65" s="174" t="s">
        <v>165</v>
      </c>
      <c r="B65" s="16">
        <v>902</v>
      </c>
      <c r="C65" s="20" t="s">
        <v>118</v>
      </c>
      <c r="D65" s="20" t="s">
        <v>140</v>
      </c>
      <c r="E65" s="40" t="s">
        <v>166</v>
      </c>
      <c r="F65" s="20"/>
      <c r="G65" s="26">
        <f>G66+G68</f>
        <v>224.89999999999998</v>
      </c>
      <c r="H65" s="173"/>
    </row>
    <row r="66" spans="1:8" ht="94.5" x14ac:dyDescent="0.25">
      <c r="A66" s="25" t="s">
        <v>127</v>
      </c>
      <c r="B66" s="16">
        <v>902</v>
      </c>
      <c r="C66" s="20" t="s">
        <v>118</v>
      </c>
      <c r="D66" s="20" t="s">
        <v>140</v>
      </c>
      <c r="E66" s="40" t="s">
        <v>166</v>
      </c>
      <c r="F66" s="20" t="s">
        <v>128</v>
      </c>
      <c r="G66" s="26">
        <f>G67</f>
        <v>159.69999999999999</v>
      </c>
      <c r="H66" s="173"/>
    </row>
    <row r="67" spans="1:8" ht="31.5" x14ac:dyDescent="0.25">
      <c r="A67" s="25" t="s">
        <v>129</v>
      </c>
      <c r="B67" s="16">
        <v>902</v>
      </c>
      <c r="C67" s="20" t="s">
        <v>118</v>
      </c>
      <c r="D67" s="20" t="s">
        <v>140</v>
      </c>
      <c r="E67" s="40" t="s">
        <v>166</v>
      </c>
      <c r="F67" s="20" t="s">
        <v>130</v>
      </c>
      <c r="G67" s="26">
        <v>159.69999999999999</v>
      </c>
      <c r="H67" s="173"/>
    </row>
    <row r="68" spans="1:8" ht="31.5" x14ac:dyDescent="0.25">
      <c r="A68" s="25" t="s">
        <v>131</v>
      </c>
      <c r="B68" s="16">
        <v>902</v>
      </c>
      <c r="C68" s="20" t="s">
        <v>118</v>
      </c>
      <c r="D68" s="20" t="s">
        <v>140</v>
      </c>
      <c r="E68" s="40" t="s">
        <v>166</v>
      </c>
      <c r="F68" s="20" t="s">
        <v>132</v>
      </c>
      <c r="G68" s="26">
        <f>G69</f>
        <v>65.2</v>
      </c>
      <c r="H68" s="173"/>
    </row>
    <row r="69" spans="1:8" ht="47.25" x14ac:dyDescent="0.25">
      <c r="A69" s="25" t="s">
        <v>133</v>
      </c>
      <c r="B69" s="16">
        <v>902</v>
      </c>
      <c r="C69" s="20" t="s">
        <v>118</v>
      </c>
      <c r="D69" s="20" t="s">
        <v>140</v>
      </c>
      <c r="E69" s="40" t="s">
        <v>166</v>
      </c>
      <c r="F69" s="20" t="s">
        <v>134</v>
      </c>
      <c r="G69" s="26">
        <f>66.2-0.5-0.5</f>
        <v>65.2</v>
      </c>
      <c r="H69" s="105"/>
    </row>
    <row r="70" spans="1:8" ht="47.25" x14ac:dyDescent="0.25">
      <c r="A70" s="33" t="s">
        <v>191</v>
      </c>
      <c r="B70" s="16">
        <v>902</v>
      </c>
      <c r="C70" s="20" t="s">
        <v>118</v>
      </c>
      <c r="D70" s="20" t="s">
        <v>140</v>
      </c>
      <c r="E70" s="40" t="s">
        <v>682</v>
      </c>
      <c r="F70" s="20"/>
      <c r="G70" s="26">
        <f>G71</f>
        <v>0.5</v>
      </c>
      <c r="H70" s="107"/>
    </row>
    <row r="71" spans="1:8" ht="31.5" x14ac:dyDescent="0.25">
      <c r="A71" s="25" t="s">
        <v>131</v>
      </c>
      <c r="B71" s="16">
        <v>902</v>
      </c>
      <c r="C71" s="20" t="s">
        <v>118</v>
      </c>
      <c r="D71" s="20" t="s">
        <v>140</v>
      </c>
      <c r="E71" s="40" t="s">
        <v>682</v>
      </c>
      <c r="F71" s="20" t="s">
        <v>132</v>
      </c>
      <c r="G71" s="26">
        <f>G72</f>
        <v>0.5</v>
      </c>
      <c r="H71" s="173"/>
    </row>
    <row r="72" spans="1:8" ht="47.25" x14ac:dyDescent="0.25">
      <c r="A72" s="25" t="s">
        <v>133</v>
      </c>
      <c r="B72" s="16">
        <v>902</v>
      </c>
      <c r="C72" s="20" t="s">
        <v>118</v>
      </c>
      <c r="D72" s="20" t="s">
        <v>140</v>
      </c>
      <c r="E72" s="40" t="s">
        <v>682</v>
      </c>
      <c r="F72" s="20" t="s">
        <v>134</v>
      </c>
      <c r="G72" s="26">
        <v>0.5</v>
      </c>
      <c r="H72" s="105"/>
    </row>
    <row r="73" spans="1:8" ht="94.5" x14ac:dyDescent="0.25">
      <c r="A73" s="29" t="s">
        <v>167</v>
      </c>
      <c r="B73" s="16">
        <v>902</v>
      </c>
      <c r="C73" s="9" t="s">
        <v>118</v>
      </c>
      <c r="D73" s="9" t="s">
        <v>140</v>
      </c>
      <c r="E73" s="5" t="s">
        <v>168</v>
      </c>
      <c r="F73" s="9"/>
      <c r="G73" s="26">
        <f>G74+G78+G82</f>
        <v>80</v>
      </c>
      <c r="H73" s="173"/>
    </row>
    <row r="74" spans="1:8" ht="78.75" x14ac:dyDescent="0.25">
      <c r="A74" s="29" t="s">
        <v>169</v>
      </c>
      <c r="B74" s="16">
        <v>902</v>
      </c>
      <c r="C74" s="9" t="s">
        <v>118</v>
      </c>
      <c r="D74" s="9" t="s">
        <v>140</v>
      </c>
      <c r="E74" s="30" t="s">
        <v>170</v>
      </c>
      <c r="F74" s="9"/>
      <c r="G74" s="26">
        <f>G75</f>
        <v>15</v>
      </c>
      <c r="H74" s="173"/>
    </row>
    <row r="75" spans="1:8" ht="31.5" x14ac:dyDescent="0.25">
      <c r="A75" s="174" t="s">
        <v>171</v>
      </c>
      <c r="B75" s="16">
        <v>902</v>
      </c>
      <c r="C75" s="9" t="s">
        <v>118</v>
      </c>
      <c r="D75" s="9" t="s">
        <v>140</v>
      </c>
      <c r="E75" s="5" t="s">
        <v>172</v>
      </c>
      <c r="F75" s="9"/>
      <c r="G75" s="26">
        <f>G76</f>
        <v>15</v>
      </c>
      <c r="H75" s="173"/>
    </row>
    <row r="76" spans="1:8" ht="31.5" x14ac:dyDescent="0.25">
      <c r="A76" s="25" t="s">
        <v>131</v>
      </c>
      <c r="B76" s="16">
        <v>902</v>
      </c>
      <c r="C76" s="9" t="s">
        <v>118</v>
      </c>
      <c r="D76" s="9" t="s">
        <v>140</v>
      </c>
      <c r="E76" s="5" t="s">
        <v>172</v>
      </c>
      <c r="F76" s="9" t="s">
        <v>132</v>
      </c>
      <c r="G76" s="26">
        <f>G77</f>
        <v>15</v>
      </c>
      <c r="H76" s="173"/>
    </row>
    <row r="77" spans="1:8" ht="47.25" x14ac:dyDescent="0.25">
      <c r="A77" s="25" t="s">
        <v>133</v>
      </c>
      <c r="B77" s="16">
        <v>902</v>
      </c>
      <c r="C77" s="9" t="s">
        <v>118</v>
      </c>
      <c r="D77" s="9" t="s">
        <v>140</v>
      </c>
      <c r="E77" s="5" t="s">
        <v>172</v>
      </c>
      <c r="F77" s="9" t="s">
        <v>134</v>
      </c>
      <c r="G77" s="26">
        <v>15</v>
      </c>
      <c r="H77" s="173"/>
    </row>
    <row r="78" spans="1:8" ht="63" x14ac:dyDescent="0.25">
      <c r="A78" s="29" t="s">
        <v>173</v>
      </c>
      <c r="B78" s="16">
        <v>902</v>
      </c>
      <c r="C78" s="9" t="s">
        <v>118</v>
      </c>
      <c r="D78" s="9" t="s">
        <v>140</v>
      </c>
      <c r="E78" s="30" t="s">
        <v>174</v>
      </c>
      <c r="F78" s="9"/>
      <c r="G78" s="26">
        <f>G79</f>
        <v>50</v>
      </c>
      <c r="H78" s="173"/>
    </row>
    <row r="79" spans="1:8" ht="31.5" x14ac:dyDescent="0.25">
      <c r="A79" s="45" t="s">
        <v>175</v>
      </c>
      <c r="B79" s="16">
        <v>902</v>
      </c>
      <c r="C79" s="9" t="s">
        <v>118</v>
      </c>
      <c r="D79" s="9" t="s">
        <v>140</v>
      </c>
      <c r="E79" s="5" t="s">
        <v>176</v>
      </c>
      <c r="F79" s="9"/>
      <c r="G79" s="26">
        <f>G80</f>
        <v>50</v>
      </c>
      <c r="H79" s="173"/>
    </row>
    <row r="80" spans="1:8" ht="31.5" x14ac:dyDescent="0.25">
      <c r="A80" s="25" t="s">
        <v>131</v>
      </c>
      <c r="B80" s="16">
        <v>902</v>
      </c>
      <c r="C80" s="9" t="s">
        <v>118</v>
      </c>
      <c r="D80" s="9" t="s">
        <v>140</v>
      </c>
      <c r="E80" s="5" t="s">
        <v>176</v>
      </c>
      <c r="F80" s="9" t="s">
        <v>132</v>
      </c>
      <c r="G80" s="26">
        <f>G81</f>
        <v>50</v>
      </c>
      <c r="H80" s="173"/>
    </row>
    <row r="81" spans="1:9" ht="47.25" x14ac:dyDescent="0.25">
      <c r="A81" s="25" t="s">
        <v>133</v>
      </c>
      <c r="B81" s="16">
        <v>902</v>
      </c>
      <c r="C81" s="9" t="s">
        <v>118</v>
      </c>
      <c r="D81" s="9" t="s">
        <v>140</v>
      </c>
      <c r="E81" s="5" t="s">
        <v>176</v>
      </c>
      <c r="F81" s="9" t="s">
        <v>134</v>
      </c>
      <c r="G81" s="26">
        <v>50</v>
      </c>
      <c r="H81" s="173"/>
    </row>
    <row r="82" spans="1:9" ht="47.25" x14ac:dyDescent="0.25">
      <c r="A82" s="25" t="s">
        <v>177</v>
      </c>
      <c r="B82" s="16">
        <v>902</v>
      </c>
      <c r="C82" s="9" t="s">
        <v>118</v>
      </c>
      <c r="D82" s="9" t="s">
        <v>140</v>
      </c>
      <c r="E82" s="5" t="s">
        <v>178</v>
      </c>
      <c r="F82" s="9"/>
      <c r="G82" s="26">
        <f>G83</f>
        <v>15</v>
      </c>
      <c r="H82" s="173"/>
    </row>
    <row r="83" spans="1:9" ht="15.75" x14ac:dyDescent="0.25">
      <c r="A83" s="45" t="s">
        <v>179</v>
      </c>
      <c r="B83" s="16">
        <v>902</v>
      </c>
      <c r="C83" s="9" t="s">
        <v>118</v>
      </c>
      <c r="D83" s="9" t="s">
        <v>140</v>
      </c>
      <c r="E83" s="5" t="s">
        <v>180</v>
      </c>
      <c r="F83" s="9"/>
      <c r="G83" s="26">
        <f>G84</f>
        <v>15</v>
      </c>
      <c r="H83" s="173"/>
    </row>
    <row r="84" spans="1:9" ht="31.5" x14ac:dyDescent="0.25">
      <c r="A84" s="25" t="s">
        <v>131</v>
      </c>
      <c r="B84" s="16">
        <v>902</v>
      </c>
      <c r="C84" s="9" t="s">
        <v>118</v>
      </c>
      <c r="D84" s="9" t="s">
        <v>140</v>
      </c>
      <c r="E84" s="5" t="s">
        <v>180</v>
      </c>
      <c r="F84" s="9" t="s">
        <v>132</v>
      </c>
      <c r="G84" s="26">
        <f>G85</f>
        <v>15</v>
      </c>
      <c r="H84" s="173"/>
    </row>
    <row r="85" spans="1:9" ht="47.25" x14ac:dyDescent="0.25">
      <c r="A85" s="25" t="s">
        <v>133</v>
      </c>
      <c r="B85" s="16">
        <v>902</v>
      </c>
      <c r="C85" s="9" t="s">
        <v>118</v>
      </c>
      <c r="D85" s="9" t="s">
        <v>140</v>
      </c>
      <c r="E85" s="5" t="s">
        <v>180</v>
      </c>
      <c r="F85" s="9" t="s">
        <v>134</v>
      </c>
      <c r="G85" s="26">
        <v>15</v>
      </c>
      <c r="H85" s="173"/>
    </row>
    <row r="86" spans="1:9" ht="47.25" x14ac:dyDescent="0.25">
      <c r="A86" s="31" t="s">
        <v>181</v>
      </c>
      <c r="B86" s="16">
        <v>902</v>
      </c>
      <c r="C86" s="20" t="s">
        <v>118</v>
      </c>
      <c r="D86" s="20" t="s">
        <v>140</v>
      </c>
      <c r="E86" s="30" t="s">
        <v>182</v>
      </c>
      <c r="F86" s="32"/>
      <c r="G86" s="26">
        <f>G87</f>
        <v>120</v>
      </c>
      <c r="H86" s="173"/>
    </row>
    <row r="87" spans="1:9" ht="31.5" x14ac:dyDescent="0.25">
      <c r="A87" s="25" t="s">
        <v>157</v>
      </c>
      <c r="B87" s="16">
        <v>902</v>
      </c>
      <c r="C87" s="20" t="s">
        <v>118</v>
      </c>
      <c r="D87" s="20" t="s">
        <v>140</v>
      </c>
      <c r="E87" s="20" t="s">
        <v>183</v>
      </c>
      <c r="F87" s="32"/>
      <c r="G87" s="26">
        <f>G88</f>
        <v>120</v>
      </c>
      <c r="H87" s="173"/>
    </row>
    <row r="88" spans="1:9" ht="15.75" x14ac:dyDescent="0.25">
      <c r="A88" s="29" t="s">
        <v>135</v>
      </c>
      <c r="B88" s="16">
        <v>902</v>
      </c>
      <c r="C88" s="20" t="s">
        <v>118</v>
      </c>
      <c r="D88" s="20" t="s">
        <v>140</v>
      </c>
      <c r="E88" s="20" t="s">
        <v>183</v>
      </c>
      <c r="F88" s="32" t="s">
        <v>145</v>
      </c>
      <c r="G88" s="26">
        <f>G89</f>
        <v>120</v>
      </c>
      <c r="H88" s="173"/>
    </row>
    <row r="89" spans="1:9" ht="63" x14ac:dyDescent="0.25">
      <c r="A89" s="29" t="s">
        <v>184</v>
      </c>
      <c r="B89" s="16">
        <v>902</v>
      </c>
      <c r="C89" s="20" t="s">
        <v>118</v>
      </c>
      <c r="D89" s="20" t="s">
        <v>140</v>
      </c>
      <c r="E89" s="20" t="s">
        <v>183</v>
      </c>
      <c r="F89" s="32" t="s">
        <v>160</v>
      </c>
      <c r="G89" s="26">
        <f>100+20</f>
        <v>120</v>
      </c>
      <c r="H89" s="105"/>
      <c r="I89" s="125"/>
    </row>
    <row r="90" spans="1:9" ht="63" x14ac:dyDescent="0.25">
      <c r="A90" s="29" t="s">
        <v>707</v>
      </c>
      <c r="B90" s="16">
        <v>902</v>
      </c>
      <c r="C90" s="20" t="s">
        <v>118</v>
      </c>
      <c r="D90" s="20" t="s">
        <v>140</v>
      </c>
      <c r="E90" s="20" t="s">
        <v>705</v>
      </c>
      <c r="F90" s="32"/>
      <c r="G90" s="26">
        <f>G91</f>
        <v>29</v>
      </c>
      <c r="H90" s="107"/>
    </row>
    <row r="91" spans="1:9" ht="31.5" x14ac:dyDescent="0.25">
      <c r="A91" s="31" t="s">
        <v>157</v>
      </c>
      <c r="B91" s="16">
        <v>902</v>
      </c>
      <c r="C91" s="20" t="s">
        <v>118</v>
      </c>
      <c r="D91" s="20" t="s">
        <v>140</v>
      </c>
      <c r="E91" s="20" t="s">
        <v>713</v>
      </c>
      <c r="F91" s="32"/>
      <c r="G91" s="26">
        <f>G92</f>
        <v>29</v>
      </c>
      <c r="H91" s="107"/>
    </row>
    <row r="92" spans="1:9" ht="31.5" x14ac:dyDescent="0.25">
      <c r="A92" s="25" t="s">
        <v>131</v>
      </c>
      <c r="B92" s="16">
        <v>902</v>
      </c>
      <c r="C92" s="20" t="s">
        <v>118</v>
      </c>
      <c r="D92" s="20" t="s">
        <v>140</v>
      </c>
      <c r="E92" s="20" t="s">
        <v>713</v>
      </c>
      <c r="F92" s="32" t="s">
        <v>132</v>
      </c>
      <c r="G92" s="26">
        <f>G93</f>
        <v>29</v>
      </c>
      <c r="H92" s="107"/>
    </row>
    <row r="93" spans="1:9" ht="47.25" x14ac:dyDescent="0.25">
      <c r="A93" s="25" t="s">
        <v>133</v>
      </c>
      <c r="B93" s="16">
        <v>902</v>
      </c>
      <c r="C93" s="20" t="s">
        <v>118</v>
      </c>
      <c r="D93" s="20" t="s">
        <v>140</v>
      </c>
      <c r="E93" s="20" t="s">
        <v>713</v>
      </c>
      <c r="F93" s="32" t="s">
        <v>134</v>
      </c>
      <c r="G93" s="26">
        <v>29</v>
      </c>
      <c r="H93" s="107"/>
      <c r="I93" s="123"/>
    </row>
    <row r="94" spans="1:9" ht="15.75" hidden="1" x14ac:dyDescent="0.25">
      <c r="A94" s="29"/>
      <c r="B94" s="16"/>
      <c r="C94" s="20"/>
      <c r="D94" s="20"/>
      <c r="E94" s="20"/>
      <c r="F94" s="32"/>
      <c r="G94" s="26"/>
      <c r="H94" s="107"/>
    </row>
    <row r="95" spans="1:9" ht="15.75" hidden="1" x14ac:dyDescent="0.25">
      <c r="A95" s="25"/>
      <c r="B95" s="16"/>
      <c r="C95" s="20"/>
      <c r="D95" s="20"/>
      <c r="E95" s="20"/>
      <c r="F95" s="32"/>
      <c r="G95" s="26"/>
      <c r="H95" s="107"/>
    </row>
    <row r="96" spans="1:9" ht="15.75" hidden="1" x14ac:dyDescent="0.25">
      <c r="A96" s="25"/>
      <c r="B96" s="16"/>
      <c r="C96" s="20"/>
      <c r="D96" s="20"/>
      <c r="E96" s="20"/>
      <c r="F96" s="32"/>
      <c r="G96" s="26"/>
      <c r="H96" s="107"/>
      <c r="I96" s="123"/>
    </row>
    <row r="97" spans="1:9" ht="15.75" x14ac:dyDescent="0.25">
      <c r="A97" s="25" t="s">
        <v>121</v>
      </c>
      <c r="B97" s="16">
        <v>902</v>
      </c>
      <c r="C97" s="20" t="s">
        <v>118</v>
      </c>
      <c r="D97" s="20" t="s">
        <v>140</v>
      </c>
      <c r="E97" s="20" t="s">
        <v>122</v>
      </c>
      <c r="F97" s="20"/>
      <c r="G97" s="26">
        <f>G98+G121</f>
        <v>12340.3</v>
      </c>
      <c r="H97" s="173"/>
    </row>
    <row r="98" spans="1:9" ht="31.5" x14ac:dyDescent="0.25">
      <c r="A98" s="25" t="s">
        <v>185</v>
      </c>
      <c r="B98" s="16">
        <v>902</v>
      </c>
      <c r="C98" s="20" t="s">
        <v>118</v>
      </c>
      <c r="D98" s="20" t="s">
        <v>140</v>
      </c>
      <c r="E98" s="20" t="s">
        <v>186</v>
      </c>
      <c r="F98" s="20"/>
      <c r="G98" s="26">
        <f>G104+G107+G113+G116</f>
        <v>3600.8999999999996</v>
      </c>
      <c r="H98" s="173"/>
    </row>
    <row r="99" spans="1:9" ht="47.25" hidden="1" x14ac:dyDescent="0.25">
      <c r="A99" s="25" t="s">
        <v>187</v>
      </c>
      <c r="B99" s="16">
        <v>902</v>
      </c>
      <c r="C99" s="20" t="s">
        <v>118</v>
      </c>
      <c r="D99" s="20" t="s">
        <v>140</v>
      </c>
      <c r="E99" s="20" t="s">
        <v>188</v>
      </c>
      <c r="F99" s="24"/>
      <c r="G99" s="26">
        <f>G100+G102</f>
        <v>0</v>
      </c>
      <c r="H99" s="173"/>
    </row>
    <row r="100" spans="1:9" ht="94.5" hidden="1" x14ac:dyDescent="0.25">
      <c r="A100" s="25" t="s">
        <v>127</v>
      </c>
      <c r="B100" s="16">
        <v>902</v>
      </c>
      <c r="C100" s="20" t="s">
        <v>118</v>
      </c>
      <c r="D100" s="20" t="s">
        <v>140</v>
      </c>
      <c r="E100" s="20" t="s">
        <v>188</v>
      </c>
      <c r="F100" s="20" t="s">
        <v>128</v>
      </c>
      <c r="G100" s="26">
        <f>G101</f>
        <v>0</v>
      </c>
      <c r="H100" s="173"/>
    </row>
    <row r="101" spans="1:9" ht="31.5" hidden="1" x14ac:dyDescent="0.25">
      <c r="A101" s="25" t="s">
        <v>129</v>
      </c>
      <c r="B101" s="16">
        <v>902</v>
      </c>
      <c r="C101" s="20" t="s">
        <v>118</v>
      </c>
      <c r="D101" s="20" t="s">
        <v>140</v>
      </c>
      <c r="E101" s="20" t="s">
        <v>188</v>
      </c>
      <c r="F101" s="20" t="s">
        <v>130</v>
      </c>
      <c r="G101" s="26">
        <v>0</v>
      </c>
      <c r="H101" s="173"/>
    </row>
    <row r="102" spans="1:9" ht="31.5" hidden="1" x14ac:dyDescent="0.25">
      <c r="A102" s="25" t="s">
        <v>131</v>
      </c>
      <c r="B102" s="16">
        <v>902</v>
      </c>
      <c r="C102" s="20" t="s">
        <v>118</v>
      </c>
      <c r="D102" s="20" t="s">
        <v>140</v>
      </c>
      <c r="E102" s="20" t="s">
        <v>188</v>
      </c>
      <c r="F102" s="20" t="s">
        <v>132</v>
      </c>
      <c r="G102" s="26">
        <f>G103</f>
        <v>0</v>
      </c>
      <c r="H102" s="173"/>
    </row>
    <row r="103" spans="1:9" ht="47.25" hidden="1" x14ac:dyDescent="0.25">
      <c r="A103" s="25" t="s">
        <v>133</v>
      </c>
      <c r="B103" s="16">
        <v>902</v>
      </c>
      <c r="C103" s="20" t="s">
        <v>118</v>
      </c>
      <c r="D103" s="20" t="s">
        <v>140</v>
      </c>
      <c r="E103" s="20" t="s">
        <v>188</v>
      </c>
      <c r="F103" s="20" t="s">
        <v>134</v>
      </c>
      <c r="G103" s="26">
        <v>0</v>
      </c>
      <c r="H103" s="173"/>
    </row>
    <row r="104" spans="1:9" ht="47.25" x14ac:dyDescent="0.25">
      <c r="A104" s="31" t="s">
        <v>189</v>
      </c>
      <c r="B104" s="16">
        <v>902</v>
      </c>
      <c r="C104" s="20" t="s">
        <v>118</v>
      </c>
      <c r="D104" s="20" t="s">
        <v>140</v>
      </c>
      <c r="E104" s="20" t="s">
        <v>190</v>
      </c>
      <c r="F104" s="20"/>
      <c r="G104" s="26">
        <f>G105</f>
        <v>701.8</v>
      </c>
      <c r="H104" s="173"/>
    </row>
    <row r="105" spans="1:9" ht="94.5" x14ac:dyDescent="0.25">
      <c r="A105" s="25" t="s">
        <v>127</v>
      </c>
      <c r="B105" s="16">
        <v>902</v>
      </c>
      <c r="C105" s="20" t="s">
        <v>118</v>
      </c>
      <c r="D105" s="20" t="s">
        <v>140</v>
      </c>
      <c r="E105" s="20" t="s">
        <v>190</v>
      </c>
      <c r="F105" s="20" t="s">
        <v>128</v>
      </c>
      <c r="G105" s="26">
        <f>G106</f>
        <v>701.8</v>
      </c>
      <c r="H105" s="173"/>
    </row>
    <row r="106" spans="1:9" ht="31.5" x14ac:dyDescent="0.25">
      <c r="A106" s="25" t="s">
        <v>129</v>
      </c>
      <c r="B106" s="16">
        <v>902</v>
      </c>
      <c r="C106" s="20" t="s">
        <v>118</v>
      </c>
      <c r="D106" s="20" t="s">
        <v>140</v>
      </c>
      <c r="E106" s="20" t="s">
        <v>190</v>
      </c>
      <c r="F106" s="20" t="s">
        <v>130</v>
      </c>
      <c r="G106" s="26">
        <v>701.8</v>
      </c>
      <c r="H106" s="173"/>
      <c r="I106" s="114"/>
    </row>
    <row r="107" spans="1:9" ht="47.25" x14ac:dyDescent="0.25">
      <c r="A107" s="33" t="s">
        <v>191</v>
      </c>
      <c r="B107" s="16">
        <v>902</v>
      </c>
      <c r="C107" s="20" t="s">
        <v>118</v>
      </c>
      <c r="D107" s="20" t="s">
        <v>140</v>
      </c>
      <c r="E107" s="20" t="s">
        <v>192</v>
      </c>
      <c r="F107" s="20"/>
      <c r="G107" s="26">
        <f>G108</f>
        <v>40</v>
      </c>
      <c r="H107" s="173"/>
    </row>
    <row r="108" spans="1:9" ht="31.5" x14ac:dyDescent="0.25">
      <c r="A108" s="25" t="s">
        <v>131</v>
      </c>
      <c r="B108" s="16">
        <v>902</v>
      </c>
      <c r="C108" s="20" t="s">
        <v>118</v>
      </c>
      <c r="D108" s="20" t="s">
        <v>140</v>
      </c>
      <c r="E108" s="20" t="s">
        <v>192</v>
      </c>
      <c r="F108" s="20" t="s">
        <v>132</v>
      </c>
      <c r="G108" s="26">
        <f>G109</f>
        <v>40</v>
      </c>
      <c r="H108" s="173"/>
    </row>
    <row r="109" spans="1:9" ht="47.25" x14ac:dyDescent="0.25">
      <c r="A109" s="25" t="s">
        <v>133</v>
      </c>
      <c r="B109" s="16">
        <v>902</v>
      </c>
      <c r="C109" s="20" t="s">
        <v>118</v>
      </c>
      <c r="D109" s="20" t="s">
        <v>140</v>
      </c>
      <c r="E109" s="20" t="s">
        <v>192</v>
      </c>
      <c r="F109" s="20" t="s">
        <v>134</v>
      </c>
      <c r="G109" s="26">
        <f>36+4</f>
        <v>40</v>
      </c>
      <c r="H109" s="173"/>
      <c r="I109" s="114"/>
    </row>
    <row r="110" spans="1:9" ht="31.5" hidden="1" x14ac:dyDescent="0.25">
      <c r="A110" s="31" t="s">
        <v>193</v>
      </c>
      <c r="B110" s="16">
        <v>902</v>
      </c>
      <c r="C110" s="20" t="s">
        <v>118</v>
      </c>
      <c r="D110" s="20" t="s">
        <v>140</v>
      </c>
      <c r="E110" s="20" t="s">
        <v>192</v>
      </c>
      <c r="F110" s="20"/>
      <c r="G110" s="26">
        <f>G111</f>
        <v>0</v>
      </c>
      <c r="H110" s="173"/>
    </row>
    <row r="111" spans="1:9" ht="31.5" hidden="1" x14ac:dyDescent="0.25">
      <c r="A111" s="25" t="s">
        <v>131</v>
      </c>
      <c r="B111" s="16">
        <v>902</v>
      </c>
      <c r="C111" s="20" t="s">
        <v>118</v>
      </c>
      <c r="D111" s="20" t="s">
        <v>140</v>
      </c>
      <c r="E111" s="20" t="s">
        <v>192</v>
      </c>
      <c r="F111" s="20" t="s">
        <v>132</v>
      </c>
      <c r="G111" s="26">
        <f>G112</f>
        <v>0</v>
      </c>
      <c r="H111" s="173"/>
    </row>
    <row r="112" spans="1:9" ht="47.25" hidden="1" x14ac:dyDescent="0.25">
      <c r="A112" s="25" t="s">
        <v>133</v>
      </c>
      <c r="B112" s="16">
        <v>902</v>
      </c>
      <c r="C112" s="20" t="s">
        <v>118</v>
      </c>
      <c r="D112" s="20" t="s">
        <v>140</v>
      </c>
      <c r="E112" s="20" t="s">
        <v>192</v>
      </c>
      <c r="F112" s="20" t="s">
        <v>134</v>
      </c>
      <c r="G112" s="26"/>
      <c r="H112" s="173"/>
    </row>
    <row r="113" spans="1:9" ht="63" x14ac:dyDescent="0.25">
      <c r="A113" s="31" t="s">
        <v>194</v>
      </c>
      <c r="B113" s="16">
        <v>902</v>
      </c>
      <c r="C113" s="20" t="s">
        <v>118</v>
      </c>
      <c r="D113" s="20" t="s">
        <v>140</v>
      </c>
      <c r="E113" s="20" t="s">
        <v>195</v>
      </c>
      <c r="F113" s="20"/>
      <c r="G113" s="26">
        <f>G114</f>
        <v>1752.9</v>
      </c>
      <c r="H113" s="173"/>
    </row>
    <row r="114" spans="1:9" ht="94.5" x14ac:dyDescent="0.25">
      <c r="A114" s="25" t="s">
        <v>127</v>
      </c>
      <c r="B114" s="16">
        <v>902</v>
      </c>
      <c r="C114" s="20" t="s">
        <v>118</v>
      </c>
      <c r="D114" s="20" t="s">
        <v>140</v>
      </c>
      <c r="E114" s="20" t="s">
        <v>195</v>
      </c>
      <c r="F114" s="20" t="s">
        <v>128</v>
      </c>
      <c r="G114" s="26">
        <f>G115</f>
        <v>1752.9</v>
      </c>
      <c r="H114" s="173"/>
    </row>
    <row r="115" spans="1:9" ht="31.5" x14ac:dyDescent="0.25">
      <c r="A115" s="25" t="s">
        <v>129</v>
      </c>
      <c r="B115" s="16">
        <v>902</v>
      </c>
      <c r="C115" s="20" t="s">
        <v>118</v>
      </c>
      <c r="D115" s="20" t="s">
        <v>140</v>
      </c>
      <c r="E115" s="20" t="s">
        <v>195</v>
      </c>
      <c r="F115" s="20" t="s">
        <v>130</v>
      </c>
      <c r="G115" s="26">
        <v>1752.9</v>
      </c>
      <c r="H115" s="173"/>
    </row>
    <row r="116" spans="1:9" ht="47.25" x14ac:dyDescent="0.25">
      <c r="A116" s="31" t="s">
        <v>196</v>
      </c>
      <c r="B116" s="16">
        <v>902</v>
      </c>
      <c r="C116" s="20" t="s">
        <v>118</v>
      </c>
      <c r="D116" s="20" t="s">
        <v>140</v>
      </c>
      <c r="E116" s="20" t="s">
        <v>197</v>
      </c>
      <c r="F116" s="20"/>
      <c r="G116" s="26">
        <f>G117+G119</f>
        <v>1106.1999999999998</v>
      </c>
      <c r="H116" s="173"/>
    </row>
    <row r="117" spans="1:9" ht="94.5" x14ac:dyDescent="0.25">
      <c r="A117" s="25" t="s">
        <v>127</v>
      </c>
      <c r="B117" s="16">
        <v>902</v>
      </c>
      <c r="C117" s="20" t="s">
        <v>118</v>
      </c>
      <c r="D117" s="20" t="s">
        <v>140</v>
      </c>
      <c r="E117" s="20" t="s">
        <v>197</v>
      </c>
      <c r="F117" s="20" t="s">
        <v>128</v>
      </c>
      <c r="G117" s="26">
        <f>G118</f>
        <v>1073.0999999999999</v>
      </c>
      <c r="H117" s="173"/>
    </row>
    <row r="118" spans="1:9" ht="31.5" x14ac:dyDescent="0.25">
      <c r="A118" s="25" t="s">
        <v>129</v>
      </c>
      <c r="B118" s="16">
        <v>902</v>
      </c>
      <c r="C118" s="20" t="s">
        <v>118</v>
      </c>
      <c r="D118" s="20" t="s">
        <v>140</v>
      </c>
      <c r="E118" s="20" t="s">
        <v>197</v>
      </c>
      <c r="F118" s="20" t="s">
        <v>130</v>
      </c>
      <c r="G118" s="26">
        <f>1537-463.9</f>
        <v>1073.0999999999999</v>
      </c>
      <c r="H118" s="173"/>
      <c r="I118" s="114"/>
    </row>
    <row r="119" spans="1:9" ht="47.25" x14ac:dyDescent="0.25">
      <c r="A119" s="25" t="s">
        <v>198</v>
      </c>
      <c r="B119" s="16">
        <v>902</v>
      </c>
      <c r="C119" s="20" t="s">
        <v>118</v>
      </c>
      <c r="D119" s="20" t="s">
        <v>140</v>
      </c>
      <c r="E119" s="20" t="s">
        <v>197</v>
      </c>
      <c r="F119" s="20" t="s">
        <v>132</v>
      </c>
      <c r="G119" s="26">
        <f>G120</f>
        <v>33.1</v>
      </c>
      <c r="H119" s="173"/>
    </row>
    <row r="120" spans="1:9" ht="47.25" x14ac:dyDescent="0.25">
      <c r="A120" s="25" t="s">
        <v>133</v>
      </c>
      <c r="B120" s="16">
        <v>902</v>
      </c>
      <c r="C120" s="20" t="s">
        <v>118</v>
      </c>
      <c r="D120" s="20" t="s">
        <v>140</v>
      </c>
      <c r="E120" s="20" t="s">
        <v>197</v>
      </c>
      <c r="F120" s="20" t="s">
        <v>134</v>
      </c>
      <c r="G120" s="26">
        <v>33.1</v>
      </c>
      <c r="H120" s="173"/>
    </row>
    <row r="121" spans="1:9" ht="15.75" x14ac:dyDescent="0.25">
      <c r="A121" s="25" t="s">
        <v>141</v>
      </c>
      <c r="B121" s="16">
        <v>902</v>
      </c>
      <c r="C121" s="20" t="s">
        <v>118</v>
      </c>
      <c r="D121" s="20" t="s">
        <v>140</v>
      </c>
      <c r="E121" s="20" t="s">
        <v>142</v>
      </c>
      <c r="F121" s="20"/>
      <c r="G121" s="26">
        <f>G134+G139+G144</f>
        <v>8739.4</v>
      </c>
      <c r="H121" s="173"/>
    </row>
    <row r="122" spans="1:9" ht="15.75" hidden="1" x14ac:dyDescent="0.25">
      <c r="A122" s="25" t="s">
        <v>199</v>
      </c>
      <c r="B122" s="16">
        <v>902</v>
      </c>
      <c r="C122" s="20" t="s">
        <v>118</v>
      </c>
      <c r="D122" s="20" t="s">
        <v>140</v>
      </c>
      <c r="E122" s="20" t="s">
        <v>200</v>
      </c>
      <c r="F122" s="20"/>
      <c r="G122" s="26">
        <f>G123</f>
        <v>0</v>
      </c>
      <c r="H122" s="173"/>
    </row>
    <row r="123" spans="1:9" ht="33" hidden="1" customHeight="1" x14ac:dyDescent="0.25">
      <c r="A123" s="25" t="s">
        <v>198</v>
      </c>
      <c r="B123" s="16">
        <v>902</v>
      </c>
      <c r="C123" s="20" t="s">
        <v>118</v>
      </c>
      <c r="D123" s="20" t="s">
        <v>140</v>
      </c>
      <c r="E123" s="20" t="s">
        <v>200</v>
      </c>
      <c r="F123" s="20" t="s">
        <v>132</v>
      </c>
      <c r="G123" s="26">
        <f>G124</f>
        <v>0</v>
      </c>
      <c r="H123" s="173"/>
    </row>
    <row r="124" spans="1:9" ht="47.25" hidden="1" x14ac:dyDescent="0.25">
      <c r="A124" s="25" t="s">
        <v>133</v>
      </c>
      <c r="B124" s="16">
        <v>902</v>
      </c>
      <c r="C124" s="20" t="s">
        <v>118</v>
      </c>
      <c r="D124" s="20" t="s">
        <v>140</v>
      </c>
      <c r="E124" s="20" t="s">
        <v>200</v>
      </c>
      <c r="F124" s="20" t="s">
        <v>134</v>
      </c>
      <c r="G124" s="26">
        <v>0</v>
      </c>
      <c r="H124" s="173"/>
    </row>
    <row r="125" spans="1:9" ht="15.75" hidden="1" x14ac:dyDescent="0.25">
      <c r="A125" s="25" t="s">
        <v>201</v>
      </c>
      <c r="B125" s="16">
        <v>902</v>
      </c>
      <c r="C125" s="20" t="s">
        <v>118</v>
      </c>
      <c r="D125" s="20" t="s">
        <v>140</v>
      </c>
      <c r="E125" s="20" t="s">
        <v>202</v>
      </c>
      <c r="F125" s="24"/>
      <c r="G125" s="26">
        <f>G126</f>
        <v>0</v>
      </c>
      <c r="H125" s="173"/>
    </row>
    <row r="126" spans="1:9" ht="47.25" hidden="1" x14ac:dyDescent="0.25">
      <c r="A126" s="25" t="s">
        <v>198</v>
      </c>
      <c r="B126" s="16">
        <v>902</v>
      </c>
      <c r="C126" s="20" t="s">
        <v>118</v>
      </c>
      <c r="D126" s="20" t="s">
        <v>140</v>
      </c>
      <c r="E126" s="20" t="s">
        <v>202</v>
      </c>
      <c r="F126" s="20" t="s">
        <v>132</v>
      </c>
      <c r="G126" s="26">
        <f>G127</f>
        <v>0</v>
      </c>
      <c r="H126" s="173"/>
    </row>
    <row r="127" spans="1:9" ht="47.25" hidden="1" x14ac:dyDescent="0.25">
      <c r="A127" s="25" t="s">
        <v>133</v>
      </c>
      <c r="B127" s="16">
        <v>902</v>
      </c>
      <c r="C127" s="20" t="s">
        <v>118</v>
      </c>
      <c r="D127" s="20" t="s">
        <v>140</v>
      </c>
      <c r="E127" s="20" t="s">
        <v>202</v>
      </c>
      <c r="F127" s="20" t="s">
        <v>134</v>
      </c>
      <c r="G127" s="26">
        <v>0</v>
      </c>
      <c r="H127" s="173"/>
    </row>
    <row r="128" spans="1:9" ht="31.5" hidden="1" x14ac:dyDescent="0.25">
      <c r="A128" s="25" t="s">
        <v>203</v>
      </c>
      <c r="B128" s="16">
        <v>902</v>
      </c>
      <c r="C128" s="20" t="s">
        <v>118</v>
      </c>
      <c r="D128" s="20" t="s">
        <v>140</v>
      </c>
      <c r="E128" s="20" t="s">
        <v>204</v>
      </c>
      <c r="F128" s="20"/>
      <c r="G128" s="26">
        <f>G129</f>
        <v>0</v>
      </c>
      <c r="H128" s="173"/>
    </row>
    <row r="129" spans="1:9" ht="47.25" hidden="1" x14ac:dyDescent="0.25">
      <c r="A129" s="25" t="s">
        <v>198</v>
      </c>
      <c r="B129" s="16">
        <v>902</v>
      </c>
      <c r="C129" s="20" t="s">
        <v>118</v>
      </c>
      <c r="D129" s="20" t="s">
        <v>140</v>
      </c>
      <c r="E129" s="20" t="s">
        <v>204</v>
      </c>
      <c r="F129" s="20" t="s">
        <v>132</v>
      </c>
      <c r="G129" s="26">
        <f>G130</f>
        <v>0</v>
      </c>
      <c r="H129" s="173"/>
    </row>
    <row r="130" spans="1:9" ht="47.25" hidden="1" x14ac:dyDescent="0.25">
      <c r="A130" s="25" t="s">
        <v>133</v>
      </c>
      <c r="B130" s="16">
        <v>902</v>
      </c>
      <c r="C130" s="20" t="s">
        <v>118</v>
      </c>
      <c r="D130" s="20" t="s">
        <v>140</v>
      </c>
      <c r="E130" s="20" t="s">
        <v>204</v>
      </c>
      <c r="F130" s="20" t="s">
        <v>134</v>
      </c>
      <c r="G130" s="26">
        <v>0</v>
      </c>
      <c r="H130" s="173"/>
    </row>
    <row r="131" spans="1:9" ht="15.75" hidden="1" x14ac:dyDescent="0.25">
      <c r="A131" s="25" t="s">
        <v>179</v>
      </c>
      <c r="B131" s="16">
        <v>902</v>
      </c>
      <c r="C131" s="20" t="s">
        <v>118</v>
      </c>
      <c r="D131" s="20" t="s">
        <v>140</v>
      </c>
      <c r="E131" s="20" t="s">
        <v>205</v>
      </c>
      <c r="F131" s="20"/>
      <c r="G131" s="26">
        <f>G132</f>
        <v>0</v>
      </c>
      <c r="H131" s="173"/>
    </row>
    <row r="132" spans="1:9" ht="47.25" hidden="1" x14ac:dyDescent="0.25">
      <c r="A132" s="25" t="s">
        <v>198</v>
      </c>
      <c r="B132" s="16">
        <v>902</v>
      </c>
      <c r="C132" s="20" t="s">
        <v>118</v>
      </c>
      <c r="D132" s="20" t="s">
        <v>140</v>
      </c>
      <c r="E132" s="20" t="s">
        <v>205</v>
      </c>
      <c r="F132" s="20" t="s">
        <v>132</v>
      </c>
      <c r="G132" s="26">
        <f>G133</f>
        <v>0</v>
      </c>
      <c r="H132" s="173"/>
    </row>
    <row r="133" spans="1:9" ht="47.25" hidden="1" x14ac:dyDescent="0.25">
      <c r="A133" s="25" t="s">
        <v>133</v>
      </c>
      <c r="B133" s="16">
        <v>902</v>
      </c>
      <c r="C133" s="20" t="s">
        <v>118</v>
      </c>
      <c r="D133" s="20" t="s">
        <v>140</v>
      </c>
      <c r="E133" s="20" t="s">
        <v>205</v>
      </c>
      <c r="F133" s="20" t="s">
        <v>134</v>
      </c>
      <c r="G133" s="26">
        <v>0</v>
      </c>
      <c r="H133" s="173"/>
    </row>
    <row r="134" spans="1:9" ht="31.5" x14ac:dyDescent="0.25">
      <c r="A134" s="25" t="s">
        <v>206</v>
      </c>
      <c r="B134" s="16">
        <v>902</v>
      </c>
      <c r="C134" s="20" t="s">
        <v>118</v>
      </c>
      <c r="D134" s="20" t="s">
        <v>140</v>
      </c>
      <c r="E134" s="20" t="s">
        <v>207</v>
      </c>
      <c r="F134" s="20"/>
      <c r="G134" s="26">
        <f>G135+G137</f>
        <v>6126.7</v>
      </c>
      <c r="H134" s="173"/>
    </row>
    <row r="135" spans="1:9" ht="94.5" x14ac:dyDescent="0.25">
      <c r="A135" s="25" t="s">
        <v>127</v>
      </c>
      <c r="B135" s="16">
        <v>902</v>
      </c>
      <c r="C135" s="20" t="s">
        <v>118</v>
      </c>
      <c r="D135" s="20" t="s">
        <v>140</v>
      </c>
      <c r="E135" s="20" t="s">
        <v>207</v>
      </c>
      <c r="F135" s="20" t="s">
        <v>128</v>
      </c>
      <c r="G135" s="26">
        <f>G136</f>
        <v>4952</v>
      </c>
      <c r="H135" s="173"/>
    </row>
    <row r="136" spans="1:9" ht="31.5" x14ac:dyDescent="0.25">
      <c r="A136" s="25" t="s">
        <v>208</v>
      </c>
      <c r="B136" s="16">
        <v>902</v>
      </c>
      <c r="C136" s="20" t="s">
        <v>118</v>
      </c>
      <c r="D136" s="20" t="s">
        <v>140</v>
      </c>
      <c r="E136" s="20" t="s">
        <v>207</v>
      </c>
      <c r="F136" s="20" t="s">
        <v>209</v>
      </c>
      <c r="G136" s="27">
        <f>5174.7-222.7</f>
        <v>4952</v>
      </c>
      <c r="H136" s="173"/>
    </row>
    <row r="137" spans="1:9" ht="47.25" x14ac:dyDescent="0.25">
      <c r="A137" s="25" t="s">
        <v>198</v>
      </c>
      <c r="B137" s="16">
        <v>902</v>
      </c>
      <c r="C137" s="20" t="s">
        <v>118</v>
      </c>
      <c r="D137" s="20" t="s">
        <v>140</v>
      </c>
      <c r="E137" s="20" t="s">
        <v>207</v>
      </c>
      <c r="F137" s="20" t="s">
        <v>132</v>
      </c>
      <c r="G137" s="26">
        <f>G138</f>
        <v>1174.7</v>
      </c>
      <c r="H137" s="173"/>
    </row>
    <row r="138" spans="1:9" ht="47.25" x14ac:dyDescent="0.25">
      <c r="A138" s="25" t="s">
        <v>133</v>
      </c>
      <c r="B138" s="16">
        <v>902</v>
      </c>
      <c r="C138" s="20" t="s">
        <v>118</v>
      </c>
      <c r="D138" s="20" t="s">
        <v>140</v>
      </c>
      <c r="E138" s="20" t="s">
        <v>207</v>
      </c>
      <c r="F138" s="20" t="s">
        <v>134</v>
      </c>
      <c r="G138" s="27">
        <f>724.7+450</f>
        <v>1174.7</v>
      </c>
      <c r="H138" s="173"/>
      <c r="I138" s="114"/>
    </row>
    <row r="139" spans="1:9" ht="47.25" x14ac:dyDescent="0.25">
      <c r="A139" s="25" t="s">
        <v>210</v>
      </c>
      <c r="B139" s="16">
        <v>902</v>
      </c>
      <c r="C139" s="20" t="s">
        <v>118</v>
      </c>
      <c r="D139" s="20" t="s">
        <v>140</v>
      </c>
      <c r="E139" s="20" t="s">
        <v>211</v>
      </c>
      <c r="F139" s="20"/>
      <c r="G139" s="26">
        <f>G140+G142</f>
        <v>2520.4</v>
      </c>
      <c r="H139" s="173"/>
    </row>
    <row r="140" spans="1:9" ht="94.5" x14ac:dyDescent="0.25">
      <c r="A140" s="25" t="s">
        <v>127</v>
      </c>
      <c r="B140" s="16">
        <v>902</v>
      </c>
      <c r="C140" s="20" t="s">
        <v>118</v>
      </c>
      <c r="D140" s="20" t="s">
        <v>140</v>
      </c>
      <c r="E140" s="20" t="s">
        <v>211</v>
      </c>
      <c r="F140" s="20" t="s">
        <v>128</v>
      </c>
      <c r="G140" s="26">
        <f>G141</f>
        <v>1895</v>
      </c>
      <c r="H140" s="173"/>
    </row>
    <row r="141" spans="1:9" ht="31.5" x14ac:dyDescent="0.25">
      <c r="A141" s="25" t="s">
        <v>129</v>
      </c>
      <c r="B141" s="16">
        <v>902</v>
      </c>
      <c r="C141" s="20" t="s">
        <v>118</v>
      </c>
      <c r="D141" s="20" t="s">
        <v>140</v>
      </c>
      <c r="E141" s="20" t="s">
        <v>211</v>
      </c>
      <c r="F141" s="20" t="s">
        <v>130</v>
      </c>
      <c r="G141" s="27">
        <f>1952.2-57.2</f>
        <v>1895</v>
      </c>
      <c r="H141" s="173"/>
      <c r="I141" s="114"/>
    </row>
    <row r="142" spans="1:9" ht="47.25" x14ac:dyDescent="0.25">
      <c r="A142" s="25" t="s">
        <v>198</v>
      </c>
      <c r="B142" s="16">
        <v>902</v>
      </c>
      <c r="C142" s="20" t="s">
        <v>118</v>
      </c>
      <c r="D142" s="20" t="s">
        <v>140</v>
      </c>
      <c r="E142" s="20" t="s">
        <v>211</v>
      </c>
      <c r="F142" s="20" t="s">
        <v>132</v>
      </c>
      <c r="G142" s="26">
        <f>G143</f>
        <v>625.4</v>
      </c>
      <c r="H142" s="173"/>
    </row>
    <row r="143" spans="1:9" ht="47.25" x14ac:dyDescent="0.25">
      <c r="A143" s="25" t="s">
        <v>133</v>
      </c>
      <c r="B143" s="16">
        <v>902</v>
      </c>
      <c r="C143" s="20" t="s">
        <v>118</v>
      </c>
      <c r="D143" s="20" t="s">
        <v>140</v>
      </c>
      <c r="E143" s="20" t="s">
        <v>211</v>
      </c>
      <c r="F143" s="20" t="s">
        <v>134</v>
      </c>
      <c r="G143" s="26">
        <f>821.9-196.5</f>
        <v>625.4</v>
      </c>
      <c r="H143" s="173"/>
    </row>
    <row r="144" spans="1:9" ht="15.75" x14ac:dyDescent="0.25">
      <c r="A144" s="45" t="s">
        <v>143</v>
      </c>
      <c r="B144" s="16">
        <v>902</v>
      </c>
      <c r="C144" s="20" t="s">
        <v>118</v>
      </c>
      <c r="D144" s="20" t="s">
        <v>140</v>
      </c>
      <c r="E144" s="20" t="s">
        <v>144</v>
      </c>
      <c r="F144" s="20"/>
      <c r="G144" s="26">
        <f>G145</f>
        <v>92.3</v>
      </c>
      <c r="H144" s="173"/>
    </row>
    <row r="145" spans="1:8" ht="15.75" x14ac:dyDescent="0.25">
      <c r="A145" s="25" t="s">
        <v>135</v>
      </c>
      <c r="B145" s="16">
        <v>902</v>
      </c>
      <c r="C145" s="20" t="s">
        <v>118</v>
      </c>
      <c r="D145" s="20" t="s">
        <v>140</v>
      </c>
      <c r="E145" s="20" t="s">
        <v>144</v>
      </c>
      <c r="F145" s="20" t="s">
        <v>145</v>
      </c>
      <c r="G145" s="26">
        <f>G146</f>
        <v>92.3</v>
      </c>
      <c r="H145" s="173"/>
    </row>
    <row r="146" spans="1:8" ht="15.75" x14ac:dyDescent="0.25">
      <c r="A146" s="25" t="s">
        <v>146</v>
      </c>
      <c r="B146" s="16">
        <v>902</v>
      </c>
      <c r="C146" s="20" t="s">
        <v>118</v>
      </c>
      <c r="D146" s="20" t="s">
        <v>140</v>
      </c>
      <c r="E146" s="20" t="s">
        <v>144</v>
      </c>
      <c r="F146" s="20" t="s">
        <v>147</v>
      </c>
      <c r="G146" s="26">
        <v>92.3</v>
      </c>
      <c r="H146" s="105"/>
    </row>
    <row r="147" spans="1:8" ht="15.75" hidden="1" x14ac:dyDescent="0.25">
      <c r="A147" s="23" t="s">
        <v>212</v>
      </c>
      <c r="B147" s="19">
        <v>902</v>
      </c>
      <c r="C147" s="24" t="s">
        <v>213</v>
      </c>
      <c r="D147" s="24"/>
      <c r="E147" s="24"/>
      <c r="F147" s="24"/>
      <c r="G147" s="21">
        <f>G148+G154</f>
        <v>0</v>
      </c>
      <c r="H147" s="173"/>
    </row>
    <row r="148" spans="1:8" ht="31.5" hidden="1" x14ac:dyDescent="0.25">
      <c r="A148" s="23" t="s">
        <v>214</v>
      </c>
      <c r="B148" s="19">
        <v>902</v>
      </c>
      <c r="C148" s="24" t="s">
        <v>213</v>
      </c>
      <c r="D148" s="24" t="s">
        <v>215</v>
      </c>
      <c r="E148" s="24"/>
      <c r="F148" s="24"/>
      <c r="G148" s="21">
        <f>G149</f>
        <v>0</v>
      </c>
      <c r="H148" s="173"/>
    </row>
    <row r="149" spans="1:8" ht="15.75" hidden="1" x14ac:dyDescent="0.25">
      <c r="A149" s="25" t="s">
        <v>121</v>
      </c>
      <c r="B149" s="16">
        <v>902</v>
      </c>
      <c r="C149" s="20" t="s">
        <v>213</v>
      </c>
      <c r="D149" s="20" t="s">
        <v>215</v>
      </c>
      <c r="E149" s="20" t="s">
        <v>122</v>
      </c>
      <c r="F149" s="20"/>
      <c r="G149" s="26">
        <f>G150</f>
        <v>0</v>
      </c>
      <c r="H149" s="173"/>
    </row>
    <row r="150" spans="1:8" ht="31.5" hidden="1" x14ac:dyDescent="0.25">
      <c r="A150" s="25" t="s">
        <v>185</v>
      </c>
      <c r="B150" s="16">
        <v>902</v>
      </c>
      <c r="C150" s="20" t="s">
        <v>213</v>
      </c>
      <c r="D150" s="20" t="s">
        <v>215</v>
      </c>
      <c r="E150" s="20" t="s">
        <v>186</v>
      </c>
      <c r="F150" s="20"/>
      <c r="G150" s="26">
        <f>G151</f>
        <v>0</v>
      </c>
      <c r="H150" s="173"/>
    </row>
    <row r="151" spans="1:8" ht="47.25" hidden="1" x14ac:dyDescent="0.25">
      <c r="A151" s="25" t="s">
        <v>216</v>
      </c>
      <c r="B151" s="16">
        <v>902</v>
      </c>
      <c r="C151" s="20" t="s">
        <v>213</v>
      </c>
      <c r="D151" s="20" t="s">
        <v>215</v>
      </c>
      <c r="E151" s="20" t="s">
        <v>217</v>
      </c>
      <c r="F151" s="20"/>
      <c r="G151" s="26">
        <f>G152</f>
        <v>0</v>
      </c>
      <c r="H151" s="173"/>
    </row>
    <row r="152" spans="1:8" ht="94.5" hidden="1" x14ac:dyDescent="0.25">
      <c r="A152" s="25" t="s">
        <v>127</v>
      </c>
      <c r="B152" s="16">
        <v>902</v>
      </c>
      <c r="C152" s="20" t="s">
        <v>213</v>
      </c>
      <c r="D152" s="20" t="s">
        <v>215</v>
      </c>
      <c r="E152" s="20" t="s">
        <v>217</v>
      </c>
      <c r="F152" s="20" t="s">
        <v>128</v>
      </c>
      <c r="G152" s="26">
        <f>G153</f>
        <v>0</v>
      </c>
      <c r="H152" s="173"/>
    </row>
    <row r="153" spans="1:8" ht="31.5" hidden="1" x14ac:dyDescent="0.25">
      <c r="A153" s="25" t="s">
        <v>129</v>
      </c>
      <c r="B153" s="16">
        <v>902</v>
      </c>
      <c r="C153" s="20" t="s">
        <v>213</v>
      </c>
      <c r="D153" s="20" t="s">
        <v>215</v>
      </c>
      <c r="E153" s="20" t="s">
        <v>217</v>
      </c>
      <c r="F153" s="20" t="s">
        <v>130</v>
      </c>
      <c r="G153" s="27"/>
      <c r="H153" s="173"/>
    </row>
    <row r="154" spans="1:8" ht="31.5" hidden="1" x14ac:dyDescent="0.25">
      <c r="A154" s="23" t="s">
        <v>218</v>
      </c>
      <c r="B154" s="19">
        <v>902</v>
      </c>
      <c r="C154" s="24" t="s">
        <v>213</v>
      </c>
      <c r="D154" s="24" t="s">
        <v>219</v>
      </c>
      <c r="E154" s="24"/>
      <c r="F154" s="24"/>
      <c r="G154" s="26">
        <f>G155</f>
        <v>0</v>
      </c>
      <c r="H154" s="173"/>
    </row>
    <row r="155" spans="1:8" ht="15.75" hidden="1" x14ac:dyDescent="0.25">
      <c r="A155" s="25" t="s">
        <v>121</v>
      </c>
      <c r="B155" s="16">
        <v>902</v>
      </c>
      <c r="C155" s="20" t="s">
        <v>213</v>
      </c>
      <c r="D155" s="20" t="s">
        <v>219</v>
      </c>
      <c r="E155" s="20" t="s">
        <v>122</v>
      </c>
      <c r="F155" s="20"/>
      <c r="G155" s="26">
        <f>G156</f>
        <v>0</v>
      </c>
      <c r="H155" s="173"/>
    </row>
    <row r="156" spans="1:8" ht="31.5" hidden="1" x14ac:dyDescent="0.25">
      <c r="A156" s="25" t="s">
        <v>220</v>
      </c>
      <c r="B156" s="16">
        <v>902</v>
      </c>
      <c r="C156" s="20" t="s">
        <v>213</v>
      </c>
      <c r="D156" s="20" t="s">
        <v>219</v>
      </c>
      <c r="E156" s="20" t="s">
        <v>221</v>
      </c>
      <c r="F156" s="20"/>
      <c r="G156" s="26">
        <f>G157</f>
        <v>0</v>
      </c>
      <c r="H156" s="173"/>
    </row>
    <row r="157" spans="1:8" ht="47.25" hidden="1" x14ac:dyDescent="0.25">
      <c r="A157" s="25" t="s">
        <v>198</v>
      </c>
      <c r="B157" s="16">
        <v>902</v>
      </c>
      <c r="C157" s="20" t="s">
        <v>213</v>
      </c>
      <c r="D157" s="20" t="s">
        <v>219</v>
      </c>
      <c r="E157" s="20" t="s">
        <v>221</v>
      </c>
      <c r="F157" s="20" t="s">
        <v>132</v>
      </c>
      <c r="G157" s="26">
        <f>G158</f>
        <v>0</v>
      </c>
      <c r="H157" s="173"/>
    </row>
    <row r="158" spans="1:8" ht="47.25" hidden="1" x14ac:dyDescent="0.25">
      <c r="A158" s="25" t="s">
        <v>133</v>
      </c>
      <c r="B158" s="16">
        <v>902</v>
      </c>
      <c r="C158" s="20" t="s">
        <v>213</v>
      </c>
      <c r="D158" s="20" t="s">
        <v>219</v>
      </c>
      <c r="E158" s="20" t="s">
        <v>221</v>
      </c>
      <c r="F158" s="20" t="s">
        <v>134</v>
      </c>
      <c r="G158" s="26">
        <v>0</v>
      </c>
      <c r="H158" s="173"/>
    </row>
    <row r="159" spans="1:8" ht="31.5" x14ac:dyDescent="0.25">
      <c r="A159" s="23" t="s">
        <v>222</v>
      </c>
      <c r="B159" s="19">
        <v>902</v>
      </c>
      <c r="C159" s="24" t="s">
        <v>215</v>
      </c>
      <c r="D159" s="24"/>
      <c r="E159" s="24"/>
      <c r="F159" s="24"/>
      <c r="G159" s="21">
        <f>G160</f>
        <v>7159.4000000000005</v>
      </c>
      <c r="H159" s="173"/>
    </row>
    <row r="160" spans="1:8" ht="63" x14ac:dyDescent="0.25">
      <c r="A160" s="23" t="s">
        <v>223</v>
      </c>
      <c r="B160" s="19">
        <v>902</v>
      </c>
      <c r="C160" s="24" t="s">
        <v>215</v>
      </c>
      <c r="D160" s="24" t="s">
        <v>219</v>
      </c>
      <c r="E160" s="20"/>
      <c r="F160" s="20"/>
      <c r="G160" s="21">
        <f>G161</f>
        <v>7159.4000000000005</v>
      </c>
      <c r="H160" s="173"/>
    </row>
    <row r="161" spans="1:9" ht="15.75" x14ac:dyDescent="0.25">
      <c r="A161" s="25" t="s">
        <v>121</v>
      </c>
      <c r="B161" s="16">
        <v>902</v>
      </c>
      <c r="C161" s="20" t="s">
        <v>215</v>
      </c>
      <c r="D161" s="20" t="s">
        <v>219</v>
      </c>
      <c r="E161" s="20" t="s">
        <v>122</v>
      </c>
      <c r="F161" s="20"/>
      <c r="G161" s="26">
        <f>G162</f>
        <v>7159.4000000000005</v>
      </c>
      <c r="H161" s="173"/>
    </row>
    <row r="162" spans="1:9" ht="15.75" x14ac:dyDescent="0.25">
      <c r="A162" s="25" t="s">
        <v>141</v>
      </c>
      <c r="B162" s="16">
        <v>902</v>
      </c>
      <c r="C162" s="20" t="s">
        <v>215</v>
      </c>
      <c r="D162" s="20" t="s">
        <v>219</v>
      </c>
      <c r="E162" s="20" t="s">
        <v>142</v>
      </c>
      <c r="F162" s="20"/>
      <c r="G162" s="26">
        <f>G163+G169+G174</f>
        <v>7159.4000000000005</v>
      </c>
      <c r="H162" s="173"/>
    </row>
    <row r="163" spans="1:9" ht="47.25" x14ac:dyDescent="0.25">
      <c r="A163" s="25" t="s">
        <v>224</v>
      </c>
      <c r="B163" s="16">
        <v>902</v>
      </c>
      <c r="C163" s="20" t="s">
        <v>215</v>
      </c>
      <c r="D163" s="20" t="s">
        <v>219</v>
      </c>
      <c r="E163" s="20" t="s">
        <v>225</v>
      </c>
      <c r="F163" s="20"/>
      <c r="G163" s="26">
        <f>G164</f>
        <v>2064.1</v>
      </c>
      <c r="H163" s="173"/>
    </row>
    <row r="164" spans="1:9" ht="47.25" x14ac:dyDescent="0.25">
      <c r="A164" s="25" t="s">
        <v>198</v>
      </c>
      <c r="B164" s="16">
        <v>902</v>
      </c>
      <c r="C164" s="20" t="s">
        <v>215</v>
      </c>
      <c r="D164" s="20" t="s">
        <v>219</v>
      </c>
      <c r="E164" s="20" t="s">
        <v>225</v>
      </c>
      <c r="F164" s="20" t="s">
        <v>132</v>
      </c>
      <c r="G164" s="26">
        <f>G165</f>
        <v>2064.1</v>
      </c>
      <c r="H164" s="173"/>
    </row>
    <row r="165" spans="1:9" ht="47.25" x14ac:dyDescent="0.25">
      <c r="A165" s="25" t="s">
        <v>133</v>
      </c>
      <c r="B165" s="16">
        <v>902</v>
      </c>
      <c r="C165" s="20" t="s">
        <v>215</v>
      </c>
      <c r="D165" s="20" t="s">
        <v>219</v>
      </c>
      <c r="E165" s="20" t="s">
        <v>225</v>
      </c>
      <c r="F165" s="20" t="s">
        <v>134</v>
      </c>
      <c r="G165" s="156">
        <f>1908.4+354-98.3-100</f>
        <v>2064.1</v>
      </c>
      <c r="H165" s="105" t="s">
        <v>719</v>
      </c>
      <c r="I165" s="124"/>
    </row>
    <row r="166" spans="1:9" ht="15.75" hidden="1" x14ac:dyDescent="0.25">
      <c r="A166" s="25" t="s">
        <v>226</v>
      </c>
      <c r="B166" s="16">
        <v>902</v>
      </c>
      <c r="C166" s="20" t="s">
        <v>215</v>
      </c>
      <c r="D166" s="20" t="s">
        <v>219</v>
      </c>
      <c r="E166" s="20" t="s">
        <v>227</v>
      </c>
      <c r="F166" s="20"/>
      <c r="G166" s="26">
        <f>G167</f>
        <v>0</v>
      </c>
      <c r="H166" s="173"/>
    </row>
    <row r="167" spans="1:9" ht="47.25" hidden="1" x14ac:dyDescent="0.25">
      <c r="A167" s="25" t="s">
        <v>198</v>
      </c>
      <c r="B167" s="16">
        <v>902</v>
      </c>
      <c r="C167" s="20" t="s">
        <v>215</v>
      </c>
      <c r="D167" s="20" t="s">
        <v>219</v>
      </c>
      <c r="E167" s="20" t="s">
        <v>227</v>
      </c>
      <c r="F167" s="20" t="s">
        <v>132</v>
      </c>
      <c r="G167" s="26">
        <f>G168</f>
        <v>0</v>
      </c>
      <c r="H167" s="173"/>
    </row>
    <row r="168" spans="1:9" ht="47.25" hidden="1" x14ac:dyDescent="0.25">
      <c r="A168" s="25" t="s">
        <v>133</v>
      </c>
      <c r="B168" s="16">
        <v>902</v>
      </c>
      <c r="C168" s="20" t="s">
        <v>215</v>
      </c>
      <c r="D168" s="20" t="s">
        <v>219</v>
      </c>
      <c r="E168" s="20" t="s">
        <v>227</v>
      </c>
      <c r="F168" s="20" t="s">
        <v>134</v>
      </c>
      <c r="G168" s="26">
        <v>0</v>
      </c>
      <c r="H168" s="173"/>
    </row>
    <row r="169" spans="1:9" ht="31.5" x14ac:dyDescent="0.25">
      <c r="A169" s="25" t="s">
        <v>228</v>
      </c>
      <c r="B169" s="16">
        <v>902</v>
      </c>
      <c r="C169" s="20" t="s">
        <v>215</v>
      </c>
      <c r="D169" s="20" t="s">
        <v>219</v>
      </c>
      <c r="E169" s="20" t="s">
        <v>229</v>
      </c>
      <c r="F169" s="20"/>
      <c r="G169" s="26">
        <f>G170+G172</f>
        <v>4997</v>
      </c>
      <c r="H169" s="173"/>
    </row>
    <row r="170" spans="1:9" ht="94.5" x14ac:dyDescent="0.25">
      <c r="A170" s="25" t="s">
        <v>127</v>
      </c>
      <c r="B170" s="16">
        <v>902</v>
      </c>
      <c r="C170" s="20" t="s">
        <v>215</v>
      </c>
      <c r="D170" s="20" t="s">
        <v>219</v>
      </c>
      <c r="E170" s="20" t="s">
        <v>229</v>
      </c>
      <c r="F170" s="20" t="s">
        <v>128</v>
      </c>
      <c r="G170" s="26">
        <f>G171</f>
        <v>4692.3</v>
      </c>
      <c r="H170" s="173"/>
    </row>
    <row r="171" spans="1:9" ht="31.5" x14ac:dyDescent="0.25">
      <c r="A171" s="25" t="s">
        <v>208</v>
      </c>
      <c r="B171" s="16">
        <v>902</v>
      </c>
      <c r="C171" s="20" t="s">
        <v>215</v>
      </c>
      <c r="D171" s="20" t="s">
        <v>219</v>
      </c>
      <c r="E171" s="20" t="s">
        <v>229</v>
      </c>
      <c r="F171" s="20" t="s">
        <v>209</v>
      </c>
      <c r="G171" s="27">
        <f>4586.3+106</f>
        <v>4692.3</v>
      </c>
      <c r="H171" s="173"/>
    </row>
    <row r="172" spans="1:9" ht="47.25" x14ac:dyDescent="0.25">
      <c r="A172" s="25" t="s">
        <v>198</v>
      </c>
      <c r="B172" s="16">
        <v>902</v>
      </c>
      <c r="C172" s="20" t="s">
        <v>215</v>
      </c>
      <c r="D172" s="20" t="s">
        <v>219</v>
      </c>
      <c r="E172" s="20" t="s">
        <v>229</v>
      </c>
      <c r="F172" s="20" t="s">
        <v>132</v>
      </c>
      <c r="G172" s="26">
        <f>G173</f>
        <v>304.7</v>
      </c>
      <c r="H172" s="173"/>
    </row>
    <row r="173" spans="1:9" ht="47.25" x14ac:dyDescent="0.25">
      <c r="A173" s="25" t="s">
        <v>133</v>
      </c>
      <c r="B173" s="16">
        <v>902</v>
      </c>
      <c r="C173" s="20" t="s">
        <v>215</v>
      </c>
      <c r="D173" s="20" t="s">
        <v>219</v>
      </c>
      <c r="E173" s="20" t="s">
        <v>229</v>
      </c>
      <c r="F173" s="20" t="s">
        <v>134</v>
      </c>
      <c r="G173" s="153">
        <f>204.7+100</f>
        <v>304.7</v>
      </c>
      <c r="H173" s="154" t="s">
        <v>720</v>
      </c>
    </row>
    <row r="174" spans="1:9" ht="15.75" x14ac:dyDescent="0.25">
      <c r="A174" s="25" t="s">
        <v>230</v>
      </c>
      <c r="B174" s="16">
        <v>902</v>
      </c>
      <c r="C174" s="20" t="s">
        <v>215</v>
      </c>
      <c r="D174" s="20" t="s">
        <v>219</v>
      </c>
      <c r="E174" s="20" t="s">
        <v>231</v>
      </c>
      <c r="F174" s="20"/>
      <c r="G174" s="27">
        <f>G175</f>
        <v>98.3</v>
      </c>
      <c r="H174" s="173"/>
    </row>
    <row r="175" spans="1:9" ht="47.25" x14ac:dyDescent="0.25">
      <c r="A175" s="25" t="s">
        <v>198</v>
      </c>
      <c r="B175" s="16">
        <v>902</v>
      </c>
      <c r="C175" s="20" t="s">
        <v>215</v>
      </c>
      <c r="D175" s="20" t="s">
        <v>219</v>
      </c>
      <c r="E175" s="20" t="s">
        <v>231</v>
      </c>
      <c r="F175" s="20" t="s">
        <v>132</v>
      </c>
      <c r="G175" s="27">
        <f>G176</f>
        <v>98.3</v>
      </c>
      <c r="H175" s="173"/>
    </row>
    <row r="176" spans="1:9" ht="47.25" x14ac:dyDescent="0.25">
      <c r="A176" s="25" t="s">
        <v>133</v>
      </c>
      <c r="B176" s="16">
        <v>902</v>
      </c>
      <c r="C176" s="20" t="s">
        <v>215</v>
      </c>
      <c r="D176" s="20" t="s">
        <v>219</v>
      </c>
      <c r="E176" s="20" t="s">
        <v>231</v>
      </c>
      <c r="F176" s="20" t="s">
        <v>134</v>
      </c>
      <c r="G176" s="27">
        <v>98.3</v>
      </c>
      <c r="H176" s="105"/>
      <c r="I176" s="123"/>
    </row>
    <row r="177" spans="1:9" ht="15.75" x14ac:dyDescent="0.25">
      <c r="A177" s="23" t="s">
        <v>232</v>
      </c>
      <c r="B177" s="19">
        <v>902</v>
      </c>
      <c r="C177" s="24" t="s">
        <v>150</v>
      </c>
      <c r="D177" s="24"/>
      <c r="E177" s="24"/>
      <c r="F177" s="20"/>
      <c r="G177" s="21">
        <f>G184+G178</f>
        <v>1821.3999999999999</v>
      </c>
      <c r="H177" s="173"/>
    </row>
    <row r="178" spans="1:9" ht="15.75" x14ac:dyDescent="0.25">
      <c r="A178" s="23" t="s">
        <v>233</v>
      </c>
      <c r="B178" s="19">
        <v>902</v>
      </c>
      <c r="C178" s="24" t="s">
        <v>150</v>
      </c>
      <c r="D178" s="24" t="s">
        <v>234</v>
      </c>
      <c r="E178" s="24"/>
      <c r="F178" s="20"/>
      <c r="G178" s="21">
        <f>G179</f>
        <v>450</v>
      </c>
      <c r="H178" s="173"/>
    </row>
    <row r="179" spans="1:9" ht="15.75" x14ac:dyDescent="0.25">
      <c r="A179" s="25" t="s">
        <v>121</v>
      </c>
      <c r="B179" s="16">
        <v>902</v>
      </c>
      <c r="C179" s="20" t="s">
        <v>150</v>
      </c>
      <c r="D179" s="20" t="s">
        <v>234</v>
      </c>
      <c r="E179" s="20" t="s">
        <v>122</v>
      </c>
      <c r="F179" s="20"/>
      <c r="G179" s="26">
        <f>G180</f>
        <v>450</v>
      </c>
      <c r="H179" s="173"/>
    </row>
    <row r="180" spans="1:9" ht="31.5" x14ac:dyDescent="0.25">
      <c r="A180" s="25" t="s">
        <v>185</v>
      </c>
      <c r="B180" s="16">
        <v>902</v>
      </c>
      <c r="C180" s="20" t="s">
        <v>150</v>
      </c>
      <c r="D180" s="20" t="s">
        <v>234</v>
      </c>
      <c r="E180" s="20" t="s">
        <v>186</v>
      </c>
      <c r="F180" s="20"/>
      <c r="G180" s="26">
        <f>G181</f>
        <v>450</v>
      </c>
      <c r="H180" s="173"/>
    </row>
    <row r="181" spans="1:9" ht="31.5" x14ac:dyDescent="0.25">
      <c r="A181" s="25" t="s">
        <v>235</v>
      </c>
      <c r="B181" s="16">
        <v>902</v>
      </c>
      <c r="C181" s="20" t="s">
        <v>150</v>
      </c>
      <c r="D181" s="20" t="s">
        <v>234</v>
      </c>
      <c r="E181" s="20" t="s">
        <v>236</v>
      </c>
      <c r="F181" s="20"/>
      <c r="G181" s="26">
        <f>G182</f>
        <v>450</v>
      </c>
      <c r="H181" s="173"/>
    </row>
    <row r="182" spans="1:9" ht="15.75" x14ac:dyDescent="0.25">
      <c r="A182" s="25" t="s">
        <v>135</v>
      </c>
      <c r="B182" s="16">
        <v>902</v>
      </c>
      <c r="C182" s="20" t="s">
        <v>150</v>
      </c>
      <c r="D182" s="20" t="s">
        <v>234</v>
      </c>
      <c r="E182" s="20" t="s">
        <v>236</v>
      </c>
      <c r="F182" s="20" t="s">
        <v>145</v>
      </c>
      <c r="G182" s="26">
        <f>G183</f>
        <v>450</v>
      </c>
      <c r="H182" s="173"/>
    </row>
    <row r="183" spans="1:9" ht="63" x14ac:dyDescent="0.25">
      <c r="A183" s="25" t="s">
        <v>184</v>
      </c>
      <c r="B183" s="16">
        <v>902</v>
      </c>
      <c r="C183" s="20" t="s">
        <v>150</v>
      </c>
      <c r="D183" s="20" t="s">
        <v>234</v>
      </c>
      <c r="E183" s="20" t="s">
        <v>236</v>
      </c>
      <c r="F183" s="20" t="s">
        <v>160</v>
      </c>
      <c r="G183" s="155">
        <f>310+140</f>
        <v>450</v>
      </c>
      <c r="H183" s="154" t="s">
        <v>718</v>
      </c>
      <c r="I183" s="114"/>
    </row>
    <row r="184" spans="1:9" ht="31.5" x14ac:dyDescent="0.25">
      <c r="A184" s="23" t="s">
        <v>237</v>
      </c>
      <c r="B184" s="19">
        <v>902</v>
      </c>
      <c r="C184" s="24" t="s">
        <v>150</v>
      </c>
      <c r="D184" s="24" t="s">
        <v>238</v>
      </c>
      <c r="E184" s="24"/>
      <c r="F184" s="24"/>
      <c r="G184" s="21">
        <f>G185</f>
        <v>1371.3999999999999</v>
      </c>
      <c r="H184" s="173"/>
    </row>
    <row r="185" spans="1:9" ht="15.75" x14ac:dyDescent="0.25">
      <c r="A185" s="25" t="s">
        <v>121</v>
      </c>
      <c r="B185" s="16">
        <v>902</v>
      </c>
      <c r="C185" s="20" t="s">
        <v>150</v>
      </c>
      <c r="D185" s="20" t="s">
        <v>238</v>
      </c>
      <c r="E185" s="20" t="s">
        <v>122</v>
      </c>
      <c r="F185" s="24"/>
      <c r="G185" s="26">
        <f>G186</f>
        <v>1371.3999999999999</v>
      </c>
      <c r="H185" s="173"/>
    </row>
    <row r="186" spans="1:9" ht="31.5" x14ac:dyDescent="0.25">
      <c r="A186" s="25" t="s">
        <v>185</v>
      </c>
      <c r="B186" s="16">
        <v>902</v>
      </c>
      <c r="C186" s="20" t="s">
        <v>150</v>
      </c>
      <c r="D186" s="20" t="s">
        <v>238</v>
      </c>
      <c r="E186" s="20" t="s">
        <v>186</v>
      </c>
      <c r="F186" s="24"/>
      <c r="G186" s="26">
        <f>G190+G187</f>
        <v>1371.3999999999999</v>
      </c>
      <c r="H186" s="173"/>
    </row>
    <row r="187" spans="1:9" ht="31.5" x14ac:dyDescent="0.25">
      <c r="A187" s="25" t="s">
        <v>239</v>
      </c>
      <c r="B187" s="16">
        <v>902</v>
      </c>
      <c r="C187" s="20" t="s">
        <v>150</v>
      </c>
      <c r="D187" s="20" t="s">
        <v>238</v>
      </c>
      <c r="E187" s="20" t="s">
        <v>240</v>
      </c>
      <c r="F187" s="24"/>
      <c r="G187" s="26">
        <f>G188</f>
        <v>90</v>
      </c>
      <c r="H187" s="173"/>
    </row>
    <row r="188" spans="1:9" ht="15.75" x14ac:dyDescent="0.25">
      <c r="A188" s="25" t="s">
        <v>135</v>
      </c>
      <c r="B188" s="16">
        <v>902</v>
      </c>
      <c r="C188" s="20" t="s">
        <v>150</v>
      </c>
      <c r="D188" s="20" t="s">
        <v>238</v>
      </c>
      <c r="E188" s="20" t="s">
        <v>240</v>
      </c>
      <c r="F188" s="20" t="s">
        <v>145</v>
      </c>
      <c r="G188" s="26">
        <f>G189</f>
        <v>90</v>
      </c>
      <c r="H188" s="173"/>
    </row>
    <row r="189" spans="1:9" ht="63" x14ac:dyDescent="0.25">
      <c r="A189" s="25" t="s">
        <v>184</v>
      </c>
      <c r="B189" s="16">
        <v>902</v>
      </c>
      <c r="C189" s="20" t="s">
        <v>150</v>
      </c>
      <c r="D189" s="20" t="s">
        <v>238</v>
      </c>
      <c r="E189" s="20" t="s">
        <v>240</v>
      </c>
      <c r="F189" s="20" t="s">
        <v>160</v>
      </c>
      <c r="G189" s="159">
        <v>90</v>
      </c>
      <c r="H189" s="154" t="s">
        <v>727</v>
      </c>
    </row>
    <row r="190" spans="1:9" ht="63" x14ac:dyDescent="0.25">
      <c r="A190" s="31" t="s">
        <v>241</v>
      </c>
      <c r="B190" s="16">
        <v>902</v>
      </c>
      <c r="C190" s="20" t="s">
        <v>150</v>
      </c>
      <c r="D190" s="20" t="s">
        <v>238</v>
      </c>
      <c r="E190" s="20" t="s">
        <v>242</v>
      </c>
      <c r="F190" s="20"/>
      <c r="G190" s="26">
        <f>G191+G193</f>
        <v>1281.3999999999999</v>
      </c>
      <c r="H190" s="173"/>
    </row>
    <row r="191" spans="1:9" ht="94.5" x14ac:dyDescent="0.25">
      <c r="A191" s="25" t="s">
        <v>127</v>
      </c>
      <c r="B191" s="16">
        <v>902</v>
      </c>
      <c r="C191" s="20" t="s">
        <v>150</v>
      </c>
      <c r="D191" s="20" t="s">
        <v>238</v>
      </c>
      <c r="E191" s="20" t="s">
        <v>242</v>
      </c>
      <c r="F191" s="20" t="s">
        <v>128</v>
      </c>
      <c r="G191" s="26">
        <f>G192</f>
        <v>1116.3999999999999</v>
      </c>
      <c r="H191" s="173"/>
    </row>
    <row r="192" spans="1:9" ht="31.5" x14ac:dyDescent="0.25">
      <c r="A192" s="25" t="s">
        <v>129</v>
      </c>
      <c r="B192" s="16">
        <v>902</v>
      </c>
      <c r="C192" s="20" t="s">
        <v>150</v>
      </c>
      <c r="D192" s="20" t="s">
        <v>238</v>
      </c>
      <c r="E192" s="20" t="s">
        <v>242</v>
      </c>
      <c r="F192" s="20" t="s">
        <v>130</v>
      </c>
      <c r="G192" s="26">
        <f>1302-123.4-62.2</f>
        <v>1116.3999999999999</v>
      </c>
      <c r="H192" s="173"/>
      <c r="I192" s="114"/>
    </row>
    <row r="193" spans="1:8" ht="31.5" x14ac:dyDescent="0.25">
      <c r="A193" s="25" t="s">
        <v>131</v>
      </c>
      <c r="B193" s="16">
        <v>902</v>
      </c>
      <c r="C193" s="20" t="s">
        <v>150</v>
      </c>
      <c r="D193" s="20" t="s">
        <v>238</v>
      </c>
      <c r="E193" s="20" t="s">
        <v>242</v>
      </c>
      <c r="F193" s="20" t="s">
        <v>132</v>
      </c>
      <c r="G193" s="26">
        <f>G194</f>
        <v>165</v>
      </c>
      <c r="H193" s="173"/>
    </row>
    <row r="194" spans="1:8" ht="47.25" x14ac:dyDescent="0.25">
      <c r="A194" s="25" t="s">
        <v>133</v>
      </c>
      <c r="B194" s="16">
        <v>902</v>
      </c>
      <c r="C194" s="20" t="s">
        <v>150</v>
      </c>
      <c r="D194" s="20" t="s">
        <v>238</v>
      </c>
      <c r="E194" s="20" t="s">
        <v>242</v>
      </c>
      <c r="F194" s="20" t="s">
        <v>134</v>
      </c>
      <c r="G194" s="26">
        <f>102.8+62.2</f>
        <v>165</v>
      </c>
      <c r="H194" s="173"/>
    </row>
    <row r="195" spans="1:8" ht="16.5" customHeight="1" x14ac:dyDescent="0.25">
      <c r="A195" s="23" t="s">
        <v>243</v>
      </c>
      <c r="B195" s="19">
        <v>902</v>
      </c>
      <c r="C195" s="24" t="s">
        <v>244</v>
      </c>
      <c r="D195" s="24"/>
      <c r="E195" s="24"/>
      <c r="F195" s="24"/>
      <c r="G195" s="21">
        <f>G196+G202+G212</f>
        <v>12224.9</v>
      </c>
      <c r="H195" s="173"/>
    </row>
    <row r="196" spans="1:8" ht="15.75" x14ac:dyDescent="0.25">
      <c r="A196" s="23" t="s">
        <v>245</v>
      </c>
      <c r="B196" s="19">
        <v>902</v>
      </c>
      <c r="C196" s="24" t="s">
        <v>244</v>
      </c>
      <c r="D196" s="24" t="s">
        <v>118</v>
      </c>
      <c r="E196" s="24"/>
      <c r="F196" s="24"/>
      <c r="G196" s="21">
        <f>G197</f>
        <v>9066.4</v>
      </c>
      <c r="H196" s="173"/>
    </row>
    <row r="197" spans="1:8" ht="15.75" x14ac:dyDescent="0.25">
      <c r="A197" s="25" t="s">
        <v>121</v>
      </c>
      <c r="B197" s="16">
        <v>902</v>
      </c>
      <c r="C197" s="20" t="s">
        <v>244</v>
      </c>
      <c r="D197" s="20" t="s">
        <v>118</v>
      </c>
      <c r="E197" s="20" t="s">
        <v>122</v>
      </c>
      <c r="F197" s="20"/>
      <c r="G197" s="26">
        <f>G198</f>
        <v>9066.4</v>
      </c>
      <c r="H197" s="173"/>
    </row>
    <row r="198" spans="1:8" ht="15.75" x14ac:dyDescent="0.25">
      <c r="A198" s="25" t="s">
        <v>141</v>
      </c>
      <c r="B198" s="16">
        <v>902</v>
      </c>
      <c r="C198" s="20" t="s">
        <v>244</v>
      </c>
      <c r="D198" s="20" t="s">
        <v>118</v>
      </c>
      <c r="E198" s="20" t="s">
        <v>142</v>
      </c>
      <c r="F198" s="20"/>
      <c r="G198" s="26">
        <f>G199</f>
        <v>9066.4</v>
      </c>
      <c r="H198" s="173"/>
    </row>
    <row r="199" spans="1:8" ht="15.75" x14ac:dyDescent="0.25">
      <c r="A199" s="25" t="s">
        <v>246</v>
      </c>
      <c r="B199" s="16">
        <v>902</v>
      </c>
      <c r="C199" s="20" t="s">
        <v>244</v>
      </c>
      <c r="D199" s="20" t="s">
        <v>118</v>
      </c>
      <c r="E199" s="20" t="s">
        <v>247</v>
      </c>
      <c r="F199" s="20"/>
      <c r="G199" s="26">
        <f>G200</f>
        <v>9066.4</v>
      </c>
      <c r="H199" s="173"/>
    </row>
    <row r="200" spans="1:8" ht="31.5" x14ac:dyDescent="0.25">
      <c r="A200" s="25" t="s">
        <v>248</v>
      </c>
      <c r="B200" s="16">
        <v>902</v>
      </c>
      <c r="C200" s="20" t="s">
        <v>244</v>
      </c>
      <c r="D200" s="20" t="s">
        <v>118</v>
      </c>
      <c r="E200" s="20" t="s">
        <v>247</v>
      </c>
      <c r="F200" s="20" t="s">
        <v>249</v>
      </c>
      <c r="G200" s="26">
        <f>G201</f>
        <v>9066.4</v>
      </c>
      <c r="H200" s="173"/>
    </row>
    <row r="201" spans="1:8" ht="31.5" x14ac:dyDescent="0.25">
      <c r="A201" s="25" t="s">
        <v>250</v>
      </c>
      <c r="B201" s="16">
        <v>902</v>
      </c>
      <c r="C201" s="20" t="s">
        <v>244</v>
      </c>
      <c r="D201" s="20" t="s">
        <v>118</v>
      </c>
      <c r="E201" s="20" t="s">
        <v>247</v>
      </c>
      <c r="F201" s="20" t="s">
        <v>251</v>
      </c>
      <c r="G201" s="27">
        <v>9066.4</v>
      </c>
      <c r="H201" s="173"/>
    </row>
    <row r="202" spans="1:8" ht="15.75" x14ac:dyDescent="0.25">
      <c r="A202" s="23" t="s">
        <v>252</v>
      </c>
      <c r="B202" s="19">
        <v>902</v>
      </c>
      <c r="C202" s="24" t="s">
        <v>244</v>
      </c>
      <c r="D202" s="24" t="s">
        <v>215</v>
      </c>
      <c r="E202" s="20"/>
      <c r="F202" s="20"/>
      <c r="G202" s="21">
        <f>G203+G207</f>
        <v>10</v>
      </c>
      <c r="H202" s="173"/>
    </row>
    <row r="203" spans="1:8" ht="78.75" x14ac:dyDescent="0.25">
      <c r="A203" s="25" t="s">
        <v>253</v>
      </c>
      <c r="B203" s="16">
        <v>902</v>
      </c>
      <c r="C203" s="20" t="s">
        <v>244</v>
      </c>
      <c r="D203" s="20" t="s">
        <v>215</v>
      </c>
      <c r="E203" s="20" t="s">
        <v>254</v>
      </c>
      <c r="F203" s="20"/>
      <c r="G203" s="26">
        <f>G204</f>
        <v>10</v>
      </c>
      <c r="H203" s="173"/>
    </row>
    <row r="204" spans="1:8" ht="31.5" x14ac:dyDescent="0.25">
      <c r="A204" s="25" t="s">
        <v>157</v>
      </c>
      <c r="B204" s="16">
        <v>902</v>
      </c>
      <c r="C204" s="20" t="s">
        <v>244</v>
      </c>
      <c r="D204" s="20" t="s">
        <v>215</v>
      </c>
      <c r="E204" s="20" t="s">
        <v>255</v>
      </c>
      <c r="F204" s="20"/>
      <c r="G204" s="26">
        <f>G205</f>
        <v>10</v>
      </c>
      <c r="H204" s="173"/>
    </row>
    <row r="205" spans="1:8" ht="31.5" x14ac:dyDescent="0.25">
      <c r="A205" s="25" t="s">
        <v>248</v>
      </c>
      <c r="B205" s="16">
        <v>902</v>
      </c>
      <c r="C205" s="20" t="s">
        <v>244</v>
      </c>
      <c r="D205" s="20" t="s">
        <v>215</v>
      </c>
      <c r="E205" s="20" t="s">
        <v>255</v>
      </c>
      <c r="F205" s="20" t="s">
        <v>249</v>
      </c>
      <c r="G205" s="26">
        <f>G206</f>
        <v>10</v>
      </c>
      <c r="H205" s="173"/>
    </row>
    <row r="206" spans="1:8" ht="31.5" x14ac:dyDescent="0.25">
      <c r="A206" s="25" t="s">
        <v>250</v>
      </c>
      <c r="B206" s="16">
        <v>902</v>
      </c>
      <c r="C206" s="20" t="s">
        <v>244</v>
      </c>
      <c r="D206" s="20" t="s">
        <v>215</v>
      </c>
      <c r="E206" s="20" t="s">
        <v>255</v>
      </c>
      <c r="F206" s="20" t="s">
        <v>251</v>
      </c>
      <c r="G206" s="26">
        <v>10</v>
      </c>
      <c r="H206" s="173"/>
    </row>
    <row r="207" spans="1:8" ht="15.75" hidden="1" x14ac:dyDescent="0.25">
      <c r="A207" s="25" t="s">
        <v>121</v>
      </c>
      <c r="B207" s="16">
        <v>902</v>
      </c>
      <c r="C207" s="20" t="s">
        <v>244</v>
      </c>
      <c r="D207" s="20" t="s">
        <v>215</v>
      </c>
      <c r="E207" s="20" t="s">
        <v>122</v>
      </c>
      <c r="F207" s="20"/>
      <c r="G207" s="26">
        <f>G208</f>
        <v>0</v>
      </c>
      <c r="H207" s="173"/>
    </row>
    <row r="208" spans="1:8" ht="31.5" hidden="1" x14ac:dyDescent="0.25">
      <c r="A208" s="25" t="s">
        <v>185</v>
      </c>
      <c r="B208" s="16">
        <v>902</v>
      </c>
      <c r="C208" s="20" t="s">
        <v>244</v>
      </c>
      <c r="D208" s="20" t="s">
        <v>215</v>
      </c>
      <c r="E208" s="20" t="s">
        <v>186</v>
      </c>
      <c r="F208" s="20"/>
      <c r="G208" s="26">
        <f>G209</f>
        <v>0</v>
      </c>
      <c r="H208" s="173"/>
    </row>
    <row r="209" spans="1:12" ht="47.25" hidden="1" x14ac:dyDescent="0.25">
      <c r="A209" s="31" t="s">
        <v>256</v>
      </c>
      <c r="B209" s="16">
        <v>902</v>
      </c>
      <c r="C209" s="20" t="s">
        <v>244</v>
      </c>
      <c r="D209" s="20" t="s">
        <v>215</v>
      </c>
      <c r="E209" s="20" t="s">
        <v>257</v>
      </c>
      <c r="F209" s="20"/>
      <c r="G209" s="26">
        <f>G210</f>
        <v>0</v>
      </c>
      <c r="H209" s="173"/>
    </row>
    <row r="210" spans="1:12" ht="31.5" hidden="1" x14ac:dyDescent="0.25">
      <c r="A210" s="25" t="s">
        <v>248</v>
      </c>
      <c r="B210" s="16">
        <v>902</v>
      </c>
      <c r="C210" s="20" t="s">
        <v>244</v>
      </c>
      <c r="D210" s="20" t="s">
        <v>215</v>
      </c>
      <c r="E210" s="20" t="s">
        <v>257</v>
      </c>
      <c r="F210" s="20" t="s">
        <v>249</v>
      </c>
      <c r="G210" s="26">
        <f>G211</f>
        <v>0</v>
      </c>
      <c r="H210" s="173"/>
    </row>
    <row r="211" spans="1:12" ht="31.5" hidden="1" x14ac:dyDescent="0.25">
      <c r="A211" s="25" t="s">
        <v>250</v>
      </c>
      <c r="B211" s="16">
        <v>902</v>
      </c>
      <c r="C211" s="20" t="s">
        <v>244</v>
      </c>
      <c r="D211" s="20" t="s">
        <v>215</v>
      </c>
      <c r="E211" s="20" t="s">
        <v>257</v>
      </c>
      <c r="F211" s="20" t="s">
        <v>251</v>
      </c>
      <c r="G211" s="26">
        <f>6250-6250</f>
        <v>0</v>
      </c>
      <c r="H211" s="105"/>
      <c r="I211" s="114"/>
    </row>
    <row r="212" spans="1:12" ht="31.5" x14ac:dyDescent="0.25">
      <c r="A212" s="23" t="s">
        <v>258</v>
      </c>
      <c r="B212" s="19">
        <v>902</v>
      </c>
      <c r="C212" s="24" t="s">
        <v>244</v>
      </c>
      <c r="D212" s="24" t="s">
        <v>120</v>
      </c>
      <c r="E212" s="24"/>
      <c r="F212" s="24"/>
      <c r="G212" s="21">
        <f>G213</f>
        <v>3148.5000000000005</v>
      </c>
      <c r="H212" s="173"/>
    </row>
    <row r="213" spans="1:12" ht="15.75" x14ac:dyDescent="0.25">
      <c r="A213" s="25" t="s">
        <v>121</v>
      </c>
      <c r="B213" s="16">
        <v>902</v>
      </c>
      <c r="C213" s="20" t="s">
        <v>244</v>
      </c>
      <c r="D213" s="20" t="s">
        <v>120</v>
      </c>
      <c r="E213" s="20" t="s">
        <v>122</v>
      </c>
      <c r="F213" s="24"/>
      <c r="G213" s="26">
        <f>G214</f>
        <v>3148.5000000000005</v>
      </c>
      <c r="H213" s="173"/>
    </row>
    <row r="214" spans="1:12" ht="31.5" x14ac:dyDescent="0.25">
      <c r="A214" s="25" t="s">
        <v>185</v>
      </c>
      <c r="B214" s="16">
        <v>902</v>
      </c>
      <c r="C214" s="20" t="s">
        <v>244</v>
      </c>
      <c r="D214" s="20" t="s">
        <v>120</v>
      </c>
      <c r="E214" s="20" t="s">
        <v>186</v>
      </c>
      <c r="F214" s="20"/>
      <c r="G214" s="26">
        <f>G215</f>
        <v>3148.5000000000005</v>
      </c>
      <c r="H214" s="173"/>
    </row>
    <row r="215" spans="1:12" ht="47.25" x14ac:dyDescent="0.25">
      <c r="A215" s="31" t="s">
        <v>259</v>
      </c>
      <c r="B215" s="16">
        <v>902</v>
      </c>
      <c r="C215" s="20" t="s">
        <v>244</v>
      </c>
      <c r="D215" s="20" t="s">
        <v>120</v>
      </c>
      <c r="E215" s="20" t="s">
        <v>260</v>
      </c>
      <c r="F215" s="20"/>
      <c r="G215" s="26">
        <f>G216+G218</f>
        <v>3148.5000000000005</v>
      </c>
      <c r="H215" s="173"/>
    </row>
    <row r="216" spans="1:12" ht="94.5" x14ac:dyDescent="0.25">
      <c r="A216" s="25" t="s">
        <v>127</v>
      </c>
      <c r="B216" s="16">
        <v>902</v>
      </c>
      <c r="C216" s="20" t="s">
        <v>244</v>
      </c>
      <c r="D216" s="20" t="s">
        <v>120</v>
      </c>
      <c r="E216" s="20" t="s">
        <v>260</v>
      </c>
      <c r="F216" s="20" t="s">
        <v>128</v>
      </c>
      <c r="G216" s="26">
        <f>G217</f>
        <v>2884.1000000000004</v>
      </c>
      <c r="H216" s="173"/>
    </row>
    <row r="217" spans="1:12" ht="31.5" x14ac:dyDescent="0.25">
      <c r="A217" s="25" t="s">
        <v>129</v>
      </c>
      <c r="B217" s="16">
        <v>902</v>
      </c>
      <c r="C217" s="20" t="s">
        <v>244</v>
      </c>
      <c r="D217" s="20" t="s">
        <v>120</v>
      </c>
      <c r="E217" s="20" t="s">
        <v>260</v>
      </c>
      <c r="F217" s="20" t="s">
        <v>130</v>
      </c>
      <c r="G217" s="27">
        <f>2826.8+14.8+42.5</f>
        <v>2884.1000000000004</v>
      </c>
      <c r="H217" s="105"/>
    </row>
    <row r="218" spans="1:12" ht="31.5" x14ac:dyDescent="0.25">
      <c r="A218" s="25" t="s">
        <v>131</v>
      </c>
      <c r="B218" s="16">
        <v>902</v>
      </c>
      <c r="C218" s="20" t="s">
        <v>244</v>
      </c>
      <c r="D218" s="20" t="s">
        <v>120</v>
      </c>
      <c r="E218" s="20" t="s">
        <v>260</v>
      </c>
      <c r="F218" s="20" t="s">
        <v>132</v>
      </c>
      <c r="G218" s="26">
        <f>G219</f>
        <v>264.39999999999998</v>
      </c>
      <c r="H218" s="173"/>
    </row>
    <row r="219" spans="1:12" ht="47.25" x14ac:dyDescent="0.25">
      <c r="A219" s="25" t="s">
        <v>133</v>
      </c>
      <c r="B219" s="16">
        <v>902</v>
      </c>
      <c r="C219" s="20" t="s">
        <v>244</v>
      </c>
      <c r="D219" s="20" t="s">
        <v>120</v>
      </c>
      <c r="E219" s="20" t="s">
        <v>260</v>
      </c>
      <c r="F219" s="20" t="s">
        <v>134</v>
      </c>
      <c r="G219" s="27">
        <f>433.9-112.2-14.8-42.5</f>
        <v>264.39999999999998</v>
      </c>
      <c r="H219" s="105"/>
      <c r="I219" s="114"/>
    </row>
    <row r="220" spans="1:12" ht="47.25" x14ac:dyDescent="0.25">
      <c r="A220" s="19" t="s">
        <v>261</v>
      </c>
      <c r="B220" s="19">
        <v>903</v>
      </c>
      <c r="C220" s="20"/>
      <c r="D220" s="20"/>
      <c r="E220" s="20"/>
      <c r="F220" s="20"/>
      <c r="G220" s="21">
        <f>G235+G277+G388+G221+G228</f>
        <v>83896.2</v>
      </c>
      <c r="H220" s="173"/>
      <c r="L220" s="115"/>
    </row>
    <row r="221" spans="1:12" ht="15.75" hidden="1" x14ac:dyDescent="0.25">
      <c r="A221" s="23" t="s">
        <v>117</v>
      </c>
      <c r="B221" s="19">
        <v>903</v>
      </c>
      <c r="C221" s="24" t="s">
        <v>118</v>
      </c>
      <c r="D221" s="24"/>
      <c r="E221" s="24"/>
      <c r="F221" s="24"/>
      <c r="G221" s="21">
        <f t="shared" ref="G221:G226" si="0">G222</f>
        <v>0</v>
      </c>
      <c r="H221" s="173"/>
    </row>
    <row r="222" spans="1:12" ht="15.75" hidden="1" x14ac:dyDescent="0.25">
      <c r="A222" s="34" t="s">
        <v>139</v>
      </c>
      <c r="B222" s="19">
        <v>903</v>
      </c>
      <c r="C222" s="24" t="s">
        <v>118</v>
      </c>
      <c r="D222" s="24" t="s">
        <v>140</v>
      </c>
      <c r="E222" s="24"/>
      <c r="F222" s="24"/>
      <c r="G222" s="21">
        <f t="shared" si="0"/>
        <v>0</v>
      </c>
      <c r="H222" s="173"/>
    </row>
    <row r="223" spans="1:12" ht="15.75" hidden="1" x14ac:dyDescent="0.25">
      <c r="A223" s="31" t="s">
        <v>121</v>
      </c>
      <c r="B223" s="16">
        <v>903</v>
      </c>
      <c r="C223" s="20" t="s">
        <v>118</v>
      </c>
      <c r="D223" s="20" t="s">
        <v>140</v>
      </c>
      <c r="E223" s="20" t="s">
        <v>122</v>
      </c>
      <c r="F223" s="20"/>
      <c r="G223" s="26">
        <f t="shared" si="0"/>
        <v>0</v>
      </c>
      <c r="H223" s="173"/>
    </row>
    <row r="224" spans="1:12" ht="15.75" hidden="1" x14ac:dyDescent="0.25">
      <c r="A224" s="31" t="s">
        <v>141</v>
      </c>
      <c r="B224" s="16">
        <v>903</v>
      </c>
      <c r="C224" s="20" t="s">
        <v>118</v>
      </c>
      <c r="D224" s="20" t="s">
        <v>140</v>
      </c>
      <c r="E224" s="20" t="s">
        <v>142</v>
      </c>
      <c r="F224" s="20"/>
      <c r="G224" s="26">
        <f t="shared" si="0"/>
        <v>0</v>
      </c>
      <c r="H224" s="173"/>
    </row>
    <row r="225" spans="1:8" ht="15.75" hidden="1" x14ac:dyDescent="0.25">
      <c r="A225" s="25" t="s">
        <v>179</v>
      </c>
      <c r="B225" s="16">
        <v>903</v>
      </c>
      <c r="C225" s="20" t="s">
        <v>118</v>
      </c>
      <c r="D225" s="20" t="s">
        <v>140</v>
      </c>
      <c r="E225" s="20" t="s">
        <v>262</v>
      </c>
      <c r="F225" s="20"/>
      <c r="G225" s="26">
        <f t="shared" si="0"/>
        <v>0</v>
      </c>
      <c r="H225" s="173"/>
    </row>
    <row r="226" spans="1:8" ht="31.5" hidden="1" x14ac:dyDescent="0.25">
      <c r="A226" s="25" t="s">
        <v>131</v>
      </c>
      <c r="B226" s="16">
        <v>903</v>
      </c>
      <c r="C226" s="20" t="s">
        <v>118</v>
      </c>
      <c r="D226" s="20" t="s">
        <v>140</v>
      </c>
      <c r="E226" s="20" t="s">
        <v>262</v>
      </c>
      <c r="F226" s="20" t="s">
        <v>132</v>
      </c>
      <c r="G226" s="26">
        <f t="shared" si="0"/>
        <v>0</v>
      </c>
      <c r="H226" s="173"/>
    </row>
    <row r="227" spans="1:8" ht="47.25" hidden="1" x14ac:dyDescent="0.25">
      <c r="A227" s="25" t="s">
        <v>133</v>
      </c>
      <c r="B227" s="16">
        <v>903</v>
      </c>
      <c r="C227" s="20" t="s">
        <v>118</v>
      </c>
      <c r="D227" s="20" t="s">
        <v>140</v>
      </c>
      <c r="E227" s="20" t="s">
        <v>262</v>
      </c>
      <c r="F227" s="20" t="s">
        <v>134</v>
      </c>
      <c r="G227" s="26"/>
      <c r="H227" s="173"/>
    </row>
    <row r="228" spans="1:8" ht="15.75" x14ac:dyDescent="0.25">
      <c r="A228" s="23" t="s">
        <v>117</v>
      </c>
      <c r="B228" s="19">
        <v>903</v>
      </c>
      <c r="C228" s="24" t="s">
        <v>118</v>
      </c>
      <c r="D228" s="20"/>
      <c r="E228" s="20"/>
      <c r="F228" s="20"/>
      <c r="G228" s="26">
        <f t="shared" ref="G228:G233" si="1">G229</f>
        <v>88.7</v>
      </c>
      <c r="H228" s="173"/>
    </row>
    <row r="229" spans="1:8" ht="15.75" x14ac:dyDescent="0.25">
      <c r="A229" s="23" t="s">
        <v>139</v>
      </c>
      <c r="B229" s="19">
        <v>903</v>
      </c>
      <c r="C229" s="24" t="s">
        <v>118</v>
      </c>
      <c r="D229" s="24" t="s">
        <v>140</v>
      </c>
      <c r="E229" s="20"/>
      <c r="F229" s="20"/>
      <c r="G229" s="26">
        <f t="shared" si="1"/>
        <v>88.7</v>
      </c>
      <c r="H229" s="173"/>
    </row>
    <row r="230" spans="1:8" ht="15.75" x14ac:dyDescent="0.25">
      <c r="A230" s="25" t="s">
        <v>121</v>
      </c>
      <c r="B230" s="16">
        <v>903</v>
      </c>
      <c r="C230" s="20" t="s">
        <v>118</v>
      </c>
      <c r="D230" s="20" t="s">
        <v>140</v>
      </c>
      <c r="E230" s="20" t="s">
        <v>122</v>
      </c>
      <c r="F230" s="20"/>
      <c r="G230" s="26">
        <f t="shared" si="1"/>
        <v>88.7</v>
      </c>
      <c r="H230" s="173"/>
    </row>
    <row r="231" spans="1:8" ht="31.5" x14ac:dyDescent="0.25">
      <c r="A231" s="25" t="s">
        <v>185</v>
      </c>
      <c r="B231" s="16">
        <v>903</v>
      </c>
      <c r="C231" s="20" t="s">
        <v>118</v>
      </c>
      <c r="D231" s="20" t="s">
        <v>140</v>
      </c>
      <c r="E231" s="20" t="s">
        <v>186</v>
      </c>
      <c r="F231" s="20"/>
      <c r="G231" s="26">
        <f t="shared" si="1"/>
        <v>88.7</v>
      </c>
      <c r="H231" s="173"/>
    </row>
    <row r="232" spans="1:8" ht="47.25" x14ac:dyDescent="0.25">
      <c r="A232" s="35" t="s">
        <v>735</v>
      </c>
      <c r="B232" s="16">
        <v>903</v>
      </c>
      <c r="C232" s="20" t="s">
        <v>118</v>
      </c>
      <c r="D232" s="20" t="s">
        <v>140</v>
      </c>
      <c r="E232" s="20" t="s">
        <v>734</v>
      </c>
      <c r="F232" s="24"/>
      <c r="G232" s="26">
        <f t="shared" si="1"/>
        <v>88.7</v>
      </c>
      <c r="H232" s="173"/>
    </row>
    <row r="233" spans="1:8" ht="31.5" x14ac:dyDescent="0.25">
      <c r="A233" s="25" t="s">
        <v>131</v>
      </c>
      <c r="B233" s="16">
        <v>903</v>
      </c>
      <c r="C233" s="20" t="s">
        <v>118</v>
      </c>
      <c r="D233" s="20" t="s">
        <v>140</v>
      </c>
      <c r="E233" s="20" t="s">
        <v>734</v>
      </c>
      <c r="F233" s="20" t="s">
        <v>132</v>
      </c>
      <c r="G233" s="26">
        <f t="shared" si="1"/>
        <v>88.7</v>
      </c>
      <c r="H233" s="173"/>
    </row>
    <row r="234" spans="1:8" ht="53.45" customHeight="1" x14ac:dyDescent="0.25">
      <c r="A234" s="25" t="s">
        <v>133</v>
      </c>
      <c r="B234" s="16">
        <v>903</v>
      </c>
      <c r="C234" s="20" t="s">
        <v>118</v>
      </c>
      <c r="D234" s="20" t="s">
        <v>140</v>
      </c>
      <c r="E234" s="20" t="s">
        <v>734</v>
      </c>
      <c r="F234" s="20" t="s">
        <v>134</v>
      </c>
      <c r="G234" s="159">
        <v>88.7</v>
      </c>
      <c r="H234" s="154" t="s">
        <v>729</v>
      </c>
    </row>
    <row r="235" spans="1:8" ht="15.75" x14ac:dyDescent="0.25">
      <c r="A235" s="23" t="s">
        <v>263</v>
      </c>
      <c r="B235" s="19">
        <v>903</v>
      </c>
      <c r="C235" s="24" t="s">
        <v>264</v>
      </c>
      <c r="D235" s="20"/>
      <c r="E235" s="20"/>
      <c r="F235" s="20"/>
      <c r="G235" s="21">
        <f>G236+G271</f>
        <v>17482.699999999997</v>
      </c>
      <c r="H235" s="173"/>
    </row>
    <row r="236" spans="1:8" ht="15.75" x14ac:dyDescent="0.25">
      <c r="A236" s="23" t="s">
        <v>265</v>
      </c>
      <c r="B236" s="19">
        <v>903</v>
      </c>
      <c r="C236" s="24" t="s">
        <v>264</v>
      </c>
      <c r="D236" s="24" t="s">
        <v>215</v>
      </c>
      <c r="E236" s="24"/>
      <c r="F236" s="24"/>
      <c r="G236" s="21">
        <f>G237+G260</f>
        <v>17482.699999999997</v>
      </c>
      <c r="H236" s="173"/>
    </row>
    <row r="237" spans="1:8" ht="47.25" x14ac:dyDescent="0.25">
      <c r="A237" s="25" t="s">
        <v>266</v>
      </c>
      <c r="B237" s="16">
        <v>903</v>
      </c>
      <c r="C237" s="20" t="s">
        <v>264</v>
      </c>
      <c r="D237" s="20" t="s">
        <v>215</v>
      </c>
      <c r="E237" s="20" t="s">
        <v>267</v>
      </c>
      <c r="F237" s="20"/>
      <c r="G237" s="26">
        <f>G238</f>
        <v>16445.599999999999</v>
      </c>
      <c r="H237" s="173"/>
    </row>
    <row r="238" spans="1:8" ht="63" x14ac:dyDescent="0.25">
      <c r="A238" s="25" t="s">
        <v>268</v>
      </c>
      <c r="B238" s="16">
        <v>903</v>
      </c>
      <c r="C238" s="20" t="s">
        <v>264</v>
      </c>
      <c r="D238" s="20" t="s">
        <v>215</v>
      </c>
      <c r="E238" s="20" t="s">
        <v>269</v>
      </c>
      <c r="F238" s="20"/>
      <c r="G238" s="26">
        <f>G239+G251</f>
        <v>16445.599999999999</v>
      </c>
      <c r="H238" s="173"/>
    </row>
    <row r="239" spans="1:8" ht="47.25" x14ac:dyDescent="0.25">
      <c r="A239" s="25" t="s">
        <v>270</v>
      </c>
      <c r="B239" s="16">
        <v>903</v>
      </c>
      <c r="C239" s="20" t="s">
        <v>264</v>
      </c>
      <c r="D239" s="20" t="s">
        <v>215</v>
      </c>
      <c r="E239" s="20" t="s">
        <v>271</v>
      </c>
      <c r="F239" s="20"/>
      <c r="G239" s="26">
        <f>G240</f>
        <v>16395.599999999999</v>
      </c>
      <c r="H239" s="173"/>
    </row>
    <row r="240" spans="1:8" ht="47.25" x14ac:dyDescent="0.25">
      <c r="A240" s="25" t="s">
        <v>272</v>
      </c>
      <c r="B240" s="16">
        <v>903</v>
      </c>
      <c r="C240" s="20" t="s">
        <v>264</v>
      </c>
      <c r="D240" s="20" t="s">
        <v>215</v>
      </c>
      <c r="E240" s="20" t="s">
        <v>271</v>
      </c>
      <c r="F240" s="20" t="s">
        <v>273</v>
      </c>
      <c r="G240" s="26">
        <f>G241</f>
        <v>16395.599999999999</v>
      </c>
      <c r="H240" s="173"/>
    </row>
    <row r="241" spans="1:9" ht="15.75" x14ac:dyDescent="0.25">
      <c r="A241" s="25" t="s">
        <v>274</v>
      </c>
      <c r="B241" s="16">
        <v>903</v>
      </c>
      <c r="C241" s="20" t="s">
        <v>264</v>
      </c>
      <c r="D241" s="20" t="s">
        <v>215</v>
      </c>
      <c r="E241" s="20" t="s">
        <v>271</v>
      </c>
      <c r="F241" s="20" t="s">
        <v>275</v>
      </c>
      <c r="G241" s="27">
        <f>15572+756.3+67.3</f>
        <v>16395.599999999999</v>
      </c>
      <c r="H241" s="105"/>
      <c r="I241" s="124"/>
    </row>
    <row r="242" spans="1:9" ht="47.25" hidden="1" x14ac:dyDescent="0.25">
      <c r="A242" s="25" t="s">
        <v>276</v>
      </c>
      <c r="B242" s="16">
        <v>903</v>
      </c>
      <c r="C242" s="20" t="s">
        <v>264</v>
      </c>
      <c r="D242" s="20" t="s">
        <v>215</v>
      </c>
      <c r="E242" s="20" t="s">
        <v>277</v>
      </c>
      <c r="F242" s="20"/>
      <c r="G242" s="26">
        <f>G243</f>
        <v>0</v>
      </c>
      <c r="H242" s="173"/>
    </row>
    <row r="243" spans="1:9" ht="47.25" hidden="1" x14ac:dyDescent="0.25">
      <c r="A243" s="25" t="s">
        <v>272</v>
      </c>
      <c r="B243" s="16">
        <v>903</v>
      </c>
      <c r="C243" s="20" t="s">
        <v>264</v>
      </c>
      <c r="D243" s="20" t="s">
        <v>215</v>
      </c>
      <c r="E243" s="20" t="s">
        <v>277</v>
      </c>
      <c r="F243" s="20" t="s">
        <v>273</v>
      </c>
      <c r="G243" s="26">
        <f>G244</f>
        <v>0</v>
      </c>
      <c r="H243" s="173"/>
    </row>
    <row r="244" spans="1:9" ht="15.75" hidden="1" x14ac:dyDescent="0.25">
      <c r="A244" s="25" t="s">
        <v>274</v>
      </c>
      <c r="B244" s="16">
        <v>903</v>
      </c>
      <c r="C244" s="20" t="s">
        <v>264</v>
      </c>
      <c r="D244" s="20" t="s">
        <v>215</v>
      </c>
      <c r="E244" s="20" t="s">
        <v>277</v>
      </c>
      <c r="F244" s="20" t="s">
        <v>275</v>
      </c>
      <c r="G244" s="26">
        <v>0</v>
      </c>
      <c r="H244" s="173"/>
    </row>
    <row r="245" spans="1:9" ht="47.25" hidden="1" x14ac:dyDescent="0.25">
      <c r="A245" s="25" t="s">
        <v>278</v>
      </c>
      <c r="B245" s="16">
        <v>903</v>
      </c>
      <c r="C245" s="20" t="s">
        <v>264</v>
      </c>
      <c r="D245" s="20" t="s">
        <v>215</v>
      </c>
      <c r="E245" s="20" t="s">
        <v>279</v>
      </c>
      <c r="F245" s="20"/>
      <c r="G245" s="26">
        <f>G246</f>
        <v>0</v>
      </c>
      <c r="H245" s="173"/>
    </row>
    <row r="246" spans="1:9" ht="47.25" hidden="1" x14ac:dyDescent="0.25">
      <c r="A246" s="25" t="s">
        <v>272</v>
      </c>
      <c r="B246" s="16">
        <v>903</v>
      </c>
      <c r="C246" s="20" t="s">
        <v>264</v>
      </c>
      <c r="D246" s="20" t="s">
        <v>215</v>
      </c>
      <c r="E246" s="20" t="s">
        <v>279</v>
      </c>
      <c r="F246" s="20" t="s">
        <v>273</v>
      </c>
      <c r="G246" s="26">
        <f>G247</f>
        <v>0</v>
      </c>
      <c r="H246" s="173"/>
    </row>
    <row r="247" spans="1:9" ht="15.75" hidden="1" x14ac:dyDescent="0.25">
      <c r="A247" s="25" t="s">
        <v>274</v>
      </c>
      <c r="B247" s="16">
        <v>903</v>
      </c>
      <c r="C247" s="20" t="s">
        <v>264</v>
      </c>
      <c r="D247" s="20" t="s">
        <v>215</v>
      </c>
      <c r="E247" s="20" t="s">
        <v>279</v>
      </c>
      <c r="F247" s="20" t="s">
        <v>275</v>
      </c>
      <c r="G247" s="26">
        <v>0</v>
      </c>
      <c r="H247" s="173"/>
    </row>
    <row r="248" spans="1:9" ht="31.5" hidden="1" x14ac:dyDescent="0.25">
      <c r="A248" s="25" t="s">
        <v>280</v>
      </c>
      <c r="B248" s="16">
        <v>903</v>
      </c>
      <c r="C248" s="20" t="s">
        <v>264</v>
      </c>
      <c r="D248" s="20" t="s">
        <v>215</v>
      </c>
      <c r="E248" s="20" t="s">
        <v>281</v>
      </c>
      <c r="F248" s="20"/>
      <c r="G248" s="26">
        <f>G249</f>
        <v>0</v>
      </c>
      <c r="H248" s="173"/>
    </row>
    <row r="249" spans="1:9" ht="47.25" hidden="1" x14ac:dyDescent="0.25">
      <c r="A249" s="25" t="s">
        <v>272</v>
      </c>
      <c r="B249" s="16">
        <v>903</v>
      </c>
      <c r="C249" s="20" t="s">
        <v>264</v>
      </c>
      <c r="D249" s="20" t="s">
        <v>215</v>
      </c>
      <c r="E249" s="20" t="s">
        <v>281</v>
      </c>
      <c r="F249" s="20" t="s">
        <v>273</v>
      </c>
      <c r="G249" s="26">
        <f>G250</f>
        <v>0</v>
      </c>
      <c r="H249" s="173"/>
    </row>
    <row r="250" spans="1:9" ht="15.75" hidden="1" x14ac:dyDescent="0.25">
      <c r="A250" s="25" t="s">
        <v>274</v>
      </c>
      <c r="B250" s="16">
        <v>903</v>
      </c>
      <c r="C250" s="20" t="s">
        <v>264</v>
      </c>
      <c r="D250" s="20" t="s">
        <v>215</v>
      </c>
      <c r="E250" s="20" t="s">
        <v>281</v>
      </c>
      <c r="F250" s="20" t="s">
        <v>275</v>
      </c>
      <c r="G250" s="26">
        <v>0</v>
      </c>
      <c r="H250" s="173"/>
    </row>
    <row r="251" spans="1:9" ht="47.25" x14ac:dyDescent="0.25">
      <c r="A251" s="25" t="s">
        <v>282</v>
      </c>
      <c r="B251" s="16">
        <v>903</v>
      </c>
      <c r="C251" s="20" t="s">
        <v>264</v>
      </c>
      <c r="D251" s="20" t="s">
        <v>215</v>
      </c>
      <c r="E251" s="20" t="s">
        <v>283</v>
      </c>
      <c r="F251" s="20"/>
      <c r="G251" s="26">
        <f>G252</f>
        <v>50</v>
      </c>
      <c r="H251" s="173"/>
    </row>
    <row r="252" spans="1:9" ht="47.25" x14ac:dyDescent="0.25">
      <c r="A252" s="25" t="s">
        <v>272</v>
      </c>
      <c r="B252" s="16">
        <v>903</v>
      </c>
      <c r="C252" s="20" t="s">
        <v>264</v>
      </c>
      <c r="D252" s="20" t="s">
        <v>215</v>
      </c>
      <c r="E252" s="20" t="s">
        <v>283</v>
      </c>
      <c r="F252" s="20" t="s">
        <v>273</v>
      </c>
      <c r="G252" s="26">
        <f>G253</f>
        <v>50</v>
      </c>
      <c r="H252" s="173"/>
    </row>
    <row r="253" spans="1:9" ht="15.75" x14ac:dyDescent="0.25">
      <c r="A253" s="25" t="s">
        <v>274</v>
      </c>
      <c r="B253" s="16">
        <v>903</v>
      </c>
      <c r="C253" s="20" t="s">
        <v>264</v>
      </c>
      <c r="D253" s="20" t="s">
        <v>215</v>
      </c>
      <c r="E253" s="20" t="s">
        <v>283</v>
      </c>
      <c r="F253" s="20" t="s">
        <v>275</v>
      </c>
      <c r="G253" s="26">
        <v>50</v>
      </c>
      <c r="H253" s="173"/>
    </row>
    <row r="254" spans="1:9" ht="31.5" hidden="1" x14ac:dyDescent="0.25">
      <c r="A254" s="25" t="s">
        <v>284</v>
      </c>
      <c r="B254" s="16">
        <v>903</v>
      </c>
      <c r="C254" s="20" t="s">
        <v>264</v>
      </c>
      <c r="D254" s="20" t="s">
        <v>215</v>
      </c>
      <c r="E254" s="20" t="s">
        <v>285</v>
      </c>
      <c r="F254" s="20"/>
      <c r="G254" s="26">
        <f>G255</f>
        <v>0</v>
      </c>
      <c r="H254" s="173"/>
    </row>
    <row r="255" spans="1:9" ht="47.25" hidden="1" x14ac:dyDescent="0.25">
      <c r="A255" s="25" t="s">
        <v>272</v>
      </c>
      <c r="B255" s="16">
        <v>903</v>
      </c>
      <c r="C255" s="20" t="s">
        <v>264</v>
      </c>
      <c r="D255" s="20" t="s">
        <v>215</v>
      </c>
      <c r="E255" s="20" t="s">
        <v>286</v>
      </c>
      <c r="F255" s="20" t="s">
        <v>273</v>
      </c>
      <c r="G255" s="26">
        <f>G256</f>
        <v>0</v>
      </c>
      <c r="H255" s="173"/>
    </row>
    <row r="256" spans="1:9" ht="15.75" hidden="1" x14ac:dyDescent="0.25">
      <c r="A256" s="25" t="s">
        <v>274</v>
      </c>
      <c r="B256" s="16">
        <v>903</v>
      </c>
      <c r="C256" s="20" t="s">
        <v>264</v>
      </c>
      <c r="D256" s="20" t="s">
        <v>215</v>
      </c>
      <c r="E256" s="20" t="s">
        <v>286</v>
      </c>
      <c r="F256" s="20" t="s">
        <v>275</v>
      </c>
      <c r="G256" s="26">
        <v>0</v>
      </c>
      <c r="H256" s="173"/>
    </row>
    <row r="257" spans="1:9" ht="47.25" hidden="1" x14ac:dyDescent="0.25">
      <c r="A257" s="35" t="s">
        <v>287</v>
      </c>
      <c r="B257" s="16">
        <v>903</v>
      </c>
      <c r="C257" s="20" t="s">
        <v>264</v>
      </c>
      <c r="D257" s="20" t="s">
        <v>215</v>
      </c>
      <c r="E257" s="20" t="s">
        <v>288</v>
      </c>
      <c r="F257" s="20"/>
      <c r="G257" s="26">
        <f>G258</f>
        <v>0</v>
      </c>
      <c r="H257" s="173"/>
    </row>
    <row r="258" spans="1:9" ht="47.25" hidden="1" x14ac:dyDescent="0.25">
      <c r="A258" s="25" t="s">
        <v>272</v>
      </c>
      <c r="B258" s="16">
        <v>903</v>
      </c>
      <c r="C258" s="20" t="s">
        <v>264</v>
      </c>
      <c r="D258" s="20" t="s">
        <v>215</v>
      </c>
      <c r="E258" s="20" t="s">
        <v>288</v>
      </c>
      <c r="F258" s="20" t="s">
        <v>273</v>
      </c>
      <c r="G258" s="26">
        <f>G259</f>
        <v>0</v>
      </c>
      <c r="H258" s="173"/>
    </row>
    <row r="259" spans="1:9" ht="15.75" hidden="1" x14ac:dyDescent="0.25">
      <c r="A259" s="25" t="s">
        <v>274</v>
      </c>
      <c r="B259" s="16">
        <v>903</v>
      </c>
      <c r="C259" s="20" t="s">
        <v>264</v>
      </c>
      <c r="D259" s="20" t="s">
        <v>215</v>
      </c>
      <c r="E259" s="20" t="s">
        <v>288</v>
      </c>
      <c r="F259" s="20" t="s">
        <v>275</v>
      </c>
      <c r="G259" s="26">
        <v>0</v>
      </c>
      <c r="H259" s="173"/>
    </row>
    <row r="260" spans="1:9" ht="15.75" x14ac:dyDescent="0.25">
      <c r="A260" s="25" t="s">
        <v>121</v>
      </c>
      <c r="B260" s="16">
        <v>903</v>
      </c>
      <c r="C260" s="20" t="s">
        <v>264</v>
      </c>
      <c r="D260" s="20" t="s">
        <v>215</v>
      </c>
      <c r="E260" s="20" t="s">
        <v>122</v>
      </c>
      <c r="F260" s="20"/>
      <c r="G260" s="26">
        <f>G261</f>
        <v>1037.1000000000001</v>
      </c>
      <c r="H260" s="173"/>
    </row>
    <row r="261" spans="1:9" ht="31.5" x14ac:dyDescent="0.25">
      <c r="A261" s="25" t="s">
        <v>185</v>
      </c>
      <c r="B261" s="16">
        <v>903</v>
      </c>
      <c r="C261" s="20" t="s">
        <v>264</v>
      </c>
      <c r="D261" s="20" t="s">
        <v>215</v>
      </c>
      <c r="E261" s="20" t="s">
        <v>186</v>
      </c>
      <c r="F261" s="20"/>
      <c r="G261" s="26">
        <f>G262+G265+G268</f>
        <v>1037.1000000000001</v>
      </c>
      <c r="H261" s="173"/>
    </row>
    <row r="262" spans="1:9" ht="63" x14ac:dyDescent="0.25">
      <c r="A262" s="31" t="s">
        <v>289</v>
      </c>
      <c r="B262" s="16">
        <v>903</v>
      </c>
      <c r="C262" s="20" t="s">
        <v>264</v>
      </c>
      <c r="D262" s="20" t="s">
        <v>215</v>
      </c>
      <c r="E262" s="20" t="s">
        <v>290</v>
      </c>
      <c r="F262" s="20"/>
      <c r="G262" s="26">
        <f>G263</f>
        <v>126.69999999999999</v>
      </c>
      <c r="H262" s="173"/>
    </row>
    <row r="263" spans="1:9" ht="47.25" x14ac:dyDescent="0.25">
      <c r="A263" s="25" t="s">
        <v>272</v>
      </c>
      <c r="B263" s="16">
        <v>903</v>
      </c>
      <c r="C263" s="20" t="s">
        <v>264</v>
      </c>
      <c r="D263" s="20" t="s">
        <v>215</v>
      </c>
      <c r="E263" s="20" t="s">
        <v>290</v>
      </c>
      <c r="F263" s="20" t="s">
        <v>273</v>
      </c>
      <c r="G263" s="26">
        <f>G264</f>
        <v>126.69999999999999</v>
      </c>
      <c r="H263" s="173"/>
    </row>
    <row r="264" spans="1:9" ht="15.75" x14ac:dyDescent="0.25">
      <c r="A264" s="25" t="s">
        <v>274</v>
      </c>
      <c r="B264" s="16">
        <v>903</v>
      </c>
      <c r="C264" s="20" t="s">
        <v>264</v>
      </c>
      <c r="D264" s="20" t="s">
        <v>215</v>
      </c>
      <c r="E264" s="20" t="s">
        <v>290</v>
      </c>
      <c r="F264" s="20" t="s">
        <v>275</v>
      </c>
      <c r="G264" s="26">
        <f>162.6-35.9</f>
        <v>126.69999999999999</v>
      </c>
      <c r="H264" s="173"/>
      <c r="I264" s="114"/>
    </row>
    <row r="265" spans="1:9" ht="78.75" x14ac:dyDescent="0.25">
      <c r="A265" s="31" t="s">
        <v>291</v>
      </c>
      <c r="B265" s="16">
        <v>903</v>
      </c>
      <c r="C265" s="20" t="s">
        <v>264</v>
      </c>
      <c r="D265" s="20" t="s">
        <v>215</v>
      </c>
      <c r="E265" s="20" t="s">
        <v>292</v>
      </c>
      <c r="F265" s="20"/>
      <c r="G265" s="26">
        <f>G266</f>
        <v>310.70000000000005</v>
      </c>
      <c r="H265" s="173"/>
    </row>
    <row r="266" spans="1:9" ht="47.25" x14ac:dyDescent="0.25">
      <c r="A266" s="25" t="s">
        <v>272</v>
      </c>
      <c r="B266" s="16">
        <v>903</v>
      </c>
      <c r="C266" s="20" t="s">
        <v>264</v>
      </c>
      <c r="D266" s="20" t="s">
        <v>215</v>
      </c>
      <c r="E266" s="20" t="s">
        <v>292</v>
      </c>
      <c r="F266" s="20" t="s">
        <v>273</v>
      </c>
      <c r="G266" s="26">
        <f>G267</f>
        <v>310.70000000000005</v>
      </c>
      <c r="H266" s="173"/>
    </row>
    <row r="267" spans="1:9" ht="15.75" x14ac:dyDescent="0.25">
      <c r="A267" s="25" t="s">
        <v>274</v>
      </c>
      <c r="B267" s="16">
        <v>903</v>
      </c>
      <c r="C267" s="20" t="s">
        <v>264</v>
      </c>
      <c r="D267" s="20" t="s">
        <v>215</v>
      </c>
      <c r="E267" s="20" t="s">
        <v>292</v>
      </c>
      <c r="F267" s="20" t="s">
        <v>275</v>
      </c>
      <c r="G267" s="26">
        <f>393.3-82.6</f>
        <v>310.70000000000005</v>
      </c>
      <c r="H267" s="173"/>
      <c r="I267" s="114"/>
    </row>
    <row r="268" spans="1:9" ht="110.25" x14ac:dyDescent="0.25">
      <c r="A268" s="31" t="s">
        <v>293</v>
      </c>
      <c r="B268" s="16">
        <v>903</v>
      </c>
      <c r="C268" s="20" t="s">
        <v>264</v>
      </c>
      <c r="D268" s="20" t="s">
        <v>215</v>
      </c>
      <c r="E268" s="20" t="s">
        <v>294</v>
      </c>
      <c r="F268" s="20"/>
      <c r="G268" s="26">
        <f>G269</f>
        <v>599.70000000000005</v>
      </c>
      <c r="H268" s="173"/>
    </row>
    <row r="269" spans="1:9" ht="47.25" x14ac:dyDescent="0.25">
      <c r="A269" s="25" t="s">
        <v>272</v>
      </c>
      <c r="B269" s="16">
        <v>903</v>
      </c>
      <c r="C269" s="20" t="s">
        <v>264</v>
      </c>
      <c r="D269" s="20" t="s">
        <v>215</v>
      </c>
      <c r="E269" s="20" t="s">
        <v>294</v>
      </c>
      <c r="F269" s="20" t="s">
        <v>273</v>
      </c>
      <c r="G269" s="26">
        <f>G270</f>
        <v>599.70000000000005</v>
      </c>
      <c r="H269" s="173"/>
    </row>
    <row r="270" spans="1:9" ht="15.75" x14ac:dyDescent="0.25">
      <c r="A270" s="25" t="s">
        <v>274</v>
      </c>
      <c r="B270" s="16">
        <v>903</v>
      </c>
      <c r="C270" s="20" t="s">
        <v>264</v>
      </c>
      <c r="D270" s="20" t="s">
        <v>215</v>
      </c>
      <c r="E270" s="20" t="s">
        <v>294</v>
      </c>
      <c r="F270" s="20" t="s">
        <v>275</v>
      </c>
      <c r="G270" s="26">
        <f>600-0.3</f>
        <v>599.70000000000005</v>
      </c>
      <c r="H270" s="173"/>
      <c r="I270" s="114"/>
    </row>
    <row r="271" spans="1:9" ht="15.75" hidden="1" x14ac:dyDescent="0.25">
      <c r="A271" s="23" t="s">
        <v>295</v>
      </c>
      <c r="B271" s="19">
        <v>903</v>
      </c>
      <c r="C271" s="24" t="s">
        <v>264</v>
      </c>
      <c r="D271" s="24" t="s">
        <v>219</v>
      </c>
      <c r="E271" s="24"/>
      <c r="F271" s="24"/>
      <c r="G271" s="26">
        <f>G272</f>
        <v>0</v>
      </c>
      <c r="H271" s="173"/>
    </row>
    <row r="272" spans="1:9" ht="15.75" hidden="1" x14ac:dyDescent="0.25">
      <c r="A272" s="25" t="s">
        <v>121</v>
      </c>
      <c r="B272" s="16">
        <v>903</v>
      </c>
      <c r="C272" s="20" t="s">
        <v>264</v>
      </c>
      <c r="D272" s="20" t="s">
        <v>219</v>
      </c>
      <c r="E272" s="20" t="s">
        <v>122</v>
      </c>
      <c r="F272" s="20"/>
      <c r="G272" s="26">
        <f>G273</f>
        <v>0</v>
      </c>
      <c r="H272" s="173"/>
    </row>
    <row r="273" spans="1:12" ht="31.5" hidden="1" x14ac:dyDescent="0.25">
      <c r="A273" s="25" t="s">
        <v>185</v>
      </c>
      <c r="B273" s="16">
        <v>903</v>
      </c>
      <c r="C273" s="20" t="s">
        <v>264</v>
      </c>
      <c r="D273" s="20" t="s">
        <v>219</v>
      </c>
      <c r="E273" s="20" t="s">
        <v>186</v>
      </c>
      <c r="F273" s="20"/>
      <c r="G273" s="26">
        <f>G274</f>
        <v>0</v>
      </c>
      <c r="H273" s="173"/>
    </row>
    <row r="274" spans="1:12" ht="31.5" hidden="1" x14ac:dyDescent="0.25">
      <c r="A274" s="36" t="s">
        <v>296</v>
      </c>
      <c r="B274" s="37">
        <v>903</v>
      </c>
      <c r="C274" s="20" t="s">
        <v>264</v>
      </c>
      <c r="D274" s="20" t="s">
        <v>219</v>
      </c>
      <c r="E274" s="20" t="s">
        <v>297</v>
      </c>
      <c r="F274" s="20"/>
      <c r="G274" s="26">
        <f>G275</f>
        <v>0</v>
      </c>
      <c r="H274" s="173"/>
    </row>
    <row r="275" spans="1:12" ht="15.75" hidden="1" x14ac:dyDescent="0.25">
      <c r="A275" s="25" t="s">
        <v>135</v>
      </c>
      <c r="B275" s="16">
        <v>903</v>
      </c>
      <c r="C275" s="20" t="s">
        <v>264</v>
      </c>
      <c r="D275" s="20" t="s">
        <v>219</v>
      </c>
      <c r="E275" s="20" t="s">
        <v>297</v>
      </c>
      <c r="F275" s="20" t="s">
        <v>145</v>
      </c>
      <c r="G275" s="26">
        <f>G276</f>
        <v>0</v>
      </c>
      <c r="H275" s="173"/>
    </row>
    <row r="276" spans="1:12" ht="63" hidden="1" x14ac:dyDescent="0.25">
      <c r="A276" s="25" t="s">
        <v>184</v>
      </c>
      <c r="B276" s="16">
        <v>903</v>
      </c>
      <c r="C276" s="20" t="s">
        <v>264</v>
      </c>
      <c r="D276" s="20" t="s">
        <v>219</v>
      </c>
      <c r="E276" s="20" t="s">
        <v>297</v>
      </c>
      <c r="F276" s="20" t="s">
        <v>160</v>
      </c>
      <c r="G276" s="26"/>
      <c r="H276" s="173"/>
    </row>
    <row r="277" spans="1:12" ht="15.75" x14ac:dyDescent="0.25">
      <c r="A277" s="23" t="s">
        <v>298</v>
      </c>
      <c r="B277" s="19">
        <v>903</v>
      </c>
      <c r="C277" s="24" t="s">
        <v>299</v>
      </c>
      <c r="D277" s="24"/>
      <c r="E277" s="24"/>
      <c r="F277" s="24"/>
      <c r="G277" s="21">
        <f>G278+G358</f>
        <v>61699.8</v>
      </c>
      <c r="H277" s="173"/>
    </row>
    <row r="278" spans="1:12" ht="15.75" x14ac:dyDescent="0.25">
      <c r="A278" s="23" t="s">
        <v>300</v>
      </c>
      <c r="B278" s="19">
        <v>903</v>
      </c>
      <c r="C278" s="24" t="s">
        <v>299</v>
      </c>
      <c r="D278" s="24" t="s">
        <v>118</v>
      </c>
      <c r="E278" s="24"/>
      <c r="F278" s="24"/>
      <c r="G278" s="21">
        <f>G279+G337+G333</f>
        <v>44421.000000000007</v>
      </c>
      <c r="H278" s="173"/>
    </row>
    <row r="279" spans="1:12" ht="47.25" x14ac:dyDescent="0.25">
      <c r="A279" s="25" t="s">
        <v>266</v>
      </c>
      <c r="B279" s="16">
        <v>903</v>
      </c>
      <c r="C279" s="20" t="s">
        <v>299</v>
      </c>
      <c r="D279" s="20" t="s">
        <v>118</v>
      </c>
      <c r="E279" s="20" t="s">
        <v>267</v>
      </c>
      <c r="F279" s="20"/>
      <c r="G279" s="26">
        <f>G280+G306</f>
        <v>42083.100000000006</v>
      </c>
      <c r="H279" s="173"/>
    </row>
    <row r="280" spans="1:12" ht="63" x14ac:dyDescent="0.25">
      <c r="A280" s="25" t="s">
        <v>301</v>
      </c>
      <c r="B280" s="16">
        <v>903</v>
      </c>
      <c r="C280" s="20" t="s">
        <v>299</v>
      </c>
      <c r="D280" s="20" t="s">
        <v>118</v>
      </c>
      <c r="E280" s="20" t="s">
        <v>302</v>
      </c>
      <c r="F280" s="20"/>
      <c r="G280" s="26">
        <f>G281+G299+G284+G287+G290+G293+G296</f>
        <v>25422.5</v>
      </c>
      <c r="H280" s="173"/>
    </row>
    <row r="281" spans="1:12" ht="52.5" customHeight="1" x14ac:dyDescent="0.25">
      <c r="A281" s="25" t="s">
        <v>303</v>
      </c>
      <c r="B281" s="16">
        <v>903</v>
      </c>
      <c r="C281" s="20" t="s">
        <v>299</v>
      </c>
      <c r="D281" s="20" t="s">
        <v>118</v>
      </c>
      <c r="E281" s="20" t="s">
        <v>304</v>
      </c>
      <c r="F281" s="20"/>
      <c r="G281" s="26">
        <f>G282</f>
        <v>23654.800000000003</v>
      </c>
      <c r="H281" s="173"/>
    </row>
    <row r="282" spans="1:12" ht="47.25" x14ac:dyDescent="0.25">
      <c r="A282" s="25" t="s">
        <v>272</v>
      </c>
      <c r="B282" s="16">
        <v>903</v>
      </c>
      <c r="C282" s="20" t="s">
        <v>299</v>
      </c>
      <c r="D282" s="20" t="s">
        <v>118</v>
      </c>
      <c r="E282" s="20" t="s">
        <v>304</v>
      </c>
      <c r="F282" s="20" t="s">
        <v>273</v>
      </c>
      <c r="G282" s="26">
        <f>G283</f>
        <v>23654.800000000003</v>
      </c>
      <c r="H282" s="173"/>
    </row>
    <row r="283" spans="1:12" ht="15.75" x14ac:dyDescent="0.25">
      <c r="A283" s="25" t="s">
        <v>274</v>
      </c>
      <c r="B283" s="16">
        <v>903</v>
      </c>
      <c r="C283" s="20" t="s">
        <v>299</v>
      </c>
      <c r="D283" s="20" t="s">
        <v>118</v>
      </c>
      <c r="E283" s="20" t="s">
        <v>304</v>
      </c>
      <c r="F283" s="20" t="s">
        <v>275</v>
      </c>
      <c r="G283" s="27">
        <f>25081.9+2671.4-3136.8-961.7</f>
        <v>23654.800000000003</v>
      </c>
      <c r="H283" s="105"/>
      <c r="I283" s="124"/>
    </row>
    <row r="284" spans="1:12" ht="47.25" x14ac:dyDescent="0.25">
      <c r="A284" s="25" t="s">
        <v>703</v>
      </c>
      <c r="B284" s="16">
        <v>903</v>
      </c>
      <c r="C284" s="20" t="s">
        <v>299</v>
      </c>
      <c r="D284" s="20" t="s">
        <v>118</v>
      </c>
      <c r="E284" s="20" t="s">
        <v>305</v>
      </c>
      <c r="F284" s="20"/>
      <c r="G284" s="26">
        <f>G285</f>
        <v>96.1</v>
      </c>
      <c r="H284" s="173"/>
      <c r="L284" s="116"/>
    </row>
    <row r="285" spans="1:12" ht="47.25" x14ac:dyDescent="0.25">
      <c r="A285" s="25" t="s">
        <v>272</v>
      </c>
      <c r="B285" s="16">
        <v>903</v>
      </c>
      <c r="C285" s="20" t="s">
        <v>299</v>
      </c>
      <c r="D285" s="20" t="s">
        <v>118</v>
      </c>
      <c r="E285" s="20" t="s">
        <v>305</v>
      </c>
      <c r="F285" s="20" t="s">
        <v>273</v>
      </c>
      <c r="G285" s="26">
        <f>G286</f>
        <v>96.1</v>
      </c>
      <c r="H285" s="173"/>
    </row>
    <row r="286" spans="1:12" ht="15.75" x14ac:dyDescent="0.25">
      <c r="A286" s="25" t="s">
        <v>274</v>
      </c>
      <c r="B286" s="16">
        <v>903</v>
      </c>
      <c r="C286" s="20" t="s">
        <v>299</v>
      </c>
      <c r="D286" s="20" t="s">
        <v>118</v>
      </c>
      <c r="E286" s="20" t="s">
        <v>305</v>
      </c>
      <c r="F286" s="20" t="s">
        <v>275</v>
      </c>
      <c r="G286" s="26">
        <v>96.1</v>
      </c>
      <c r="H286" s="105"/>
    </row>
    <row r="287" spans="1:12" ht="47.25" x14ac:dyDescent="0.25">
      <c r="A287" s="25" t="s">
        <v>278</v>
      </c>
      <c r="B287" s="16">
        <v>903</v>
      </c>
      <c r="C287" s="20" t="s">
        <v>299</v>
      </c>
      <c r="D287" s="20" t="s">
        <v>118</v>
      </c>
      <c r="E287" s="20" t="s">
        <v>306</v>
      </c>
      <c r="F287" s="20"/>
      <c r="G287" s="26">
        <f>G288</f>
        <v>142.1</v>
      </c>
      <c r="H287" s="173"/>
    </row>
    <row r="288" spans="1:12" ht="47.25" x14ac:dyDescent="0.25">
      <c r="A288" s="25" t="s">
        <v>272</v>
      </c>
      <c r="B288" s="16">
        <v>903</v>
      </c>
      <c r="C288" s="20" t="s">
        <v>299</v>
      </c>
      <c r="D288" s="20" t="s">
        <v>118</v>
      </c>
      <c r="E288" s="20" t="s">
        <v>306</v>
      </c>
      <c r="F288" s="20" t="s">
        <v>273</v>
      </c>
      <c r="G288" s="26">
        <f>G289</f>
        <v>142.1</v>
      </c>
      <c r="H288" s="173"/>
    </row>
    <row r="289" spans="1:10" ht="15.75" x14ac:dyDescent="0.25">
      <c r="A289" s="25" t="s">
        <v>274</v>
      </c>
      <c r="B289" s="16">
        <v>903</v>
      </c>
      <c r="C289" s="20" t="s">
        <v>299</v>
      </c>
      <c r="D289" s="20" t="s">
        <v>118</v>
      </c>
      <c r="E289" s="20" t="s">
        <v>306</v>
      </c>
      <c r="F289" s="20" t="s">
        <v>275</v>
      </c>
      <c r="G289" s="26">
        <v>142.1</v>
      </c>
      <c r="H289" s="173"/>
      <c r="I289" s="114"/>
    </row>
    <row r="290" spans="1:10" ht="15.75" x14ac:dyDescent="0.25">
      <c r="A290" s="25" t="s">
        <v>307</v>
      </c>
      <c r="B290" s="16">
        <v>903</v>
      </c>
      <c r="C290" s="20" t="s">
        <v>299</v>
      </c>
      <c r="D290" s="20" t="s">
        <v>118</v>
      </c>
      <c r="E290" s="20" t="s">
        <v>308</v>
      </c>
      <c r="F290" s="20"/>
      <c r="G290" s="26">
        <f>G291</f>
        <v>1529.5</v>
      </c>
      <c r="H290" s="173"/>
    </row>
    <row r="291" spans="1:10" ht="47.25" x14ac:dyDescent="0.25">
      <c r="A291" s="25" t="s">
        <v>272</v>
      </c>
      <c r="B291" s="16">
        <v>903</v>
      </c>
      <c r="C291" s="20" t="s">
        <v>299</v>
      </c>
      <c r="D291" s="20" t="s">
        <v>118</v>
      </c>
      <c r="E291" s="20" t="s">
        <v>308</v>
      </c>
      <c r="F291" s="20" t="s">
        <v>273</v>
      </c>
      <c r="G291" s="26">
        <f>G292</f>
        <v>1529.5</v>
      </c>
      <c r="H291" s="173"/>
    </row>
    <row r="292" spans="1:10" ht="15.75" x14ac:dyDescent="0.25">
      <c r="A292" s="25" t="s">
        <v>274</v>
      </c>
      <c r="B292" s="16">
        <v>903</v>
      </c>
      <c r="C292" s="20" t="s">
        <v>299</v>
      </c>
      <c r="D292" s="20" t="s">
        <v>118</v>
      </c>
      <c r="E292" s="20" t="s">
        <v>308</v>
      </c>
      <c r="F292" s="20" t="s">
        <v>275</v>
      </c>
      <c r="G292" s="26">
        <f>411.9+1117.6</f>
        <v>1529.5</v>
      </c>
      <c r="H292" s="105"/>
      <c r="I292" s="124"/>
      <c r="J292" s="108"/>
    </row>
    <row r="293" spans="1:10" ht="31.5" hidden="1" x14ac:dyDescent="0.25">
      <c r="A293" s="25" t="s">
        <v>284</v>
      </c>
      <c r="B293" s="16">
        <v>903</v>
      </c>
      <c r="C293" s="20" t="s">
        <v>299</v>
      </c>
      <c r="D293" s="20" t="s">
        <v>118</v>
      </c>
      <c r="E293" s="20" t="s">
        <v>285</v>
      </c>
      <c r="F293" s="20"/>
      <c r="G293" s="26">
        <f>G294</f>
        <v>0</v>
      </c>
      <c r="H293" s="173"/>
    </row>
    <row r="294" spans="1:10" ht="47.25" hidden="1" x14ac:dyDescent="0.25">
      <c r="A294" s="25" t="s">
        <v>272</v>
      </c>
      <c r="B294" s="16">
        <v>903</v>
      </c>
      <c r="C294" s="20" t="s">
        <v>299</v>
      </c>
      <c r="D294" s="20" t="s">
        <v>118</v>
      </c>
      <c r="E294" s="20" t="s">
        <v>285</v>
      </c>
      <c r="F294" s="20" t="s">
        <v>273</v>
      </c>
      <c r="G294" s="26">
        <f>G295</f>
        <v>0</v>
      </c>
      <c r="H294" s="173"/>
    </row>
    <row r="295" spans="1:10" ht="15.75" hidden="1" x14ac:dyDescent="0.25">
      <c r="A295" s="25" t="s">
        <v>274</v>
      </c>
      <c r="B295" s="16">
        <v>903</v>
      </c>
      <c r="C295" s="20" t="s">
        <v>299</v>
      </c>
      <c r="D295" s="20" t="s">
        <v>118</v>
      </c>
      <c r="E295" s="20" t="s">
        <v>285</v>
      </c>
      <c r="F295" s="20" t="s">
        <v>275</v>
      </c>
      <c r="G295" s="26">
        <v>0</v>
      </c>
      <c r="H295" s="173"/>
    </row>
    <row r="296" spans="1:10" ht="47.25" hidden="1" x14ac:dyDescent="0.25">
      <c r="A296" s="35" t="s">
        <v>287</v>
      </c>
      <c r="B296" s="16">
        <v>903</v>
      </c>
      <c r="C296" s="20" t="s">
        <v>299</v>
      </c>
      <c r="D296" s="20" t="s">
        <v>118</v>
      </c>
      <c r="E296" s="20" t="s">
        <v>309</v>
      </c>
      <c r="F296" s="20"/>
      <c r="G296" s="26">
        <f>G297</f>
        <v>0</v>
      </c>
      <c r="H296" s="173"/>
    </row>
    <row r="297" spans="1:10" ht="47.25" hidden="1" x14ac:dyDescent="0.25">
      <c r="A297" s="25" t="s">
        <v>272</v>
      </c>
      <c r="B297" s="16">
        <v>903</v>
      </c>
      <c r="C297" s="20" t="s">
        <v>299</v>
      </c>
      <c r="D297" s="20" t="s">
        <v>118</v>
      </c>
      <c r="E297" s="20" t="s">
        <v>309</v>
      </c>
      <c r="F297" s="20" t="s">
        <v>273</v>
      </c>
      <c r="G297" s="26">
        <f>G298</f>
        <v>0</v>
      </c>
      <c r="H297" s="173"/>
    </row>
    <row r="298" spans="1:10" ht="15.75" hidden="1" x14ac:dyDescent="0.25">
      <c r="A298" s="25" t="s">
        <v>274</v>
      </c>
      <c r="B298" s="16">
        <v>903</v>
      </c>
      <c r="C298" s="20" t="s">
        <v>299</v>
      </c>
      <c r="D298" s="20" t="s">
        <v>118</v>
      </c>
      <c r="E298" s="20" t="s">
        <v>309</v>
      </c>
      <c r="F298" s="20" t="s">
        <v>275</v>
      </c>
      <c r="G298" s="26">
        <v>0</v>
      </c>
      <c r="H298" s="173"/>
    </row>
    <row r="299" spans="1:10" ht="47.25" hidden="1" customHeight="1" x14ac:dyDescent="0.25">
      <c r="A299" s="25" t="s">
        <v>310</v>
      </c>
      <c r="B299" s="16">
        <v>903</v>
      </c>
      <c r="C299" s="20" t="s">
        <v>299</v>
      </c>
      <c r="D299" s="20" t="s">
        <v>118</v>
      </c>
      <c r="E299" s="20" t="s">
        <v>311</v>
      </c>
      <c r="F299" s="20"/>
      <c r="G299" s="26">
        <f>G300+G302+G304</f>
        <v>0</v>
      </c>
      <c r="H299" s="173"/>
    </row>
    <row r="300" spans="1:10" ht="94.5" hidden="1" x14ac:dyDescent="0.25">
      <c r="A300" s="25" t="s">
        <v>127</v>
      </c>
      <c r="B300" s="16">
        <v>903</v>
      </c>
      <c r="C300" s="20" t="s">
        <v>299</v>
      </c>
      <c r="D300" s="20" t="s">
        <v>118</v>
      </c>
      <c r="E300" s="20" t="s">
        <v>311</v>
      </c>
      <c r="F300" s="20" t="s">
        <v>128</v>
      </c>
      <c r="G300" s="26">
        <f>G301</f>
        <v>0</v>
      </c>
      <c r="H300" s="173"/>
    </row>
    <row r="301" spans="1:10" ht="31.5" hidden="1" x14ac:dyDescent="0.25">
      <c r="A301" s="25" t="s">
        <v>208</v>
      </c>
      <c r="B301" s="16">
        <v>903</v>
      </c>
      <c r="C301" s="20" t="s">
        <v>299</v>
      </c>
      <c r="D301" s="20" t="s">
        <v>118</v>
      </c>
      <c r="E301" s="20" t="s">
        <v>311</v>
      </c>
      <c r="F301" s="20" t="s">
        <v>209</v>
      </c>
      <c r="G301" s="27">
        <v>0</v>
      </c>
      <c r="H301" s="173"/>
    </row>
    <row r="302" spans="1:10" ht="31.5" hidden="1" x14ac:dyDescent="0.25">
      <c r="A302" s="25" t="s">
        <v>131</v>
      </c>
      <c r="B302" s="16">
        <v>903</v>
      </c>
      <c r="C302" s="20" t="s">
        <v>299</v>
      </c>
      <c r="D302" s="20" t="s">
        <v>118</v>
      </c>
      <c r="E302" s="20" t="s">
        <v>311</v>
      </c>
      <c r="F302" s="20" t="s">
        <v>132</v>
      </c>
      <c r="G302" s="26">
        <f>G303</f>
        <v>0</v>
      </c>
      <c r="H302" s="173"/>
    </row>
    <row r="303" spans="1:10" ht="47.25" hidden="1" x14ac:dyDescent="0.25">
      <c r="A303" s="25" t="s">
        <v>133</v>
      </c>
      <c r="B303" s="16">
        <v>903</v>
      </c>
      <c r="C303" s="20" t="s">
        <v>299</v>
      </c>
      <c r="D303" s="20" t="s">
        <v>118</v>
      </c>
      <c r="E303" s="20" t="s">
        <v>311</v>
      </c>
      <c r="F303" s="20" t="s">
        <v>134</v>
      </c>
      <c r="G303" s="27">
        <v>0</v>
      </c>
      <c r="H303" s="173"/>
    </row>
    <row r="304" spans="1:10" ht="15.75" hidden="1" x14ac:dyDescent="0.25">
      <c r="A304" s="25" t="s">
        <v>135</v>
      </c>
      <c r="B304" s="16">
        <v>903</v>
      </c>
      <c r="C304" s="20" t="s">
        <v>299</v>
      </c>
      <c r="D304" s="20" t="s">
        <v>118</v>
      </c>
      <c r="E304" s="20" t="s">
        <v>311</v>
      </c>
      <c r="F304" s="20" t="s">
        <v>145</v>
      </c>
      <c r="G304" s="26">
        <f>G305</f>
        <v>0</v>
      </c>
      <c r="H304" s="173"/>
    </row>
    <row r="305" spans="1:9" ht="15.75" hidden="1" x14ac:dyDescent="0.25">
      <c r="A305" s="25" t="s">
        <v>137</v>
      </c>
      <c r="B305" s="16">
        <v>903</v>
      </c>
      <c r="C305" s="20" t="s">
        <v>299</v>
      </c>
      <c r="D305" s="20" t="s">
        <v>118</v>
      </c>
      <c r="E305" s="20" t="s">
        <v>311</v>
      </c>
      <c r="F305" s="20" t="s">
        <v>138</v>
      </c>
      <c r="G305" s="26">
        <v>0</v>
      </c>
      <c r="H305" s="173"/>
    </row>
    <row r="306" spans="1:9" ht="47.25" x14ac:dyDescent="0.25">
      <c r="A306" s="25" t="s">
        <v>312</v>
      </c>
      <c r="B306" s="16">
        <v>903</v>
      </c>
      <c r="C306" s="20" t="s">
        <v>299</v>
      </c>
      <c r="D306" s="20" t="s">
        <v>118</v>
      </c>
      <c r="E306" s="20" t="s">
        <v>313</v>
      </c>
      <c r="F306" s="20"/>
      <c r="G306" s="26">
        <f>G307+G330+G318+G321+G324+G327+G310+G315</f>
        <v>16660.600000000002</v>
      </c>
      <c r="H306" s="173"/>
    </row>
    <row r="307" spans="1:9" ht="51" customHeight="1" x14ac:dyDescent="0.25">
      <c r="A307" s="25" t="s">
        <v>303</v>
      </c>
      <c r="B307" s="16">
        <v>903</v>
      </c>
      <c r="C307" s="20" t="s">
        <v>299</v>
      </c>
      <c r="D307" s="20" t="s">
        <v>118</v>
      </c>
      <c r="E307" s="20" t="s">
        <v>314</v>
      </c>
      <c r="F307" s="20"/>
      <c r="G307" s="26">
        <f>G308</f>
        <v>16655.2</v>
      </c>
      <c r="H307" s="173"/>
    </row>
    <row r="308" spans="1:9" ht="47.25" x14ac:dyDescent="0.25">
      <c r="A308" s="25" t="s">
        <v>272</v>
      </c>
      <c r="B308" s="16">
        <v>903</v>
      </c>
      <c r="C308" s="20" t="s">
        <v>299</v>
      </c>
      <c r="D308" s="20" t="s">
        <v>118</v>
      </c>
      <c r="E308" s="20" t="s">
        <v>314</v>
      </c>
      <c r="F308" s="20" t="s">
        <v>273</v>
      </c>
      <c r="G308" s="26">
        <f>G309</f>
        <v>16655.2</v>
      </c>
      <c r="H308" s="173"/>
    </row>
    <row r="309" spans="1:9" ht="15.75" x14ac:dyDescent="0.25">
      <c r="A309" s="25" t="s">
        <v>274</v>
      </c>
      <c r="B309" s="16">
        <v>903</v>
      </c>
      <c r="C309" s="20" t="s">
        <v>299</v>
      </c>
      <c r="D309" s="20" t="s">
        <v>118</v>
      </c>
      <c r="E309" s="20" t="s">
        <v>314</v>
      </c>
      <c r="F309" s="20" t="s">
        <v>275</v>
      </c>
      <c r="G309" s="27">
        <f>18073+419.6-1705.8+78.4-210</f>
        <v>16655.2</v>
      </c>
      <c r="H309" s="105"/>
      <c r="I309" s="124"/>
    </row>
    <row r="310" spans="1:9" ht="38.25" customHeight="1" x14ac:dyDescent="0.25">
      <c r="A310" s="25" t="s">
        <v>315</v>
      </c>
      <c r="B310" s="16">
        <v>903</v>
      </c>
      <c r="C310" s="20" t="s">
        <v>299</v>
      </c>
      <c r="D310" s="20" t="s">
        <v>118</v>
      </c>
      <c r="E310" s="20" t="s">
        <v>316</v>
      </c>
      <c r="F310" s="20"/>
      <c r="G310" s="27">
        <f>G311+G313</f>
        <v>5</v>
      </c>
      <c r="H310" s="173"/>
    </row>
    <row r="311" spans="1:9" ht="31.5" hidden="1" x14ac:dyDescent="0.25">
      <c r="A311" s="25" t="s">
        <v>131</v>
      </c>
      <c r="B311" s="16">
        <v>903</v>
      </c>
      <c r="C311" s="20" t="s">
        <v>299</v>
      </c>
      <c r="D311" s="20" t="s">
        <v>118</v>
      </c>
      <c r="E311" s="20" t="s">
        <v>316</v>
      </c>
      <c r="F311" s="20" t="s">
        <v>132</v>
      </c>
      <c r="G311" s="27">
        <f>G312</f>
        <v>0</v>
      </c>
      <c r="H311" s="173"/>
    </row>
    <row r="312" spans="1:9" ht="47.25" hidden="1" x14ac:dyDescent="0.25">
      <c r="A312" s="25" t="s">
        <v>133</v>
      </c>
      <c r="B312" s="16">
        <v>903</v>
      </c>
      <c r="C312" s="20" t="s">
        <v>299</v>
      </c>
      <c r="D312" s="20" t="s">
        <v>118</v>
      </c>
      <c r="E312" s="20" t="s">
        <v>316</v>
      </c>
      <c r="F312" s="20" t="s">
        <v>134</v>
      </c>
      <c r="G312" s="27">
        <v>0</v>
      </c>
      <c r="H312" s="173"/>
    </row>
    <row r="313" spans="1:9" ht="47.25" x14ac:dyDescent="0.25">
      <c r="A313" s="25" t="s">
        <v>272</v>
      </c>
      <c r="B313" s="16">
        <v>903</v>
      </c>
      <c r="C313" s="20" t="s">
        <v>299</v>
      </c>
      <c r="D313" s="20" t="s">
        <v>118</v>
      </c>
      <c r="E313" s="20" t="s">
        <v>316</v>
      </c>
      <c r="F313" s="20" t="s">
        <v>273</v>
      </c>
      <c r="G313" s="27">
        <f>G314</f>
        <v>5</v>
      </c>
      <c r="H313" s="173"/>
    </row>
    <row r="314" spans="1:9" ht="15.75" x14ac:dyDescent="0.25">
      <c r="A314" s="25" t="s">
        <v>274</v>
      </c>
      <c r="B314" s="16">
        <v>903</v>
      </c>
      <c r="C314" s="20" t="s">
        <v>299</v>
      </c>
      <c r="D314" s="20" t="s">
        <v>118</v>
      </c>
      <c r="E314" s="20" t="s">
        <v>316</v>
      </c>
      <c r="F314" s="20" t="s">
        <v>275</v>
      </c>
      <c r="G314" s="27">
        <v>5</v>
      </c>
      <c r="H314" s="173"/>
    </row>
    <row r="315" spans="1:9" ht="15.75" x14ac:dyDescent="0.25">
      <c r="A315" s="25" t="s">
        <v>683</v>
      </c>
      <c r="B315" s="16">
        <v>903</v>
      </c>
      <c r="C315" s="20" t="s">
        <v>299</v>
      </c>
      <c r="D315" s="20" t="s">
        <v>118</v>
      </c>
      <c r="E315" s="20" t="s">
        <v>684</v>
      </c>
      <c r="F315" s="20"/>
      <c r="G315" s="27">
        <f>G316</f>
        <v>0.4</v>
      </c>
      <c r="H315" s="173"/>
    </row>
    <row r="316" spans="1:9" ht="47.25" x14ac:dyDescent="0.25">
      <c r="A316" s="25" t="s">
        <v>272</v>
      </c>
      <c r="B316" s="16">
        <v>903</v>
      </c>
      <c r="C316" s="20" t="s">
        <v>299</v>
      </c>
      <c r="D316" s="20" t="s">
        <v>118</v>
      </c>
      <c r="E316" s="20" t="s">
        <v>684</v>
      </c>
      <c r="F316" s="20" t="s">
        <v>273</v>
      </c>
      <c r="G316" s="27">
        <f>G317</f>
        <v>0.4</v>
      </c>
      <c r="H316" s="173"/>
    </row>
    <row r="317" spans="1:9" ht="15.75" x14ac:dyDescent="0.25">
      <c r="A317" s="25" t="s">
        <v>274</v>
      </c>
      <c r="B317" s="16">
        <v>903</v>
      </c>
      <c r="C317" s="20" t="s">
        <v>299</v>
      </c>
      <c r="D317" s="20" t="s">
        <v>118</v>
      </c>
      <c r="E317" s="20" t="s">
        <v>684</v>
      </c>
      <c r="F317" s="20" t="s">
        <v>275</v>
      </c>
      <c r="G317" s="27">
        <v>0.4</v>
      </c>
      <c r="H317" s="105"/>
    </row>
    <row r="318" spans="1:9" ht="47.25" hidden="1" x14ac:dyDescent="0.25">
      <c r="A318" s="25" t="s">
        <v>276</v>
      </c>
      <c r="B318" s="16">
        <v>903</v>
      </c>
      <c r="C318" s="20" t="s">
        <v>299</v>
      </c>
      <c r="D318" s="20" t="s">
        <v>118</v>
      </c>
      <c r="E318" s="20" t="s">
        <v>317</v>
      </c>
      <c r="F318" s="20"/>
      <c r="G318" s="26">
        <f>G319</f>
        <v>0</v>
      </c>
      <c r="H318" s="173"/>
    </row>
    <row r="319" spans="1:9" ht="47.25" hidden="1" x14ac:dyDescent="0.25">
      <c r="A319" s="25" t="s">
        <v>272</v>
      </c>
      <c r="B319" s="16">
        <v>903</v>
      </c>
      <c r="C319" s="20" t="s">
        <v>299</v>
      </c>
      <c r="D319" s="20" t="s">
        <v>118</v>
      </c>
      <c r="E319" s="20" t="s">
        <v>317</v>
      </c>
      <c r="F319" s="20" t="s">
        <v>273</v>
      </c>
      <c r="G319" s="26">
        <f>G320</f>
        <v>0</v>
      </c>
      <c r="H319" s="173"/>
    </row>
    <row r="320" spans="1:9" ht="15.75" hidden="1" x14ac:dyDescent="0.25">
      <c r="A320" s="25" t="s">
        <v>274</v>
      </c>
      <c r="B320" s="16">
        <v>903</v>
      </c>
      <c r="C320" s="20" t="s">
        <v>299</v>
      </c>
      <c r="D320" s="20" t="s">
        <v>118</v>
      </c>
      <c r="E320" s="20" t="s">
        <v>317</v>
      </c>
      <c r="F320" s="20" t="s">
        <v>275</v>
      </c>
      <c r="G320" s="26">
        <v>0</v>
      </c>
      <c r="H320" s="173"/>
    </row>
    <row r="321" spans="1:8" ht="47.25" hidden="1" x14ac:dyDescent="0.25">
      <c r="A321" s="25" t="s">
        <v>278</v>
      </c>
      <c r="B321" s="16">
        <v>903</v>
      </c>
      <c r="C321" s="20" t="s">
        <v>299</v>
      </c>
      <c r="D321" s="20" t="s">
        <v>118</v>
      </c>
      <c r="E321" s="20" t="s">
        <v>318</v>
      </c>
      <c r="F321" s="20"/>
      <c r="G321" s="26">
        <f>G322</f>
        <v>0</v>
      </c>
      <c r="H321" s="173"/>
    </row>
    <row r="322" spans="1:8" ht="47.25" hidden="1" x14ac:dyDescent="0.25">
      <c r="A322" s="25" t="s">
        <v>272</v>
      </c>
      <c r="B322" s="16">
        <v>903</v>
      </c>
      <c r="C322" s="20" t="s">
        <v>299</v>
      </c>
      <c r="D322" s="20" t="s">
        <v>118</v>
      </c>
      <c r="E322" s="20" t="s">
        <v>318</v>
      </c>
      <c r="F322" s="20" t="s">
        <v>273</v>
      </c>
      <c r="G322" s="26">
        <f>G323</f>
        <v>0</v>
      </c>
      <c r="H322" s="173"/>
    </row>
    <row r="323" spans="1:8" ht="15.75" hidden="1" x14ac:dyDescent="0.25">
      <c r="A323" s="25" t="s">
        <v>274</v>
      </c>
      <c r="B323" s="16">
        <v>903</v>
      </c>
      <c r="C323" s="20" t="s">
        <v>299</v>
      </c>
      <c r="D323" s="20" t="s">
        <v>118</v>
      </c>
      <c r="E323" s="20" t="s">
        <v>318</v>
      </c>
      <c r="F323" s="20" t="s">
        <v>275</v>
      </c>
      <c r="G323" s="26">
        <v>0</v>
      </c>
      <c r="H323" s="173"/>
    </row>
    <row r="324" spans="1:8" ht="31.5" hidden="1" x14ac:dyDescent="0.25">
      <c r="A324" s="25" t="s">
        <v>280</v>
      </c>
      <c r="B324" s="16">
        <v>903</v>
      </c>
      <c r="C324" s="20" t="s">
        <v>299</v>
      </c>
      <c r="D324" s="20" t="s">
        <v>118</v>
      </c>
      <c r="E324" s="20" t="s">
        <v>319</v>
      </c>
      <c r="F324" s="20"/>
      <c r="G324" s="26">
        <f>G325</f>
        <v>0</v>
      </c>
      <c r="H324" s="173"/>
    </row>
    <row r="325" spans="1:8" ht="47.25" hidden="1" x14ac:dyDescent="0.25">
      <c r="A325" s="25" t="s">
        <v>272</v>
      </c>
      <c r="B325" s="16">
        <v>903</v>
      </c>
      <c r="C325" s="20" t="s">
        <v>299</v>
      </c>
      <c r="D325" s="20" t="s">
        <v>118</v>
      </c>
      <c r="E325" s="20" t="s">
        <v>319</v>
      </c>
      <c r="F325" s="20" t="s">
        <v>273</v>
      </c>
      <c r="G325" s="26">
        <f>G326</f>
        <v>0</v>
      </c>
      <c r="H325" s="173"/>
    </row>
    <row r="326" spans="1:8" ht="15.75" hidden="1" x14ac:dyDescent="0.25">
      <c r="A326" s="25" t="s">
        <v>274</v>
      </c>
      <c r="B326" s="16">
        <v>903</v>
      </c>
      <c r="C326" s="20" t="s">
        <v>299</v>
      </c>
      <c r="D326" s="20" t="s">
        <v>118</v>
      </c>
      <c r="E326" s="20" t="s">
        <v>319</v>
      </c>
      <c r="F326" s="20" t="s">
        <v>275</v>
      </c>
      <c r="G326" s="26">
        <v>0</v>
      </c>
      <c r="H326" s="173"/>
    </row>
    <row r="327" spans="1:8" ht="31.5" hidden="1" x14ac:dyDescent="0.25">
      <c r="A327" s="25" t="s">
        <v>284</v>
      </c>
      <c r="B327" s="16">
        <v>903</v>
      </c>
      <c r="C327" s="20" t="s">
        <v>299</v>
      </c>
      <c r="D327" s="20" t="s">
        <v>118</v>
      </c>
      <c r="E327" s="20" t="s">
        <v>320</v>
      </c>
      <c r="F327" s="20"/>
      <c r="G327" s="26">
        <f>G328</f>
        <v>0</v>
      </c>
      <c r="H327" s="173"/>
    </row>
    <row r="328" spans="1:8" ht="47.25" hidden="1" x14ac:dyDescent="0.25">
      <c r="A328" s="25" t="s">
        <v>272</v>
      </c>
      <c r="B328" s="16">
        <v>903</v>
      </c>
      <c r="C328" s="20" t="s">
        <v>299</v>
      </c>
      <c r="D328" s="20" t="s">
        <v>118</v>
      </c>
      <c r="E328" s="20" t="s">
        <v>320</v>
      </c>
      <c r="F328" s="20" t="s">
        <v>273</v>
      </c>
      <c r="G328" s="26">
        <f>G329</f>
        <v>0</v>
      </c>
      <c r="H328" s="173"/>
    </row>
    <row r="329" spans="1:8" ht="15.75" hidden="1" x14ac:dyDescent="0.25">
      <c r="A329" s="25" t="s">
        <v>274</v>
      </c>
      <c r="B329" s="16">
        <v>903</v>
      </c>
      <c r="C329" s="20" t="s">
        <v>299</v>
      </c>
      <c r="D329" s="20" t="s">
        <v>118</v>
      </c>
      <c r="E329" s="20" t="s">
        <v>320</v>
      </c>
      <c r="F329" s="20" t="s">
        <v>275</v>
      </c>
      <c r="G329" s="26">
        <v>0</v>
      </c>
      <c r="H329" s="173"/>
    </row>
    <row r="330" spans="1:8" ht="47.25" hidden="1" x14ac:dyDescent="0.25">
      <c r="A330" s="35" t="s">
        <v>321</v>
      </c>
      <c r="B330" s="16">
        <v>903</v>
      </c>
      <c r="C330" s="20" t="s">
        <v>299</v>
      </c>
      <c r="D330" s="20" t="s">
        <v>118</v>
      </c>
      <c r="E330" s="20" t="s">
        <v>322</v>
      </c>
      <c r="F330" s="20"/>
      <c r="G330" s="26">
        <f>G331</f>
        <v>0</v>
      </c>
      <c r="H330" s="173"/>
    </row>
    <row r="331" spans="1:8" ht="47.25" hidden="1" x14ac:dyDescent="0.25">
      <c r="A331" s="25" t="s">
        <v>272</v>
      </c>
      <c r="B331" s="16">
        <v>903</v>
      </c>
      <c r="C331" s="20" t="s">
        <v>299</v>
      </c>
      <c r="D331" s="20" t="s">
        <v>118</v>
      </c>
      <c r="E331" s="20" t="s">
        <v>322</v>
      </c>
      <c r="F331" s="20" t="s">
        <v>273</v>
      </c>
      <c r="G331" s="26">
        <f>G332</f>
        <v>0</v>
      </c>
      <c r="H331" s="173"/>
    </row>
    <row r="332" spans="1:8" ht="15.75" hidden="1" x14ac:dyDescent="0.25">
      <c r="A332" s="25" t="s">
        <v>274</v>
      </c>
      <c r="B332" s="16">
        <v>903</v>
      </c>
      <c r="C332" s="20" t="s">
        <v>299</v>
      </c>
      <c r="D332" s="20" t="s">
        <v>118</v>
      </c>
      <c r="E332" s="20" t="s">
        <v>322</v>
      </c>
      <c r="F332" s="20" t="s">
        <v>275</v>
      </c>
      <c r="G332" s="26">
        <v>0</v>
      </c>
      <c r="H332" s="173"/>
    </row>
    <row r="333" spans="1:8" ht="78.75" x14ac:dyDescent="0.25">
      <c r="A333" s="29" t="s">
        <v>323</v>
      </c>
      <c r="B333" s="16">
        <v>903</v>
      </c>
      <c r="C333" s="20" t="s">
        <v>299</v>
      </c>
      <c r="D333" s="20" t="s">
        <v>118</v>
      </c>
      <c r="E333" s="40" t="s">
        <v>324</v>
      </c>
      <c r="F333" s="20"/>
      <c r="G333" s="26">
        <f>G334</f>
        <v>200</v>
      </c>
      <c r="H333" s="173"/>
    </row>
    <row r="334" spans="1:8" ht="47.25" x14ac:dyDescent="0.25">
      <c r="A334" s="25" t="s">
        <v>325</v>
      </c>
      <c r="B334" s="16">
        <v>903</v>
      </c>
      <c r="C334" s="20" t="s">
        <v>299</v>
      </c>
      <c r="D334" s="20" t="s">
        <v>118</v>
      </c>
      <c r="E334" s="40" t="s">
        <v>326</v>
      </c>
      <c r="F334" s="20"/>
      <c r="G334" s="26">
        <f>G335</f>
        <v>200</v>
      </c>
      <c r="H334" s="173"/>
    </row>
    <row r="335" spans="1:8" ht="47.25" x14ac:dyDescent="0.25">
      <c r="A335" s="25" t="s">
        <v>272</v>
      </c>
      <c r="B335" s="16">
        <v>903</v>
      </c>
      <c r="C335" s="20" t="s">
        <v>299</v>
      </c>
      <c r="D335" s="20" t="s">
        <v>118</v>
      </c>
      <c r="E335" s="40" t="s">
        <v>326</v>
      </c>
      <c r="F335" s="20" t="s">
        <v>273</v>
      </c>
      <c r="G335" s="26">
        <f>G336</f>
        <v>200</v>
      </c>
      <c r="H335" s="173"/>
    </row>
    <row r="336" spans="1:8" ht="15.75" x14ac:dyDescent="0.25">
      <c r="A336" s="25" t="s">
        <v>274</v>
      </c>
      <c r="B336" s="16">
        <v>903</v>
      </c>
      <c r="C336" s="20" t="s">
        <v>299</v>
      </c>
      <c r="D336" s="20" t="s">
        <v>118</v>
      </c>
      <c r="E336" s="40" t="s">
        <v>326</v>
      </c>
      <c r="F336" s="20" t="s">
        <v>275</v>
      </c>
      <c r="G336" s="26">
        <v>200</v>
      </c>
      <c r="H336" s="173"/>
    </row>
    <row r="337" spans="1:9" ht="15.75" x14ac:dyDescent="0.25">
      <c r="A337" s="25" t="s">
        <v>121</v>
      </c>
      <c r="B337" s="16">
        <v>903</v>
      </c>
      <c r="C337" s="20" t="s">
        <v>299</v>
      </c>
      <c r="D337" s="20" t="s">
        <v>118</v>
      </c>
      <c r="E337" s="20" t="s">
        <v>122</v>
      </c>
      <c r="F337" s="20"/>
      <c r="G337" s="26">
        <f>G338</f>
        <v>2137.9</v>
      </c>
      <c r="H337" s="173"/>
    </row>
    <row r="338" spans="1:9" ht="31.5" x14ac:dyDescent="0.25">
      <c r="A338" s="25" t="s">
        <v>185</v>
      </c>
      <c r="B338" s="16">
        <v>903</v>
      </c>
      <c r="C338" s="20" t="s">
        <v>299</v>
      </c>
      <c r="D338" s="20" t="s">
        <v>118</v>
      </c>
      <c r="E338" s="20" t="s">
        <v>186</v>
      </c>
      <c r="F338" s="20"/>
      <c r="G338" s="26">
        <f>G339+G344+G349+G352+G355</f>
        <v>2137.9</v>
      </c>
      <c r="H338" s="173"/>
    </row>
    <row r="339" spans="1:9" ht="31.5" hidden="1" x14ac:dyDescent="0.25">
      <c r="A339" s="36" t="s">
        <v>327</v>
      </c>
      <c r="B339" s="37">
        <v>903</v>
      </c>
      <c r="C339" s="20" t="s">
        <v>299</v>
      </c>
      <c r="D339" s="20" t="s">
        <v>118</v>
      </c>
      <c r="E339" s="20" t="s">
        <v>328</v>
      </c>
      <c r="F339" s="20"/>
      <c r="G339" s="26">
        <f>G340+G342</f>
        <v>0</v>
      </c>
      <c r="H339" s="173"/>
    </row>
    <row r="340" spans="1:9" ht="31.5" hidden="1" x14ac:dyDescent="0.25">
      <c r="A340" s="25" t="s">
        <v>131</v>
      </c>
      <c r="B340" s="37">
        <v>903</v>
      </c>
      <c r="C340" s="20" t="s">
        <v>299</v>
      </c>
      <c r="D340" s="20" t="s">
        <v>118</v>
      </c>
      <c r="E340" s="20" t="s">
        <v>328</v>
      </c>
      <c r="F340" s="20" t="s">
        <v>132</v>
      </c>
      <c r="G340" s="26">
        <f>G341</f>
        <v>0</v>
      </c>
      <c r="H340" s="173"/>
    </row>
    <row r="341" spans="1:9" ht="47.25" hidden="1" x14ac:dyDescent="0.25">
      <c r="A341" s="25" t="s">
        <v>133</v>
      </c>
      <c r="B341" s="16">
        <v>903</v>
      </c>
      <c r="C341" s="20" t="s">
        <v>299</v>
      </c>
      <c r="D341" s="20" t="s">
        <v>118</v>
      </c>
      <c r="E341" s="20" t="s">
        <v>328</v>
      </c>
      <c r="F341" s="20" t="s">
        <v>134</v>
      </c>
      <c r="G341" s="26">
        <f>1.4-1.4</f>
        <v>0</v>
      </c>
      <c r="H341" s="173"/>
      <c r="I341" s="114"/>
    </row>
    <row r="342" spans="1:9" ht="47.25" hidden="1" x14ac:dyDescent="0.25">
      <c r="A342" s="25" t="s">
        <v>272</v>
      </c>
      <c r="B342" s="16">
        <v>903</v>
      </c>
      <c r="C342" s="20" t="s">
        <v>299</v>
      </c>
      <c r="D342" s="20" t="s">
        <v>118</v>
      </c>
      <c r="E342" s="20" t="s">
        <v>328</v>
      </c>
      <c r="F342" s="20" t="s">
        <v>273</v>
      </c>
      <c r="G342" s="26">
        <f>G343</f>
        <v>0</v>
      </c>
      <c r="H342" s="173"/>
    </row>
    <row r="343" spans="1:9" ht="15.75" hidden="1" x14ac:dyDescent="0.25">
      <c r="A343" s="25" t="s">
        <v>274</v>
      </c>
      <c r="B343" s="16">
        <v>903</v>
      </c>
      <c r="C343" s="20" t="s">
        <v>299</v>
      </c>
      <c r="D343" s="20" t="s">
        <v>118</v>
      </c>
      <c r="E343" s="20" t="s">
        <v>328</v>
      </c>
      <c r="F343" s="20" t="s">
        <v>275</v>
      </c>
      <c r="G343" s="26">
        <f>2.9-2.9</f>
        <v>0</v>
      </c>
      <c r="H343" s="173"/>
      <c r="I343" s="114"/>
    </row>
    <row r="344" spans="1:9" ht="31.5" x14ac:dyDescent="0.25">
      <c r="A344" s="25" t="s">
        <v>329</v>
      </c>
      <c r="B344" s="16">
        <v>903</v>
      </c>
      <c r="C344" s="20" t="s">
        <v>299</v>
      </c>
      <c r="D344" s="20" t="s">
        <v>118</v>
      </c>
      <c r="E344" s="20" t="s">
        <v>330</v>
      </c>
      <c r="F344" s="20"/>
      <c r="G344" s="26">
        <f>G345+G347</f>
        <v>177.3</v>
      </c>
      <c r="H344" s="173"/>
    </row>
    <row r="345" spans="1:9" ht="31.5" hidden="1" x14ac:dyDescent="0.25">
      <c r="A345" s="25" t="s">
        <v>131</v>
      </c>
      <c r="B345" s="16">
        <v>903</v>
      </c>
      <c r="C345" s="20" t="s">
        <v>299</v>
      </c>
      <c r="D345" s="20" t="s">
        <v>118</v>
      </c>
      <c r="E345" s="20" t="s">
        <v>330</v>
      </c>
      <c r="F345" s="20" t="s">
        <v>132</v>
      </c>
      <c r="G345" s="26">
        <f>G346</f>
        <v>0</v>
      </c>
      <c r="H345" s="173"/>
    </row>
    <row r="346" spans="1:9" ht="47.25" hidden="1" x14ac:dyDescent="0.25">
      <c r="A346" s="25" t="s">
        <v>133</v>
      </c>
      <c r="B346" s="16">
        <v>903</v>
      </c>
      <c r="C346" s="20" t="s">
        <v>299</v>
      </c>
      <c r="D346" s="20" t="s">
        <v>118</v>
      </c>
      <c r="E346" s="20" t="s">
        <v>330</v>
      </c>
      <c r="F346" s="38">
        <v>240</v>
      </c>
      <c r="G346" s="26">
        <v>0</v>
      </c>
      <c r="H346" s="173"/>
    </row>
    <row r="347" spans="1:9" ht="47.25" x14ac:dyDescent="0.25">
      <c r="A347" s="25" t="s">
        <v>272</v>
      </c>
      <c r="B347" s="16">
        <v>903</v>
      </c>
      <c r="C347" s="20" t="s">
        <v>299</v>
      </c>
      <c r="D347" s="20" t="s">
        <v>118</v>
      </c>
      <c r="E347" s="20" t="s">
        <v>330</v>
      </c>
      <c r="F347" s="20" t="s">
        <v>273</v>
      </c>
      <c r="G347" s="26">
        <f>G348</f>
        <v>177.3</v>
      </c>
      <c r="H347" s="173"/>
    </row>
    <row r="348" spans="1:9" ht="15.75" x14ac:dyDescent="0.25">
      <c r="A348" s="25" t="s">
        <v>274</v>
      </c>
      <c r="B348" s="16">
        <v>903</v>
      </c>
      <c r="C348" s="20" t="s">
        <v>299</v>
      </c>
      <c r="D348" s="20" t="s">
        <v>118</v>
      </c>
      <c r="E348" s="20" t="s">
        <v>330</v>
      </c>
      <c r="F348" s="20" t="s">
        <v>275</v>
      </c>
      <c r="G348" s="26">
        <f>274.5-97.2</f>
        <v>177.3</v>
      </c>
      <c r="H348" s="173"/>
      <c r="I348" s="114"/>
    </row>
    <row r="349" spans="1:9" ht="78.75" x14ac:dyDescent="0.25">
      <c r="A349" s="25" t="s">
        <v>331</v>
      </c>
      <c r="B349" s="16">
        <v>903</v>
      </c>
      <c r="C349" s="20" t="s">
        <v>299</v>
      </c>
      <c r="D349" s="20" t="s">
        <v>118</v>
      </c>
      <c r="E349" s="20" t="s">
        <v>332</v>
      </c>
      <c r="F349" s="20"/>
      <c r="G349" s="26">
        <f>G350</f>
        <v>263.3</v>
      </c>
      <c r="H349" s="173"/>
    </row>
    <row r="350" spans="1:9" ht="47.25" x14ac:dyDescent="0.25">
      <c r="A350" s="25" t="s">
        <v>272</v>
      </c>
      <c r="B350" s="16">
        <v>903</v>
      </c>
      <c r="C350" s="20" t="s">
        <v>299</v>
      </c>
      <c r="D350" s="20" t="s">
        <v>118</v>
      </c>
      <c r="E350" s="20" t="s">
        <v>332</v>
      </c>
      <c r="F350" s="20" t="s">
        <v>273</v>
      </c>
      <c r="G350" s="26">
        <f>G351</f>
        <v>263.3</v>
      </c>
      <c r="H350" s="173"/>
    </row>
    <row r="351" spans="1:9" ht="15.75" x14ac:dyDescent="0.25">
      <c r="A351" s="25" t="s">
        <v>274</v>
      </c>
      <c r="B351" s="16">
        <v>903</v>
      </c>
      <c r="C351" s="20" t="s">
        <v>299</v>
      </c>
      <c r="D351" s="20" t="s">
        <v>118</v>
      </c>
      <c r="E351" s="20" t="s">
        <v>332</v>
      </c>
      <c r="F351" s="20" t="s">
        <v>275</v>
      </c>
      <c r="G351" s="26">
        <f>247.6+15.7</f>
        <v>263.3</v>
      </c>
      <c r="H351" s="173"/>
      <c r="I351" s="114"/>
    </row>
    <row r="352" spans="1:9" ht="110.25" x14ac:dyDescent="0.25">
      <c r="A352" s="31" t="s">
        <v>293</v>
      </c>
      <c r="B352" s="16">
        <v>903</v>
      </c>
      <c r="C352" s="20" t="s">
        <v>299</v>
      </c>
      <c r="D352" s="20" t="s">
        <v>118</v>
      </c>
      <c r="E352" s="20" t="s">
        <v>294</v>
      </c>
      <c r="F352" s="20"/>
      <c r="G352" s="26">
        <f>G353</f>
        <v>1693.3000000000002</v>
      </c>
      <c r="H352" s="173"/>
    </row>
    <row r="353" spans="1:9" ht="47.25" x14ac:dyDescent="0.25">
      <c r="A353" s="25" t="s">
        <v>272</v>
      </c>
      <c r="B353" s="16">
        <v>903</v>
      </c>
      <c r="C353" s="20" t="s">
        <v>299</v>
      </c>
      <c r="D353" s="20" t="s">
        <v>118</v>
      </c>
      <c r="E353" s="20" t="s">
        <v>294</v>
      </c>
      <c r="F353" s="20" t="s">
        <v>273</v>
      </c>
      <c r="G353" s="26">
        <f>G354</f>
        <v>1693.3000000000002</v>
      </c>
      <c r="H353" s="173"/>
    </row>
    <row r="354" spans="1:9" ht="15.75" x14ac:dyDescent="0.25">
      <c r="A354" s="25" t="s">
        <v>274</v>
      </c>
      <c r="B354" s="16">
        <v>903</v>
      </c>
      <c r="C354" s="20" t="s">
        <v>299</v>
      </c>
      <c r="D354" s="20" t="s">
        <v>118</v>
      </c>
      <c r="E354" s="20" t="s">
        <v>294</v>
      </c>
      <c r="F354" s="20" t="s">
        <v>275</v>
      </c>
      <c r="G354" s="26">
        <f>1929.4-236.1</f>
        <v>1693.3000000000002</v>
      </c>
      <c r="H354" s="173"/>
    </row>
    <row r="355" spans="1:9" ht="15.75" x14ac:dyDescent="0.25">
      <c r="A355" s="31" t="s">
        <v>685</v>
      </c>
      <c r="B355" s="16">
        <v>903</v>
      </c>
      <c r="C355" s="20" t="s">
        <v>299</v>
      </c>
      <c r="D355" s="20" t="s">
        <v>118</v>
      </c>
      <c r="E355" s="20" t="s">
        <v>686</v>
      </c>
      <c r="F355" s="20"/>
      <c r="G355" s="26">
        <f>G356</f>
        <v>4</v>
      </c>
      <c r="H355" s="173"/>
    </row>
    <row r="356" spans="1:9" ht="47.25" x14ac:dyDescent="0.25">
      <c r="A356" s="25" t="s">
        <v>272</v>
      </c>
      <c r="B356" s="16">
        <v>903</v>
      </c>
      <c r="C356" s="20" t="s">
        <v>299</v>
      </c>
      <c r="D356" s="20" t="s">
        <v>118</v>
      </c>
      <c r="E356" s="20" t="s">
        <v>686</v>
      </c>
      <c r="F356" s="20" t="s">
        <v>273</v>
      </c>
      <c r="G356" s="26">
        <f>G357</f>
        <v>4</v>
      </c>
      <c r="H356" s="173"/>
    </row>
    <row r="357" spans="1:9" ht="15.75" x14ac:dyDescent="0.25">
      <c r="A357" s="25" t="s">
        <v>274</v>
      </c>
      <c r="B357" s="16">
        <v>903</v>
      </c>
      <c r="C357" s="20" t="s">
        <v>299</v>
      </c>
      <c r="D357" s="20" t="s">
        <v>118</v>
      </c>
      <c r="E357" s="20" t="s">
        <v>686</v>
      </c>
      <c r="F357" s="20" t="s">
        <v>275</v>
      </c>
      <c r="G357" s="26">
        <v>4</v>
      </c>
      <c r="H357" s="105"/>
    </row>
    <row r="358" spans="1:9" ht="31.5" x14ac:dyDescent="0.25">
      <c r="A358" s="23" t="s">
        <v>333</v>
      </c>
      <c r="B358" s="19">
        <v>903</v>
      </c>
      <c r="C358" s="24" t="s">
        <v>299</v>
      </c>
      <c r="D358" s="24" t="s">
        <v>150</v>
      </c>
      <c r="E358" s="24"/>
      <c r="F358" s="24"/>
      <c r="G358" s="21">
        <f>G359+G373+G369</f>
        <v>17278.8</v>
      </c>
      <c r="H358" s="173"/>
    </row>
    <row r="359" spans="1:9" ht="47.25" x14ac:dyDescent="0.25">
      <c r="A359" s="25" t="s">
        <v>334</v>
      </c>
      <c r="B359" s="16">
        <v>903</v>
      </c>
      <c r="C359" s="20" t="s">
        <v>299</v>
      </c>
      <c r="D359" s="20" t="s">
        <v>150</v>
      </c>
      <c r="E359" s="20" t="s">
        <v>335</v>
      </c>
      <c r="F359" s="20"/>
      <c r="G359" s="26">
        <f>G360+G363+G366</f>
        <v>125</v>
      </c>
      <c r="H359" s="173"/>
      <c r="I359" s="114"/>
    </row>
    <row r="360" spans="1:9" ht="31.5" hidden="1" x14ac:dyDescent="0.25">
      <c r="A360" s="25" t="s">
        <v>336</v>
      </c>
      <c r="B360" s="16">
        <v>903</v>
      </c>
      <c r="C360" s="20" t="s">
        <v>299</v>
      </c>
      <c r="D360" s="20" t="s">
        <v>150</v>
      </c>
      <c r="E360" s="20" t="s">
        <v>337</v>
      </c>
      <c r="F360" s="20"/>
      <c r="G360" s="26">
        <f>G361</f>
        <v>0</v>
      </c>
      <c r="H360" s="173"/>
    </row>
    <row r="361" spans="1:9" ht="31.5" hidden="1" x14ac:dyDescent="0.25">
      <c r="A361" s="25" t="s">
        <v>131</v>
      </c>
      <c r="B361" s="16">
        <v>903</v>
      </c>
      <c r="C361" s="20" t="s">
        <v>299</v>
      </c>
      <c r="D361" s="20" t="s">
        <v>150</v>
      </c>
      <c r="E361" s="20" t="s">
        <v>337</v>
      </c>
      <c r="F361" s="20" t="s">
        <v>132</v>
      </c>
      <c r="G361" s="26">
        <f>G362</f>
        <v>0</v>
      </c>
      <c r="H361" s="173"/>
    </row>
    <row r="362" spans="1:9" ht="47.25" hidden="1" x14ac:dyDescent="0.25">
      <c r="A362" s="25" t="s">
        <v>133</v>
      </c>
      <c r="B362" s="16">
        <v>903</v>
      </c>
      <c r="C362" s="20" t="s">
        <v>299</v>
      </c>
      <c r="D362" s="20" t="s">
        <v>150</v>
      </c>
      <c r="E362" s="20" t="s">
        <v>337</v>
      </c>
      <c r="F362" s="20" t="s">
        <v>134</v>
      </c>
      <c r="G362" s="26">
        <v>0</v>
      </c>
      <c r="H362" s="173"/>
    </row>
    <row r="363" spans="1:9" ht="31.5" x14ac:dyDescent="0.25">
      <c r="A363" s="25" t="s">
        <v>338</v>
      </c>
      <c r="B363" s="16">
        <v>903</v>
      </c>
      <c r="C363" s="20" t="s">
        <v>299</v>
      </c>
      <c r="D363" s="20" t="s">
        <v>150</v>
      </c>
      <c r="E363" s="20" t="s">
        <v>339</v>
      </c>
      <c r="F363" s="20"/>
      <c r="G363" s="26">
        <f>G364</f>
        <v>20</v>
      </c>
      <c r="H363" s="173"/>
    </row>
    <row r="364" spans="1:9" ht="31.5" x14ac:dyDescent="0.25">
      <c r="A364" s="25" t="s">
        <v>131</v>
      </c>
      <c r="B364" s="16">
        <v>903</v>
      </c>
      <c r="C364" s="20" t="s">
        <v>299</v>
      </c>
      <c r="D364" s="20" t="s">
        <v>150</v>
      </c>
      <c r="E364" s="20" t="s">
        <v>339</v>
      </c>
      <c r="F364" s="20" t="s">
        <v>132</v>
      </c>
      <c r="G364" s="26">
        <f>G365</f>
        <v>20</v>
      </c>
      <c r="H364" s="173"/>
    </row>
    <row r="365" spans="1:9" ht="47.25" x14ac:dyDescent="0.25">
      <c r="A365" s="25" t="s">
        <v>133</v>
      </c>
      <c r="B365" s="16">
        <v>903</v>
      </c>
      <c r="C365" s="20" t="s">
        <v>299</v>
      </c>
      <c r="D365" s="20" t="s">
        <v>150</v>
      </c>
      <c r="E365" s="20" t="s">
        <v>339</v>
      </c>
      <c r="F365" s="20" t="s">
        <v>134</v>
      </c>
      <c r="G365" s="26">
        <v>20</v>
      </c>
      <c r="H365" s="173"/>
    </row>
    <row r="366" spans="1:9" ht="63" x14ac:dyDescent="0.25">
      <c r="A366" s="25" t="s">
        <v>708</v>
      </c>
      <c r="B366" s="16">
        <v>903</v>
      </c>
      <c r="C366" s="20" t="s">
        <v>299</v>
      </c>
      <c r="D366" s="20" t="s">
        <v>150</v>
      </c>
      <c r="E366" s="20" t="s">
        <v>680</v>
      </c>
      <c r="F366" s="20"/>
      <c r="G366" s="26">
        <f>G367</f>
        <v>105</v>
      </c>
      <c r="H366" s="173"/>
    </row>
    <row r="367" spans="1:9" ht="39.75" customHeight="1" x14ac:dyDescent="0.25">
      <c r="A367" s="25" t="s">
        <v>131</v>
      </c>
      <c r="B367" s="16">
        <v>903</v>
      </c>
      <c r="C367" s="20" t="s">
        <v>299</v>
      </c>
      <c r="D367" s="20" t="s">
        <v>150</v>
      </c>
      <c r="E367" s="20" t="s">
        <v>680</v>
      </c>
      <c r="F367" s="20" t="s">
        <v>132</v>
      </c>
      <c r="G367" s="26">
        <f>G368</f>
        <v>105</v>
      </c>
      <c r="H367" s="173"/>
    </row>
    <row r="368" spans="1:9" ht="47.25" x14ac:dyDescent="0.25">
      <c r="A368" s="25" t="s">
        <v>133</v>
      </c>
      <c r="B368" s="16">
        <v>903</v>
      </c>
      <c r="C368" s="20" t="s">
        <v>299</v>
      </c>
      <c r="D368" s="20" t="s">
        <v>150</v>
      </c>
      <c r="E368" s="20" t="s">
        <v>680</v>
      </c>
      <c r="F368" s="20" t="s">
        <v>134</v>
      </c>
      <c r="G368" s="26">
        <f>55+50</f>
        <v>105</v>
      </c>
      <c r="H368" s="105"/>
      <c r="I368" s="123"/>
    </row>
    <row r="369" spans="1:11" ht="63" x14ac:dyDescent="0.25">
      <c r="A369" s="29" t="s">
        <v>707</v>
      </c>
      <c r="B369" s="16">
        <v>903</v>
      </c>
      <c r="C369" s="20" t="s">
        <v>299</v>
      </c>
      <c r="D369" s="20" t="s">
        <v>150</v>
      </c>
      <c r="E369" s="20" t="s">
        <v>705</v>
      </c>
      <c r="F369" s="20"/>
      <c r="G369" s="26">
        <f>G370</f>
        <v>5</v>
      </c>
      <c r="H369" s="173"/>
    </row>
    <row r="370" spans="1:11" ht="31.5" x14ac:dyDescent="0.25">
      <c r="A370" s="25" t="s">
        <v>369</v>
      </c>
      <c r="B370" s="16">
        <v>903</v>
      </c>
      <c r="C370" s="20" t="s">
        <v>299</v>
      </c>
      <c r="D370" s="20" t="s">
        <v>150</v>
      </c>
      <c r="E370" s="20" t="s">
        <v>713</v>
      </c>
      <c r="F370" s="20"/>
      <c r="G370" s="26">
        <f>G371</f>
        <v>5</v>
      </c>
      <c r="H370" s="173"/>
    </row>
    <row r="371" spans="1:11" ht="31.5" x14ac:dyDescent="0.25">
      <c r="A371" s="25" t="s">
        <v>131</v>
      </c>
      <c r="B371" s="16">
        <v>903</v>
      </c>
      <c r="C371" s="20" t="s">
        <v>299</v>
      </c>
      <c r="D371" s="20" t="s">
        <v>150</v>
      </c>
      <c r="E371" s="20" t="s">
        <v>713</v>
      </c>
      <c r="F371" s="20" t="s">
        <v>132</v>
      </c>
      <c r="G371" s="26">
        <f>G372</f>
        <v>5</v>
      </c>
      <c r="H371" s="173"/>
    </row>
    <row r="372" spans="1:11" ht="47.25" x14ac:dyDescent="0.25">
      <c r="A372" s="25" t="s">
        <v>133</v>
      </c>
      <c r="B372" s="16">
        <v>903</v>
      </c>
      <c r="C372" s="20" t="s">
        <v>299</v>
      </c>
      <c r="D372" s="20" t="s">
        <v>150</v>
      </c>
      <c r="E372" s="20" t="s">
        <v>713</v>
      </c>
      <c r="F372" s="20" t="s">
        <v>134</v>
      </c>
      <c r="G372" s="26">
        <v>5</v>
      </c>
      <c r="H372" s="105"/>
      <c r="I372" s="123"/>
    </row>
    <row r="373" spans="1:11" ht="15.75" x14ac:dyDescent="0.25">
      <c r="A373" s="25" t="s">
        <v>121</v>
      </c>
      <c r="B373" s="16">
        <v>903</v>
      </c>
      <c r="C373" s="20" t="s">
        <v>299</v>
      </c>
      <c r="D373" s="20" t="s">
        <v>150</v>
      </c>
      <c r="E373" s="20" t="s">
        <v>122</v>
      </c>
      <c r="F373" s="20"/>
      <c r="G373" s="26">
        <f>G374+G380</f>
        <v>17148.8</v>
      </c>
      <c r="H373" s="173"/>
    </row>
    <row r="374" spans="1:11" ht="31.5" x14ac:dyDescent="0.25">
      <c r="A374" s="25" t="s">
        <v>123</v>
      </c>
      <c r="B374" s="16">
        <v>903</v>
      </c>
      <c r="C374" s="20" t="s">
        <v>299</v>
      </c>
      <c r="D374" s="20" t="s">
        <v>150</v>
      </c>
      <c r="E374" s="20" t="s">
        <v>124</v>
      </c>
      <c r="F374" s="20"/>
      <c r="G374" s="26">
        <f>G375</f>
        <v>6754.9</v>
      </c>
      <c r="H374" s="173"/>
    </row>
    <row r="375" spans="1:11" ht="47.25" x14ac:dyDescent="0.25">
      <c r="A375" s="25" t="s">
        <v>125</v>
      </c>
      <c r="B375" s="16">
        <v>903</v>
      </c>
      <c r="C375" s="20" t="s">
        <v>299</v>
      </c>
      <c r="D375" s="20" t="s">
        <v>150</v>
      </c>
      <c r="E375" s="20" t="s">
        <v>126</v>
      </c>
      <c r="F375" s="20"/>
      <c r="G375" s="26">
        <f>G376+G378</f>
        <v>6754.9</v>
      </c>
      <c r="H375" s="173"/>
    </row>
    <row r="376" spans="1:11" ht="94.5" x14ac:dyDescent="0.25">
      <c r="A376" s="25" t="s">
        <v>127</v>
      </c>
      <c r="B376" s="16">
        <v>903</v>
      </c>
      <c r="C376" s="20" t="s">
        <v>299</v>
      </c>
      <c r="D376" s="20" t="s">
        <v>150</v>
      </c>
      <c r="E376" s="20" t="s">
        <v>126</v>
      </c>
      <c r="F376" s="20" t="s">
        <v>128</v>
      </c>
      <c r="G376" s="26">
        <f>G377</f>
        <v>6754.9</v>
      </c>
      <c r="H376" s="173"/>
    </row>
    <row r="377" spans="1:11" ht="31.5" x14ac:dyDescent="0.25">
      <c r="A377" s="25" t="s">
        <v>129</v>
      </c>
      <c r="B377" s="16">
        <v>903</v>
      </c>
      <c r="C377" s="20" t="s">
        <v>299</v>
      </c>
      <c r="D377" s="20" t="s">
        <v>150</v>
      </c>
      <c r="E377" s="20" t="s">
        <v>126</v>
      </c>
      <c r="F377" s="20" t="s">
        <v>130</v>
      </c>
      <c r="G377" s="27">
        <v>6754.9</v>
      </c>
      <c r="H377" s="173"/>
    </row>
    <row r="378" spans="1:11" ht="31.5" hidden="1" x14ac:dyDescent="0.25">
      <c r="A378" s="25" t="s">
        <v>131</v>
      </c>
      <c r="B378" s="16">
        <v>903</v>
      </c>
      <c r="C378" s="20" t="s">
        <v>299</v>
      </c>
      <c r="D378" s="20" t="s">
        <v>150</v>
      </c>
      <c r="E378" s="20" t="s">
        <v>126</v>
      </c>
      <c r="F378" s="20" t="s">
        <v>132</v>
      </c>
      <c r="G378" s="26">
        <f>G379</f>
        <v>0</v>
      </c>
      <c r="H378" s="173"/>
    </row>
    <row r="379" spans="1:11" ht="47.25" hidden="1" x14ac:dyDescent="0.25">
      <c r="A379" s="25" t="s">
        <v>133</v>
      </c>
      <c r="B379" s="16">
        <v>903</v>
      </c>
      <c r="C379" s="20" t="s">
        <v>299</v>
      </c>
      <c r="D379" s="20" t="s">
        <v>150</v>
      </c>
      <c r="E379" s="20" t="s">
        <v>126</v>
      </c>
      <c r="F379" s="20" t="s">
        <v>134</v>
      </c>
      <c r="G379" s="26"/>
      <c r="H379" s="173"/>
    </row>
    <row r="380" spans="1:11" ht="15.75" x14ac:dyDescent="0.25">
      <c r="A380" s="25" t="s">
        <v>141</v>
      </c>
      <c r="B380" s="16">
        <v>903</v>
      </c>
      <c r="C380" s="20" t="s">
        <v>299</v>
      </c>
      <c r="D380" s="20" t="s">
        <v>150</v>
      </c>
      <c r="E380" s="20" t="s">
        <v>142</v>
      </c>
      <c r="F380" s="20"/>
      <c r="G380" s="26">
        <f>G381</f>
        <v>10393.9</v>
      </c>
      <c r="H380" s="173"/>
    </row>
    <row r="381" spans="1:11" ht="31.5" x14ac:dyDescent="0.25">
      <c r="A381" s="25" t="s">
        <v>340</v>
      </c>
      <c r="B381" s="16">
        <v>903</v>
      </c>
      <c r="C381" s="20" t="s">
        <v>299</v>
      </c>
      <c r="D381" s="20" t="s">
        <v>150</v>
      </c>
      <c r="E381" s="20" t="s">
        <v>341</v>
      </c>
      <c r="F381" s="20"/>
      <c r="G381" s="26">
        <f>G382+G384+G386</f>
        <v>10393.9</v>
      </c>
      <c r="H381" s="173"/>
      <c r="J381" s="741"/>
      <c r="K381" s="741"/>
    </row>
    <row r="382" spans="1:11" ht="94.5" x14ac:dyDescent="0.25">
      <c r="A382" s="25" t="s">
        <v>127</v>
      </c>
      <c r="B382" s="16">
        <v>903</v>
      </c>
      <c r="C382" s="20" t="s">
        <v>299</v>
      </c>
      <c r="D382" s="20" t="s">
        <v>150</v>
      </c>
      <c r="E382" s="20" t="s">
        <v>341</v>
      </c>
      <c r="F382" s="20" t="s">
        <v>128</v>
      </c>
      <c r="G382" s="26">
        <f>G383</f>
        <v>8721.4</v>
      </c>
      <c r="H382" s="173"/>
      <c r="J382" s="741"/>
      <c r="K382" s="741"/>
    </row>
    <row r="383" spans="1:11" ht="31.5" x14ac:dyDescent="0.25">
      <c r="A383" s="25" t="s">
        <v>342</v>
      </c>
      <c r="B383" s="16">
        <v>903</v>
      </c>
      <c r="C383" s="20" t="s">
        <v>299</v>
      </c>
      <c r="D383" s="20" t="s">
        <v>150</v>
      </c>
      <c r="E383" s="20" t="s">
        <v>341</v>
      </c>
      <c r="F383" s="20" t="s">
        <v>209</v>
      </c>
      <c r="G383" s="27">
        <f>8596.3-84.9+210</f>
        <v>8721.4</v>
      </c>
      <c r="H383" s="105"/>
      <c r="I383" s="123"/>
      <c r="J383" s="741"/>
      <c r="K383" s="741"/>
    </row>
    <row r="384" spans="1:11" ht="31.5" x14ac:dyDescent="0.25">
      <c r="A384" s="25" t="s">
        <v>131</v>
      </c>
      <c r="B384" s="16">
        <v>903</v>
      </c>
      <c r="C384" s="20" t="s">
        <v>299</v>
      </c>
      <c r="D384" s="20" t="s">
        <v>150</v>
      </c>
      <c r="E384" s="20" t="s">
        <v>341</v>
      </c>
      <c r="F384" s="20" t="s">
        <v>132</v>
      </c>
      <c r="G384" s="26">
        <f>G385</f>
        <v>1652.5</v>
      </c>
      <c r="H384" s="173"/>
      <c r="J384" s="741"/>
      <c r="K384" s="741"/>
    </row>
    <row r="385" spans="1:11" ht="47.25" x14ac:dyDescent="0.25">
      <c r="A385" s="25" t="s">
        <v>133</v>
      </c>
      <c r="B385" s="16">
        <v>903</v>
      </c>
      <c r="C385" s="20" t="s">
        <v>299</v>
      </c>
      <c r="D385" s="20" t="s">
        <v>150</v>
      </c>
      <c r="E385" s="20" t="s">
        <v>341</v>
      </c>
      <c r="F385" s="20" t="s">
        <v>134</v>
      </c>
      <c r="G385" s="27">
        <f>1663.9+135.6-147</f>
        <v>1652.5</v>
      </c>
      <c r="H385" s="105"/>
      <c r="I385" s="124"/>
      <c r="J385" s="741"/>
      <c r="K385" s="741"/>
    </row>
    <row r="386" spans="1:11" ht="15.75" x14ac:dyDescent="0.25">
      <c r="A386" s="25" t="s">
        <v>135</v>
      </c>
      <c r="B386" s="16">
        <v>903</v>
      </c>
      <c r="C386" s="20" t="s">
        <v>299</v>
      </c>
      <c r="D386" s="20" t="s">
        <v>150</v>
      </c>
      <c r="E386" s="20" t="s">
        <v>341</v>
      </c>
      <c r="F386" s="20" t="s">
        <v>145</v>
      </c>
      <c r="G386" s="26">
        <f>G387</f>
        <v>20</v>
      </c>
      <c r="H386" s="173"/>
      <c r="J386" s="741"/>
      <c r="K386" s="741"/>
    </row>
    <row r="387" spans="1:11" ht="15.75" x14ac:dyDescent="0.25">
      <c r="A387" s="25" t="s">
        <v>568</v>
      </c>
      <c r="B387" s="16">
        <v>903</v>
      </c>
      <c r="C387" s="20" t="s">
        <v>299</v>
      </c>
      <c r="D387" s="20" t="s">
        <v>150</v>
      </c>
      <c r="E387" s="20" t="s">
        <v>341</v>
      </c>
      <c r="F387" s="20" t="s">
        <v>138</v>
      </c>
      <c r="G387" s="26">
        <v>20</v>
      </c>
      <c r="H387" s="173"/>
      <c r="J387" s="741"/>
      <c r="K387" s="741"/>
    </row>
    <row r="388" spans="1:11" ht="15.75" x14ac:dyDescent="0.25">
      <c r="A388" s="23" t="s">
        <v>243</v>
      </c>
      <c r="B388" s="19">
        <v>903</v>
      </c>
      <c r="C388" s="24" t="s">
        <v>244</v>
      </c>
      <c r="D388" s="24"/>
      <c r="E388" s="24"/>
      <c r="F388" s="24"/>
      <c r="G388" s="21">
        <f>G389</f>
        <v>4625</v>
      </c>
      <c r="H388" s="173"/>
    </row>
    <row r="389" spans="1:11" ht="15.75" x14ac:dyDescent="0.25">
      <c r="A389" s="23" t="s">
        <v>252</v>
      </c>
      <c r="B389" s="19">
        <v>903</v>
      </c>
      <c r="C389" s="24" t="s">
        <v>244</v>
      </c>
      <c r="D389" s="24" t="s">
        <v>215</v>
      </c>
      <c r="E389" s="24"/>
      <c r="F389" s="24"/>
      <c r="G389" s="21">
        <f>G390+G443</f>
        <v>4625</v>
      </c>
      <c r="H389" s="173"/>
    </row>
    <row r="390" spans="1:11" ht="47.25" x14ac:dyDescent="0.25">
      <c r="A390" s="25" t="s">
        <v>343</v>
      </c>
      <c r="B390" s="16">
        <v>903</v>
      </c>
      <c r="C390" s="20" t="s">
        <v>244</v>
      </c>
      <c r="D390" s="20" t="s">
        <v>215</v>
      </c>
      <c r="E390" s="20" t="s">
        <v>344</v>
      </c>
      <c r="F390" s="20"/>
      <c r="G390" s="26">
        <f>G391+G399+G403+G407+G413+G417+G421+G439</f>
        <v>3693</v>
      </c>
      <c r="H390" s="173"/>
    </row>
    <row r="391" spans="1:11" ht="31.5" x14ac:dyDescent="0.25">
      <c r="A391" s="25" t="s">
        <v>345</v>
      </c>
      <c r="B391" s="16">
        <v>903</v>
      </c>
      <c r="C391" s="20" t="s">
        <v>244</v>
      </c>
      <c r="D391" s="20" t="s">
        <v>215</v>
      </c>
      <c r="E391" s="20" t="s">
        <v>346</v>
      </c>
      <c r="F391" s="20"/>
      <c r="G391" s="26">
        <f>G392+G396</f>
        <v>935</v>
      </c>
      <c r="H391" s="173"/>
    </row>
    <row r="392" spans="1:11" ht="31.5" x14ac:dyDescent="0.25">
      <c r="A392" s="25" t="s">
        <v>131</v>
      </c>
      <c r="B392" s="16">
        <v>903</v>
      </c>
      <c r="C392" s="20" t="s">
        <v>244</v>
      </c>
      <c r="D392" s="20" t="s">
        <v>215</v>
      </c>
      <c r="E392" s="20" t="s">
        <v>347</v>
      </c>
      <c r="F392" s="20" t="s">
        <v>132</v>
      </c>
      <c r="G392" s="26">
        <f>G393</f>
        <v>666.4</v>
      </c>
      <c r="H392" s="173"/>
    </row>
    <row r="393" spans="1:11" ht="47.25" x14ac:dyDescent="0.25">
      <c r="A393" s="25" t="s">
        <v>133</v>
      </c>
      <c r="B393" s="16">
        <v>903</v>
      </c>
      <c r="C393" s="20" t="s">
        <v>244</v>
      </c>
      <c r="D393" s="20" t="s">
        <v>215</v>
      </c>
      <c r="E393" s="20" t="s">
        <v>347</v>
      </c>
      <c r="F393" s="20" t="s">
        <v>134</v>
      </c>
      <c r="G393" s="26">
        <f>669.4-3</f>
        <v>666.4</v>
      </c>
      <c r="H393" s="173"/>
    </row>
    <row r="394" spans="1:11" ht="31.5" hidden="1" x14ac:dyDescent="0.25">
      <c r="A394" s="25" t="s">
        <v>248</v>
      </c>
      <c r="B394" s="16">
        <v>903</v>
      </c>
      <c r="C394" s="20" t="s">
        <v>244</v>
      </c>
      <c r="D394" s="20" t="s">
        <v>215</v>
      </c>
      <c r="E394" s="20" t="s">
        <v>347</v>
      </c>
      <c r="F394" s="20" t="s">
        <v>249</v>
      </c>
      <c r="G394" s="26">
        <f>G395</f>
        <v>0</v>
      </c>
      <c r="H394" s="173"/>
    </row>
    <row r="395" spans="1:11" ht="31.5" hidden="1" x14ac:dyDescent="0.25">
      <c r="A395" s="25" t="s">
        <v>348</v>
      </c>
      <c r="B395" s="16">
        <v>903</v>
      </c>
      <c r="C395" s="20" t="s">
        <v>244</v>
      </c>
      <c r="D395" s="20" t="s">
        <v>215</v>
      </c>
      <c r="E395" s="20" t="s">
        <v>347</v>
      </c>
      <c r="F395" s="20" t="s">
        <v>349</v>
      </c>
      <c r="G395" s="26">
        <v>0</v>
      </c>
      <c r="H395" s="173"/>
    </row>
    <row r="396" spans="1:11" ht="31.5" x14ac:dyDescent="0.25">
      <c r="A396" s="25" t="s">
        <v>350</v>
      </c>
      <c r="B396" s="16">
        <v>903</v>
      </c>
      <c r="C396" s="20" t="s">
        <v>244</v>
      </c>
      <c r="D396" s="20" t="s">
        <v>215</v>
      </c>
      <c r="E396" s="20" t="s">
        <v>351</v>
      </c>
      <c r="F396" s="20"/>
      <c r="G396" s="26">
        <f>G397</f>
        <v>268.60000000000002</v>
      </c>
      <c r="H396" s="173"/>
    </row>
    <row r="397" spans="1:11" ht="47.25" x14ac:dyDescent="0.25">
      <c r="A397" s="25" t="s">
        <v>272</v>
      </c>
      <c r="B397" s="16">
        <v>903</v>
      </c>
      <c r="C397" s="20" t="s">
        <v>244</v>
      </c>
      <c r="D397" s="20" t="s">
        <v>215</v>
      </c>
      <c r="E397" s="20" t="s">
        <v>351</v>
      </c>
      <c r="F397" s="20" t="s">
        <v>273</v>
      </c>
      <c r="G397" s="26">
        <f>G398</f>
        <v>268.60000000000002</v>
      </c>
      <c r="H397" s="173"/>
    </row>
    <row r="398" spans="1:11" ht="15.75" x14ac:dyDescent="0.25">
      <c r="A398" s="25" t="s">
        <v>274</v>
      </c>
      <c r="B398" s="16">
        <v>903</v>
      </c>
      <c r="C398" s="20" t="s">
        <v>244</v>
      </c>
      <c r="D398" s="20" t="s">
        <v>215</v>
      </c>
      <c r="E398" s="20" t="s">
        <v>351</v>
      </c>
      <c r="F398" s="20" t="s">
        <v>275</v>
      </c>
      <c r="G398" s="26">
        <f>160.5+108.1</f>
        <v>268.60000000000002</v>
      </c>
      <c r="H398" s="105"/>
    </row>
    <row r="399" spans="1:11" ht="31.5" x14ac:dyDescent="0.25">
      <c r="A399" s="25" t="s">
        <v>352</v>
      </c>
      <c r="B399" s="16">
        <v>903</v>
      </c>
      <c r="C399" s="20" t="s">
        <v>244</v>
      </c>
      <c r="D399" s="20" t="s">
        <v>215</v>
      </c>
      <c r="E399" s="20" t="s">
        <v>353</v>
      </c>
      <c r="F399" s="20"/>
      <c r="G399" s="26">
        <f>G400</f>
        <v>63</v>
      </c>
      <c r="H399" s="173"/>
    </row>
    <row r="400" spans="1:11" ht="31.5" x14ac:dyDescent="0.25">
      <c r="A400" s="25" t="s">
        <v>157</v>
      </c>
      <c r="B400" s="16">
        <v>903</v>
      </c>
      <c r="C400" s="20" t="s">
        <v>244</v>
      </c>
      <c r="D400" s="20" t="s">
        <v>215</v>
      </c>
      <c r="E400" s="20" t="s">
        <v>354</v>
      </c>
      <c r="F400" s="20"/>
      <c r="G400" s="26">
        <f>G401</f>
        <v>63</v>
      </c>
      <c r="H400" s="173"/>
    </row>
    <row r="401" spans="1:8" ht="31.5" x14ac:dyDescent="0.25">
      <c r="A401" s="25" t="s">
        <v>248</v>
      </c>
      <c r="B401" s="16">
        <v>903</v>
      </c>
      <c r="C401" s="20" t="s">
        <v>244</v>
      </c>
      <c r="D401" s="20" t="s">
        <v>215</v>
      </c>
      <c r="E401" s="20" t="s">
        <v>354</v>
      </c>
      <c r="F401" s="20" t="s">
        <v>249</v>
      </c>
      <c r="G401" s="26">
        <f>G402</f>
        <v>63</v>
      </c>
      <c r="H401" s="173"/>
    </row>
    <row r="402" spans="1:8" ht="31.5" x14ac:dyDescent="0.25">
      <c r="A402" s="25" t="s">
        <v>250</v>
      </c>
      <c r="B402" s="16">
        <v>903</v>
      </c>
      <c r="C402" s="20" t="s">
        <v>244</v>
      </c>
      <c r="D402" s="20" t="s">
        <v>215</v>
      </c>
      <c r="E402" s="20" t="s">
        <v>354</v>
      </c>
      <c r="F402" s="20" t="s">
        <v>251</v>
      </c>
      <c r="G402" s="26">
        <f>60+3</f>
        <v>63</v>
      </c>
      <c r="H402" s="173"/>
    </row>
    <row r="403" spans="1:8" ht="31.5" x14ac:dyDescent="0.25">
      <c r="A403" s="25" t="s">
        <v>355</v>
      </c>
      <c r="B403" s="16">
        <v>903</v>
      </c>
      <c r="C403" s="16">
        <v>10</v>
      </c>
      <c r="D403" s="20" t="s">
        <v>215</v>
      </c>
      <c r="E403" s="20" t="s">
        <v>356</v>
      </c>
      <c r="F403" s="20"/>
      <c r="G403" s="26">
        <f>G404</f>
        <v>420</v>
      </c>
      <c r="H403" s="173"/>
    </row>
    <row r="404" spans="1:8" ht="31.5" x14ac:dyDescent="0.25">
      <c r="A404" s="25" t="s">
        <v>157</v>
      </c>
      <c r="B404" s="16">
        <v>903</v>
      </c>
      <c r="C404" s="20" t="s">
        <v>244</v>
      </c>
      <c r="D404" s="20" t="s">
        <v>215</v>
      </c>
      <c r="E404" s="20" t="s">
        <v>357</v>
      </c>
      <c r="F404" s="20"/>
      <c r="G404" s="26">
        <f>G405</f>
        <v>420</v>
      </c>
      <c r="H404" s="173"/>
    </row>
    <row r="405" spans="1:8" ht="31.5" x14ac:dyDescent="0.25">
      <c r="A405" s="25" t="s">
        <v>248</v>
      </c>
      <c r="B405" s="16">
        <v>903</v>
      </c>
      <c r="C405" s="20" t="s">
        <v>244</v>
      </c>
      <c r="D405" s="20" t="s">
        <v>215</v>
      </c>
      <c r="E405" s="20" t="s">
        <v>357</v>
      </c>
      <c r="F405" s="20" t="s">
        <v>249</v>
      </c>
      <c r="G405" s="26">
        <f>G406</f>
        <v>420</v>
      </c>
      <c r="H405" s="173"/>
    </row>
    <row r="406" spans="1:8" ht="31.5" x14ac:dyDescent="0.25">
      <c r="A406" s="25" t="s">
        <v>348</v>
      </c>
      <c r="B406" s="16">
        <v>903</v>
      </c>
      <c r="C406" s="20" t="s">
        <v>244</v>
      </c>
      <c r="D406" s="20" t="s">
        <v>215</v>
      </c>
      <c r="E406" s="20" t="s">
        <v>357</v>
      </c>
      <c r="F406" s="20" t="s">
        <v>349</v>
      </c>
      <c r="G406" s="26">
        <v>420</v>
      </c>
      <c r="H406" s="173"/>
    </row>
    <row r="407" spans="1:8" ht="15.75" x14ac:dyDescent="0.25">
      <c r="A407" s="25" t="s">
        <v>358</v>
      </c>
      <c r="B407" s="16">
        <v>903</v>
      </c>
      <c r="C407" s="16">
        <v>10</v>
      </c>
      <c r="D407" s="20" t="s">
        <v>215</v>
      </c>
      <c r="E407" s="20" t="s">
        <v>359</v>
      </c>
      <c r="F407" s="20"/>
      <c r="G407" s="26">
        <f>G408</f>
        <v>1595</v>
      </c>
      <c r="H407" s="173"/>
    </row>
    <row r="408" spans="1:8" ht="31.5" x14ac:dyDescent="0.25">
      <c r="A408" s="25" t="s">
        <v>157</v>
      </c>
      <c r="B408" s="16">
        <v>903</v>
      </c>
      <c r="C408" s="20" t="s">
        <v>244</v>
      </c>
      <c r="D408" s="20" t="s">
        <v>215</v>
      </c>
      <c r="E408" s="20" t="s">
        <v>360</v>
      </c>
      <c r="F408" s="20"/>
      <c r="G408" s="26">
        <f>G409+G411</f>
        <v>1595</v>
      </c>
      <c r="H408" s="173"/>
    </row>
    <row r="409" spans="1:8" ht="31.5" x14ac:dyDescent="0.25">
      <c r="A409" s="25" t="s">
        <v>131</v>
      </c>
      <c r="B409" s="16">
        <v>903</v>
      </c>
      <c r="C409" s="20" t="s">
        <v>244</v>
      </c>
      <c r="D409" s="20" t="s">
        <v>215</v>
      </c>
      <c r="E409" s="20" t="s">
        <v>360</v>
      </c>
      <c r="F409" s="20" t="s">
        <v>132</v>
      </c>
      <c r="G409" s="26">
        <f>G410</f>
        <v>547</v>
      </c>
      <c r="H409" s="173"/>
    </row>
    <row r="410" spans="1:8" ht="47.25" x14ac:dyDescent="0.25">
      <c r="A410" s="25" t="s">
        <v>133</v>
      </c>
      <c r="B410" s="16">
        <v>903</v>
      </c>
      <c r="C410" s="20" t="s">
        <v>244</v>
      </c>
      <c r="D410" s="20" t="s">
        <v>215</v>
      </c>
      <c r="E410" s="20" t="s">
        <v>360</v>
      </c>
      <c r="F410" s="20" t="s">
        <v>134</v>
      </c>
      <c r="G410" s="159">
        <f>552-50+45</f>
        <v>547</v>
      </c>
      <c r="H410" s="154" t="s">
        <v>748</v>
      </c>
    </row>
    <row r="411" spans="1:8" ht="31.5" x14ac:dyDescent="0.25">
      <c r="A411" s="25" t="s">
        <v>248</v>
      </c>
      <c r="B411" s="16">
        <v>903</v>
      </c>
      <c r="C411" s="20" t="s">
        <v>244</v>
      </c>
      <c r="D411" s="20" t="s">
        <v>215</v>
      </c>
      <c r="E411" s="20" t="s">
        <v>360</v>
      </c>
      <c r="F411" s="20" t="s">
        <v>249</v>
      </c>
      <c r="G411" s="26">
        <f>G412</f>
        <v>1048</v>
      </c>
      <c r="H411" s="173"/>
    </row>
    <row r="412" spans="1:8" ht="31.5" x14ac:dyDescent="0.25">
      <c r="A412" s="25" t="s">
        <v>348</v>
      </c>
      <c r="B412" s="16">
        <v>903</v>
      </c>
      <c r="C412" s="20" t="s">
        <v>244</v>
      </c>
      <c r="D412" s="20" t="s">
        <v>215</v>
      </c>
      <c r="E412" s="20" t="s">
        <v>360</v>
      </c>
      <c r="F412" s="20" t="s">
        <v>349</v>
      </c>
      <c r="G412" s="26">
        <v>1048</v>
      </c>
      <c r="H412" s="173"/>
    </row>
    <row r="413" spans="1:8" ht="47.25" x14ac:dyDescent="0.25">
      <c r="A413" s="25" t="s">
        <v>361</v>
      </c>
      <c r="B413" s="16">
        <v>903</v>
      </c>
      <c r="C413" s="20" t="s">
        <v>244</v>
      </c>
      <c r="D413" s="20" t="s">
        <v>215</v>
      </c>
      <c r="E413" s="20" t="s">
        <v>362</v>
      </c>
      <c r="F413" s="20"/>
      <c r="G413" s="26">
        <f>G414</f>
        <v>335</v>
      </c>
      <c r="H413" s="173"/>
    </row>
    <row r="414" spans="1:8" ht="31.5" x14ac:dyDescent="0.25">
      <c r="A414" s="25" t="s">
        <v>157</v>
      </c>
      <c r="B414" s="16">
        <v>903</v>
      </c>
      <c r="C414" s="20" t="s">
        <v>244</v>
      </c>
      <c r="D414" s="20" t="s">
        <v>215</v>
      </c>
      <c r="E414" s="20" t="s">
        <v>363</v>
      </c>
      <c r="F414" s="20"/>
      <c r="G414" s="26">
        <f>G415</f>
        <v>335</v>
      </c>
      <c r="H414" s="173"/>
    </row>
    <row r="415" spans="1:8" ht="31.5" x14ac:dyDescent="0.25">
      <c r="A415" s="25" t="s">
        <v>248</v>
      </c>
      <c r="B415" s="16">
        <v>903</v>
      </c>
      <c r="C415" s="20" t="s">
        <v>244</v>
      </c>
      <c r="D415" s="20" t="s">
        <v>215</v>
      </c>
      <c r="E415" s="20" t="s">
        <v>363</v>
      </c>
      <c r="F415" s="20" t="s">
        <v>249</v>
      </c>
      <c r="G415" s="26">
        <f>G416</f>
        <v>335</v>
      </c>
      <c r="H415" s="173"/>
    </row>
    <row r="416" spans="1:8" ht="31.5" x14ac:dyDescent="0.25">
      <c r="A416" s="25" t="s">
        <v>348</v>
      </c>
      <c r="B416" s="16">
        <v>903</v>
      </c>
      <c r="C416" s="20" t="s">
        <v>244</v>
      </c>
      <c r="D416" s="20" t="s">
        <v>215</v>
      </c>
      <c r="E416" s="20" t="s">
        <v>363</v>
      </c>
      <c r="F416" s="20" t="s">
        <v>349</v>
      </c>
      <c r="G416" s="26">
        <f>400-65</f>
        <v>335</v>
      </c>
      <c r="H416" s="173"/>
    </row>
    <row r="417" spans="1:8" ht="63" x14ac:dyDescent="0.25">
      <c r="A417" s="25" t="s">
        <v>364</v>
      </c>
      <c r="B417" s="16">
        <v>903</v>
      </c>
      <c r="C417" s="20" t="s">
        <v>244</v>
      </c>
      <c r="D417" s="20" t="s">
        <v>215</v>
      </c>
      <c r="E417" s="20" t="s">
        <v>365</v>
      </c>
      <c r="F417" s="20"/>
      <c r="G417" s="26">
        <f>G418</f>
        <v>210</v>
      </c>
      <c r="H417" s="173"/>
    </row>
    <row r="418" spans="1:8" ht="31.5" x14ac:dyDescent="0.25">
      <c r="A418" s="25" t="s">
        <v>157</v>
      </c>
      <c r="B418" s="16">
        <v>903</v>
      </c>
      <c r="C418" s="20" t="s">
        <v>244</v>
      </c>
      <c r="D418" s="20" t="s">
        <v>215</v>
      </c>
      <c r="E418" s="20" t="s">
        <v>366</v>
      </c>
      <c r="F418" s="20"/>
      <c r="G418" s="26">
        <f>G419</f>
        <v>210</v>
      </c>
      <c r="H418" s="173"/>
    </row>
    <row r="419" spans="1:8" ht="31.5" x14ac:dyDescent="0.25">
      <c r="A419" s="25" t="s">
        <v>131</v>
      </c>
      <c r="B419" s="16">
        <v>903</v>
      </c>
      <c r="C419" s="20" t="s">
        <v>244</v>
      </c>
      <c r="D419" s="20" t="s">
        <v>215</v>
      </c>
      <c r="E419" s="20" t="s">
        <v>366</v>
      </c>
      <c r="F419" s="20" t="s">
        <v>132</v>
      </c>
      <c r="G419" s="26">
        <f>G420</f>
        <v>210</v>
      </c>
      <c r="H419" s="173"/>
    </row>
    <row r="420" spans="1:8" ht="47.25" x14ac:dyDescent="0.25">
      <c r="A420" s="25" t="s">
        <v>133</v>
      </c>
      <c r="B420" s="16">
        <v>903</v>
      </c>
      <c r="C420" s="20" t="s">
        <v>244</v>
      </c>
      <c r="D420" s="20" t="s">
        <v>215</v>
      </c>
      <c r="E420" s="20" t="s">
        <v>366</v>
      </c>
      <c r="F420" s="20" t="s">
        <v>134</v>
      </c>
      <c r="G420" s="26">
        <f>150+60</f>
        <v>210</v>
      </c>
      <c r="H420" s="173"/>
    </row>
    <row r="421" spans="1:8" ht="63" x14ac:dyDescent="0.25">
      <c r="A421" s="25" t="s">
        <v>367</v>
      </c>
      <c r="B421" s="16">
        <v>903</v>
      </c>
      <c r="C421" s="20" t="s">
        <v>244</v>
      </c>
      <c r="D421" s="20" t="s">
        <v>215</v>
      </c>
      <c r="E421" s="20" t="s">
        <v>368</v>
      </c>
      <c r="F421" s="20"/>
      <c r="G421" s="26">
        <f>G422+G434+G428+G431</f>
        <v>30</v>
      </c>
      <c r="H421" s="173"/>
    </row>
    <row r="422" spans="1:8" ht="47.25" customHeight="1" x14ac:dyDescent="0.25">
      <c r="A422" s="25" t="s">
        <v>369</v>
      </c>
      <c r="B422" s="16">
        <v>903</v>
      </c>
      <c r="C422" s="20" t="s">
        <v>244</v>
      </c>
      <c r="D422" s="20" t="s">
        <v>215</v>
      </c>
      <c r="E422" s="20" t="s">
        <v>370</v>
      </c>
      <c r="F422" s="20"/>
      <c r="G422" s="26">
        <f>G423</f>
        <v>20</v>
      </c>
      <c r="H422" s="173"/>
    </row>
    <row r="423" spans="1:8" ht="47.25" x14ac:dyDescent="0.25">
      <c r="A423" s="25" t="s">
        <v>272</v>
      </c>
      <c r="B423" s="16">
        <v>903</v>
      </c>
      <c r="C423" s="20" t="s">
        <v>244</v>
      </c>
      <c r="D423" s="20" t="s">
        <v>215</v>
      </c>
      <c r="E423" s="20" t="s">
        <v>370</v>
      </c>
      <c r="F423" s="20" t="s">
        <v>273</v>
      </c>
      <c r="G423" s="26">
        <f>G424</f>
        <v>20</v>
      </c>
      <c r="H423" s="173"/>
    </row>
    <row r="424" spans="1:8" ht="63" x14ac:dyDescent="0.25">
      <c r="A424" s="39" t="s">
        <v>371</v>
      </c>
      <c r="B424" s="16">
        <v>903</v>
      </c>
      <c r="C424" s="20" t="s">
        <v>244</v>
      </c>
      <c r="D424" s="20" t="s">
        <v>215</v>
      </c>
      <c r="E424" s="20" t="s">
        <v>370</v>
      </c>
      <c r="F424" s="20" t="s">
        <v>372</v>
      </c>
      <c r="G424" s="26">
        <f>30-10</f>
        <v>20</v>
      </c>
      <c r="H424" s="105"/>
    </row>
    <row r="425" spans="1:8" ht="15.75" hidden="1" x14ac:dyDescent="0.25">
      <c r="A425" s="39"/>
      <c r="B425" s="16"/>
      <c r="C425" s="20"/>
      <c r="D425" s="20"/>
      <c r="E425" s="20"/>
      <c r="F425" s="20"/>
      <c r="G425" s="26"/>
      <c r="H425" s="107"/>
    </row>
    <row r="426" spans="1:8" ht="15.75" hidden="1" x14ac:dyDescent="0.25">
      <c r="A426" s="39"/>
      <c r="B426" s="16"/>
      <c r="C426" s="20"/>
      <c r="D426" s="20"/>
      <c r="E426" s="20"/>
      <c r="F426" s="20"/>
      <c r="G426" s="26"/>
      <c r="H426" s="107"/>
    </row>
    <row r="427" spans="1:8" ht="15.75" hidden="1" x14ac:dyDescent="0.25">
      <c r="A427" s="39"/>
      <c r="B427" s="16"/>
      <c r="C427" s="20"/>
      <c r="D427" s="20"/>
      <c r="E427" s="20"/>
      <c r="F427" s="20"/>
      <c r="G427" s="26"/>
      <c r="H427" s="107"/>
    </row>
    <row r="428" spans="1:8" ht="126" hidden="1" x14ac:dyDescent="0.25">
      <c r="A428" s="25" t="s">
        <v>373</v>
      </c>
      <c r="B428" s="16">
        <v>903</v>
      </c>
      <c r="C428" s="20" t="s">
        <v>244</v>
      </c>
      <c r="D428" s="20" t="s">
        <v>215</v>
      </c>
      <c r="E428" s="20" t="s">
        <v>374</v>
      </c>
      <c r="F428" s="20"/>
      <c r="G428" s="26">
        <f>G429</f>
        <v>0</v>
      </c>
      <c r="H428" s="173"/>
    </row>
    <row r="429" spans="1:8" ht="15.75" hidden="1" x14ac:dyDescent="0.25">
      <c r="A429" s="25" t="s">
        <v>135</v>
      </c>
      <c r="B429" s="16">
        <v>903</v>
      </c>
      <c r="C429" s="20" t="s">
        <v>244</v>
      </c>
      <c r="D429" s="20" t="s">
        <v>215</v>
      </c>
      <c r="E429" s="20" t="s">
        <v>374</v>
      </c>
      <c r="F429" s="20" t="s">
        <v>145</v>
      </c>
      <c r="G429" s="26">
        <f>G430</f>
        <v>0</v>
      </c>
      <c r="H429" s="173"/>
    </row>
    <row r="430" spans="1:8" ht="63" hidden="1" x14ac:dyDescent="0.25">
      <c r="A430" s="25" t="s">
        <v>184</v>
      </c>
      <c r="B430" s="16">
        <v>903</v>
      </c>
      <c r="C430" s="20" t="s">
        <v>244</v>
      </c>
      <c r="D430" s="20" t="s">
        <v>215</v>
      </c>
      <c r="E430" s="20" t="s">
        <v>374</v>
      </c>
      <c r="F430" s="20" t="s">
        <v>160</v>
      </c>
      <c r="G430" s="26">
        <v>0</v>
      </c>
      <c r="H430" s="173"/>
    </row>
    <row r="431" spans="1:8" ht="63" x14ac:dyDescent="0.25">
      <c r="A431" s="25" t="s">
        <v>375</v>
      </c>
      <c r="B431" s="16">
        <v>903</v>
      </c>
      <c r="C431" s="20" t="s">
        <v>244</v>
      </c>
      <c r="D431" s="20" t="s">
        <v>215</v>
      </c>
      <c r="E431" s="20" t="s">
        <v>376</v>
      </c>
      <c r="F431" s="20"/>
      <c r="G431" s="26">
        <f>G432</f>
        <v>10</v>
      </c>
      <c r="H431" s="173"/>
    </row>
    <row r="432" spans="1:8" ht="31.5" x14ac:dyDescent="0.25">
      <c r="A432" s="25" t="s">
        <v>248</v>
      </c>
      <c r="B432" s="16">
        <v>903</v>
      </c>
      <c r="C432" s="20" t="s">
        <v>244</v>
      </c>
      <c r="D432" s="20" t="s">
        <v>215</v>
      </c>
      <c r="E432" s="20" t="s">
        <v>376</v>
      </c>
      <c r="F432" s="20" t="s">
        <v>249</v>
      </c>
      <c r="G432" s="26">
        <f>G433</f>
        <v>10</v>
      </c>
      <c r="H432" s="173"/>
    </row>
    <row r="433" spans="1:10" ht="31.5" x14ac:dyDescent="0.25">
      <c r="A433" s="25" t="s">
        <v>250</v>
      </c>
      <c r="B433" s="16">
        <v>903</v>
      </c>
      <c r="C433" s="20" t="s">
        <v>244</v>
      </c>
      <c r="D433" s="20" t="s">
        <v>215</v>
      </c>
      <c r="E433" s="20" t="s">
        <v>376</v>
      </c>
      <c r="F433" s="20" t="s">
        <v>251</v>
      </c>
      <c r="G433" s="26">
        <v>10</v>
      </c>
      <c r="H433" s="105"/>
    </row>
    <row r="434" spans="1:10" ht="31.5" hidden="1" x14ac:dyDescent="0.25">
      <c r="A434" s="25" t="s">
        <v>377</v>
      </c>
      <c r="B434" s="16">
        <v>903</v>
      </c>
      <c r="C434" s="20" t="s">
        <v>244</v>
      </c>
      <c r="D434" s="20" t="s">
        <v>215</v>
      </c>
      <c r="E434" s="20" t="s">
        <v>378</v>
      </c>
      <c r="F434" s="20"/>
      <c r="G434" s="26">
        <f>G435+G437</f>
        <v>0</v>
      </c>
      <c r="H434" s="173"/>
    </row>
    <row r="435" spans="1:10" ht="31.5" hidden="1" x14ac:dyDescent="0.25">
      <c r="A435" s="25" t="s">
        <v>131</v>
      </c>
      <c r="B435" s="16">
        <v>903</v>
      </c>
      <c r="C435" s="20" t="s">
        <v>244</v>
      </c>
      <c r="D435" s="20" t="s">
        <v>215</v>
      </c>
      <c r="E435" s="20" t="s">
        <v>378</v>
      </c>
      <c r="F435" s="20" t="s">
        <v>132</v>
      </c>
      <c r="G435" s="26">
        <f>G436</f>
        <v>0</v>
      </c>
      <c r="H435" s="173"/>
    </row>
    <row r="436" spans="1:10" ht="47.25" hidden="1" x14ac:dyDescent="0.25">
      <c r="A436" s="25" t="s">
        <v>133</v>
      </c>
      <c r="B436" s="16">
        <v>903</v>
      </c>
      <c r="C436" s="20" t="s">
        <v>244</v>
      </c>
      <c r="D436" s="20" t="s">
        <v>215</v>
      </c>
      <c r="E436" s="20" t="s">
        <v>378</v>
      </c>
      <c r="F436" s="20" t="s">
        <v>134</v>
      </c>
      <c r="G436" s="26">
        <v>0</v>
      </c>
      <c r="H436" s="173"/>
    </row>
    <row r="437" spans="1:10" ht="15.75" hidden="1" x14ac:dyDescent="0.25">
      <c r="A437" s="25" t="s">
        <v>135</v>
      </c>
      <c r="B437" s="16">
        <v>903</v>
      </c>
      <c r="C437" s="20" t="s">
        <v>244</v>
      </c>
      <c r="D437" s="20" t="s">
        <v>215</v>
      </c>
      <c r="E437" s="20" t="s">
        <v>379</v>
      </c>
      <c r="F437" s="20" t="s">
        <v>145</v>
      </c>
      <c r="G437" s="26">
        <f>G438</f>
        <v>0</v>
      </c>
      <c r="H437" s="173"/>
    </row>
    <row r="438" spans="1:10" ht="63" hidden="1" x14ac:dyDescent="0.25">
      <c r="A438" s="25" t="s">
        <v>184</v>
      </c>
      <c r="B438" s="16">
        <v>903</v>
      </c>
      <c r="C438" s="20" t="s">
        <v>244</v>
      </c>
      <c r="D438" s="20" t="s">
        <v>215</v>
      </c>
      <c r="E438" s="20" t="s">
        <v>379</v>
      </c>
      <c r="F438" s="20" t="s">
        <v>160</v>
      </c>
      <c r="G438" s="26">
        <v>0</v>
      </c>
      <c r="H438" s="173"/>
    </row>
    <row r="439" spans="1:10" ht="94.5" x14ac:dyDescent="0.25">
      <c r="A439" s="29" t="s">
        <v>380</v>
      </c>
      <c r="B439" s="16">
        <v>903</v>
      </c>
      <c r="C439" s="40" t="s">
        <v>244</v>
      </c>
      <c r="D439" s="40" t="s">
        <v>215</v>
      </c>
      <c r="E439" s="40" t="s">
        <v>381</v>
      </c>
      <c r="F439" s="40"/>
      <c r="G439" s="26">
        <f>G440</f>
        <v>105</v>
      </c>
      <c r="H439" s="173"/>
    </row>
    <row r="440" spans="1:10" ht="31.5" x14ac:dyDescent="0.25">
      <c r="A440" s="29" t="s">
        <v>157</v>
      </c>
      <c r="B440" s="16">
        <v>903</v>
      </c>
      <c r="C440" s="40" t="s">
        <v>244</v>
      </c>
      <c r="D440" s="40" t="s">
        <v>215</v>
      </c>
      <c r="E440" s="40" t="s">
        <v>382</v>
      </c>
      <c r="F440" s="40"/>
      <c r="G440" s="26">
        <f>G441</f>
        <v>105</v>
      </c>
      <c r="H440" s="173"/>
    </row>
    <row r="441" spans="1:10" ht="31.5" x14ac:dyDescent="0.25">
      <c r="A441" s="29" t="s">
        <v>131</v>
      </c>
      <c r="B441" s="16">
        <v>903</v>
      </c>
      <c r="C441" s="40" t="s">
        <v>244</v>
      </c>
      <c r="D441" s="40" t="s">
        <v>215</v>
      </c>
      <c r="E441" s="40" t="s">
        <v>382</v>
      </c>
      <c r="F441" s="40" t="s">
        <v>132</v>
      </c>
      <c r="G441" s="26">
        <f>G442</f>
        <v>105</v>
      </c>
      <c r="H441" s="173"/>
    </row>
    <row r="442" spans="1:10" ht="47.25" x14ac:dyDescent="0.25">
      <c r="A442" s="29" t="s">
        <v>133</v>
      </c>
      <c r="B442" s="16">
        <v>903</v>
      </c>
      <c r="C442" s="40" t="s">
        <v>244</v>
      </c>
      <c r="D442" s="40" t="s">
        <v>215</v>
      </c>
      <c r="E442" s="40" t="s">
        <v>382</v>
      </c>
      <c r="F442" s="40" t="s">
        <v>134</v>
      </c>
      <c r="G442" s="26">
        <f>50+55</f>
        <v>105</v>
      </c>
      <c r="H442" s="173"/>
    </row>
    <row r="443" spans="1:10" ht="15.75" x14ac:dyDescent="0.25">
      <c r="A443" s="25" t="s">
        <v>121</v>
      </c>
      <c r="B443" s="16">
        <v>903</v>
      </c>
      <c r="C443" s="20" t="s">
        <v>244</v>
      </c>
      <c r="D443" s="20" t="s">
        <v>215</v>
      </c>
      <c r="E443" s="20" t="s">
        <v>122</v>
      </c>
      <c r="F443" s="20"/>
      <c r="G443" s="26">
        <f>G444+G455</f>
        <v>932</v>
      </c>
      <c r="H443" s="173"/>
    </row>
    <row r="444" spans="1:10" ht="31.5" x14ac:dyDescent="0.25">
      <c r="A444" s="25" t="s">
        <v>185</v>
      </c>
      <c r="B444" s="16">
        <v>903</v>
      </c>
      <c r="C444" s="20" t="s">
        <v>244</v>
      </c>
      <c r="D444" s="20" t="s">
        <v>215</v>
      </c>
      <c r="E444" s="20" t="s">
        <v>186</v>
      </c>
      <c r="F444" s="20"/>
      <c r="G444" s="26">
        <f>G451+G445+G448</f>
        <v>932</v>
      </c>
      <c r="H444" s="173"/>
    </row>
    <row r="445" spans="1:10" ht="15.75" x14ac:dyDescent="0.25">
      <c r="A445" s="25" t="s">
        <v>383</v>
      </c>
      <c r="B445" s="16">
        <v>903</v>
      </c>
      <c r="C445" s="20" t="s">
        <v>244</v>
      </c>
      <c r="D445" s="20" t="s">
        <v>215</v>
      </c>
      <c r="E445" s="20" t="s">
        <v>384</v>
      </c>
      <c r="F445" s="20"/>
      <c r="G445" s="26">
        <f>G446</f>
        <v>372.6</v>
      </c>
      <c r="H445" s="173"/>
    </row>
    <row r="446" spans="1:10" ht="31.5" x14ac:dyDescent="0.25">
      <c r="A446" s="25" t="s">
        <v>248</v>
      </c>
      <c r="B446" s="16">
        <v>903</v>
      </c>
      <c r="C446" s="20" t="s">
        <v>244</v>
      </c>
      <c r="D446" s="20" t="s">
        <v>215</v>
      </c>
      <c r="E446" s="20" t="s">
        <v>384</v>
      </c>
      <c r="F446" s="20" t="s">
        <v>249</v>
      </c>
      <c r="G446" s="26">
        <f>G447</f>
        <v>372.6</v>
      </c>
      <c r="H446" s="173"/>
    </row>
    <row r="447" spans="1:10" ht="31.5" x14ac:dyDescent="0.25">
      <c r="A447" s="25" t="s">
        <v>250</v>
      </c>
      <c r="B447" s="16">
        <v>903</v>
      </c>
      <c r="C447" s="20" t="s">
        <v>244</v>
      </c>
      <c r="D447" s="20" t="s">
        <v>215</v>
      </c>
      <c r="E447" s="20" t="s">
        <v>384</v>
      </c>
      <c r="F447" s="20" t="s">
        <v>251</v>
      </c>
      <c r="G447" s="26">
        <v>372.6</v>
      </c>
      <c r="H447" s="105"/>
      <c r="I447" s="123"/>
    </row>
    <row r="448" spans="1:10" ht="63" x14ac:dyDescent="0.25">
      <c r="A448" s="25" t="s">
        <v>375</v>
      </c>
      <c r="B448" s="16">
        <v>903</v>
      </c>
      <c r="C448" s="20" t="s">
        <v>244</v>
      </c>
      <c r="D448" s="20" t="s">
        <v>215</v>
      </c>
      <c r="E448" s="20" t="s">
        <v>385</v>
      </c>
      <c r="F448" s="20"/>
      <c r="G448" s="26">
        <f>G449</f>
        <v>500</v>
      </c>
      <c r="H448" s="173"/>
      <c r="J448" s="108"/>
    </row>
    <row r="449" spans="1:10" ht="31.5" x14ac:dyDescent="0.25">
      <c r="A449" s="25" t="s">
        <v>248</v>
      </c>
      <c r="B449" s="16">
        <v>903</v>
      </c>
      <c r="C449" s="20" t="s">
        <v>244</v>
      </c>
      <c r="D449" s="20" t="s">
        <v>215</v>
      </c>
      <c r="E449" s="20" t="s">
        <v>385</v>
      </c>
      <c r="F449" s="20" t="s">
        <v>249</v>
      </c>
      <c r="G449" s="26">
        <f>G450</f>
        <v>500</v>
      </c>
      <c r="H449" s="173"/>
      <c r="J449" s="108"/>
    </row>
    <row r="450" spans="1:10" ht="31.5" x14ac:dyDescent="0.25">
      <c r="A450" s="25" t="s">
        <v>250</v>
      </c>
      <c r="B450" s="16">
        <v>903</v>
      </c>
      <c r="C450" s="20" t="s">
        <v>244</v>
      </c>
      <c r="D450" s="20" t="s">
        <v>215</v>
      </c>
      <c r="E450" s="20" t="s">
        <v>385</v>
      </c>
      <c r="F450" s="20" t="s">
        <v>251</v>
      </c>
      <c r="G450" s="26">
        <v>500</v>
      </c>
      <c r="H450" s="105"/>
      <c r="J450" s="108"/>
    </row>
    <row r="451" spans="1:10" ht="54" customHeight="1" x14ac:dyDescent="0.25">
      <c r="A451" s="161" t="s">
        <v>736</v>
      </c>
      <c r="B451" s="16">
        <v>903</v>
      </c>
      <c r="C451" s="20" t="s">
        <v>244</v>
      </c>
      <c r="D451" s="20" t="s">
        <v>215</v>
      </c>
      <c r="E451" s="20" t="s">
        <v>386</v>
      </c>
      <c r="F451" s="20"/>
      <c r="G451" s="26">
        <f>G452</f>
        <v>59.4</v>
      </c>
      <c r="H451" s="173"/>
      <c r="J451" s="108"/>
    </row>
    <row r="452" spans="1:10" ht="31.5" x14ac:dyDescent="0.25">
      <c r="A452" s="25" t="s">
        <v>248</v>
      </c>
      <c r="B452" s="16">
        <v>903</v>
      </c>
      <c r="C452" s="20" t="s">
        <v>244</v>
      </c>
      <c r="D452" s="20" t="s">
        <v>215</v>
      </c>
      <c r="E452" s="20" t="s">
        <v>386</v>
      </c>
      <c r="F452" s="20" t="s">
        <v>249</v>
      </c>
      <c r="G452" s="26">
        <f>G453+G454</f>
        <v>59.4</v>
      </c>
      <c r="H452" s="173"/>
      <c r="J452" s="108"/>
    </row>
    <row r="453" spans="1:10" ht="31.5" x14ac:dyDescent="0.25">
      <c r="A453" s="25" t="s">
        <v>348</v>
      </c>
      <c r="B453" s="16">
        <v>903</v>
      </c>
      <c r="C453" s="20" t="s">
        <v>244</v>
      </c>
      <c r="D453" s="20" t="s">
        <v>215</v>
      </c>
      <c r="E453" s="20" t="s">
        <v>386</v>
      </c>
      <c r="F453" s="20" t="s">
        <v>349</v>
      </c>
      <c r="G453" s="159">
        <v>59.4</v>
      </c>
      <c r="H453" s="154" t="s">
        <v>726</v>
      </c>
      <c r="J453" s="108"/>
    </row>
    <row r="454" spans="1:10" ht="31.5" x14ac:dyDescent="0.25">
      <c r="A454" s="25" t="s">
        <v>250</v>
      </c>
      <c r="B454" s="16">
        <v>903</v>
      </c>
      <c r="C454" s="20" t="s">
        <v>244</v>
      </c>
      <c r="D454" s="20" t="s">
        <v>215</v>
      </c>
      <c r="E454" s="20" t="s">
        <v>386</v>
      </c>
      <c r="F454" s="20" t="s">
        <v>251</v>
      </c>
      <c r="G454" s="26"/>
      <c r="H454" s="173"/>
    </row>
    <row r="455" spans="1:10" ht="15.75" x14ac:dyDescent="0.25">
      <c r="A455" s="25" t="s">
        <v>141</v>
      </c>
      <c r="B455" s="16">
        <v>903</v>
      </c>
      <c r="C455" s="20" t="s">
        <v>244</v>
      </c>
      <c r="D455" s="20" t="s">
        <v>215</v>
      </c>
      <c r="E455" s="20" t="s">
        <v>142</v>
      </c>
      <c r="F455" s="20"/>
      <c r="G455" s="26">
        <f>G456</f>
        <v>0</v>
      </c>
      <c r="H455" s="173"/>
    </row>
    <row r="456" spans="1:10" ht="15.75" x14ac:dyDescent="0.25">
      <c r="A456" s="25" t="s">
        <v>201</v>
      </c>
      <c r="B456" s="16">
        <v>903</v>
      </c>
      <c r="C456" s="20" t="s">
        <v>244</v>
      </c>
      <c r="D456" s="20" t="s">
        <v>215</v>
      </c>
      <c r="E456" s="20" t="s">
        <v>202</v>
      </c>
      <c r="F456" s="20"/>
      <c r="G456" s="26">
        <f>G457</f>
        <v>0</v>
      </c>
      <c r="H456" s="173"/>
    </row>
    <row r="457" spans="1:10" ht="31.5" x14ac:dyDescent="0.25">
      <c r="A457" s="25" t="s">
        <v>248</v>
      </c>
      <c r="B457" s="16">
        <v>903</v>
      </c>
      <c r="C457" s="20" t="s">
        <v>244</v>
      </c>
      <c r="D457" s="20" t="s">
        <v>215</v>
      </c>
      <c r="E457" s="20" t="s">
        <v>202</v>
      </c>
      <c r="F457" s="20" t="s">
        <v>249</v>
      </c>
      <c r="G457" s="26">
        <f>G458</f>
        <v>0</v>
      </c>
      <c r="H457" s="173"/>
    </row>
    <row r="458" spans="1:10" ht="31.5" x14ac:dyDescent="0.25">
      <c r="A458" s="25" t="s">
        <v>348</v>
      </c>
      <c r="B458" s="16">
        <v>903</v>
      </c>
      <c r="C458" s="20" t="s">
        <v>244</v>
      </c>
      <c r="D458" s="20" t="s">
        <v>215</v>
      </c>
      <c r="E458" s="20" t="s">
        <v>202</v>
      </c>
      <c r="F458" s="20" t="s">
        <v>349</v>
      </c>
      <c r="G458" s="26">
        <v>0</v>
      </c>
      <c r="H458" s="173"/>
    </row>
    <row r="459" spans="1:10" ht="47.25" x14ac:dyDescent="0.25">
      <c r="A459" s="19" t="s">
        <v>387</v>
      </c>
      <c r="B459" s="19">
        <v>905</v>
      </c>
      <c r="C459" s="20"/>
      <c r="D459" s="20"/>
      <c r="E459" s="20"/>
      <c r="F459" s="20"/>
      <c r="G459" s="21">
        <f>G460+G477+G492</f>
        <v>15801.74</v>
      </c>
      <c r="H459" s="173"/>
    </row>
    <row r="460" spans="1:10" ht="15.75" x14ac:dyDescent="0.25">
      <c r="A460" s="23" t="s">
        <v>117</v>
      </c>
      <c r="B460" s="19">
        <v>905</v>
      </c>
      <c r="C460" s="24" t="s">
        <v>118</v>
      </c>
      <c r="D460" s="20"/>
      <c r="E460" s="20"/>
      <c r="F460" s="20"/>
      <c r="G460" s="21">
        <f>G461+G471</f>
        <v>14701.94</v>
      </c>
      <c r="H460" s="173"/>
    </row>
    <row r="461" spans="1:10" ht="78.75" x14ac:dyDescent="0.25">
      <c r="A461" s="23" t="s">
        <v>149</v>
      </c>
      <c r="B461" s="19">
        <v>905</v>
      </c>
      <c r="C461" s="24" t="s">
        <v>118</v>
      </c>
      <c r="D461" s="24" t="s">
        <v>150</v>
      </c>
      <c r="E461" s="24"/>
      <c r="F461" s="24"/>
      <c r="G461" s="21">
        <f>G462</f>
        <v>11089</v>
      </c>
      <c r="H461" s="173"/>
    </row>
    <row r="462" spans="1:10" ht="15.75" x14ac:dyDescent="0.25">
      <c r="A462" s="25" t="s">
        <v>121</v>
      </c>
      <c r="B462" s="16">
        <v>905</v>
      </c>
      <c r="C462" s="20" t="s">
        <v>118</v>
      </c>
      <c r="D462" s="20" t="s">
        <v>150</v>
      </c>
      <c r="E462" s="20" t="s">
        <v>122</v>
      </c>
      <c r="F462" s="20"/>
      <c r="G462" s="26">
        <f>G463</f>
        <v>11089</v>
      </c>
      <c r="H462" s="173"/>
    </row>
    <row r="463" spans="1:10" ht="31.5" x14ac:dyDescent="0.25">
      <c r="A463" s="25" t="s">
        <v>123</v>
      </c>
      <c r="B463" s="16">
        <v>905</v>
      </c>
      <c r="C463" s="20" t="s">
        <v>118</v>
      </c>
      <c r="D463" s="20" t="s">
        <v>150</v>
      </c>
      <c r="E463" s="20" t="s">
        <v>124</v>
      </c>
      <c r="F463" s="20"/>
      <c r="G463" s="26">
        <f>G464</f>
        <v>11089</v>
      </c>
      <c r="H463" s="173"/>
    </row>
    <row r="464" spans="1:10" ht="47.25" x14ac:dyDescent="0.25">
      <c r="A464" s="25" t="s">
        <v>125</v>
      </c>
      <c r="B464" s="16">
        <v>905</v>
      </c>
      <c r="C464" s="20" t="s">
        <v>118</v>
      </c>
      <c r="D464" s="20" t="s">
        <v>150</v>
      </c>
      <c r="E464" s="20" t="s">
        <v>126</v>
      </c>
      <c r="F464" s="20"/>
      <c r="G464" s="26">
        <f>G465+G467+G469</f>
        <v>11089</v>
      </c>
      <c r="H464" s="173"/>
    </row>
    <row r="465" spans="1:9" ht="94.5" x14ac:dyDescent="0.25">
      <c r="A465" s="25" t="s">
        <v>127</v>
      </c>
      <c r="B465" s="16">
        <v>905</v>
      </c>
      <c r="C465" s="20" t="s">
        <v>118</v>
      </c>
      <c r="D465" s="20" t="s">
        <v>150</v>
      </c>
      <c r="E465" s="20" t="s">
        <v>126</v>
      </c>
      <c r="F465" s="20" t="s">
        <v>128</v>
      </c>
      <c r="G465" s="26">
        <f>G466</f>
        <v>10200.700000000001</v>
      </c>
      <c r="H465" s="173"/>
    </row>
    <row r="466" spans="1:9" ht="31.5" x14ac:dyDescent="0.25">
      <c r="A466" s="25" t="s">
        <v>129</v>
      </c>
      <c r="B466" s="16">
        <v>905</v>
      </c>
      <c r="C466" s="20" t="s">
        <v>118</v>
      </c>
      <c r="D466" s="20" t="s">
        <v>150</v>
      </c>
      <c r="E466" s="20" t="s">
        <v>126</v>
      </c>
      <c r="F466" s="20" t="s">
        <v>130</v>
      </c>
      <c r="G466" s="27">
        <v>10200.700000000001</v>
      </c>
      <c r="H466" s="173"/>
    </row>
    <row r="467" spans="1:9" ht="31.5" x14ac:dyDescent="0.25">
      <c r="A467" s="25" t="s">
        <v>131</v>
      </c>
      <c r="B467" s="16">
        <v>905</v>
      </c>
      <c r="C467" s="20" t="s">
        <v>118</v>
      </c>
      <c r="D467" s="20" t="s">
        <v>150</v>
      </c>
      <c r="E467" s="20" t="s">
        <v>126</v>
      </c>
      <c r="F467" s="20" t="s">
        <v>132</v>
      </c>
      <c r="G467" s="26">
        <f>G468</f>
        <v>811.8</v>
      </c>
      <c r="H467" s="173"/>
    </row>
    <row r="468" spans="1:9" ht="47.25" x14ac:dyDescent="0.25">
      <c r="A468" s="25" t="s">
        <v>133</v>
      </c>
      <c r="B468" s="16">
        <v>905</v>
      </c>
      <c r="C468" s="20" t="s">
        <v>118</v>
      </c>
      <c r="D468" s="20" t="s">
        <v>150</v>
      </c>
      <c r="E468" s="20" t="s">
        <v>126</v>
      </c>
      <c r="F468" s="20" t="s">
        <v>134</v>
      </c>
      <c r="G468" s="153">
        <f>885.8-74</f>
        <v>811.8</v>
      </c>
      <c r="H468" s="154" t="s">
        <v>721</v>
      </c>
    </row>
    <row r="469" spans="1:9" ht="15.75" x14ac:dyDescent="0.25">
      <c r="A469" s="25" t="s">
        <v>135</v>
      </c>
      <c r="B469" s="16">
        <v>905</v>
      </c>
      <c r="C469" s="20" t="s">
        <v>118</v>
      </c>
      <c r="D469" s="20" t="s">
        <v>150</v>
      </c>
      <c r="E469" s="20" t="s">
        <v>126</v>
      </c>
      <c r="F469" s="20" t="s">
        <v>145</v>
      </c>
      <c r="G469" s="26">
        <f>G470</f>
        <v>76.5</v>
      </c>
      <c r="H469" s="173"/>
    </row>
    <row r="470" spans="1:9" ht="15.75" x14ac:dyDescent="0.25">
      <c r="A470" s="25" t="s">
        <v>568</v>
      </c>
      <c r="B470" s="16">
        <v>905</v>
      </c>
      <c r="C470" s="20" t="s">
        <v>118</v>
      </c>
      <c r="D470" s="20" t="s">
        <v>150</v>
      </c>
      <c r="E470" s="20" t="s">
        <v>126</v>
      </c>
      <c r="F470" s="20" t="s">
        <v>138</v>
      </c>
      <c r="G470" s="155">
        <f>2.5+74</f>
        <v>76.5</v>
      </c>
      <c r="H470" s="154" t="s">
        <v>722</v>
      </c>
    </row>
    <row r="471" spans="1:9" ht="15.75" x14ac:dyDescent="0.25">
      <c r="A471" s="23" t="s">
        <v>139</v>
      </c>
      <c r="B471" s="19">
        <v>905</v>
      </c>
      <c r="C471" s="24" t="s">
        <v>118</v>
      </c>
      <c r="D471" s="24" t="s">
        <v>140</v>
      </c>
      <c r="E471" s="24"/>
      <c r="F471" s="24"/>
      <c r="G471" s="21">
        <f>G472</f>
        <v>3612.94</v>
      </c>
      <c r="H471" s="173"/>
    </row>
    <row r="472" spans="1:9" ht="15.75" x14ac:dyDescent="0.25">
      <c r="A472" s="25" t="s">
        <v>121</v>
      </c>
      <c r="B472" s="16">
        <v>905</v>
      </c>
      <c r="C472" s="20" t="s">
        <v>118</v>
      </c>
      <c r="D472" s="20" t="s">
        <v>140</v>
      </c>
      <c r="E472" s="20" t="s">
        <v>122</v>
      </c>
      <c r="F472" s="20"/>
      <c r="G472" s="26">
        <f>G473</f>
        <v>3612.94</v>
      </c>
      <c r="H472" s="173"/>
    </row>
    <row r="473" spans="1:9" ht="15.75" x14ac:dyDescent="0.25">
      <c r="A473" s="25" t="s">
        <v>141</v>
      </c>
      <c r="B473" s="16">
        <v>905</v>
      </c>
      <c r="C473" s="20" t="s">
        <v>118</v>
      </c>
      <c r="D473" s="20" t="s">
        <v>140</v>
      </c>
      <c r="E473" s="20" t="s">
        <v>142</v>
      </c>
      <c r="F473" s="20"/>
      <c r="G473" s="26">
        <f>G474</f>
        <v>3612.94</v>
      </c>
      <c r="H473" s="173"/>
    </row>
    <row r="474" spans="1:9" ht="47.25" x14ac:dyDescent="0.25">
      <c r="A474" s="25" t="s">
        <v>388</v>
      </c>
      <c r="B474" s="16">
        <v>905</v>
      </c>
      <c r="C474" s="20" t="s">
        <v>118</v>
      </c>
      <c r="D474" s="20" t="s">
        <v>140</v>
      </c>
      <c r="E474" s="20" t="s">
        <v>389</v>
      </c>
      <c r="F474" s="20"/>
      <c r="G474" s="26">
        <f>G475</f>
        <v>3612.94</v>
      </c>
      <c r="H474" s="173"/>
    </row>
    <row r="475" spans="1:9" ht="31.5" x14ac:dyDescent="0.25">
      <c r="A475" s="25" t="s">
        <v>131</v>
      </c>
      <c r="B475" s="16">
        <v>905</v>
      </c>
      <c r="C475" s="20" t="s">
        <v>118</v>
      </c>
      <c r="D475" s="20" t="s">
        <v>140</v>
      </c>
      <c r="E475" s="20" t="s">
        <v>389</v>
      </c>
      <c r="F475" s="20" t="s">
        <v>132</v>
      </c>
      <c r="G475" s="26">
        <f>G476</f>
        <v>3612.94</v>
      </c>
      <c r="H475" s="173"/>
    </row>
    <row r="476" spans="1:9" ht="47.25" x14ac:dyDescent="0.25">
      <c r="A476" s="25" t="s">
        <v>133</v>
      </c>
      <c r="B476" s="16">
        <v>905</v>
      </c>
      <c r="C476" s="20" t="s">
        <v>118</v>
      </c>
      <c r="D476" s="20" t="s">
        <v>140</v>
      </c>
      <c r="E476" s="20" t="s">
        <v>389</v>
      </c>
      <c r="F476" s="20" t="s">
        <v>134</v>
      </c>
      <c r="G476" s="159">
        <f>1961.14+1251.8+400</f>
        <v>3612.94</v>
      </c>
      <c r="H476" s="105" t="s">
        <v>739</v>
      </c>
      <c r="I476" s="123"/>
    </row>
    <row r="477" spans="1:9" ht="15.75" x14ac:dyDescent="0.25">
      <c r="A477" s="41" t="s">
        <v>390</v>
      </c>
      <c r="B477" s="19">
        <v>905</v>
      </c>
      <c r="C477" s="24" t="s">
        <v>234</v>
      </c>
      <c r="D477" s="24"/>
      <c r="E477" s="24"/>
      <c r="F477" s="24"/>
      <c r="G477" s="21">
        <f>G478</f>
        <v>1099.8</v>
      </c>
      <c r="H477" s="173"/>
    </row>
    <row r="478" spans="1:9" ht="15.75" x14ac:dyDescent="0.25">
      <c r="A478" s="41" t="s">
        <v>391</v>
      </c>
      <c r="B478" s="19">
        <v>905</v>
      </c>
      <c r="C478" s="24" t="s">
        <v>234</v>
      </c>
      <c r="D478" s="24" t="s">
        <v>118</v>
      </c>
      <c r="E478" s="24"/>
      <c r="F478" s="24"/>
      <c r="G478" s="26">
        <f>G479</f>
        <v>1099.8</v>
      </c>
      <c r="H478" s="173"/>
    </row>
    <row r="479" spans="1:9" ht="15.75" x14ac:dyDescent="0.25">
      <c r="A479" s="29" t="s">
        <v>121</v>
      </c>
      <c r="B479" s="16">
        <v>905</v>
      </c>
      <c r="C479" s="20" t="s">
        <v>234</v>
      </c>
      <c r="D479" s="20" t="s">
        <v>118</v>
      </c>
      <c r="E479" s="20" t="s">
        <v>122</v>
      </c>
      <c r="F479" s="20"/>
      <c r="G479" s="26">
        <f>G485+G480</f>
        <v>1099.8</v>
      </c>
      <c r="H479" s="173"/>
    </row>
    <row r="480" spans="1:9" ht="31.5" hidden="1" x14ac:dyDescent="0.25">
      <c r="A480" s="25" t="s">
        <v>185</v>
      </c>
      <c r="B480" s="37">
        <v>905</v>
      </c>
      <c r="C480" s="20" t="s">
        <v>234</v>
      </c>
      <c r="D480" s="20" t="s">
        <v>118</v>
      </c>
      <c r="E480" s="20" t="s">
        <v>186</v>
      </c>
      <c r="F480" s="20"/>
      <c r="G480" s="26">
        <f>G481</f>
        <v>0</v>
      </c>
      <c r="H480" s="173"/>
    </row>
    <row r="481" spans="1:9" ht="47.25" hidden="1" x14ac:dyDescent="0.25">
      <c r="A481" s="36" t="s">
        <v>392</v>
      </c>
      <c r="B481" s="37">
        <v>905</v>
      </c>
      <c r="C481" s="20" t="s">
        <v>234</v>
      </c>
      <c r="D481" s="20" t="s">
        <v>118</v>
      </c>
      <c r="E481" s="20" t="s">
        <v>393</v>
      </c>
      <c r="F481" s="20"/>
      <c r="G481" s="26">
        <f>G482</f>
        <v>0</v>
      </c>
      <c r="H481" s="173"/>
    </row>
    <row r="482" spans="1:9" ht="31.5" hidden="1" x14ac:dyDescent="0.25">
      <c r="A482" s="42" t="s">
        <v>394</v>
      </c>
      <c r="B482" s="37">
        <v>905</v>
      </c>
      <c r="C482" s="20" t="s">
        <v>234</v>
      </c>
      <c r="D482" s="20" t="s">
        <v>118</v>
      </c>
      <c r="E482" s="20" t="s">
        <v>395</v>
      </c>
      <c r="F482" s="20"/>
      <c r="G482" s="26">
        <f>G483</f>
        <v>0</v>
      </c>
      <c r="H482" s="173"/>
    </row>
    <row r="483" spans="1:9" ht="31.5" hidden="1" x14ac:dyDescent="0.25">
      <c r="A483" s="25" t="s">
        <v>131</v>
      </c>
      <c r="B483" s="16">
        <v>905</v>
      </c>
      <c r="C483" s="20" t="s">
        <v>234</v>
      </c>
      <c r="D483" s="20" t="s">
        <v>118</v>
      </c>
      <c r="E483" s="20" t="s">
        <v>395</v>
      </c>
      <c r="F483" s="20" t="s">
        <v>132</v>
      </c>
      <c r="G483" s="26">
        <f>G484</f>
        <v>0</v>
      </c>
      <c r="H483" s="173"/>
    </row>
    <row r="484" spans="1:9" ht="47.25" hidden="1" x14ac:dyDescent="0.25">
      <c r="A484" s="25" t="s">
        <v>133</v>
      </c>
      <c r="B484" s="16">
        <v>905</v>
      </c>
      <c r="C484" s="20" t="s">
        <v>234</v>
      </c>
      <c r="D484" s="20" t="s">
        <v>118</v>
      </c>
      <c r="E484" s="20" t="s">
        <v>395</v>
      </c>
      <c r="F484" s="20" t="s">
        <v>134</v>
      </c>
      <c r="G484" s="26"/>
      <c r="H484" s="173"/>
    </row>
    <row r="485" spans="1:9" ht="15.75" x14ac:dyDescent="0.25">
      <c r="A485" s="29" t="s">
        <v>141</v>
      </c>
      <c r="B485" s="16">
        <v>905</v>
      </c>
      <c r="C485" s="20" t="s">
        <v>234</v>
      </c>
      <c r="D485" s="20" t="s">
        <v>118</v>
      </c>
      <c r="E485" s="20" t="s">
        <v>142</v>
      </c>
      <c r="F485" s="20"/>
      <c r="G485" s="26">
        <f>G486+G489</f>
        <v>1099.8</v>
      </c>
      <c r="H485" s="173"/>
    </row>
    <row r="486" spans="1:9" ht="31.5" x14ac:dyDescent="0.25">
      <c r="A486" s="29" t="s">
        <v>398</v>
      </c>
      <c r="B486" s="16">
        <v>905</v>
      </c>
      <c r="C486" s="20" t="s">
        <v>234</v>
      </c>
      <c r="D486" s="20" t="s">
        <v>118</v>
      </c>
      <c r="E486" s="20" t="s">
        <v>399</v>
      </c>
      <c r="F486" s="20"/>
      <c r="G486" s="26">
        <f>G487</f>
        <v>260.8</v>
      </c>
      <c r="H486" s="173"/>
    </row>
    <row r="487" spans="1:9" ht="31.5" x14ac:dyDescent="0.25">
      <c r="A487" s="25" t="s">
        <v>131</v>
      </c>
      <c r="B487" s="16">
        <v>905</v>
      </c>
      <c r="C487" s="20" t="s">
        <v>234</v>
      </c>
      <c r="D487" s="20" t="s">
        <v>118</v>
      </c>
      <c r="E487" s="20" t="s">
        <v>399</v>
      </c>
      <c r="F487" s="20" t="s">
        <v>132</v>
      </c>
      <c r="G487" s="26">
        <f>G488</f>
        <v>260.8</v>
      </c>
      <c r="H487" s="173"/>
    </row>
    <row r="488" spans="1:9" ht="47.25" x14ac:dyDescent="0.25">
      <c r="A488" s="25" t="s">
        <v>133</v>
      </c>
      <c r="B488" s="16">
        <v>905</v>
      </c>
      <c r="C488" s="20" t="s">
        <v>234</v>
      </c>
      <c r="D488" s="20" t="s">
        <v>118</v>
      </c>
      <c r="E488" s="20" t="s">
        <v>399</v>
      </c>
      <c r="F488" s="20" t="s">
        <v>134</v>
      </c>
      <c r="G488" s="26">
        <v>260.8</v>
      </c>
      <c r="H488" s="173"/>
    </row>
    <row r="489" spans="1:9" ht="15.75" x14ac:dyDescent="0.25">
      <c r="A489" s="29" t="s">
        <v>396</v>
      </c>
      <c r="B489" s="16">
        <v>905</v>
      </c>
      <c r="C489" s="20" t="s">
        <v>234</v>
      </c>
      <c r="D489" s="20" t="s">
        <v>118</v>
      </c>
      <c r="E489" s="20" t="s">
        <v>397</v>
      </c>
      <c r="F489" s="20"/>
      <c r="G489" s="26">
        <f>G490</f>
        <v>839</v>
      </c>
      <c r="H489" s="173"/>
    </row>
    <row r="490" spans="1:9" ht="31.5" x14ac:dyDescent="0.25">
      <c r="A490" s="25" t="s">
        <v>131</v>
      </c>
      <c r="B490" s="16">
        <v>905</v>
      </c>
      <c r="C490" s="20" t="s">
        <v>234</v>
      </c>
      <c r="D490" s="20" t="s">
        <v>118</v>
      </c>
      <c r="E490" s="20" t="s">
        <v>397</v>
      </c>
      <c r="F490" s="20" t="s">
        <v>132</v>
      </c>
      <c r="G490" s="26">
        <f>G491</f>
        <v>839</v>
      </c>
      <c r="H490" s="173"/>
    </row>
    <row r="491" spans="1:9" ht="47.25" x14ac:dyDescent="0.25">
      <c r="A491" s="25" t="s">
        <v>133</v>
      </c>
      <c r="B491" s="16">
        <v>905</v>
      </c>
      <c r="C491" s="20" t="s">
        <v>234</v>
      </c>
      <c r="D491" s="20" t="s">
        <v>118</v>
      </c>
      <c r="E491" s="20" t="s">
        <v>397</v>
      </c>
      <c r="F491" s="20" t="s">
        <v>134</v>
      </c>
      <c r="G491" s="26">
        <v>839</v>
      </c>
      <c r="H491" s="173"/>
      <c r="I491" s="114"/>
    </row>
    <row r="492" spans="1:9" ht="15.75" hidden="1" x14ac:dyDescent="0.25">
      <c r="A492" s="43" t="s">
        <v>243</v>
      </c>
      <c r="B492" s="19">
        <v>905</v>
      </c>
      <c r="C492" s="24" t="s">
        <v>244</v>
      </c>
      <c r="D492" s="24"/>
      <c r="E492" s="24"/>
      <c r="F492" s="24"/>
      <c r="G492" s="21">
        <f>G493</f>
        <v>0</v>
      </c>
      <c r="H492" s="173"/>
    </row>
    <row r="493" spans="1:9" ht="15.75" hidden="1" x14ac:dyDescent="0.25">
      <c r="A493" s="23" t="s">
        <v>400</v>
      </c>
      <c r="B493" s="19">
        <v>905</v>
      </c>
      <c r="C493" s="24" t="s">
        <v>244</v>
      </c>
      <c r="D493" s="24" t="s">
        <v>150</v>
      </c>
      <c r="E493" s="24"/>
      <c r="F493" s="24"/>
      <c r="G493" s="21">
        <f>G494</f>
        <v>0</v>
      </c>
      <c r="H493" s="173"/>
    </row>
    <row r="494" spans="1:9" ht="31.5" hidden="1" x14ac:dyDescent="0.25">
      <c r="A494" s="25" t="s">
        <v>185</v>
      </c>
      <c r="B494" s="16">
        <v>905</v>
      </c>
      <c r="C494" s="20" t="s">
        <v>244</v>
      </c>
      <c r="D494" s="20" t="s">
        <v>150</v>
      </c>
      <c r="E494" s="20" t="s">
        <v>186</v>
      </c>
      <c r="F494" s="20"/>
      <c r="G494" s="26">
        <f>G495</f>
        <v>0</v>
      </c>
      <c r="H494" s="173"/>
    </row>
    <row r="495" spans="1:9" ht="47.25" hidden="1" x14ac:dyDescent="0.25">
      <c r="A495" s="31" t="s">
        <v>401</v>
      </c>
      <c r="B495" s="16">
        <v>905</v>
      </c>
      <c r="C495" s="20" t="s">
        <v>244</v>
      </c>
      <c r="D495" s="20" t="s">
        <v>150</v>
      </c>
      <c r="E495" s="20" t="s">
        <v>402</v>
      </c>
      <c r="F495" s="20"/>
      <c r="G495" s="26">
        <f>G496</f>
        <v>0</v>
      </c>
      <c r="H495" s="173"/>
    </row>
    <row r="496" spans="1:9" ht="31.5" hidden="1" x14ac:dyDescent="0.25">
      <c r="A496" s="25" t="s">
        <v>131</v>
      </c>
      <c r="B496" s="16">
        <v>905</v>
      </c>
      <c r="C496" s="20" t="s">
        <v>244</v>
      </c>
      <c r="D496" s="20" t="s">
        <v>150</v>
      </c>
      <c r="E496" s="20" t="s">
        <v>402</v>
      </c>
      <c r="F496" s="20" t="s">
        <v>132</v>
      </c>
      <c r="G496" s="26">
        <f>G497</f>
        <v>0</v>
      </c>
      <c r="H496" s="173"/>
    </row>
    <row r="497" spans="1:12" ht="47.25" hidden="1" x14ac:dyDescent="0.25">
      <c r="A497" s="25" t="s">
        <v>133</v>
      </c>
      <c r="B497" s="16">
        <v>905</v>
      </c>
      <c r="C497" s="20" t="s">
        <v>244</v>
      </c>
      <c r="D497" s="20" t="s">
        <v>150</v>
      </c>
      <c r="E497" s="20" t="s">
        <v>402</v>
      </c>
      <c r="F497" s="20" t="s">
        <v>134</v>
      </c>
      <c r="G497" s="26">
        <f>1330-1330</f>
        <v>0</v>
      </c>
      <c r="H497" s="173"/>
      <c r="I497" s="114"/>
    </row>
    <row r="498" spans="1:12" ht="31.5" x14ac:dyDescent="0.25">
      <c r="A498" s="19" t="s">
        <v>403</v>
      </c>
      <c r="B498" s="19">
        <v>906</v>
      </c>
      <c r="C498" s="24"/>
      <c r="D498" s="24"/>
      <c r="E498" s="24"/>
      <c r="F498" s="24"/>
      <c r="G498" s="21">
        <f>G506+G499</f>
        <v>261521.80000000002</v>
      </c>
      <c r="H498" s="173"/>
      <c r="L498" s="115"/>
    </row>
    <row r="499" spans="1:12" ht="15.75" x14ac:dyDescent="0.25">
      <c r="A499" s="23" t="s">
        <v>117</v>
      </c>
      <c r="B499" s="19">
        <v>906</v>
      </c>
      <c r="C499" s="24" t="s">
        <v>118</v>
      </c>
      <c r="D499" s="24"/>
      <c r="E499" s="24"/>
      <c r="F499" s="24"/>
      <c r="G499" s="21">
        <f t="shared" ref="G499:G504" si="2">G500</f>
        <v>5</v>
      </c>
      <c r="H499" s="173"/>
    </row>
    <row r="500" spans="1:12" ht="15.75" x14ac:dyDescent="0.25">
      <c r="A500" s="34" t="s">
        <v>139</v>
      </c>
      <c r="B500" s="19">
        <v>906</v>
      </c>
      <c r="C500" s="24" t="s">
        <v>118</v>
      </c>
      <c r="D500" s="24" t="s">
        <v>140</v>
      </c>
      <c r="E500" s="24"/>
      <c r="F500" s="24"/>
      <c r="G500" s="21">
        <f t="shared" si="2"/>
        <v>5</v>
      </c>
      <c r="H500" s="173"/>
    </row>
    <row r="501" spans="1:12" ht="18" customHeight="1" x14ac:dyDescent="0.25">
      <c r="A501" s="31" t="s">
        <v>121</v>
      </c>
      <c r="B501" s="16">
        <v>906</v>
      </c>
      <c r="C501" s="20" t="s">
        <v>118</v>
      </c>
      <c r="D501" s="20" t="s">
        <v>140</v>
      </c>
      <c r="E501" s="20" t="s">
        <v>122</v>
      </c>
      <c r="F501" s="20"/>
      <c r="G501" s="26">
        <f t="shared" si="2"/>
        <v>5</v>
      </c>
      <c r="H501" s="173"/>
    </row>
    <row r="502" spans="1:12" ht="15.75" x14ac:dyDescent="0.25">
      <c r="A502" s="31" t="s">
        <v>141</v>
      </c>
      <c r="B502" s="16">
        <v>906</v>
      </c>
      <c r="C502" s="20" t="s">
        <v>118</v>
      </c>
      <c r="D502" s="20" t="s">
        <v>140</v>
      </c>
      <c r="E502" s="20" t="s">
        <v>142</v>
      </c>
      <c r="F502" s="20"/>
      <c r="G502" s="26">
        <f t="shared" si="2"/>
        <v>5</v>
      </c>
      <c r="H502" s="173"/>
    </row>
    <row r="503" spans="1:12" ht="15.75" x14ac:dyDescent="0.25">
      <c r="A503" s="25" t="s">
        <v>179</v>
      </c>
      <c r="B503" s="16">
        <v>906</v>
      </c>
      <c r="C503" s="20" t="s">
        <v>118</v>
      </c>
      <c r="D503" s="20" t="s">
        <v>140</v>
      </c>
      <c r="E503" s="20" t="s">
        <v>205</v>
      </c>
      <c r="F503" s="20"/>
      <c r="G503" s="26">
        <f t="shared" si="2"/>
        <v>5</v>
      </c>
      <c r="H503" s="173"/>
    </row>
    <row r="504" spans="1:12" ht="31.5" x14ac:dyDescent="0.25">
      <c r="A504" s="25" t="s">
        <v>131</v>
      </c>
      <c r="B504" s="16">
        <v>906</v>
      </c>
      <c r="C504" s="20" t="s">
        <v>118</v>
      </c>
      <c r="D504" s="20" t="s">
        <v>140</v>
      </c>
      <c r="E504" s="20" t="s">
        <v>205</v>
      </c>
      <c r="F504" s="20" t="s">
        <v>132</v>
      </c>
      <c r="G504" s="26">
        <f t="shared" si="2"/>
        <v>5</v>
      </c>
      <c r="H504" s="173"/>
    </row>
    <row r="505" spans="1:12" ht="47.25" x14ac:dyDescent="0.25">
      <c r="A505" s="25" t="s">
        <v>133</v>
      </c>
      <c r="B505" s="16">
        <v>906</v>
      </c>
      <c r="C505" s="20" t="s">
        <v>118</v>
      </c>
      <c r="D505" s="20" t="s">
        <v>140</v>
      </c>
      <c r="E505" s="20" t="s">
        <v>205</v>
      </c>
      <c r="F505" s="20" t="s">
        <v>134</v>
      </c>
      <c r="G505" s="26">
        <v>5</v>
      </c>
      <c r="H505" s="173"/>
    </row>
    <row r="506" spans="1:12" ht="15.75" x14ac:dyDescent="0.25">
      <c r="A506" s="23" t="s">
        <v>263</v>
      </c>
      <c r="B506" s="19">
        <v>906</v>
      </c>
      <c r="C506" s="24" t="s">
        <v>264</v>
      </c>
      <c r="D506" s="24"/>
      <c r="E506" s="24"/>
      <c r="F506" s="24"/>
      <c r="G506" s="21">
        <f>G507+G546+G633+G645+G612</f>
        <v>261516.80000000002</v>
      </c>
      <c r="H506" s="173"/>
    </row>
    <row r="507" spans="1:12" ht="15.75" x14ac:dyDescent="0.25">
      <c r="A507" s="23" t="s">
        <v>404</v>
      </c>
      <c r="B507" s="19">
        <v>906</v>
      </c>
      <c r="C507" s="24" t="s">
        <v>264</v>
      </c>
      <c r="D507" s="24" t="s">
        <v>118</v>
      </c>
      <c r="E507" s="24"/>
      <c r="F507" s="24"/>
      <c r="G507" s="21">
        <f>G508+G526</f>
        <v>84659.4</v>
      </c>
      <c r="H507" s="173"/>
    </row>
    <row r="508" spans="1:12" ht="47.25" x14ac:dyDescent="0.25">
      <c r="A508" s="25" t="s">
        <v>405</v>
      </c>
      <c r="B508" s="16">
        <v>906</v>
      </c>
      <c r="C508" s="20" t="s">
        <v>264</v>
      </c>
      <c r="D508" s="20" t="s">
        <v>118</v>
      </c>
      <c r="E508" s="20" t="s">
        <v>406</v>
      </c>
      <c r="F508" s="20"/>
      <c r="G508" s="26">
        <f>G509+G513</f>
        <v>23453.4</v>
      </c>
      <c r="H508" s="173"/>
    </row>
    <row r="509" spans="1:12" ht="47.25" x14ac:dyDescent="0.25">
      <c r="A509" s="25" t="s">
        <v>407</v>
      </c>
      <c r="B509" s="16">
        <v>906</v>
      </c>
      <c r="C509" s="20" t="s">
        <v>264</v>
      </c>
      <c r="D509" s="20" t="s">
        <v>118</v>
      </c>
      <c r="E509" s="20" t="s">
        <v>408</v>
      </c>
      <c r="F509" s="20"/>
      <c r="G509" s="26">
        <f>G510</f>
        <v>15578.400000000001</v>
      </c>
      <c r="H509" s="173"/>
    </row>
    <row r="510" spans="1:12" ht="47.25" x14ac:dyDescent="0.25">
      <c r="A510" s="25" t="s">
        <v>409</v>
      </c>
      <c r="B510" s="16">
        <v>906</v>
      </c>
      <c r="C510" s="20" t="s">
        <v>264</v>
      </c>
      <c r="D510" s="20" t="s">
        <v>118</v>
      </c>
      <c r="E510" s="20" t="s">
        <v>410</v>
      </c>
      <c r="F510" s="20"/>
      <c r="G510" s="26">
        <f>G511</f>
        <v>15578.400000000001</v>
      </c>
      <c r="H510" s="173"/>
    </row>
    <row r="511" spans="1:12" ht="47.25" x14ac:dyDescent="0.25">
      <c r="A511" s="25" t="s">
        <v>272</v>
      </c>
      <c r="B511" s="16">
        <v>906</v>
      </c>
      <c r="C511" s="20" t="s">
        <v>264</v>
      </c>
      <c r="D511" s="20" t="s">
        <v>118</v>
      </c>
      <c r="E511" s="20" t="s">
        <v>410</v>
      </c>
      <c r="F511" s="20" t="s">
        <v>273</v>
      </c>
      <c r="G511" s="26">
        <f>G512</f>
        <v>15578.400000000001</v>
      </c>
      <c r="H511" s="173"/>
    </row>
    <row r="512" spans="1:12" ht="15.75" x14ac:dyDescent="0.25">
      <c r="A512" s="25" t="s">
        <v>274</v>
      </c>
      <c r="B512" s="16">
        <v>906</v>
      </c>
      <c r="C512" s="20" t="s">
        <v>264</v>
      </c>
      <c r="D512" s="20" t="s">
        <v>118</v>
      </c>
      <c r="E512" s="20" t="s">
        <v>410</v>
      </c>
      <c r="F512" s="20" t="s">
        <v>275</v>
      </c>
      <c r="G512" s="27">
        <f>17368.2+6858.7-6314-1360.2-974.3</f>
        <v>15578.400000000001</v>
      </c>
      <c r="H512" s="175"/>
      <c r="I512" s="124"/>
    </row>
    <row r="513" spans="1:8" ht="47.25" x14ac:dyDescent="0.25">
      <c r="A513" s="25" t="s">
        <v>411</v>
      </c>
      <c r="B513" s="16">
        <v>906</v>
      </c>
      <c r="C513" s="20" t="s">
        <v>264</v>
      </c>
      <c r="D513" s="20" t="s">
        <v>118</v>
      </c>
      <c r="E513" s="20" t="s">
        <v>412</v>
      </c>
      <c r="F513" s="20"/>
      <c r="G513" s="26">
        <f>G514+G517+G520+G523</f>
        <v>7875</v>
      </c>
      <c r="H513" s="173"/>
    </row>
    <row r="514" spans="1:8" ht="47.25" hidden="1" x14ac:dyDescent="0.25">
      <c r="A514" s="25" t="s">
        <v>278</v>
      </c>
      <c r="B514" s="16">
        <v>906</v>
      </c>
      <c r="C514" s="20" t="s">
        <v>264</v>
      </c>
      <c r="D514" s="20" t="s">
        <v>118</v>
      </c>
      <c r="E514" s="20" t="s">
        <v>413</v>
      </c>
      <c r="F514" s="20"/>
      <c r="G514" s="26">
        <f>G515</f>
        <v>0</v>
      </c>
      <c r="H514" s="173"/>
    </row>
    <row r="515" spans="1:8" ht="47.25" hidden="1" x14ac:dyDescent="0.25">
      <c r="A515" s="25" t="s">
        <v>272</v>
      </c>
      <c r="B515" s="16">
        <v>906</v>
      </c>
      <c r="C515" s="20" t="s">
        <v>264</v>
      </c>
      <c r="D515" s="20" t="s">
        <v>118</v>
      </c>
      <c r="E515" s="20" t="s">
        <v>413</v>
      </c>
      <c r="F515" s="20" t="s">
        <v>273</v>
      </c>
      <c r="G515" s="26">
        <f>G516</f>
        <v>0</v>
      </c>
      <c r="H515" s="173"/>
    </row>
    <row r="516" spans="1:8" ht="15.75" hidden="1" x14ac:dyDescent="0.25">
      <c r="A516" s="25" t="s">
        <v>274</v>
      </c>
      <c r="B516" s="16">
        <v>906</v>
      </c>
      <c r="C516" s="20" t="s">
        <v>264</v>
      </c>
      <c r="D516" s="20" t="s">
        <v>118</v>
      </c>
      <c r="E516" s="20" t="s">
        <v>413</v>
      </c>
      <c r="F516" s="20" t="s">
        <v>275</v>
      </c>
      <c r="G516" s="26">
        <v>0</v>
      </c>
      <c r="H516" s="173"/>
    </row>
    <row r="517" spans="1:8" ht="31.5" x14ac:dyDescent="0.25">
      <c r="A517" s="25" t="s">
        <v>280</v>
      </c>
      <c r="B517" s="16">
        <v>906</v>
      </c>
      <c r="C517" s="20" t="s">
        <v>264</v>
      </c>
      <c r="D517" s="20" t="s">
        <v>118</v>
      </c>
      <c r="E517" s="20" t="s">
        <v>414</v>
      </c>
      <c r="F517" s="20"/>
      <c r="G517" s="26">
        <f>G518</f>
        <v>1145</v>
      </c>
      <c r="H517" s="173"/>
    </row>
    <row r="518" spans="1:8" ht="47.25" x14ac:dyDescent="0.25">
      <c r="A518" s="25" t="s">
        <v>272</v>
      </c>
      <c r="B518" s="16">
        <v>906</v>
      </c>
      <c r="C518" s="20" t="s">
        <v>264</v>
      </c>
      <c r="D518" s="20" t="s">
        <v>118</v>
      </c>
      <c r="E518" s="20" t="s">
        <v>414</v>
      </c>
      <c r="F518" s="20" t="s">
        <v>273</v>
      </c>
      <c r="G518" s="26">
        <f>G519</f>
        <v>1145</v>
      </c>
      <c r="H518" s="173"/>
    </row>
    <row r="519" spans="1:8" ht="15.75" x14ac:dyDescent="0.25">
      <c r="A519" s="25" t="s">
        <v>274</v>
      </c>
      <c r="B519" s="16">
        <v>906</v>
      </c>
      <c r="C519" s="20" t="s">
        <v>264</v>
      </c>
      <c r="D519" s="20" t="s">
        <v>118</v>
      </c>
      <c r="E519" s="20" t="s">
        <v>414</v>
      </c>
      <c r="F519" s="20" t="s">
        <v>275</v>
      </c>
      <c r="G519" s="155">
        <f>800+300+45</f>
        <v>1145</v>
      </c>
      <c r="H519" s="162" t="s">
        <v>741</v>
      </c>
    </row>
    <row r="520" spans="1:8" ht="47.25" x14ac:dyDescent="0.25">
      <c r="A520" s="25" t="s">
        <v>415</v>
      </c>
      <c r="B520" s="16">
        <v>906</v>
      </c>
      <c r="C520" s="20" t="s">
        <v>264</v>
      </c>
      <c r="D520" s="20" t="s">
        <v>118</v>
      </c>
      <c r="E520" s="20" t="s">
        <v>416</v>
      </c>
      <c r="F520" s="20"/>
      <c r="G520" s="26">
        <f>G521</f>
        <v>6730</v>
      </c>
      <c r="H520" s="173"/>
    </row>
    <row r="521" spans="1:8" ht="47.25" x14ac:dyDescent="0.25">
      <c r="A521" s="25" t="s">
        <v>272</v>
      </c>
      <c r="B521" s="16">
        <v>906</v>
      </c>
      <c r="C521" s="20" t="s">
        <v>264</v>
      </c>
      <c r="D521" s="20" t="s">
        <v>118</v>
      </c>
      <c r="E521" s="20" t="s">
        <v>416</v>
      </c>
      <c r="F521" s="20" t="s">
        <v>273</v>
      </c>
      <c r="G521" s="26">
        <f>G522</f>
        <v>6730</v>
      </c>
      <c r="H521" s="173"/>
    </row>
    <row r="522" spans="1:8" ht="15.75" x14ac:dyDescent="0.25">
      <c r="A522" s="25" t="s">
        <v>274</v>
      </c>
      <c r="B522" s="16">
        <v>906</v>
      </c>
      <c r="C522" s="20" t="s">
        <v>264</v>
      </c>
      <c r="D522" s="20" t="s">
        <v>118</v>
      </c>
      <c r="E522" s="20" t="s">
        <v>416</v>
      </c>
      <c r="F522" s="20" t="s">
        <v>275</v>
      </c>
      <c r="G522" s="27">
        <v>6730</v>
      </c>
      <c r="H522" s="173"/>
    </row>
    <row r="523" spans="1:8" ht="31.5" hidden="1" x14ac:dyDescent="0.25">
      <c r="A523" s="25" t="s">
        <v>284</v>
      </c>
      <c r="B523" s="16">
        <v>906</v>
      </c>
      <c r="C523" s="20" t="s">
        <v>264</v>
      </c>
      <c r="D523" s="20" t="s">
        <v>118</v>
      </c>
      <c r="E523" s="20" t="s">
        <v>417</v>
      </c>
      <c r="F523" s="20"/>
      <c r="G523" s="26">
        <f>G524</f>
        <v>0</v>
      </c>
      <c r="H523" s="173"/>
    </row>
    <row r="524" spans="1:8" ht="47.25" hidden="1" x14ac:dyDescent="0.25">
      <c r="A524" s="25" t="s">
        <v>272</v>
      </c>
      <c r="B524" s="16">
        <v>906</v>
      </c>
      <c r="C524" s="20" t="s">
        <v>264</v>
      </c>
      <c r="D524" s="20" t="s">
        <v>118</v>
      </c>
      <c r="E524" s="20" t="s">
        <v>417</v>
      </c>
      <c r="F524" s="20" t="s">
        <v>273</v>
      </c>
      <c r="G524" s="26">
        <f>G525</f>
        <v>0</v>
      </c>
      <c r="H524" s="173"/>
    </row>
    <row r="525" spans="1:8" ht="15.75" hidden="1" x14ac:dyDescent="0.25">
      <c r="A525" s="25" t="s">
        <v>274</v>
      </c>
      <c r="B525" s="16">
        <v>906</v>
      </c>
      <c r="C525" s="20" t="s">
        <v>264</v>
      </c>
      <c r="D525" s="20" t="s">
        <v>118</v>
      </c>
      <c r="E525" s="20" t="s">
        <v>417</v>
      </c>
      <c r="F525" s="20" t="s">
        <v>275</v>
      </c>
      <c r="G525" s="26">
        <v>0</v>
      </c>
      <c r="H525" s="173"/>
    </row>
    <row r="526" spans="1:8" ht="15.75" x14ac:dyDescent="0.25">
      <c r="A526" s="25" t="s">
        <v>121</v>
      </c>
      <c r="B526" s="16">
        <v>906</v>
      </c>
      <c r="C526" s="20" t="s">
        <v>264</v>
      </c>
      <c r="D526" s="20" t="s">
        <v>118</v>
      </c>
      <c r="E526" s="20" t="s">
        <v>122</v>
      </c>
      <c r="F526" s="20"/>
      <c r="G526" s="26">
        <f>G527</f>
        <v>61206</v>
      </c>
      <c r="H526" s="173"/>
    </row>
    <row r="527" spans="1:8" ht="31.5" x14ac:dyDescent="0.25">
      <c r="A527" s="25" t="s">
        <v>185</v>
      </c>
      <c r="B527" s="16">
        <v>906</v>
      </c>
      <c r="C527" s="20" t="s">
        <v>264</v>
      </c>
      <c r="D527" s="20" t="s">
        <v>118</v>
      </c>
      <c r="E527" s="20" t="s">
        <v>186</v>
      </c>
      <c r="F527" s="20"/>
      <c r="G527" s="26">
        <f>G528+G531+G534+G537+G540+G543</f>
        <v>61206</v>
      </c>
      <c r="H527" s="173"/>
    </row>
    <row r="528" spans="1:8" ht="31.5" hidden="1" x14ac:dyDescent="0.25">
      <c r="A528" s="25" t="s">
        <v>418</v>
      </c>
      <c r="B528" s="16">
        <v>906</v>
      </c>
      <c r="C528" s="20" t="s">
        <v>264</v>
      </c>
      <c r="D528" s="20" t="s">
        <v>118</v>
      </c>
      <c r="E528" s="20" t="s">
        <v>419</v>
      </c>
      <c r="F528" s="20"/>
      <c r="G528" s="26">
        <f>G529</f>
        <v>0</v>
      </c>
      <c r="H528" s="173"/>
    </row>
    <row r="529" spans="1:9" ht="47.25" hidden="1" x14ac:dyDescent="0.25">
      <c r="A529" s="25" t="s">
        <v>272</v>
      </c>
      <c r="B529" s="16">
        <v>906</v>
      </c>
      <c r="C529" s="20" t="s">
        <v>264</v>
      </c>
      <c r="D529" s="20" t="s">
        <v>118</v>
      </c>
      <c r="E529" s="20" t="s">
        <v>419</v>
      </c>
      <c r="F529" s="20" t="s">
        <v>273</v>
      </c>
      <c r="G529" s="26">
        <f>G530</f>
        <v>0</v>
      </c>
      <c r="H529" s="173"/>
    </row>
    <row r="530" spans="1:9" ht="15.75" hidden="1" x14ac:dyDescent="0.25">
      <c r="A530" s="25" t="s">
        <v>274</v>
      </c>
      <c r="B530" s="16">
        <v>906</v>
      </c>
      <c r="C530" s="20" t="s">
        <v>264</v>
      </c>
      <c r="D530" s="20" t="s">
        <v>118</v>
      </c>
      <c r="E530" s="20" t="s">
        <v>419</v>
      </c>
      <c r="F530" s="20" t="s">
        <v>275</v>
      </c>
      <c r="G530" s="26"/>
      <c r="H530" s="173"/>
    </row>
    <row r="531" spans="1:9" ht="63" x14ac:dyDescent="0.25">
      <c r="A531" s="31" t="s">
        <v>289</v>
      </c>
      <c r="B531" s="16">
        <v>906</v>
      </c>
      <c r="C531" s="20" t="s">
        <v>264</v>
      </c>
      <c r="D531" s="20" t="s">
        <v>118</v>
      </c>
      <c r="E531" s="20" t="s">
        <v>290</v>
      </c>
      <c r="F531" s="20"/>
      <c r="G531" s="26">
        <f>G532</f>
        <v>310.2</v>
      </c>
      <c r="H531" s="173"/>
    </row>
    <row r="532" spans="1:9" ht="47.25" x14ac:dyDescent="0.25">
      <c r="A532" s="25" t="s">
        <v>272</v>
      </c>
      <c r="B532" s="16">
        <v>906</v>
      </c>
      <c r="C532" s="20" t="s">
        <v>264</v>
      </c>
      <c r="D532" s="20" t="s">
        <v>118</v>
      </c>
      <c r="E532" s="20" t="s">
        <v>290</v>
      </c>
      <c r="F532" s="20" t="s">
        <v>273</v>
      </c>
      <c r="G532" s="26">
        <f>G533</f>
        <v>310.2</v>
      </c>
      <c r="H532" s="173"/>
    </row>
    <row r="533" spans="1:9" ht="15.75" x14ac:dyDescent="0.25">
      <c r="A533" s="25" t="s">
        <v>274</v>
      </c>
      <c r="B533" s="16">
        <v>906</v>
      </c>
      <c r="C533" s="20" t="s">
        <v>264</v>
      </c>
      <c r="D533" s="20" t="s">
        <v>118</v>
      </c>
      <c r="E533" s="20" t="s">
        <v>290</v>
      </c>
      <c r="F533" s="20" t="s">
        <v>275</v>
      </c>
      <c r="G533" s="26">
        <f>416.2-106</f>
        <v>310.2</v>
      </c>
      <c r="H533" s="173"/>
      <c r="I533" s="114"/>
    </row>
    <row r="534" spans="1:9" ht="78.75" x14ac:dyDescent="0.25">
      <c r="A534" s="31" t="s">
        <v>420</v>
      </c>
      <c r="B534" s="16">
        <v>906</v>
      </c>
      <c r="C534" s="20" t="s">
        <v>264</v>
      </c>
      <c r="D534" s="20" t="s">
        <v>118</v>
      </c>
      <c r="E534" s="20" t="s">
        <v>292</v>
      </c>
      <c r="F534" s="20"/>
      <c r="G534" s="26">
        <f>G535</f>
        <v>1696.8</v>
      </c>
      <c r="H534" s="173"/>
    </row>
    <row r="535" spans="1:9" ht="47.25" x14ac:dyDescent="0.25">
      <c r="A535" s="25" t="s">
        <v>272</v>
      </c>
      <c r="B535" s="16">
        <v>906</v>
      </c>
      <c r="C535" s="20" t="s">
        <v>264</v>
      </c>
      <c r="D535" s="20" t="s">
        <v>118</v>
      </c>
      <c r="E535" s="20" t="s">
        <v>292</v>
      </c>
      <c r="F535" s="20" t="s">
        <v>273</v>
      </c>
      <c r="G535" s="26">
        <f>G536</f>
        <v>1696.8</v>
      </c>
      <c r="H535" s="173"/>
    </row>
    <row r="536" spans="1:9" ht="15.75" x14ac:dyDescent="0.25">
      <c r="A536" s="25" t="s">
        <v>274</v>
      </c>
      <c r="B536" s="16">
        <v>906</v>
      </c>
      <c r="C536" s="20" t="s">
        <v>264</v>
      </c>
      <c r="D536" s="20" t="s">
        <v>118</v>
      </c>
      <c r="E536" s="20" t="s">
        <v>292</v>
      </c>
      <c r="F536" s="20" t="s">
        <v>275</v>
      </c>
      <c r="G536" s="26">
        <f>1900-203.2</f>
        <v>1696.8</v>
      </c>
      <c r="H536" s="173"/>
      <c r="I536" s="114"/>
    </row>
    <row r="537" spans="1:9" ht="94.5" x14ac:dyDescent="0.25">
      <c r="A537" s="31" t="s">
        <v>421</v>
      </c>
      <c r="B537" s="16">
        <v>906</v>
      </c>
      <c r="C537" s="20" t="s">
        <v>264</v>
      </c>
      <c r="D537" s="20" t="s">
        <v>118</v>
      </c>
      <c r="E537" s="20" t="s">
        <v>422</v>
      </c>
      <c r="F537" s="20"/>
      <c r="G537" s="26">
        <f>G538</f>
        <v>56320</v>
      </c>
      <c r="H537" s="173"/>
    </row>
    <row r="538" spans="1:9" ht="47.25" x14ac:dyDescent="0.25">
      <c r="A538" s="25" t="s">
        <v>272</v>
      </c>
      <c r="B538" s="16">
        <v>906</v>
      </c>
      <c r="C538" s="20" t="s">
        <v>264</v>
      </c>
      <c r="D538" s="20" t="s">
        <v>118</v>
      </c>
      <c r="E538" s="20" t="s">
        <v>422</v>
      </c>
      <c r="F538" s="20" t="s">
        <v>273</v>
      </c>
      <c r="G538" s="26">
        <f>G539</f>
        <v>56320</v>
      </c>
      <c r="H538" s="173"/>
    </row>
    <row r="539" spans="1:9" ht="15.75" x14ac:dyDescent="0.25">
      <c r="A539" s="25" t="s">
        <v>274</v>
      </c>
      <c r="B539" s="16">
        <v>906</v>
      </c>
      <c r="C539" s="20" t="s">
        <v>264</v>
      </c>
      <c r="D539" s="20" t="s">
        <v>118</v>
      </c>
      <c r="E539" s="20" t="s">
        <v>422</v>
      </c>
      <c r="F539" s="20" t="s">
        <v>275</v>
      </c>
      <c r="G539" s="27">
        <f>66162.2-7643.6-2198.6</f>
        <v>56320</v>
      </c>
      <c r="H539" s="105"/>
      <c r="I539" s="114"/>
    </row>
    <row r="540" spans="1:9" ht="110.25" x14ac:dyDescent="0.25">
      <c r="A540" s="31" t="s">
        <v>293</v>
      </c>
      <c r="B540" s="16">
        <v>906</v>
      </c>
      <c r="C540" s="20" t="s">
        <v>264</v>
      </c>
      <c r="D540" s="20" t="s">
        <v>118</v>
      </c>
      <c r="E540" s="20" t="s">
        <v>294</v>
      </c>
      <c r="F540" s="20"/>
      <c r="G540" s="26">
        <f>G541</f>
        <v>2879</v>
      </c>
      <c r="H540" s="173"/>
    </row>
    <row r="541" spans="1:9" ht="47.25" x14ac:dyDescent="0.25">
      <c r="A541" s="25" t="s">
        <v>272</v>
      </c>
      <c r="B541" s="16">
        <v>906</v>
      </c>
      <c r="C541" s="20" t="s">
        <v>264</v>
      </c>
      <c r="D541" s="20" t="s">
        <v>118</v>
      </c>
      <c r="E541" s="20" t="s">
        <v>294</v>
      </c>
      <c r="F541" s="20" t="s">
        <v>273</v>
      </c>
      <c r="G541" s="26">
        <f>G542</f>
        <v>2879</v>
      </c>
      <c r="H541" s="173"/>
    </row>
    <row r="542" spans="1:9" ht="15.75" x14ac:dyDescent="0.25">
      <c r="A542" s="25" t="s">
        <v>274</v>
      </c>
      <c r="B542" s="16">
        <v>906</v>
      </c>
      <c r="C542" s="20" t="s">
        <v>264</v>
      </c>
      <c r="D542" s="20" t="s">
        <v>118</v>
      </c>
      <c r="E542" s="20" t="s">
        <v>294</v>
      </c>
      <c r="F542" s="20" t="s">
        <v>275</v>
      </c>
      <c r="G542" s="27">
        <f>2937.2-58.2</f>
        <v>2879</v>
      </c>
      <c r="H542" s="173"/>
      <c r="I542" s="114"/>
    </row>
    <row r="543" spans="1:9" ht="157.5" hidden="1" x14ac:dyDescent="0.25">
      <c r="A543" s="25" t="s">
        <v>423</v>
      </c>
      <c r="B543" s="16">
        <v>906</v>
      </c>
      <c r="C543" s="20" t="s">
        <v>264</v>
      </c>
      <c r="D543" s="20" t="s">
        <v>118</v>
      </c>
      <c r="E543" s="20" t="s">
        <v>424</v>
      </c>
      <c r="F543" s="20"/>
      <c r="G543" s="27">
        <f>G544</f>
        <v>0</v>
      </c>
      <c r="H543" s="173"/>
    </row>
    <row r="544" spans="1:9" ht="47.25" hidden="1" x14ac:dyDescent="0.25">
      <c r="A544" s="25" t="s">
        <v>272</v>
      </c>
      <c r="B544" s="16">
        <v>906</v>
      </c>
      <c r="C544" s="20" t="s">
        <v>264</v>
      </c>
      <c r="D544" s="20" t="s">
        <v>118</v>
      </c>
      <c r="E544" s="20" t="s">
        <v>424</v>
      </c>
      <c r="F544" s="20" t="s">
        <v>273</v>
      </c>
      <c r="G544" s="27">
        <f>G545</f>
        <v>0</v>
      </c>
      <c r="H544" s="173"/>
    </row>
    <row r="545" spans="1:9" ht="15.75" hidden="1" x14ac:dyDescent="0.25">
      <c r="A545" s="25" t="s">
        <v>274</v>
      </c>
      <c r="B545" s="16">
        <v>906</v>
      </c>
      <c r="C545" s="20" t="s">
        <v>264</v>
      </c>
      <c r="D545" s="20" t="s">
        <v>118</v>
      </c>
      <c r="E545" s="20" t="s">
        <v>424</v>
      </c>
      <c r="F545" s="20" t="s">
        <v>275</v>
      </c>
      <c r="G545" s="27">
        <f>276.5-276.5</f>
        <v>0</v>
      </c>
      <c r="H545" s="173"/>
      <c r="I545" s="114"/>
    </row>
    <row r="546" spans="1:9" ht="15.75" x14ac:dyDescent="0.25">
      <c r="A546" s="23" t="s">
        <v>425</v>
      </c>
      <c r="B546" s="19">
        <v>906</v>
      </c>
      <c r="C546" s="24" t="s">
        <v>264</v>
      </c>
      <c r="D546" s="24" t="s">
        <v>213</v>
      </c>
      <c r="E546" s="24"/>
      <c r="F546" s="24"/>
      <c r="G546" s="21">
        <f>G547+G580</f>
        <v>130684.4</v>
      </c>
      <c r="H546" s="173"/>
    </row>
    <row r="547" spans="1:9" ht="47.25" x14ac:dyDescent="0.25">
      <c r="A547" s="25" t="s">
        <v>426</v>
      </c>
      <c r="B547" s="16">
        <v>906</v>
      </c>
      <c r="C547" s="20" t="s">
        <v>264</v>
      </c>
      <c r="D547" s="20" t="s">
        <v>213</v>
      </c>
      <c r="E547" s="20" t="s">
        <v>406</v>
      </c>
      <c r="F547" s="20"/>
      <c r="G547" s="26">
        <f>G548+G552</f>
        <v>40826.6</v>
      </c>
      <c r="H547" s="173"/>
    </row>
    <row r="548" spans="1:9" ht="47.25" x14ac:dyDescent="0.25">
      <c r="A548" s="25" t="s">
        <v>407</v>
      </c>
      <c r="B548" s="16">
        <v>906</v>
      </c>
      <c r="C548" s="20" t="s">
        <v>264</v>
      </c>
      <c r="D548" s="20" t="s">
        <v>213</v>
      </c>
      <c r="E548" s="20" t="s">
        <v>408</v>
      </c>
      <c r="F548" s="20"/>
      <c r="G548" s="26">
        <f>G549</f>
        <v>34151.199999999997</v>
      </c>
      <c r="H548" s="173"/>
    </row>
    <row r="549" spans="1:9" ht="47.25" x14ac:dyDescent="0.25">
      <c r="A549" s="25" t="s">
        <v>427</v>
      </c>
      <c r="B549" s="16">
        <v>906</v>
      </c>
      <c r="C549" s="20" t="s">
        <v>264</v>
      </c>
      <c r="D549" s="20" t="s">
        <v>213</v>
      </c>
      <c r="E549" s="20" t="s">
        <v>428</v>
      </c>
      <c r="F549" s="20"/>
      <c r="G549" s="26">
        <f>G550</f>
        <v>34151.199999999997</v>
      </c>
      <c r="H549" s="173"/>
    </row>
    <row r="550" spans="1:9" ht="47.25" x14ac:dyDescent="0.25">
      <c r="A550" s="25" t="s">
        <v>272</v>
      </c>
      <c r="B550" s="16">
        <v>906</v>
      </c>
      <c r="C550" s="20" t="s">
        <v>264</v>
      </c>
      <c r="D550" s="20" t="s">
        <v>213</v>
      </c>
      <c r="E550" s="20" t="s">
        <v>428</v>
      </c>
      <c r="F550" s="20" t="s">
        <v>273</v>
      </c>
      <c r="G550" s="26">
        <f>G551</f>
        <v>34151.199999999997</v>
      </c>
      <c r="H550" s="173"/>
    </row>
    <row r="551" spans="1:9" ht="15.75" x14ac:dyDescent="0.25">
      <c r="A551" s="25" t="s">
        <v>274</v>
      </c>
      <c r="B551" s="16">
        <v>906</v>
      </c>
      <c r="C551" s="20" t="s">
        <v>264</v>
      </c>
      <c r="D551" s="20" t="s">
        <v>213</v>
      </c>
      <c r="E551" s="20" t="s">
        <v>428</v>
      </c>
      <c r="F551" s="20" t="s">
        <v>275</v>
      </c>
      <c r="G551" s="27">
        <f>21817.5+13206.2-481.7+562.6-953.4</f>
        <v>34151.199999999997</v>
      </c>
      <c r="H551" s="175"/>
      <c r="I551" s="124"/>
    </row>
    <row r="552" spans="1:9" ht="31.5" x14ac:dyDescent="0.25">
      <c r="A552" s="25" t="s">
        <v>430</v>
      </c>
      <c r="B552" s="16">
        <v>906</v>
      </c>
      <c r="C552" s="20" t="s">
        <v>264</v>
      </c>
      <c r="D552" s="20" t="s">
        <v>213</v>
      </c>
      <c r="E552" s="20" t="s">
        <v>431</v>
      </c>
      <c r="F552" s="20"/>
      <c r="G552" s="26">
        <f>G558+G574+G571+G577+G568+G553+G559+G562+G565</f>
        <v>6675.4</v>
      </c>
      <c r="H552" s="173"/>
    </row>
    <row r="553" spans="1:9" ht="63" hidden="1" x14ac:dyDescent="0.25">
      <c r="A553" s="25" t="s">
        <v>432</v>
      </c>
      <c r="B553" s="16">
        <v>906</v>
      </c>
      <c r="C553" s="20" t="s">
        <v>264</v>
      </c>
      <c r="D553" s="20" t="s">
        <v>213</v>
      </c>
      <c r="E553" s="20" t="s">
        <v>433</v>
      </c>
      <c r="F553" s="20"/>
      <c r="G553" s="26">
        <f>G554</f>
        <v>0</v>
      </c>
      <c r="H553" s="173"/>
    </row>
    <row r="554" spans="1:9" ht="47.25" hidden="1" x14ac:dyDescent="0.25">
      <c r="A554" s="25" t="s">
        <v>272</v>
      </c>
      <c r="B554" s="16">
        <v>906</v>
      </c>
      <c r="C554" s="20" t="s">
        <v>264</v>
      </c>
      <c r="D554" s="20" t="s">
        <v>213</v>
      </c>
      <c r="E554" s="20" t="s">
        <v>433</v>
      </c>
      <c r="F554" s="20" t="s">
        <v>273</v>
      </c>
      <c r="G554" s="26">
        <f>G555</f>
        <v>0</v>
      </c>
      <c r="H554" s="173"/>
    </row>
    <row r="555" spans="1:9" ht="15.75" hidden="1" x14ac:dyDescent="0.25">
      <c r="A555" s="25" t="s">
        <v>274</v>
      </c>
      <c r="B555" s="16">
        <v>906</v>
      </c>
      <c r="C555" s="20" t="s">
        <v>264</v>
      </c>
      <c r="D555" s="20" t="s">
        <v>213</v>
      </c>
      <c r="E555" s="20" t="s">
        <v>433</v>
      </c>
      <c r="F555" s="20" t="s">
        <v>275</v>
      </c>
      <c r="G555" s="26">
        <v>0</v>
      </c>
      <c r="H555" s="173"/>
    </row>
    <row r="556" spans="1:9" ht="48.75" hidden="1" customHeight="1" x14ac:dyDescent="0.25">
      <c r="A556" s="25" t="s">
        <v>434</v>
      </c>
      <c r="B556" s="16">
        <v>906</v>
      </c>
      <c r="C556" s="20" t="s">
        <v>264</v>
      </c>
      <c r="D556" s="20" t="s">
        <v>213</v>
      </c>
      <c r="E556" s="20" t="s">
        <v>435</v>
      </c>
      <c r="F556" s="20"/>
      <c r="G556" s="26">
        <f>G557</f>
        <v>0</v>
      </c>
      <c r="H556" s="173"/>
    </row>
    <row r="557" spans="1:9" ht="47.25" hidden="1" x14ac:dyDescent="0.25">
      <c r="A557" s="25" t="s">
        <v>272</v>
      </c>
      <c r="B557" s="16">
        <v>906</v>
      </c>
      <c r="C557" s="20" t="s">
        <v>264</v>
      </c>
      <c r="D557" s="20" t="s">
        <v>213</v>
      </c>
      <c r="E557" s="20" t="s">
        <v>435</v>
      </c>
      <c r="F557" s="20" t="s">
        <v>273</v>
      </c>
      <c r="G557" s="26">
        <f>G558</f>
        <v>0</v>
      </c>
      <c r="H557" s="173"/>
    </row>
    <row r="558" spans="1:9" ht="15.75" hidden="1" x14ac:dyDescent="0.25">
      <c r="A558" s="25" t="s">
        <v>274</v>
      </c>
      <c r="B558" s="16">
        <v>906</v>
      </c>
      <c r="C558" s="20" t="s">
        <v>264</v>
      </c>
      <c r="D558" s="20" t="s">
        <v>213</v>
      </c>
      <c r="E558" s="20" t="s">
        <v>435</v>
      </c>
      <c r="F558" s="20" t="s">
        <v>275</v>
      </c>
      <c r="G558" s="26">
        <v>0</v>
      </c>
      <c r="H558" s="173"/>
    </row>
    <row r="559" spans="1:9" ht="63" x14ac:dyDescent="0.25">
      <c r="A559" s="25" t="s">
        <v>436</v>
      </c>
      <c r="B559" s="16">
        <v>906</v>
      </c>
      <c r="C559" s="20" t="s">
        <v>264</v>
      </c>
      <c r="D559" s="20" t="s">
        <v>213</v>
      </c>
      <c r="E559" s="20" t="s">
        <v>437</v>
      </c>
      <c r="F559" s="20"/>
      <c r="G559" s="26">
        <f>G560</f>
        <v>2690</v>
      </c>
      <c r="H559" s="173"/>
    </row>
    <row r="560" spans="1:9" ht="47.25" x14ac:dyDescent="0.25">
      <c r="A560" s="25" t="s">
        <v>272</v>
      </c>
      <c r="B560" s="16">
        <v>906</v>
      </c>
      <c r="C560" s="20" t="s">
        <v>264</v>
      </c>
      <c r="D560" s="20" t="s">
        <v>213</v>
      </c>
      <c r="E560" s="20" t="s">
        <v>437</v>
      </c>
      <c r="F560" s="20" t="s">
        <v>273</v>
      </c>
      <c r="G560" s="26">
        <f>G561</f>
        <v>2690</v>
      </c>
      <c r="H560" s="173"/>
    </row>
    <row r="561" spans="1:8" ht="15.75" x14ac:dyDescent="0.25">
      <c r="A561" s="25" t="s">
        <v>274</v>
      </c>
      <c r="B561" s="16">
        <v>906</v>
      </c>
      <c r="C561" s="20" t="s">
        <v>264</v>
      </c>
      <c r="D561" s="20" t="s">
        <v>213</v>
      </c>
      <c r="E561" s="20" t="s">
        <v>437</v>
      </c>
      <c r="F561" s="20" t="s">
        <v>275</v>
      </c>
      <c r="G561" s="27">
        <f>3010-320</f>
        <v>2690</v>
      </c>
      <c r="H561" s="173"/>
    </row>
    <row r="562" spans="1:8" ht="63" x14ac:dyDescent="0.25">
      <c r="A562" s="25" t="s">
        <v>438</v>
      </c>
      <c r="B562" s="16">
        <v>906</v>
      </c>
      <c r="C562" s="20" t="s">
        <v>264</v>
      </c>
      <c r="D562" s="20" t="s">
        <v>213</v>
      </c>
      <c r="E562" s="20" t="s">
        <v>439</v>
      </c>
      <c r="F562" s="20"/>
      <c r="G562" s="26">
        <f>G563</f>
        <v>320</v>
      </c>
      <c r="H562" s="173"/>
    </row>
    <row r="563" spans="1:8" ht="47.25" x14ac:dyDescent="0.25">
      <c r="A563" s="25" t="s">
        <v>272</v>
      </c>
      <c r="B563" s="16">
        <v>906</v>
      </c>
      <c r="C563" s="20" t="s">
        <v>264</v>
      </c>
      <c r="D563" s="20" t="s">
        <v>213</v>
      </c>
      <c r="E563" s="20" t="s">
        <v>439</v>
      </c>
      <c r="F563" s="20" t="s">
        <v>273</v>
      </c>
      <c r="G563" s="26">
        <f>G564</f>
        <v>320</v>
      </c>
      <c r="H563" s="173"/>
    </row>
    <row r="564" spans="1:8" ht="15.75" x14ac:dyDescent="0.25">
      <c r="A564" s="25" t="s">
        <v>274</v>
      </c>
      <c r="B564" s="16">
        <v>906</v>
      </c>
      <c r="C564" s="20" t="s">
        <v>264</v>
      </c>
      <c r="D564" s="20" t="s">
        <v>213</v>
      </c>
      <c r="E564" s="20" t="s">
        <v>439</v>
      </c>
      <c r="F564" s="20" t="s">
        <v>275</v>
      </c>
      <c r="G564" s="26">
        <v>320</v>
      </c>
      <c r="H564" s="173"/>
    </row>
    <row r="565" spans="1:8" ht="47.25" hidden="1" x14ac:dyDescent="0.25">
      <c r="A565" s="25" t="s">
        <v>440</v>
      </c>
      <c r="B565" s="16">
        <v>906</v>
      </c>
      <c r="C565" s="20" t="s">
        <v>264</v>
      </c>
      <c r="D565" s="20" t="s">
        <v>213</v>
      </c>
      <c r="E565" s="20" t="s">
        <v>441</v>
      </c>
      <c r="F565" s="20"/>
      <c r="G565" s="26">
        <f>G566</f>
        <v>0</v>
      </c>
      <c r="H565" s="173"/>
    </row>
    <row r="566" spans="1:8" ht="47.25" hidden="1" x14ac:dyDescent="0.25">
      <c r="A566" s="25" t="s">
        <v>272</v>
      </c>
      <c r="B566" s="16">
        <v>906</v>
      </c>
      <c r="C566" s="20" t="s">
        <v>264</v>
      </c>
      <c r="D566" s="20" t="s">
        <v>213</v>
      </c>
      <c r="E566" s="20" t="s">
        <v>441</v>
      </c>
      <c r="F566" s="20" t="s">
        <v>273</v>
      </c>
      <c r="G566" s="26">
        <f>G567</f>
        <v>0</v>
      </c>
      <c r="H566" s="173"/>
    </row>
    <row r="567" spans="1:8" ht="15.75" hidden="1" x14ac:dyDescent="0.25">
      <c r="A567" s="25" t="s">
        <v>274</v>
      </c>
      <c r="B567" s="16">
        <v>906</v>
      </c>
      <c r="C567" s="20" t="s">
        <v>264</v>
      </c>
      <c r="D567" s="20" t="s">
        <v>213</v>
      </c>
      <c r="E567" s="20" t="s">
        <v>441</v>
      </c>
      <c r="F567" s="20" t="s">
        <v>275</v>
      </c>
      <c r="G567" s="26">
        <v>0</v>
      </c>
      <c r="H567" s="173"/>
    </row>
    <row r="568" spans="1:8" ht="47.25" x14ac:dyDescent="0.25">
      <c r="A568" s="25" t="s">
        <v>278</v>
      </c>
      <c r="B568" s="16">
        <v>906</v>
      </c>
      <c r="C568" s="20" t="s">
        <v>264</v>
      </c>
      <c r="D568" s="20" t="s">
        <v>213</v>
      </c>
      <c r="E568" s="20" t="s">
        <v>442</v>
      </c>
      <c r="F568" s="20"/>
      <c r="G568" s="26">
        <f>G569</f>
        <v>3309</v>
      </c>
      <c r="H568" s="173"/>
    </row>
    <row r="569" spans="1:8" ht="47.25" x14ac:dyDescent="0.25">
      <c r="A569" s="25" t="s">
        <v>272</v>
      </c>
      <c r="B569" s="16">
        <v>906</v>
      </c>
      <c r="C569" s="20" t="s">
        <v>264</v>
      </c>
      <c r="D569" s="20" t="s">
        <v>213</v>
      </c>
      <c r="E569" s="20" t="s">
        <v>442</v>
      </c>
      <c r="F569" s="20" t="s">
        <v>273</v>
      </c>
      <c r="G569" s="26">
        <f>G570</f>
        <v>3309</v>
      </c>
      <c r="H569" s="173"/>
    </row>
    <row r="570" spans="1:8" ht="15.75" x14ac:dyDescent="0.25">
      <c r="A570" s="25" t="s">
        <v>274</v>
      </c>
      <c r="B570" s="16">
        <v>906</v>
      </c>
      <c r="C570" s="20" t="s">
        <v>264</v>
      </c>
      <c r="D570" s="20" t="s">
        <v>213</v>
      </c>
      <c r="E570" s="20" t="s">
        <v>442</v>
      </c>
      <c r="F570" s="20" t="s">
        <v>275</v>
      </c>
      <c r="G570" s="26">
        <f>341+2968</f>
        <v>3309</v>
      </c>
      <c r="H570" s="119"/>
    </row>
    <row r="571" spans="1:8" ht="31.5" hidden="1" x14ac:dyDescent="0.25">
      <c r="A571" s="25" t="s">
        <v>280</v>
      </c>
      <c r="B571" s="16">
        <v>906</v>
      </c>
      <c r="C571" s="20" t="s">
        <v>264</v>
      </c>
      <c r="D571" s="20" t="s">
        <v>213</v>
      </c>
      <c r="E571" s="20" t="s">
        <v>443</v>
      </c>
      <c r="F571" s="20"/>
      <c r="G571" s="26">
        <f>G572</f>
        <v>0</v>
      </c>
      <c r="H571" s="173"/>
    </row>
    <row r="572" spans="1:8" ht="47.25" hidden="1" x14ac:dyDescent="0.25">
      <c r="A572" s="25" t="s">
        <v>272</v>
      </c>
      <c r="B572" s="16">
        <v>906</v>
      </c>
      <c r="C572" s="20" t="s">
        <v>264</v>
      </c>
      <c r="D572" s="20" t="s">
        <v>213</v>
      </c>
      <c r="E572" s="20" t="s">
        <v>443</v>
      </c>
      <c r="F572" s="20" t="s">
        <v>273</v>
      </c>
      <c r="G572" s="26">
        <f>G573</f>
        <v>0</v>
      </c>
      <c r="H572" s="173"/>
    </row>
    <row r="573" spans="1:8" ht="15.75" hidden="1" x14ac:dyDescent="0.25">
      <c r="A573" s="25" t="s">
        <v>274</v>
      </c>
      <c r="B573" s="16">
        <v>906</v>
      </c>
      <c r="C573" s="20" t="s">
        <v>264</v>
      </c>
      <c r="D573" s="20" t="s">
        <v>213</v>
      </c>
      <c r="E573" s="20" t="s">
        <v>443</v>
      </c>
      <c r="F573" s="20" t="s">
        <v>275</v>
      </c>
      <c r="G573" s="26">
        <v>0</v>
      </c>
      <c r="H573" s="173"/>
    </row>
    <row r="574" spans="1:8" ht="47.25" x14ac:dyDescent="0.25">
      <c r="A574" s="25" t="s">
        <v>282</v>
      </c>
      <c r="B574" s="16">
        <v>906</v>
      </c>
      <c r="C574" s="20" t="s">
        <v>264</v>
      </c>
      <c r="D574" s="20" t="s">
        <v>213</v>
      </c>
      <c r="E574" s="20" t="s">
        <v>444</v>
      </c>
      <c r="F574" s="20"/>
      <c r="G574" s="26">
        <f>G575</f>
        <v>127</v>
      </c>
      <c r="H574" s="173"/>
    </row>
    <row r="575" spans="1:8" ht="47.25" x14ac:dyDescent="0.25">
      <c r="A575" s="25" t="s">
        <v>272</v>
      </c>
      <c r="B575" s="16">
        <v>906</v>
      </c>
      <c r="C575" s="20" t="s">
        <v>264</v>
      </c>
      <c r="D575" s="20" t="s">
        <v>213</v>
      </c>
      <c r="E575" s="20" t="s">
        <v>444</v>
      </c>
      <c r="F575" s="20" t="s">
        <v>273</v>
      </c>
      <c r="G575" s="26">
        <f>G576</f>
        <v>127</v>
      </c>
      <c r="H575" s="173"/>
    </row>
    <row r="576" spans="1:8" ht="15.75" x14ac:dyDescent="0.25">
      <c r="A576" s="25" t="s">
        <v>274</v>
      </c>
      <c r="B576" s="16">
        <v>906</v>
      </c>
      <c r="C576" s="20" t="s">
        <v>264</v>
      </c>
      <c r="D576" s="20" t="s">
        <v>213</v>
      </c>
      <c r="E576" s="20" t="s">
        <v>444</v>
      </c>
      <c r="F576" s="20" t="s">
        <v>275</v>
      </c>
      <c r="G576" s="26">
        <v>127</v>
      </c>
      <c r="H576" s="173"/>
    </row>
    <row r="577" spans="1:12" ht="31.5" x14ac:dyDescent="0.25">
      <c r="A577" s="25" t="s">
        <v>284</v>
      </c>
      <c r="B577" s="16">
        <v>906</v>
      </c>
      <c r="C577" s="20" t="s">
        <v>264</v>
      </c>
      <c r="D577" s="20" t="s">
        <v>213</v>
      </c>
      <c r="E577" s="20" t="s">
        <v>445</v>
      </c>
      <c r="F577" s="20"/>
      <c r="G577" s="26">
        <f>G578</f>
        <v>229.4</v>
      </c>
      <c r="H577" s="173"/>
    </row>
    <row r="578" spans="1:12" ht="47.25" x14ac:dyDescent="0.25">
      <c r="A578" s="25" t="s">
        <v>272</v>
      </c>
      <c r="B578" s="16">
        <v>906</v>
      </c>
      <c r="C578" s="20" t="s">
        <v>264</v>
      </c>
      <c r="D578" s="20" t="s">
        <v>213</v>
      </c>
      <c r="E578" s="20" t="s">
        <v>445</v>
      </c>
      <c r="F578" s="20" t="s">
        <v>273</v>
      </c>
      <c r="G578" s="26">
        <f>G579</f>
        <v>229.4</v>
      </c>
      <c r="H578" s="173"/>
    </row>
    <row r="579" spans="1:12" ht="15.75" x14ac:dyDescent="0.25">
      <c r="A579" s="25" t="s">
        <v>274</v>
      </c>
      <c r="B579" s="16">
        <v>906</v>
      </c>
      <c r="C579" s="20" t="s">
        <v>264</v>
      </c>
      <c r="D579" s="20" t="s">
        <v>213</v>
      </c>
      <c r="E579" s="20" t="s">
        <v>445</v>
      </c>
      <c r="F579" s="20" t="s">
        <v>275</v>
      </c>
      <c r="G579" s="26">
        <v>229.4</v>
      </c>
      <c r="H579" s="105"/>
      <c r="I579" s="123"/>
    </row>
    <row r="580" spans="1:12" ht="15.75" x14ac:dyDescent="0.25">
      <c r="A580" s="25" t="s">
        <v>121</v>
      </c>
      <c r="B580" s="16">
        <v>906</v>
      </c>
      <c r="C580" s="20" t="s">
        <v>264</v>
      </c>
      <c r="D580" s="20" t="s">
        <v>213</v>
      </c>
      <c r="E580" s="20" t="s">
        <v>122</v>
      </c>
      <c r="F580" s="20"/>
      <c r="G580" s="26">
        <f>G581</f>
        <v>89857.8</v>
      </c>
      <c r="H580" s="173"/>
    </row>
    <row r="581" spans="1:12" ht="31.5" x14ac:dyDescent="0.25">
      <c r="A581" s="25" t="s">
        <v>185</v>
      </c>
      <c r="B581" s="16">
        <v>906</v>
      </c>
      <c r="C581" s="20" t="s">
        <v>264</v>
      </c>
      <c r="D581" s="20" t="s">
        <v>213</v>
      </c>
      <c r="E581" s="20" t="s">
        <v>186</v>
      </c>
      <c r="F581" s="20"/>
      <c r="G581" s="26">
        <f>G588+G591+G597+G600+G603+G606+G582+G585+G609+G594</f>
        <v>89857.8</v>
      </c>
      <c r="H581" s="173"/>
    </row>
    <row r="582" spans="1:12" ht="47.25" hidden="1" x14ac:dyDescent="0.25">
      <c r="A582" s="25" t="s">
        <v>450</v>
      </c>
      <c r="B582" s="16">
        <v>906</v>
      </c>
      <c r="C582" s="20" t="s">
        <v>264</v>
      </c>
      <c r="D582" s="20" t="s">
        <v>213</v>
      </c>
      <c r="E582" s="20" t="s">
        <v>451</v>
      </c>
      <c r="F582" s="20"/>
      <c r="G582" s="26">
        <f>G583</f>
        <v>0</v>
      </c>
      <c r="H582" s="173"/>
    </row>
    <row r="583" spans="1:12" ht="47.25" hidden="1" x14ac:dyDescent="0.25">
      <c r="A583" s="25" t="s">
        <v>272</v>
      </c>
      <c r="B583" s="16">
        <v>906</v>
      </c>
      <c r="C583" s="20" t="s">
        <v>264</v>
      </c>
      <c r="D583" s="20" t="s">
        <v>213</v>
      </c>
      <c r="E583" s="20" t="s">
        <v>451</v>
      </c>
      <c r="F583" s="20" t="s">
        <v>273</v>
      </c>
      <c r="G583" s="26">
        <f>G584</f>
        <v>0</v>
      </c>
      <c r="H583" s="173"/>
    </row>
    <row r="584" spans="1:12" ht="15.75" hidden="1" x14ac:dyDescent="0.25">
      <c r="A584" s="25" t="s">
        <v>274</v>
      </c>
      <c r="B584" s="16">
        <v>906</v>
      </c>
      <c r="C584" s="20" t="s">
        <v>264</v>
      </c>
      <c r="D584" s="20" t="s">
        <v>213</v>
      </c>
      <c r="E584" s="20" t="s">
        <v>451</v>
      </c>
      <c r="F584" s="20" t="s">
        <v>275</v>
      </c>
      <c r="G584" s="26">
        <v>0</v>
      </c>
      <c r="H584" s="173"/>
    </row>
    <row r="585" spans="1:12" ht="15.75" hidden="1" x14ac:dyDescent="0.25">
      <c r="A585" s="25" t="s">
        <v>452</v>
      </c>
      <c r="B585" s="16">
        <v>906</v>
      </c>
      <c r="C585" s="20" t="s">
        <v>264</v>
      </c>
      <c r="D585" s="20" t="s">
        <v>213</v>
      </c>
      <c r="E585" s="20" t="s">
        <v>453</v>
      </c>
      <c r="F585" s="20"/>
      <c r="G585" s="26">
        <f>G586</f>
        <v>0</v>
      </c>
      <c r="H585" s="173"/>
    </row>
    <row r="586" spans="1:12" ht="47.25" hidden="1" x14ac:dyDescent="0.25">
      <c r="A586" s="25" t="s">
        <v>272</v>
      </c>
      <c r="B586" s="16">
        <v>906</v>
      </c>
      <c r="C586" s="20" t="s">
        <v>264</v>
      </c>
      <c r="D586" s="20" t="s">
        <v>213</v>
      </c>
      <c r="E586" s="20" t="s">
        <v>453</v>
      </c>
      <c r="F586" s="20" t="s">
        <v>273</v>
      </c>
      <c r="G586" s="26">
        <f>G587</f>
        <v>0</v>
      </c>
      <c r="H586" s="173"/>
    </row>
    <row r="587" spans="1:12" ht="15.75" hidden="1" x14ac:dyDescent="0.25">
      <c r="A587" s="25" t="s">
        <v>274</v>
      </c>
      <c r="B587" s="16">
        <v>906</v>
      </c>
      <c r="C587" s="20" t="s">
        <v>264</v>
      </c>
      <c r="D587" s="20" t="s">
        <v>213</v>
      </c>
      <c r="E587" s="20" t="s">
        <v>453</v>
      </c>
      <c r="F587" s="20" t="s">
        <v>275</v>
      </c>
      <c r="G587" s="27">
        <v>0</v>
      </c>
      <c r="H587" s="173"/>
    </row>
    <row r="588" spans="1:12" ht="31.5" hidden="1" x14ac:dyDescent="0.25">
      <c r="A588" s="25" t="s">
        <v>454</v>
      </c>
      <c r="B588" s="16">
        <v>906</v>
      </c>
      <c r="C588" s="20" t="s">
        <v>264</v>
      </c>
      <c r="D588" s="20" t="s">
        <v>213</v>
      </c>
      <c r="E588" s="20" t="s">
        <v>455</v>
      </c>
      <c r="F588" s="20"/>
      <c r="G588" s="26">
        <f>G589</f>
        <v>0</v>
      </c>
      <c r="H588" s="173"/>
    </row>
    <row r="589" spans="1:12" ht="47.25" hidden="1" x14ac:dyDescent="0.25">
      <c r="A589" s="25" t="s">
        <v>272</v>
      </c>
      <c r="B589" s="16">
        <v>906</v>
      </c>
      <c r="C589" s="20" t="s">
        <v>264</v>
      </c>
      <c r="D589" s="20" t="s">
        <v>213</v>
      </c>
      <c r="E589" s="20" t="s">
        <v>455</v>
      </c>
      <c r="F589" s="20" t="s">
        <v>273</v>
      </c>
      <c r="G589" s="26">
        <f>G590</f>
        <v>0</v>
      </c>
      <c r="H589" s="173"/>
    </row>
    <row r="590" spans="1:12" ht="15.75" hidden="1" x14ac:dyDescent="0.25">
      <c r="A590" s="25" t="s">
        <v>274</v>
      </c>
      <c r="B590" s="16">
        <v>906</v>
      </c>
      <c r="C590" s="20" t="s">
        <v>264</v>
      </c>
      <c r="D590" s="20" t="s">
        <v>213</v>
      </c>
      <c r="E590" s="20" t="s">
        <v>455</v>
      </c>
      <c r="F590" s="20" t="s">
        <v>275</v>
      </c>
      <c r="G590" s="26">
        <f>157.3-157.3</f>
        <v>0</v>
      </c>
      <c r="H590" s="173"/>
      <c r="I590" s="114"/>
    </row>
    <row r="591" spans="1:12" ht="31.5" x14ac:dyDescent="0.25">
      <c r="A591" s="25" t="s">
        <v>456</v>
      </c>
      <c r="B591" s="16">
        <v>906</v>
      </c>
      <c r="C591" s="20" t="s">
        <v>264</v>
      </c>
      <c r="D591" s="20" t="s">
        <v>213</v>
      </c>
      <c r="E591" s="20" t="s">
        <v>457</v>
      </c>
      <c r="F591" s="20"/>
      <c r="G591" s="26">
        <f>G592</f>
        <v>1293.5999999999999</v>
      </c>
      <c r="H591" s="173"/>
    </row>
    <row r="592" spans="1:12" ht="47.25" x14ac:dyDescent="0.25">
      <c r="A592" s="25" t="s">
        <v>272</v>
      </c>
      <c r="B592" s="16">
        <v>906</v>
      </c>
      <c r="C592" s="20" t="s">
        <v>264</v>
      </c>
      <c r="D592" s="20" t="s">
        <v>213</v>
      </c>
      <c r="E592" s="20" t="s">
        <v>457</v>
      </c>
      <c r="F592" s="20" t="s">
        <v>273</v>
      </c>
      <c r="G592" s="26">
        <f>G593</f>
        <v>1293.5999999999999</v>
      </c>
      <c r="H592" s="173"/>
      <c r="L592" s="115"/>
    </row>
    <row r="593" spans="1:9" ht="15.75" x14ac:dyDescent="0.25">
      <c r="A593" s="25" t="s">
        <v>274</v>
      </c>
      <c r="B593" s="16">
        <v>906</v>
      </c>
      <c r="C593" s="20" t="s">
        <v>264</v>
      </c>
      <c r="D593" s="20" t="s">
        <v>213</v>
      </c>
      <c r="E593" s="20" t="s">
        <v>457</v>
      </c>
      <c r="F593" s="20" t="s">
        <v>275</v>
      </c>
      <c r="G593" s="27">
        <f>1572.5-278.9</f>
        <v>1293.5999999999999</v>
      </c>
      <c r="H593" s="173"/>
      <c r="I593" s="114"/>
    </row>
    <row r="594" spans="1:9" ht="47.25" x14ac:dyDescent="0.25">
      <c r="A594" s="25" t="s">
        <v>458</v>
      </c>
      <c r="B594" s="16">
        <v>906</v>
      </c>
      <c r="C594" s="20" t="s">
        <v>264</v>
      </c>
      <c r="D594" s="20" t="s">
        <v>213</v>
      </c>
      <c r="E594" s="20" t="s">
        <v>459</v>
      </c>
      <c r="F594" s="20"/>
      <c r="G594" s="27">
        <f>G595</f>
        <v>488.7</v>
      </c>
      <c r="H594" s="173"/>
    </row>
    <row r="595" spans="1:9" ht="47.25" x14ac:dyDescent="0.25">
      <c r="A595" s="25" t="s">
        <v>272</v>
      </c>
      <c r="B595" s="16">
        <v>906</v>
      </c>
      <c r="C595" s="20" t="s">
        <v>264</v>
      </c>
      <c r="D595" s="20" t="s">
        <v>213</v>
      </c>
      <c r="E595" s="20" t="s">
        <v>459</v>
      </c>
      <c r="F595" s="20" t="s">
        <v>273</v>
      </c>
      <c r="G595" s="27">
        <f>G596</f>
        <v>488.7</v>
      </c>
      <c r="H595" s="173"/>
    </row>
    <row r="596" spans="1:9" ht="15.75" x14ac:dyDescent="0.25">
      <c r="A596" s="25" t="s">
        <v>274</v>
      </c>
      <c r="B596" s="16">
        <v>906</v>
      </c>
      <c r="C596" s="20" t="s">
        <v>264</v>
      </c>
      <c r="D596" s="20" t="s">
        <v>213</v>
      </c>
      <c r="E596" s="20" t="s">
        <v>459</v>
      </c>
      <c r="F596" s="20" t="s">
        <v>275</v>
      </c>
      <c r="G596" s="27">
        <f>733.5-244.8</f>
        <v>488.7</v>
      </c>
      <c r="H596" s="173"/>
      <c r="I596" s="114"/>
    </row>
    <row r="597" spans="1:9" ht="94.5" x14ac:dyDescent="0.25">
      <c r="A597" s="31" t="s">
        <v>460</v>
      </c>
      <c r="B597" s="16">
        <v>906</v>
      </c>
      <c r="C597" s="20" t="s">
        <v>264</v>
      </c>
      <c r="D597" s="20" t="s">
        <v>213</v>
      </c>
      <c r="E597" s="20" t="s">
        <v>461</v>
      </c>
      <c r="F597" s="20"/>
      <c r="G597" s="26">
        <f>G598</f>
        <v>79753.600000000006</v>
      </c>
      <c r="H597" s="173"/>
    </row>
    <row r="598" spans="1:9" ht="47.25" x14ac:dyDescent="0.25">
      <c r="A598" s="25" t="s">
        <v>272</v>
      </c>
      <c r="B598" s="16">
        <v>906</v>
      </c>
      <c r="C598" s="20" t="s">
        <v>264</v>
      </c>
      <c r="D598" s="20" t="s">
        <v>213</v>
      </c>
      <c r="E598" s="20" t="s">
        <v>461</v>
      </c>
      <c r="F598" s="20" t="s">
        <v>273</v>
      </c>
      <c r="G598" s="26">
        <f>G599</f>
        <v>79753.600000000006</v>
      </c>
      <c r="H598" s="173"/>
    </row>
    <row r="599" spans="1:9" ht="15.75" x14ac:dyDescent="0.25">
      <c r="A599" s="25" t="s">
        <v>274</v>
      </c>
      <c r="B599" s="16">
        <v>906</v>
      </c>
      <c r="C599" s="20" t="s">
        <v>264</v>
      </c>
      <c r="D599" s="20" t="s">
        <v>213</v>
      </c>
      <c r="E599" s="20" t="s">
        <v>461</v>
      </c>
      <c r="F599" s="20" t="s">
        <v>275</v>
      </c>
      <c r="G599" s="27">
        <f>93568.6-13815</f>
        <v>79753.600000000006</v>
      </c>
      <c r="H599" s="173"/>
      <c r="I599" s="114"/>
    </row>
    <row r="600" spans="1:9" ht="63" x14ac:dyDescent="0.25">
      <c r="A600" s="31" t="s">
        <v>289</v>
      </c>
      <c r="B600" s="16">
        <v>906</v>
      </c>
      <c r="C600" s="20" t="s">
        <v>264</v>
      </c>
      <c r="D600" s="20" t="s">
        <v>213</v>
      </c>
      <c r="E600" s="20" t="s">
        <v>290</v>
      </c>
      <c r="F600" s="20"/>
      <c r="G600" s="26">
        <f>G601</f>
        <v>910.90000000000009</v>
      </c>
      <c r="H600" s="173"/>
    </row>
    <row r="601" spans="1:9" ht="47.25" x14ac:dyDescent="0.25">
      <c r="A601" s="25" t="s">
        <v>272</v>
      </c>
      <c r="B601" s="16">
        <v>906</v>
      </c>
      <c r="C601" s="20" t="s">
        <v>264</v>
      </c>
      <c r="D601" s="20" t="s">
        <v>213</v>
      </c>
      <c r="E601" s="20" t="s">
        <v>290</v>
      </c>
      <c r="F601" s="20" t="s">
        <v>273</v>
      </c>
      <c r="G601" s="26">
        <f>G602</f>
        <v>910.90000000000009</v>
      </c>
      <c r="H601" s="173"/>
    </row>
    <row r="602" spans="1:9" ht="15.75" x14ac:dyDescent="0.25">
      <c r="A602" s="25" t="s">
        <v>274</v>
      </c>
      <c r="B602" s="16">
        <v>906</v>
      </c>
      <c r="C602" s="20" t="s">
        <v>264</v>
      </c>
      <c r="D602" s="20" t="s">
        <v>213</v>
      </c>
      <c r="E602" s="20" t="s">
        <v>290</v>
      </c>
      <c r="F602" s="20" t="s">
        <v>275</v>
      </c>
      <c r="G602" s="27">
        <f>1101.7-190.8</f>
        <v>910.90000000000009</v>
      </c>
      <c r="H602" s="173"/>
      <c r="I602" s="114"/>
    </row>
    <row r="603" spans="1:9" ht="78.75" x14ac:dyDescent="0.25">
      <c r="A603" s="31" t="s">
        <v>291</v>
      </c>
      <c r="B603" s="16">
        <v>906</v>
      </c>
      <c r="C603" s="20" t="s">
        <v>264</v>
      </c>
      <c r="D603" s="20" t="s">
        <v>213</v>
      </c>
      <c r="E603" s="20" t="s">
        <v>292</v>
      </c>
      <c r="F603" s="20"/>
      <c r="G603" s="26">
        <f>G604</f>
        <v>2155.5</v>
      </c>
      <c r="H603" s="173"/>
    </row>
    <row r="604" spans="1:9" ht="47.25" x14ac:dyDescent="0.25">
      <c r="A604" s="25" t="s">
        <v>272</v>
      </c>
      <c r="B604" s="16">
        <v>906</v>
      </c>
      <c r="C604" s="20" t="s">
        <v>264</v>
      </c>
      <c r="D604" s="20" t="s">
        <v>213</v>
      </c>
      <c r="E604" s="20" t="s">
        <v>292</v>
      </c>
      <c r="F604" s="20" t="s">
        <v>273</v>
      </c>
      <c r="G604" s="26">
        <f>G605</f>
        <v>2155.5</v>
      </c>
      <c r="H604" s="173"/>
    </row>
    <row r="605" spans="1:9" ht="15.75" x14ac:dyDescent="0.25">
      <c r="A605" s="25" t="s">
        <v>274</v>
      </c>
      <c r="B605" s="16">
        <v>906</v>
      </c>
      <c r="C605" s="20" t="s">
        <v>264</v>
      </c>
      <c r="D605" s="20" t="s">
        <v>213</v>
      </c>
      <c r="E605" s="20" t="s">
        <v>292</v>
      </c>
      <c r="F605" s="20" t="s">
        <v>275</v>
      </c>
      <c r="G605" s="27">
        <f>2823.2-667.7</f>
        <v>2155.5</v>
      </c>
      <c r="H605" s="173"/>
      <c r="I605" s="114"/>
    </row>
    <row r="606" spans="1:9" ht="47.25" x14ac:dyDescent="0.25">
      <c r="A606" s="31" t="s">
        <v>462</v>
      </c>
      <c r="B606" s="16">
        <v>906</v>
      </c>
      <c r="C606" s="20" t="s">
        <v>264</v>
      </c>
      <c r="D606" s="20" t="s">
        <v>213</v>
      </c>
      <c r="E606" s="20" t="s">
        <v>463</v>
      </c>
      <c r="F606" s="20"/>
      <c r="G606" s="26">
        <f>G607</f>
        <v>886.5</v>
      </c>
      <c r="H606" s="173"/>
    </row>
    <row r="607" spans="1:9" ht="47.25" x14ac:dyDescent="0.25">
      <c r="A607" s="25" t="s">
        <v>272</v>
      </c>
      <c r="B607" s="16">
        <v>906</v>
      </c>
      <c r="C607" s="20" t="s">
        <v>264</v>
      </c>
      <c r="D607" s="20" t="s">
        <v>213</v>
      </c>
      <c r="E607" s="20" t="s">
        <v>463</v>
      </c>
      <c r="F607" s="20" t="s">
        <v>273</v>
      </c>
      <c r="G607" s="26">
        <f>G608</f>
        <v>886.5</v>
      </c>
      <c r="H607" s="173"/>
    </row>
    <row r="608" spans="1:9" ht="15.75" x14ac:dyDescent="0.25">
      <c r="A608" s="25" t="s">
        <v>274</v>
      </c>
      <c r="B608" s="16">
        <v>906</v>
      </c>
      <c r="C608" s="20" t="s">
        <v>264</v>
      </c>
      <c r="D608" s="20" t="s">
        <v>213</v>
      </c>
      <c r="E608" s="20" t="s">
        <v>463</v>
      </c>
      <c r="F608" s="20" t="s">
        <v>275</v>
      </c>
      <c r="G608" s="27">
        <f>998.4-111.9</f>
        <v>886.5</v>
      </c>
      <c r="H608" s="173"/>
      <c r="I608" s="114"/>
    </row>
    <row r="609" spans="1:9" ht="110.25" x14ac:dyDescent="0.25">
      <c r="A609" s="31" t="s">
        <v>464</v>
      </c>
      <c r="B609" s="16">
        <v>906</v>
      </c>
      <c r="C609" s="20" t="s">
        <v>264</v>
      </c>
      <c r="D609" s="20" t="s">
        <v>213</v>
      </c>
      <c r="E609" s="20" t="s">
        <v>294</v>
      </c>
      <c r="F609" s="20"/>
      <c r="G609" s="26">
        <f>G610</f>
        <v>4369</v>
      </c>
      <c r="H609" s="173"/>
    </row>
    <row r="610" spans="1:9" ht="47.25" x14ac:dyDescent="0.25">
      <c r="A610" s="25" t="s">
        <v>272</v>
      </c>
      <c r="B610" s="16">
        <v>906</v>
      </c>
      <c r="C610" s="20" t="s">
        <v>264</v>
      </c>
      <c r="D610" s="20" t="s">
        <v>213</v>
      </c>
      <c r="E610" s="20" t="s">
        <v>294</v>
      </c>
      <c r="F610" s="20" t="s">
        <v>273</v>
      </c>
      <c r="G610" s="26">
        <f>G611</f>
        <v>4369</v>
      </c>
      <c r="H610" s="173"/>
    </row>
    <row r="611" spans="1:9" ht="15.75" x14ac:dyDescent="0.25">
      <c r="A611" s="25" t="s">
        <v>274</v>
      </c>
      <c r="B611" s="16">
        <v>906</v>
      </c>
      <c r="C611" s="20" t="s">
        <v>264</v>
      </c>
      <c r="D611" s="20" t="s">
        <v>213</v>
      </c>
      <c r="E611" s="20" t="s">
        <v>294</v>
      </c>
      <c r="F611" s="20" t="s">
        <v>275</v>
      </c>
      <c r="G611" s="27">
        <f>5441.9-1072.9</f>
        <v>4369</v>
      </c>
      <c r="H611" s="173"/>
      <c r="I611" s="114"/>
    </row>
    <row r="612" spans="1:9" ht="15.75" x14ac:dyDescent="0.25">
      <c r="A612" s="23" t="s">
        <v>265</v>
      </c>
      <c r="B612" s="19">
        <v>906</v>
      </c>
      <c r="C612" s="24" t="s">
        <v>264</v>
      </c>
      <c r="D612" s="24" t="s">
        <v>215</v>
      </c>
      <c r="E612" s="24"/>
      <c r="F612" s="24"/>
      <c r="G612" s="44">
        <f>G613+G622</f>
        <v>23062.100000000002</v>
      </c>
      <c r="H612" s="173"/>
      <c r="I612" s="114"/>
    </row>
    <row r="613" spans="1:9" ht="47.25" x14ac:dyDescent="0.25">
      <c r="A613" s="25" t="s">
        <v>426</v>
      </c>
      <c r="B613" s="16">
        <v>906</v>
      </c>
      <c r="C613" s="20" t="s">
        <v>264</v>
      </c>
      <c r="D613" s="20" t="s">
        <v>215</v>
      </c>
      <c r="E613" s="20" t="s">
        <v>406</v>
      </c>
      <c r="F613" s="20"/>
      <c r="G613" s="27">
        <f>G614+G620</f>
        <v>21479.9</v>
      </c>
      <c r="H613" s="173"/>
      <c r="I613" s="114"/>
    </row>
    <row r="614" spans="1:9" ht="47.25" x14ac:dyDescent="0.25">
      <c r="A614" s="25" t="s">
        <v>407</v>
      </c>
      <c r="B614" s="16">
        <v>906</v>
      </c>
      <c r="C614" s="20" t="s">
        <v>264</v>
      </c>
      <c r="D614" s="20" t="s">
        <v>215</v>
      </c>
      <c r="E614" s="20" t="s">
        <v>408</v>
      </c>
      <c r="F614" s="20"/>
      <c r="G614" s="27">
        <f>G615</f>
        <v>21124</v>
      </c>
      <c r="H614" s="173"/>
      <c r="I614" s="114"/>
    </row>
    <row r="615" spans="1:9" ht="47.25" x14ac:dyDescent="0.25">
      <c r="A615" s="25" t="s">
        <v>270</v>
      </c>
      <c r="B615" s="16">
        <v>906</v>
      </c>
      <c r="C615" s="20" t="s">
        <v>264</v>
      </c>
      <c r="D615" s="20" t="s">
        <v>215</v>
      </c>
      <c r="E615" s="20" t="s">
        <v>429</v>
      </c>
      <c r="F615" s="20"/>
      <c r="G615" s="27">
        <f>G616</f>
        <v>21124</v>
      </c>
      <c r="H615" s="173"/>
      <c r="I615" s="114"/>
    </row>
    <row r="616" spans="1:9" ht="47.25" x14ac:dyDescent="0.25">
      <c r="A616" s="25" t="s">
        <v>272</v>
      </c>
      <c r="B616" s="16">
        <v>906</v>
      </c>
      <c r="C616" s="20" t="s">
        <v>264</v>
      </c>
      <c r="D616" s="20" t="s">
        <v>215</v>
      </c>
      <c r="E616" s="20" t="s">
        <v>429</v>
      </c>
      <c r="F616" s="20" t="s">
        <v>273</v>
      </c>
      <c r="G616" s="27">
        <f>G617</f>
        <v>21124</v>
      </c>
      <c r="H616" s="173"/>
      <c r="I616" s="114"/>
    </row>
    <row r="617" spans="1:9" ht="15.75" x14ac:dyDescent="0.25">
      <c r="A617" s="25" t="s">
        <v>274</v>
      </c>
      <c r="B617" s="16">
        <v>906</v>
      </c>
      <c r="C617" s="20" t="s">
        <v>264</v>
      </c>
      <c r="D617" s="20" t="s">
        <v>215</v>
      </c>
      <c r="E617" s="20" t="s">
        <v>429</v>
      </c>
      <c r="F617" s="20" t="s">
        <v>275</v>
      </c>
      <c r="G617" s="27">
        <f>21044+80</f>
        <v>21124</v>
      </c>
      <c r="H617" s="105"/>
      <c r="I617" s="124"/>
    </row>
    <row r="618" spans="1:9" ht="47.25" x14ac:dyDescent="0.25">
      <c r="A618" s="31" t="s">
        <v>700</v>
      </c>
      <c r="B618" s="16">
        <v>906</v>
      </c>
      <c r="C618" s="20" t="s">
        <v>264</v>
      </c>
      <c r="D618" s="20" t="s">
        <v>215</v>
      </c>
      <c r="E618" s="20" t="s">
        <v>447</v>
      </c>
      <c r="F618" s="20"/>
      <c r="G618" s="27">
        <f>G619</f>
        <v>355.9</v>
      </c>
      <c r="H618" s="173"/>
      <c r="I618" s="114"/>
    </row>
    <row r="619" spans="1:9" ht="31.5" x14ac:dyDescent="0.25">
      <c r="A619" s="45" t="s">
        <v>701</v>
      </c>
      <c r="B619" s="16">
        <v>906</v>
      </c>
      <c r="C619" s="20" t="s">
        <v>264</v>
      </c>
      <c r="D619" s="20" t="s">
        <v>215</v>
      </c>
      <c r="E619" s="20" t="s">
        <v>702</v>
      </c>
      <c r="F619" s="20"/>
      <c r="G619" s="27">
        <f>G620</f>
        <v>355.9</v>
      </c>
      <c r="H619" s="173"/>
      <c r="I619" s="114"/>
    </row>
    <row r="620" spans="1:9" ht="47.25" x14ac:dyDescent="0.25">
      <c r="A620" s="31" t="s">
        <v>272</v>
      </c>
      <c r="B620" s="16">
        <v>906</v>
      </c>
      <c r="C620" s="20" t="s">
        <v>264</v>
      </c>
      <c r="D620" s="20" t="s">
        <v>215</v>
      </c>
      <c r="E620" s="20" t="s">
        <v>702</v>
      </c>
      <c r="F620" s="20" t="s">
        <v>273</v>
      </c>
      <c r="G620" s="27">
        <f>G621</f>
        <v>355.9</v>
      </c>
      <c r="H620" s="105"/>
      <c r="I620" s="114"/>
    </row>
    <row r="621" spans="1:9" ht="15.75" x14ac:dyDescent="0.25">
      <c r="A621" s="31" t="s">
        <v>274</v>
      </c>
      <c r="B621" s="16">
        <v>906</v>
      </c>
      <c r="C621" s="20" t="s">
        <v>264</v>
      </c>
      <c r="D621" s="20" t="s">
        <v>215</v>
      </c>
      <c r="E621" s="20" t="s">
        <v>702</v>
      </c>
      <c r="F621" s="20" t="s">
        <v>275</v>
      </c>
      <c r="G621" s="27">
        <v>355.9</v>
      </c>
      <c r="H621" s="173"/>
      <c r="I621" s="114"/>
    </row>
    <row r="622" spans="1:9" ht="15.75" x14ac:dyDescent="0.25">
      <c r="A622" s="25" t="s">
        <v>465</v>
      </c>
      <c r="B622" s="16">
        <v>906</v>
      </c>
      <c r="C622" s="20" t="s">
        <v>264</v>
      </c>
      <c r="D622" s="20" t="s">
        <v>215</v>
      </c>
      <c r="E622" s="20" t="s">
        <v>122</v>
      </c>
      <c r="F622" s="20"/>
      <c r="G622" s="27">
        <f>G623</f>
        <v>1582.2</v>
      </c>
      <c r="H622" s="173"/>
      <c r="I622" s="114"/>
    </row>
    <row r="623" spans="1:9" ht="31.5" x14ac:dyDescent="0.25">
      <c r="A623" s="25" t="s">
        <v>185</v>
      </c>
      <c r="B623" s="16">
        <v>906</v>
      </c>
      <c r="C623" s="20" t="s">
        <v>264</v>
      </c>
      <c r="D623" s="20" t="s">
        <v>215</v>
      </c>
      <c r="E623" s="20" t="s">
        <v>186</v>
      </c>
      <c r="F623" s="20"/>
      <c r="G623" s="27">
        <f>G624+G627+G630</f>
        <v>1582.2</v>
      </c>
      <c r="H623" s="173"/>
      <c r="I623" s="114"/>
    </row>
    <row r="624" spans="1:9" ht="63" x14ac:dyDescent="0.25">
      <c r="A624" s="31" t="s">
        <v>289</v>
      </c>
      <c r="B624" s="16">
        <v>906</v>
      </c>
      <c r="C624" s="20" t="s">
        <v>264</v>
      </c>
      <c r="D624" s="20" t="s">
        <v>215</v>
      </c>
      <c r="E624" s="20" t="s">
        <v>290</v>
      </c>
      <c r="F624" s="20"/>
      <c r="G624" s="27">
        <f>G625</f>
        <v>110</v>
      </c>
      <c r="H624" s="173"/>
      <c r="I624" s="114"/>
    </row>
    <row r="625" spans="1:9" ht="47.25" x14ac:dyDescent="0.25">
      <c r="A625" s="25" t="s">
        <v>272</v>
      </c>
      <c r="B625" s="16">
        <v>906</v>
      </c>
      <c r="C625" s="20" t="s">
        <v>264</v>
      </c>
      <c r="D625" s="20" t="s">
        <v>215</v>
      </c>
      <c r="E625" s="20" t="s">
        <v>290</v>
      </c>
      <c r="F625" s="20" t="s">
        <v>273</v>
      </c>
      <c r="G625" s="27">
        <f>G626</f>
        <v>110</v>
      </c>
      <c r="H625" s="173"/>
      <c r="I625" s="114"/>
    </row>
    <row r="626" spans="1:9" ht="15.75" x14ac:dyDescent="0.25">
      <c r="A626" s="25" t="s">
        <v>274</v>
      </c>
      <c r="B626" s="16">
        <v>906</v>
      </c>
      <c r="C626" s="20" t="s">
        <v>264</v>
      </c>
      <c r="D626" s="20" t="s">
        <v>215</v>
      </c>
      <c r="E626" s="20" t="s">
        <v>290</v>
      </c>
      <c r="F626" s="20" t="s">
        <v>275</v>
      </c>
      <c r="G626" s="27">
        <v>110</v>
      </c>
      <c r="H626" s="173"/>
      <c r="I626" s="114"/>
    </row>
    <row r="627" spans="1:9" ht="78.75" x14ac:dyDescent="0.25">
      <c r="A627" s="31" t="s">
        <v>291</v>
      </c>
      <c r="B627" s="16">
        <v>906</v>
      </c>
      <c r="C627" s="20" t="s">
        <v>264</v>
      </c>
      <c r="D627" s="20" t="s">
        <v>215</v>
      </c>
      <c r="E627" s="20" t="s">
        <v>292</v>
      </c>
      <c r="F627" s="20"/>
      <c r="G627" s="27">
        <f>G628</f>
        <v>572.20000000000005</v>
      </c>
      <c r="H627" s="173"/>
      <c r="I627" s="114"/>
    </row>
    <row r="628" spans="1:9" ht="47.25" x14ac:dyDescent="0.25">
      <c r="A628" s="25" t="s">
        <v>272</v>
      </c>
      <c r="B628" s="16">
        <v>906</v>
      </c>
      <c r="C628" s="20" t="s">
        <v>264</v>
      </c>
      <c r="D628" s="20" t="s">
        <v>215</v>
      </c>
      <c r="E628" s="20" t="s">
        <v>292</v>
      </c>
      <c r="F628" s="20" t="s">
        <v>273</v>
      </c>
      <c r="G628" s="27">
        <f>G629</f>
        <v>572.20000000000005</v>
      </c>
      <c r="H628" s="173"/>
      <c r="I628" s="114"/>
    </row>
    <row r="629" spans="1:9" ht="15.75" x14ac:dyDescent="0.25">
      <c r="A629" s="25" t="s">
        <v>274</v>
      </c>
      <c r="B629" s="16">
        <v>906</v>
      </c>
      <c r="C629" s="20" t="s">
        <v>264</v>
      </c>
      <c r="D629" s="20" t="s">
        <v>215</v>
      </c>
      <c r="E629" s="20" t="s">
        <v>292</v>
      </c>
      <c r="F629" s="20" t="s">
        <v>275</v>
      </c>
      <c r="G629" s="27">
        <v>572.20000000000005</v>
      </c>
      <c r="H629" s="173"/>
      <c r="I629" s="114"/>
    </row>
    <row r="630" spans="1:9" ht="110.25" x14ac:dyDescent="0.25">
      <c r="A630" s="31" t="s">
        <v>293</v>
      </c>
      <c r="B630" s="16">
        <v>906</v>
      </c>
      <c r="C630" s="20" t="s">
        <v>264</v>
      </c>
      <c r="D630" s="20" t="s">
        <v>215</v>
      </c>
      <c r="E630" s="20" t="s">
        <v>294</v>
      </c>
      <c r="F630" s="20"/>
      <c r="G630" s="27">
        <f>G631</f>
        <v>900</v>
      </c>
      <c r="H630" s="173"/>
      <c r="I630" s="114"/>
    </row>
    <row r="631" spans="1:9" ht="47.25" x14ac:dyDescent="0.25">
      <c r="A631" s="25" t="s">
        <v>272</v>
      </c>
      <c r="B631" s="16">
        <v>906</v>
      </c>
      <c r="C631" s="20" t="s">
        <v>264</v>
      </c>
      <c r="D631" s="20" t="s">
        <v>215</v>
      </c>
      <c r="E631" s="20" t="s">
        <v>294</v>
      </c>
      <c r="F631" s="20" t="s">
        <v>273</v>
      </c>
      <c r="G631" s="27">
        <f>G632</f>
        <v>900</v>
      </c>
      <c r="H631" s="173"/>
      <c r="I631" s="114"/>
    </row>
    <row r="632" spans="1:9" ht="15.75" x14ac:dyDescent="0.25">
      <c r="A632" s="25" t="s">
        <v>274</v>
      </c>
      <c r="B632" s="16">
        <v>906</v>
      </c>
      <c r="C632" s="20" t="s">
        <v>264</v>
      </c>
      <c r="D632" s="20" t="s">
        <v>215</v>
      </c>
      <c r="E632" s="20" t="s">
        <v>294</v>
      </c>
      <c r="F632" s="20" t="s">
        <v>275</v>
      </c>
      <c r="G632" s="27">
        <v>900</v>
      </c>
      <c r="H632" s="173"/>
      <c r="I632" s="114"/>
    </row>
    <row r="633" spans="1:9" ht="31.5" x14ac:dyDescent="0.25">
      <c r="A633" s="23" t="s">
        <v>466</v>
      </c>
      <c r="B633" s="19">
        <v>906</v>
      </c>
      <c r="C633" s="24" t="s">
        <v>264</v>
      </c>
      <c r="D633" s="24" t="s">
        <v>264</v>
      </c>
      <c r="E633" s="24"/>
      <c r="F633" s="24"/>
      <c r="G633" s="21">
        <f>G634+G639</f>
        <v>4788.6000000000004</v>
      </c>
      <c r="H633" s="173"/>
    </row>
    <row r="634" spans="1:9" ht="47.25" x14ac:dyDescent="0.25">
      <c r="A634" s="25" t="s">
        <v>426</v>
      </c>
      <c r="B634" s="16">
        <v>906</v>
      </c>
      <c r="C634" s="20" t="s">
        <v>264</v>
      </c>
      <c r="D634" s="20" t="s">
        <v>264</v>
      </c>
      <c r="E634" s="20" t="s">
        <v>406</v>
      </c>
      <c r="F634" s="20"/>
      <c r="G634" s="26">
        <f>G635</f>
        <v>3484.8</v>
      </c>
      <c r="H634" s="173"/>
    </row>
    <row r="635" spans="1:9" ht="31.5" x14ac:dyDescent="0.25">
      <c r="A635" s="25" t="s">
        <v>467</v>
      </c>
      <c r="B635" s="16">
        <v>906</v>
      </c>
      <c r="C635" s="20" t="s">
        <v>264</v>
      </c>
      <c r="D635" s="20" t="s">
        <v>468</v>
      </c>
      <c r="E635" s="20" t="s">
        <v>469</v>
      </c>
      <c r="F635" s="20"/>
      <c r="G635" s="26">
        <f>G636</f>
        <v>3484.8</v>
      </c>
      <c r="H635" s="173"/>
    </row>
    <row r="636" spans="1:9" ht="47.25" x14ac:dyDescent="0.25">
      <c r="A636" s="25" t="s">
        <v>470</v>
      </c>
      <c r="B636" s="16">
        <v>906</v>
      </c>
      <c r="C636" s="20" t="s">
        <v>264</v>
      </c>
      <c r="D636" s="20" t="s">
        <v>264</v>
      </c>
      <c r="E636" s="20" t="s">
        <v>471</v>
      </c>
      <c r="F636" s="20"/>
      <c r="G636" s="26">
        <f>G637</f>
        <v>3484.8</v>
      </c>
      <c r="H636" s="173"/>
    </row>
    <row r="637" spans="1:9" ht="47.25" x14ac:dyDescent="0.25">
      <c r="A637" s="25" t="s">
        <v>272</v>
      </c>
      <c r="B637" s="16">
        <v>906</v>
      </c>
      <c r="C637" s="20" t="s">
        <v>264</v>
      </c>
      <c r="D637" s="20" t="s">
        <v>264</v>
      </c>
      <c r="E637" s="20" t="s">
        <v>471</v>
      </c>
      <c r="F637" s="20" t="s">
        <v>273</v>
      </c>
      <c r="G637" s="26">
        <f t="shared" ref="G637:G642" si="3">G638</f>
        <v>3484.8</v>
      </c>
      <c r="H637" s="173"/>
    </row>
    <row r="638" spans="1:9" ht="15.75" x14ac:dyDescent="0.25">
      <c r="A638" s="25" t="s">
        <v>274</v>
      </c>
      <c r="B638" s="16">
        <v>906</v>
      </c>
      <c r="C638" s="20" t="s">
        <v>264</v>
      </c>
      <c r="D638" s="20" t="s">
        <v>264</v>
      </c>
      <c r="E638" s="20" t="s">
        <v>471</v>
      </c>
      <c r="F638" s="20" t="s">
        <v>275</v>
      </c>
      <c r="G638" s="27">
        <v>3484.8</v>
      </c>
      <c r="H638" s="173"/>
    </row>
    <row r="639" spans="1:9" ht="15.75" x14ac:dyDescent="0.25">
      <c r="A639" s="25" t="s">
        <v>121</v>
      </c>
      <c r="B639" s="16">
        <v>906</v>
      </c>
      <c r="C639" s="20" t="s">
        <v>264</v>
      </c>
      <c r="D639" s="20" t="s">
        <v>264</v>
      </c>
      <c r="E639" s="20" t="s">
        <v>122</v>
      </c>
      <c r="F639" s="20"/>
      <c r="G639" s="26">
        <f>G640</f>
        <v>1303.8000000000002</v>
      </c>
      <c r="H639" s="173"/>
    </row>
    <row r="640" spans="1:9" ht="31.5" x14ac:dyDescent="0.25">
      <c r="A640" s="25" t="s">
        <v>185</v>
      </c>
      <c r="B640" s="16">
        <v>906</v>
      </c>
      <c r="C640" s="20" t="s">
        <v>264</v>
      </c>
      <c r="D640" s="20" t="s">
        <v>264</v>
      </c>
      <c r="E640" s="20" t="s">
        <v>186</v>
      </c>
      <c r="F640" s="20"/>
      <c r="G640" s="26">
        <f>G642</f>
        <v>1303.8000000000002</v>
      </c>
      <c r="H640" s="173"/>
    </row>
    <row r="641" spans="1:9" ht="63" hidden="1" x14ac:dyDescent="0.25">
      <c r="A641" s="25" t="s">
        <v>472</v>
      </c>
      <c r="B641" s="16">
        <v>906</v>
      </c>
      <c r="C641" s="20" t="s">
        <v>264</v>
      </c>
      <c r="D641" s="20" t="s">
        <v>264</v>
      </c>
      <c r="E641" s="20" t="s">
        <v>473</v>
      </c>
      <c r="F641" s="20"/>
      <c r="G641" s="26">
        <f t="shared" si="3"/>
        <v>1303.8000000000002</v>
      </c>
      <c r="H641" s="173"/>
    </row>
    <row r="642" spans="1:9" ht="31.5" x14ac:dyDescent="0.25">
      <c r="A642" s="31" t="s">
        <v>474</v>
      </c>
      <c r="B642" s="16">
        <v>906</v>
      </c>
      <c r="C642" s="20" t="s">
        <v>264</v>
      </c>
      <c r="D642" s="20" t="s">
        <v>264</v>
      </c>
      <c r="E642" s="20" t="s">
        <v>475</v>
      </c>
      <c r="F642" s="20"/>
      <c r="G642" s="26">
        <f t="shared" si="3"/>
        <v>1303.8000000000002</v>
      </c>
      <c r="H642" s="173"/>
    </row>
    <row r="643" spans="1:9" ht="47.25" x14ac:dyDescent="0.25">
      <c r="A643" s="25" t="s">
        <v>272</v>
      </c>
      <c r="B643" s="16">
        <v>906</v>
      </c>
      <c r="C643" s="20" t="s">
        <v>264</v>
      </c>
      <c r="D643" s="20" t="s">
        <v>264</v>
      </c>
      <c r="E643" s="20" t="s">
        <v>475</v>
      </c>
      <c r="F643" s="20" t="s">
        <v>273</v>
      </c>
      <c r="G643" s="26">
        <f>G644</f>
        <v>1303.8000000000002</v>
      </c>
      <c r="H643" s="173"/>
    </row>
    <row r="644" spans="1:9" ht="15.75" x14ac:dyDescent="0.25">
      <c r="A644" s="25" t="s">
        <v>274</v>
      </c>
      <c r="B644" s="16">
        <v>906</v>
      </c>
      <c r="C644" s="20" t="s">
        <v>264</v>
      </c>
      <c r="D644" s="20" t="s">
        <v>264</v>
      </c>
      <c r="E644" s="20" t="s">
        <v>475</v>
      </c>
      <c r="F644" s="20" t="s">
        <v>275</v>
      </c>
      <c r="G644" s="27">
        <f>1660.4-356.6</f>
        <v>1303.8000000000002</v>
      </c>
      <c r="H644" s="173"/>
      <c r="I644" s="114"/>
    </row>
    <row r="645" spans="1:9" ht="15.75" x14ac:dyDescent="0.25">
      <c r="A645" s="23" t="s">
        <v>295</v>
      </c>
      <c r="B645" s="19">
        <v>906</v>
      </c>
      <c r="C645" s="24" t="s">
        <v>264</v>
      </c>
      <c r="D645" s="24" t="s">
        <v>219</v>
      </c>
      <c r="E645" s="24"/>
      <c r="F645" s="24"/>
      <c r="G645" s="21">
        <f>G646+G655</f>
        <v>18322.300000000003</v>
      </c>
      <c r="H645" s="173"/>
    </row>
    <row r="646" spans="1:9" ht="47.25" x14ac:dyDescent="0.25">
      <c r="A646" s="25" t="s">
        <v>334</v>
      </c>
      <c r="B646" s="16">
        <v>906</v>
      </c>
      <c r="C646" s="20" t="s">
        <v>264</v>
      </c>
      <c r="D646" s="20" t="s">
        <v>219</v>
      </c>
      <c r="E646" s="20" t="s">
        <v>335</v>
      </c>
      <c r="F646" s="20"/>
      <c r="G646" s="26">
        <f>G647+G650</f>
        <v>20</v>
      </c>
      <c r="H646" s="173"/>
      <c r="I646" s="114"/>
    </row>
    <row r="647" spans="1:9" ht="31.5" hidden="1" x14ac:dyDescent="0.25">
      <c r="A647" s="25" t="s">
        <v>336</v>
      </c>
      <c r="B647" s="16">
        <v>906</v>
      </c>
      <c r="C647" s="20" t="s">
        <v>264</v>
      </c>
      <c r="D647" s="20" t="s">
        <v>219</v>
      </c>
      <c r="E647" s="20" t="s">
        <v>337</v>
      </c>
      <c r="F647" s="20"/>
      <c r="G647" s="26">
        <f>G648</f>
        <v>0</v>
      </c>
      <c r="H647" s="173"/>
    </row>
    <row r="648" spans="1:9" ht="31.5" hidden="1" x14ac:dyDescent="0.25">
      <c r="A648" s="25" t="s">
        <v>131</v>
      </c>
      <c r="B648" s="16">
        <v>906</v>
      </c>
      <c r="C648" s="20" t="s">
        <v>264</v>
      </c>
      <c r="D648" s="20" t="s">
        <v>219</v>
      </c>
      <c r="E648" s="20" t="s">
        <v>337</v>
      </c>
      <c r="F648" s="20" t="s">
        <v>132</v>
      </c>
      <c r="G648" s="26">
        <f>G649</f>
        <v>0</v>
      </c>
      <c r="H648" s="173"/>
    </row>
    <row r="649" spans="1:9" ht="47.25" hidden="1" x14ac:dyDescent="0.25">
      <c r="A649" s="25" t="s">
        <v>133</v>
      </c>
      <c r="B649" s="16">
        <v>906</v>
      </c>
      <c r="C649" s="20" t="s">
        <v>264</v>
      </c>
      <c r="D649" s="20" t="s">
        <v>219</v>
      </c>
      <c r="E649" s="20" t="s">
        <v>337</v>
      </c>
      <c r="F649" s="20" t="s">
        <v>134</v>
      </c>
      <c r="G649" s="26">
        <f>50-50</f>
        <v>0</v>
      </c>
      <c r="H649" s="105"/>
      <c r="I649" s="123"/>
    </row>
    <row r="650" spans="1:9" ht="63" x14ac:dyDescent="0.25">
      <c r="A650" s="25" t="s">
        <v>476</v>
      </c>
      <c r="B650" s="16">
        <v>906</v>
      </c>
      <c r="C650" s="20" t="s">
        <v>264</v>
      </c>
      <c r="D650" s="20" t="s">
        <v>219</v>
      </c>
      <c r="E650" s="20" t="s">
        <v>477</v>
      </c>
      <c r="F650" s="20"/>
      <c r="G650" s="26">
        <f>G651+G653</f>
        <v>20</v>
      </c>
      <c r="H650" s="173"/>
    </row>
    <row r="651" spans="1:9" ht="94.5" x14ac:dyDescent="0.25">
      <c r="A651" s="25" t="s">
        <v>127</v>
      </c>
      <c r="B651" s="16">
        <v>906</v>
      </c>
      <c r="C651" s="20" t="s">
        <v>264</v>
      </c>
      <c r="D651" s="20" t="s">
        <v>219</v>
      </c>
      <c r="E651" s="20" t="s">
        <v>477</v>
      </c>
      <c r="F651" s="20" t="s">
        <v>128</v>
      </c>
      <c r="G651" s="26">
        <f>G652</f>
        <v>5</v>
      </c>
      <c r="H651" s="173"/>
    </row>
    <row r="652" spans="1:9" ht="31.5" x14ac:dyDescent="0.25">
      <c r="A652" s="25" t="s">
        <v>342</v>
      </c>
      <c r="B652" s="16">
        <v>906</v>
      </c>
      <c r="C652" s="20" t="s">
        <v>264</v>
      </c>
      <c r="D652" s="20" t="s">
        <v>219</v>
      </c>
      <c r="E652" s="20" t="s">
        <v>477</v>
      </c>
      <c r="F652" s="20" t="s">
        <v>209</v>
      </c>
      <c r="G652" s="26">
        <v>5</v>
      </c>
      <c r="H652" s="173"/>
    </row>
    <row r="653" spans="1:9" ht="31.5" x14ac:dyDescent="0.25">
      <c r="A653" s="25" t="s">
        <v>131</v>
      </c>
      <c r="B653" s="16">
        <v>906</v>
      </c>
      <c r="C653" s="20" t="s">
        <v>264</v>
      </c>
      <c r="D653" s="20" t="s">
        <v>219</v>
      </c>
      <c r="E653" s="20" t="s">
        <v>477</v>
      </c>
      <c r="F653" s="20" t="s">
        <v>132</v>
      </c>
      <c r="G653" s="26">
        <f>G654</f>
        <v>15</v>
      </c>
      <c r="H653" s="173"/>
    </row>
    <row r="654" spans="1:9" ht="47.25" x14ac:dyDescent="0.25">
      <c r="A654" s="25" t="s">
        <v>133</v>
      </c>
      <c r="B654" s="16">
        <v>906</v>
      </c>
      <c r="C654" s="20" t="s">
        <v>264</v>
      </c>
      <c r="D654" s="20" t="s">
        <v>219</v>
      </c>
      <c r="E654" s="20" t="s">
        <v>477</v>
      </c>
      <c r="F654" s="20" t="s">
        <v>134</v>
      </c>
      <c r="G654" s="26">
        <v>15</v>
      </c>
      <c r="H654" s="173"/>
    </row>
    <row r="655" spans="1:9" ht="15.75" x14ac:dyDescent="0.25">
      <c r="A655" s="25" t="s">
        <v>121</v>
      </c>
      <c r="B655" s="16">
        <v>906</v>
      </c>
      <c r="C655" s="20" t="s">
        <v>264</v>
      </c>
      <c r="D655" s="20" t="s">
        <v>219</v>
      </c>
      <c r="E655" s="20" t="s">
        <v>122</v>
      </c>
      <c r="F655" s="20"/>
      <c r="G655" s="26">
        <f>G656+G662</f>
        <v>18302.300000000003</v>
      </c>
      <c r="H655" s="173"/>
    </row>
    <row r="656" spans="1:9" ht="31.5" x14ac:dyDescent="0.25">
      <c r="A656" s="25" t="s">
        <v>123</v>
      </c>
      <c r="B656" s="16">
        <v>906</v>
      </c>
      <c r="C656" s="20" t="s">
        <v>264</v>
      </c>
      <c r="D656" s="20" t="s">
        <v>219</v>
      </c>
      <c r="E656" s="20" t="s">
        <v>124</v>
      </c>
      <c r="F656" s="20"/>
      <c r="G656" s="26">
        <f>G657</f>
        <v>5138.7</v>
      </c>
      <c r="H656" s="173"/>
    </row>
    <row r="657" spans="1:11" ht="47.25" x14ac:dyDescent="0.25">
      <c r="A657" s="25" t="s">
        <v>125</v>
      </c>
      <c r="B657" s="16">
        <v>906</v>
      </c>
      <c r="C657" s="20" t="s">
        <v>264</v>
      </c>
      <c r="D657" s="20" t="s">
        <v>219</v>
      </c>
      <c r="E657" s="20" t="s">
        <v>126</v>
      </c>
      <c r="F657" s="20"/>
      <c r="G657" s="26">
        <f>G658+G660</f>
        <v>5138.7</v>
      </c>
      <c r="H657" s="173"/>
    </row>
    <row r="658" spans="1:11" ht="94.5" x14ac:dyDescent="0.25">
      <c r="A658" s="25" t="s">
        <v>127</v>
      </c>
      <c r="B658" s="16">
        <v>906</v>
      </c>
      <c r="C658" s="20" t="s">
        <v>264</v>
      </c>
      <c r="D658" s="20" t="s">
        <v>219</v>
      </c>
      <c r="E658" s="20" t="s">
        <v>126</v>
      </c>
      <c r="F658" s="20" t="s">
        <v>128</v>
      </c>
      <c r="G658" s="26">
        <f>G659</f>
        <v>4981.5</v>
      </c>
      <c r="H658" s="173"/>
    </row>
    <row r="659" spans="1:11" ht="31.5" x14ac:dyDescent="0.25">
      <c r="A659" s="25" t="s">
        <v>129</v>
      </c>
      <c r="B659" s="16">
        <v>906</v>
      </c>
      <c r="C659" s="20" t="s">
        <v>264</v>
      </c>
      <c r="D659" s="20" t="s">
        <v>219</v>
      </c>
      <c r="E659" s="20" t="s">
        <v>126</v>
      </c>
      <c r="F659" s="20" t="s">
        <v>130</v>
      </c>
      <c r="G659" s="153">
        <f>4975.7+5.8</f>
        <v>4981.5</v>
      </c>
      <c r="H659" s="154" t="s">
        <v>724</v>
      </c>
    </row>
    <row r="660" spans="1:11" ht="31.5" x14ac:dyDescent="0.25">
      <c r="A660" s="25" t="s">
        <v>131</v>
      </c>
      <c r="B660" s="16">
        <v>906</v>
      </c>
      <c r="C660" s="20" t="s">
        <v>264</v>
      </c>
      <c r="D660" s="20" t="s">
        <v>219</v>
      </c>
      <c r="E660" s="20" t="s">
        <v>126</v>
      </c>
      <c r="F660" s="20" t="s">
        <v>132</v>
      </c>
      <c r="G660" s="26">
        <f>G661</f>
        <v>157.19999999999999</v>
      </c>
      <c r="H660" s="173"/>
    </row>
    <row r="661" spans="1:11" ht="47.25" x14ac:dyDescent="0.25">
      <c r="A661" s="25" t="s">
        <v>133</v>
      </c>
      <c r="B661" s="16">
        <v>906</v>
      </c>
      <c r="C661" s="20" t="s">
        <v>264</v>
      </c>
      <c r="D661" s="20" t="s">
        <v>219</v>
      </c>
      <c r="E661" s="20" t="s">
        <v>126</v>
      </c>
      <c r="F661" s="20" t="s">
        <v>134</v>
      </c>
      <c r="G661" s="155">
        <f>163-5.8</f>
        <v>157.19999999999999</v>
      </c>
      <c r="H661" s="154" t="s">
        <v>723</v>
      </c>
    </row>
    <row r="662" spans="1:11" ht="15.75" x14ac:dyDescent="0.25">
      <c r="A662" s="25" t="s">
        <v>141</v>
      </c>
      <c r="B662" s="16">
        <v>906</v>
      </c>
      <c r="C662" s="20" t="s">
        <v>264</v>
      </c>
      <c r="D662" s="20" t="s">
        <v>219</v>
      </c>
      <c r="E662" s="20" t="s">
        <v>142</v>
      </c>
      <c r="F662" s="20"/>
      <c r="G662" s="26">
        <f>G666+G663</f>
        <v>13163.600000000002</v>
      </c>
      <c r="H662" s="173"/>
    </row>
    <row r="663" spans="1:11" ht="15.75" x14ac:dyDescent="0.25">
      <c r="A663" s="25" t="s">
        <v>478</v>
      </c>
      <c r="B663" s="16">
        <v>906</v>
      </c>
      <c r="C663" s="20" t="s">
        <v>264</v>
      </c>
      <c r="D663" s="20" t="s">
        <v>219</v>
      </c>
      <c r="E663" s="20" t="s">
        <v>479</v>
      </c>
      <c r="F663" s="20"/>
      <c r="G663" s="26">
        <f>G664</f>
        <v>375</v>
      </c>
      <c r="H663" s="173"/>
    </row>
    <row r="664" spans="1:11" ht="31.5" x14ac:dyDescent="0.25">
      <c r="A664" s="25" t="s">
        <v>131</v>
      </c>
      <c r="B664" s="16">
        <v>906</v>
      </c>
      <c r="C664" s="20" t="s">
        <v>264</v>
      </c>
      <c r="D664" s="20" t="s">
        <v>219</v>
      </c>
      <c r="E664" s="20" t="s">
        <v>479</v>
      </c>
      <c r="F664" s="20" t="s">
        <v>132</v>
      </c>
      <c r="G664" s="26">
        <f>G665</f>
        <v>375</v>
      </c>
      <c r="H664" s="173"/>
    </row>
    <row r="665" spans="1:11" ht="47.25" x14ac:dyDescent="0.25">
      <c r="A665" s="25" t="s">
        <v>133</v>
      </c>
      <c r="B665" s="16">
        <v>906</v>
      </c>
      <c r="C665" s="20" t="s">
        <v>264</v>
      </c>
      <c r="D665" s="20" t="s">
        <v>219</v>
      </c>
      <c r="E665" s="20" t="s">
        <v>479</v>
      </c>
      <c r="F665" s="20" t="s">
        <v>134</v>
      </c>
      <c r="G665" s="159">
        <f>206.3+143.7+25</f>
        <v>375</v>
      </c>
      <c r="H665" s="154" t="s">
        <v>740</v>
      </c>
      <c r="I665" s="114"/>
    </row>
    <row r="666" spans="1:11" ht="31.5" x14ac:dyDescent="0.25">
      <c r="A666" s="25" t="s">
        <v>340</v>
      </c>
      <c r="B666" s="16">
        <v>906</v>
      </c>
      <c r="C666" s="20" t="s">
        <v>264</v>
      </c>
      <c r="D666" s="20" t="s">
        <v>219</v>
      </c>
      <c r="E666" s="20" t="s">
        <v>341</v>
      </c>
      <c r="F666" s="20"/>
      <c r="G666" s="26">
        <f>G667+G669+G671</f>
        <v>12788.600000000002</v>
      </c>
      <c r="H666" s="173"/>
      <c r="J666" s="741"/>
      <c r="K666" s="741"/>
    </row>
    <row r="667" spans="1:11" ht="94.5" x14ac:dyDescent="0.25">
      <c r="A667" s="25" t="s">
        <v>127</v>
      </c>
      <c r="B667" s="16">
        <v>906</v>
      </c>
      <c r="C667" s="20" t="s">
        <v>264</v>
      </c>
      <c r="D667" s="20" t="s">
        <v>219</v>
      </c>
      <c r="E667" s="20" t="s">
        <v>341</v>
      </c>
      <c r="F667" s="20" t="s">
        <v>128</v>
      </c>
      <c r="G667" s="26">
        <f>G668</f>
        <v>11519.300000000001</v>
      </c>
      <c r="H667" s="173"/>
      <c r="J667" s="741"/>
      <c r="K667" s="741"/>
    </row>
    <row r="668" spans="1:11" ht="31.5" x14ac:dyDescent="0.25">
      <c r="A668" s="25" t="s">
        <v>342</v>
      </c>
      <c r="B668" s="16">
        <v>906</v>
      </c>
      <c r="C668" s="20" t="s">
        <v>264</v>
      </c>
      <c r="D668" s="20" t="s">
        <v>219</v>
      </c>
      <c r="E668" s="20" t="s">
        <v>341</v>
      </c>
      <c r="F668" s="20" t="s">
        <v>209</v>
      </c>
      <c r="G668" s="27">
        <f>11988.7-469.4</f>
        <v>11519.300000000001</v>
      </c>
      <c r="H668" s="105"/>
      <c r="I668" s="123"/>
      <c r="J668" s="741"/>
      <c r="K668" s="741"/>
    </row>
    <row r="669" spans="1:11" ht="31.5" x14ac:dyDescent="0.25">
      <c r="A669" s="25" t="s">
        <v>131</v>
      </c>
      <c r="B669" s="16">
        <v>906</v>
      </c>
      <c r="C669" s="20" t="s">
        <v>264</v>
      </c>
      <c r="D669" s="20" t="s">
        <v>219</v>
      </c>
      <c r="E669" s="20" t="s">
        <v>341</v>
      </c>
      <c r="F669" s="20" t="s">
        <v>132</v>
      </c>
      <c r="G669" s="26">
        <f>G670</f>
        <v>1264.0999999999999</v>
      </c>
      <c r="H669" s="173"/>
      <c r="J669" s="741"/>
      <c r="K669" s="741"/>
    </row>
    <row r="670" spans="1:11" ht="47.25" x14ac:dyDescent="0.25">
      <c r="A670" s="25" t="s">
        <v>133</v>
      </c>
      <c r="B670" s="16">
        <v>906</v>
      </c>
      <c r="C670" s="20" t="s">
        <v>264</v>
      </c>
      <c r="D670" s="20" t="s">
        <v>219</v>
      </c>
      <c r="E670" s="20" t="s">
        <v>341</v>
      </c>
      <c r="F670" s="20" t="s">
        <v>134</v>
      </c>
      <c r="G670" s="26">
        <f>1416.8-152.7</f>
        <v>1264.0999999999999</v>
      </c>
      <c r="H670" s="105"/>
      <c r="I670" s="123"/>
      <c r="J670" s="741"/>
      <c r="K670" s="741"/>
    </row>
    <row r="671" spans="1:11" ht="15.75" x14ac:dyDescent="0.25">
      <c r="A671" s="25" t="s">
        <v>135</v>
      </c>
      <c r="B671" s="16">
        <v>906</v>
      </c>
      <c r="C671" s="20" t="s">
        <v>264</v>
      </c>
      <c r="D671" s="20" t="s">
        <v>219</v>
      </c>
      <c r="E671" s="20" t="s">
        <v>341</v>
      </c>
      <c r="F671" s="20" t="s">
        <v>145</v>
      </c>
      <c r="G671" s="26">
        <f>G672</f>
        <v>5.2</v>
      </c>
      <c r="H671" s="173"/>
      <c r="J671" s="741"/>
      <c r="K671" s="741"/>
    </row>
    <row r="672" spans="1:11" ht="15.75" x14ac:dyDescent="0.25">
      <c r="A672" s="25" t="s">
        <v>568</v>
      </c>
      <c r="B672" s="16">
        <v>906</v>
      </c>
      <c r="C672" s="20" t="s">
        <v>264</v>
      </c>
      <c r="D672" s="20" t="s">
        <v>219</v>
      </c>
      <c r="E672" s="20" t="s">
        <v>341</v>
      </c>
      <c r="F672" s="20" t="s">
        <v>138</v>
      </c>
      <c r="G672" s="26">
        <f>7-1.8</f>
        <v>5.2</v>
      </c>
      <c r="H672" s="105"/>
      <c r="I672" s="123"/>
      <c r="J672" s="741"/>
      <c r="K672" s="741"/>
    </row>
    <row r="673" spans="1:10" ht="47.25" x14ac:dyDescent="0.25">
      <c r="A673" s="19" t="s">
        <v>480</v>
      </c>
      <c r="B673" s="19">
        <v>907</v>
      </c>
      <c r="C673" s="20"/>
      <c r="D673" s="20"/>
      <c r="E673" s="20"/>
      <c r="F673" s="20"/>
      <c r="G673" s="21">
        <f>G674+G704</f>
        <v>46187.799999999996</v>
      </c>
      <c r="H673" s="173"/>
    </row>
    <row r="674" spans="1:10" ht="15.75" x14ac:dyDescent="0.25">
      <c r="A674" s="23" t="s">
        <v>263</v>
      </c>
      <c r="B674" s="19">
        <v>907</v>
      </c>
      <c r="C674" s="24" t="s">
        <v>468</v>
      </c>
      <c r="D674" s="24"/>
      <c r="E674" s="24"/>
      <c r="F674" s="24"/>
      <c r="G674" s="21">
        <f>G675</f>
        <v>11485.1</v>
      </c>
      <c r="H674" s="173"/>
    </row>
    <row r="675" spans="1:10" ht="15.75" x14ac:dyDescent="0.25">
      <c r="A675" s="23" t="s">
        <v>265</v>
      </c>
      <c r="B675" s="19">
        <v>907</v>
      </c>
      <c r="C675" s="24" t="s">
        <v>264</v>
      </c>
      <c r="D675" s="24" t="s">
        <v>215</v>
      </c>
      <c r="E675" s="24"/>
      <c r="F675" s="24"/>
      <c r="G675" s="21">
        <f>G676+G693</f>
        <v>11485.1</v>
      </c>
      <c r="H675" s="173"/>
      <c r="J675" s="115"/>
    </row>
    <row r="676" spans="1:10" ht="47.25" x14ac:dyDescent="0.25">
      <c r="A676" s="25" t="s">
        <v>481</v>
      </c>
      <c r="B676" s="16">
        <v>907</v>
      </c>
      <c r="C676" s="20" t="s">
        <v>264</v>
      </c>
      <c r="D676" s="20" t="s">
        <v>215</v>
      </c>
      <c r="E676" s="20" t="s">
        <v>482</v>
      </c>
      <c r="F676" s="20"/>
      <c r="G676" s="26">
        <f>G677</f>
        <v>10758</v>
      </c>
      <c r="H676" s="173"/>
    </row>
    <row r="677" spans="1:10" ht="47.25" x14ac:dyDescent="0.25">
      <c r="A677" s="25" t="s">
        <v>483</v>
      </c>
      <c r="B677" s="16">
        <v>907</v>
      </c>
      <c r="C677" s="20" t="s">
        <v>264</v>
      </c>
      <c r="D677" s="20" t="s">
        <v>215</v>
      </c>
      <c r="E677" s="20" t="s">
        <v>484</v>
      </c>
      <c r="F677" s="20"/>
      <c r="G677" s="26">
        <f>G678+G681+G684+G690+G687</f>
        <v>10758</v>
      </c>
      <c r="H677" s="173"/>
    </row>
    <row r="678" spans="1:10" ht="47.25" x14ac:dyDescent="0.25">
      <c r="A678" s="25" t="s">
        <v>270</v>
      </c>
      <c r="B678" s="16">
        <v>907</v>
      </c>
      <c r="C678" s="20" t="s">
        <v>264</v>
      </c>
      <c r="D678" s="20" t="s">
        <v>215</v>
      </c>
      <c r="E678" s="20" t="s">
        <v>485</v>
      </c>
      <c r="F678" s="20"/>
      <c r="G678" s="26">
        <f>G679</f>
        <v>10722</v>
      </c>
      <c r="H678" s="173"/>
    </row>
    <row r="679" spans="1:10" ht="47.25" x14ac:dyDescent="0.25">
      <c r="A679" s="25" t="s">
        <v>272</v>
      </c>
      <c r="B679" s="16">
        <v>907</v>
      </c>
      <c r="C679" s="20" t="s">
        <v>264</v>
      </c>
      <c r="D679" s="20" t="s">
        <v>215</v>
      </c>
      <c r="E679" s="20" t="s">
        <v>485</v>
      </c>
      <c r="F679" s="20" t="s">
        <v>273</v>
      </c>
      <c r="G679" s="26">
        <f>G680</f>
        <v>10722</v>
      </c>
      <c r="H679" s="173"/>
    </row>
    <row r="680" spans="1:10" ht="15.75" x14ac:dyDescent="0.25">
      <c r="A680" s="25" t="s">
        <v>274</v>
      </c>
      <c r="B680" s="16">
        <v>907</v>
      </c>
      <c r="C680" s="20" t="s">
        <v>264</v>
      </c>
      <c r="D680" s="20" t="s">
        <v>215</v>
      </c>
      <c r="E680" s="20" t="s">
        <v>485</v>
      </c>
      <c r="F680" s="20" t="s">
        <v>275</v>
      </c>
      <c r="G680" s="27">
        <f>10500+753.9-531.9</f>
        <v>10722</v>
      </c>
      <c r="H680" s="105"/>
      <c r="I680" s="124"/>
    </row>
    <row r="681" spans="1:10" ht="47.25" hidden="1" x14ac:dyDescent="0.25">
      <c r="A681" s="25" t="s">
        <v>278</v>
      </c>
      <c r="B681" s="16">
        <v>907</v>
      </c>
      <c r="C681" s="20" t="s">
        <v>264</v>
      </c>
      <c r="D681" s="20" t="s">
        <v>213</v>
      </c>
      <c r="E681" s="20" t="s">
        <v>486</v>
      </c>
      <c r="F681" s="20"/>
      <c r="G681" s="26">
        <f>G682</f>
        <v>0</v>
      </c>
      <c r="H681" s="173"/>
    </row>
    <row r="682" spans="1:10" ht="47.25" hidden="1" x14ac:dyDescent="0.25">
      <c r="A682" s="25" t="s">
        <v>272</v>
      </c>
      <c r="B682" s="16">
        <v>907</v>
      </c>
      <c r="C682" s="20" t="s">
        <v>264</v>
      </c>
      <c r="D682" s="20" t="s">
        <v>213</v>
      </c>
      <c r="E682" s="20" t="s">
        <v>486</v>
      </c>
      <c r="F682" s="20" t="s">
        <v>273</v>
      </c>
      <c r="G682" s="26">
        <f>G683</f>
        <v>0</v>
      </c>
      <c r="H682" s="173"/>
    </row>
    <row r="683" spans="1:10" ht="15.75" hidden="1" x14ac:dyDescent="0.25">
      <c r="A683" s="25" t="s">
        <v>274</v>
      </c>
      <c r="B683" s="16">
        <v>907</v>
      </c>
      <c r="C683" s="20" t="s">
        <v>264</v>
      </c>
      <c r="D683" s="20" t="s">
        <v>213</v>
      </c>
      <c r="E683" s="20" t="s">
        <v>486</v>
      </c>
      <c r="F683" s="20" t="s">
        <v>275</v>
      </c>
      <c r="G683" s="26">
        <v>0</v>
      </c>
      <c r="H683" s="173"/>
    </row>
    <row r="684" spans="1:10" ht="31.5" hidden="1" x14ac:dyDescent="0.25">
      <c r="A684" s="25" t="s">
        <v>280</v>
      </c>
      <c r="B684" s="16">
        <v>907</v>
      </c>
      <c r="C684" s="20" t="s">
        <v>264</v>
      </c>
      <c r="D684" s="20" t="s">
        <v>213</v>
      </c>
      <c r="E684" s="20" t="s">
        <v>487</v>
      </c>
      <c r="F684" s="20"/>
      <c r="G684" s="26">
        <f>G685</f>
        <v>0</v>
      </c>
      <c r="H684" s="173"/>
    </row>
    <row r="685" spans="1:10" ht="47.25" hidden="1" x14ac:dyDescent="0.25">
      <c r="A685" s="25" t="s">
        <v>272</v>
      </c>
      <c r="B685" s="16">
        <v>907</v>
      </c>
      <c r="C685" s="20" t="s">
        <v>264</v>
      </c>
      <c r="D685" s="20" t="s">
        <v>213</v>
      </c>
      <c r="E685" s="20" t="s">
        <v>487</v>
      </c>
      <c r="F685" s="20" t="s">
        <v>273</v>
      </c>
      <c r="G685" s="26">
        <f>G686</f>
        <v>0</v>
      </c>
      <c r="H685" s="173"/>
    </row>
    <row r="686" spans="1:10" ht="15.75" hidden="1" x14ac:dyDescent="0.25">
      <c r="A686" s="25" t="s">
        <v>274</v>
      </c>
      <c r="B686" s="16">
        <v>907</v>
      </c>
      <c r="C686" s="20" t="s">
        <v>264</v>
      </c>
      <c r="D686" s="20" t="s">
        <v>213</v>
      </c>
      <c r="E686" s="20" t="s">
        <v>487</v>
      </c>
      <c r="F686" s="20" t="s">
        <v>275</v>
      </c>
      <c r="G686" s="26">
        <v>0</v>
      </c>
      <c r="H686" s="173"/>
    </row>
    <row r="687" spans="1:10" ht="47.25" x14ac:dyDescent="0.25">
      <c r="A687" s="25" t="s">
        <v>282</v>
      </c>
      <c r="B687" s="16">
        <v>907</v>
      </c>
      <c r="C687" s="20" t="s">
        <v>264</v>
      </c>
      <c r="D687" s="20" t="s">
        <v>215</v>
      </c>
      <c r="E687" s="20" t="s">
        <v>488</v>
      </c>
      <c r="F687" s="20"/>
      <c r="G687" s="26">
        <f>G688</f>
        <v>36</v>
      </c>
      <c r="H687" s="173"/>
    </row>
    <row r="688" spans="1:10" ht="47.25" x14ac:dyDescent="0.25">
      <c r="A688" s="25" t="s">
        <v>272</v>
      </c>
      <c r="B688" s="16">
        <v>907</v>
      </c>
      <c r="C688" s="20" t="s">
        <v>264</v>
      </c>
      <c r="D688" s="20" t="s">
        <v>215</v>
      </c>
      <c r="E688" s="20" t="s">
        <v>488</v>
      </c>
      <c r="F688" s="20" t="s">
        <v>273</v>
      </c>
      <c r="G688" s="26">
        <f>G689</f>
        <v>36</v>
      </c>
      <c r="H688" s="173"/>
    </row>
    <row r="689" spans="1:10" ht="15.75" x14ac:dyDescent="0.25">
      <c r="A689" s="25" t="s">
        <v>274</v>
      </c>
      <c r="B689" s="16">
        <v>907</v>
      </c>
      <c r="C689" s="20" t="s">
        <v>264</v>
      </c>
      <c r="D689" s="20" t="s">
        <v>215</v>
      </c>
      <c r="E689" s="20" t="s">
        <v>488</v>
      </c>
      <c r="F689" s="20" t="s">
        <v>275</v>
      </c>
      <c r="G689" s="26">
        <v>36</v>
      </c>
      <c r="H689" s="173"/>
    </row>
    <row r="690" spans="1:10" ht="31.5" hidden="1" x14ac:dyDescent="0.25">
      <c r="A690" s="25" t="s">
        <v>284</v>
      </c>
      <c r="B690" s="16">
        <v>907</v>
      </c>
      <c r="C690" s="20" t="s">
        <v>264</v>
      </c>
      <c r="D690" s="20" t="s">
        <v>213</v>
      </c>
      <c r="E690" s="20" t="s">
        <v>489</v>
      </c>
      <c r="F690" s="20"/>
      <c r="G690" s="26">
        <f>G691</f>
        <v>0</v>
      </c>
      <c r="H690" s="173"/>
    </row>
    <row r="691" spans="1:10" ht="47.25" hidden="1" x14ac:dyDescent="0.25">
      <c r="A691" s="25" t="s">
        <v>272</v>
      </c>
      <c r="B691" s="16">
        <v>907</v>
      </c>
      <c r="C691" s="20" t="s">
        <v>264</v>
      </c>
      <c r="D691" s="20" t="s">
        <v>213</v>
      </c>
      <c r="E691" s="20" t="s">
        <v>489</v>
      </c>
      <c r="F691" s="20" t="s">
        <v>273</v>
      </c>
      <c r="G691" s="26">
        <f>G692</f>
        <v>0</v>
      </c>
      <c r="H691" s="173"/>
    </row>
    <row r="692" spans="1:10" ht="15.75" hidden="1" x14ac:dyDescent="0.25">
      <c r="A692" s="25" t="s">
        <v>274</v>
      </c>
      <c r="B692" s="16">
        <v>907</v>
      </c>
      <c r="C692" s="20" t="s">
        <v>264</v>
      </c>
      <c r="D692" s="20" t="s">
        <v>213</v>
      </c>
      <c r="E692" s="20" t="s">
        <v>489</v>
      </c>
      <c r="F692" s="20" t="s">
        <v>275</v>
      </c>
      <c r="G692" s="26">
        <v>0</v>
      </c>
      <c r="H692" s="173"/>
    </row>
    <row r="693" spans="1:10" ht="15.75" x14ac:dyDescent="0.25">
      <c r="A693" s="25" t="s">
        <v>121</v>
      </c>
      <c r="B693" s="16">
        <v>907</v>
      </c>
      <c r="C693" s="20" t="s">
        <v>264</v>
      </c>
      <c r="D693" s="20" t="s">
        <v>215</v>
      </c>
      <c r="E693" s="20" t="s">
        <v>122</v>
      </c>
      <c r="F693" s="20"/>
      <c r="G693" s="26">
        <f>G694</f>
        <v>727.1</v>
      </c>
      <c r="H693" s="173"/>
    </row>
    <row r="694" spans="1:10" ht="31.5" x14ac:dyDescent="0.25">
      <c r="A694" s="25" t="s">
        <v>185</v>
      </c>
      <c r="B694" s="16">
        <v>907</v>
      </c>
      <c r="C694" s="20" t="s">
        <v>264</v>
      </c>
      <c r="D694" s="20" t="s">
        <v>215</v>
      </c>
      <c r="E694" s="20" t="s">
        <v>186</v>
      </c>
      <c r="F694" s="20"/>
      <c r="G694" s="26">
        <f>G695+G698+G701</f>
        <v>727.1</v>
      </c>
      <c r="H694" s="173"/>
    </row>
    <row r="695" spans="1:10" ht="63" x14ac:dyDescent="0.25">
      <c r="A695" s="31" t="s">
        <v>289</v>
      </c>
      <c r="B695" s="16">
        <v>907</v>
      </c>
      <c r="C695" s="20" t="s">
        <v>264</v>
      </c>
      <c r="D695" s="20" t="s">
        <v>215</v>
      </c>
      <c r="E695" s="20" t="s">
        <v>290</v>
      </c>
      <c r="F695" s="20"/>
      <c r="G695" s="26">
        <f>G696</f>
        <v>50</v>
      </c>
      <c r="H695" s="173"/>
    </row>
    <row r="696" spans="1:10" ht="47.25" x14ac:dyDescent="0.25">
      <c r="A696" s="25" t="s">
        <v>272</v>
      </c>
      <c r="B696" s="16">
        <v>907</v>
      </c>
      <c r="C696" s="20" t="s">
        <v>264</v>
      </c>
      <c r="D696" s="20" t="s">
        <v>215</v>
      </c>
      <c r="E696" s="20" t="s">
        <v>290</v>
      </c>
      <c r="F696" s="20" t="s">
        <v>273</v>
      </c>
      <c r="G696" s="26">
        <f>G697</f>
        <v>50</v>
      </c>
      <c r="H696" s="173"/>
    </row>
    <row r="697" spans="1:10" ht="15.75" x14ac:dyDescent="0.25">
      <c r="A697" s="25" t="s">
        <v>274</v>
      </c>
      <c r="B697" s="16">
        <v>907</v>
      </c>
      <c r="C697" s="20" t="s">
        <v>264</v>
      </c>
      <c r="D697" s="20" t="s">
        <v>215</v>
      </c>
      <c r="E697" s="20" t="s">
        <v>290</v>
      </c>
      <c r="F697" s="20" t="s">
        <v>275</v>
      </c>
      <c r="G697" s="26">
        <v>50</v>
      </c>
      <c r="H697" s="173"/>
    </row>
    <row r="698" spans="1:10" ht="78.75" x14ac:dyDescent="0.25">
      <c r="A698" s="31" t="s">
        <v>291</v>
      </c>
      <c r="B698" s="16">
        <v>907</v>
      </c>
      <c r="C698" s="20" t="s">
        <v>264</v>
      </c>
      <c r="D698" s="20" t="s">
        <v>215</v>
      </c>
      <c r="E698" s="20" t="s">
        <v>292</v>
      </c>
      <c r="F698" s="20"/>
      <c r="G698" s="26">
        <f>G699</f>
        <v>197.3</v>
      </c>
      <c r="H698" s="173"/>
    </row>
    <row r="699" spans="1:10" ht="47.25" x14ac:dyDescent="0.25">
      <c r="A699" s="25" t="s">
        <v>272</v>
      </c>
      <c r="B699" s="16">
        <v>907</v>
      </c>
      <c r="C699" s="20" t="s">
        <v>264</v>
      </c>
      <c r="D699" s="20" t="s">
        <v>215</v>
      </c>
      <c r="E699" s="20" t="s">
        <v>292</v>
      </c>
      <c r="F699" s="20" t="s">
        <v>273</v>
      </c>
      <c r="G699" s="26">
        <f>G700</f>
        <v>197.3</v>
      </c>
      <c r="H699" s="173"/>
    </row>
    <row r="700" spans="1:10" ht="15.75" x14ac:dyDescent="0.25">
      <c r="A700" s="25" t="s">
        <v>274</v>
      </c>
      <c r="B700" s="16">
        <v>907</v>
      </c>
      <c r="C700" s="20" t="s">
        <v>264</v>
      </c>
      <c r="D700" s="20" t="s">
        <v>215</v>
      </c>
      <c r="E700" s="20" t="s">
        <v>292</v>
      </c>
      <c r="F700" s="20" t="s">
        <v>275</v>
      </c>
      <c r="G700" s="26">
        <f>200-2.7</f>
        <v>197.3</v>
      </c>
      <c r="H700" s="173"/>
      <c r="I700" s="114"/>
      <c r="J700" s="115"/>
    </row>
    <row r="701" spans="1:10" ht="110.25" x14ac:dyDescent="0.25">
      <c r="A701" s="31" t="s">
        <v>464</v>
      </c>
      <c r="B701" s="16">
        <v>907</v>
      </c>
      <c r="C701" s="20" t="s">
        <v>264</v>
      </c>
      <c r="D701" s="20" t="s">
        <v>215</v>
      </c>
      <c r="E701" s="20" t="s">
        <v>294</v>
      </c>
      <c r="F701" s="20"/>
      <c r="G701" s="26">
        <f>G702</f>
        <v>479.8</v>
      </c>
      <c r="H701" s="173"/>
    </row>
    <row r="702" spans="1:10" ht="47.25" x14ac:dyDescent="0.25">
      <c r="A702" s="25" t="s">
        <v>272</v>
      </c>
      <c r="B702" s="16">
        <v>907</v>
      </c>
      <c r="C702" s="20" t="s">
        <v>264</v>
      </c>
      <c r="D702" s="20" t="s">
        <v>215</v>
      </c>
      <c r="E702" s="20" t="s">
        <v>294</v>
      </c>
      <c r="F702" s="20" t="s">
        <v>273</v>
      </c>
      <c r="G702" s="26">
        <f>G703</f>
        <v>479.8</v>
      </c>
      <c r="H702" s="173"/>
    </row>
    <row r="703" spans="1:10" ht="15.75" x14ac:dyDescent="0.25">
      <c r="A703" s="25" t="s">
        <v>274</v>
      </c>
      <c r="B703" s="16">
        <v>907</v>
      </c>
      <c r="C703" s="20" t="s">
        <v>264</v>
      </c>
      <c r="D703" s="20" t="s">
        <v>215</v>
      </c>
      <c r="E703" s="20" t="s">
        <v>294</v>
      </c>
      <c r="F703" s="20" t="s">
        <v>275</v>
      </c>
      <c r="G703" s="26">
        <f>500-20.2</f>
        <v>479.8</v>
      </c>
      <c r="H703" s="173"/>
      <c r="I703" s="114"/>
    </row>
    <row r="704" spans="1:10" ht="15.75" x14ac:dyDescent="0.25">
      <c r="A704" s="23" t="s">
        <v>490</v>
      </c>
      <c r="B704" s="19">
        <v>907</v>
      </c>
      <c r="C704" s="24" t="s">
        <v>491</v>
      </c>
      <c r="D704" s="20"/>
      <c r="E704" s="20"/>
      <c r="F704" s="20"/>
      <c r="G704" s="21">
        <f>G705+G725</f>
        <v>34702.699999999997</v>
      </c>
      <c r="H704" s="173"/>
    </row>
    <row r="705" spans="1:9" ht="15.75" x14ac:dyDescent="0.25">
      <c r="A705" s="23" t="s">
        <v>492</v>
      </c>
      <c r="B705" s="19">
        <v>907</v>
      </c>
      <c r="C705" s="24" t="s">
        <v>491</v>
      </c>
      <c r="D705" s="24" t="s">
        <v>118</v>
      </c>
      <c r="E705" s="20"/>
      <c r="F705" s="20"/>
      <c r="G705" s="21">
        <f>G706+G721</f>
        <v>23173.9</v>
      </c>
      <c r="H705" s="173"/>
    </row>
    <row r="706" spans="1:9" ht="47.25" x14ac:dyDescent="0.25">
      <c r="A706" s="25" t="s">
        <v>481</v>
      </c>
      <c r="B706" s="16">
        <v>907</v>
      </c>
      <c r="C706" s="20" t="s">
        <v>491</v>
      </c>
      <c r="D706" s="20" t="s">
        <v>118</v>
      </c>
      <c r="E706" s="20" t="s">
        <v>482</v>
      </c>
      <c r="F706" s="20"/>
      <c r="G706" s="26">
        <f>G707</f>
        <v>22673.9</v>
      </c>
      <c r="H706" s="173"/>
    </row>
    <row r="707" spans="1:9" ht="47.25" x14ac:dyDescent="0.25">
      <c r="A707" s="25" t="s">
        <v>493</v>
      </c>
      <c r="B707" s="16">
        <v>907</v>
      </c>
      <c r="C707" s="20" t="s">
        <v>491</v>
      </c>
      <c r="D707" s="20" t="s">
        <v>118</v>
      </c>
      <c r="E707" s="20" t="s">
        <v>494</v>
      </c>
      <c r="F707" s="20"/>
      <c r="G707" s="26">
        <f>G708+G711+G714+G717</f>
        <v>22673.9</v>
      </c>
      <c r="H707" s="173"/>
    </row>
    <row r="708" spans="1:9" ht="47.25" x14ac:dyDescent="0.25">
      <c r="A708" s="25" t="s">
        <v>495</v>
      </c>
      <c r="B708" s="16">
        <v>907</v>
      </c>
      <c r="C708" s="20" t="s">
        <v>491</v>
      </c>
      <c r="D708" s="20" t="s">
        <v>118</v>
      </c>
      <c r="E708" s="20" t="s">
        <v>496</v>
      </c>
      <c r="F708" s="20"/>
      <c r="G708" s="26">
        <f>G709</f>
        <v>22376.400000000001</v>
      </c>
      <c r="H708" s="173"/>
    </row>
    <row r="709" spans="1:9" ht="47.25" x14ac:dyDescent="0.25">
      <c r="A709" s="25" t="s">
        <v>272</v>
      </c>
      <c r="B709" s="16">
        <v>907</v>
      </c>
      <c r="C709" s="20" t="s">
        <v>491</v>
      </c>
      <c r="D709" s="20" t="s">
        <v>118</v>
      </c>
      <c r="E709" s="20" t="s">
        <v>496</v>
      </c>
      <c r="F709" s="20" t="s">
        <v>273</v>
      </c>
      <c r="G709" s="26">
        <f>G710</f>
        <v>22376.400000000001</v>
      </c>
      <c r="H709" s="173"/>
    </row>
    <row r="710" spans="1:9" ht="15.75" x14ac:dyDescent="0.25">
      <c r="A710" s="25" t="s">
        <v>274</v>
      </c>
      <c r="B710" s="16">
        <v>907</v>
      </c>
      <c r="C710" s="20" t="s">
        <v>491</v>
      </c>
      <c r="D710" s="20" t="s">
        <v>118</v>
      </c>
      <c r="E710" s="20" t="s">
        <v>496</v>
      </c>
      <c r="F710" s="20" t="s">
        <v>275</v>
      </c>
      <c r="G710" s="160">
        <f>10890+1490.1+9887.3-199+308</f>
        <v>22376.400000000001</v>
      </c>
      <c r="H710" s="105" t="s">
        <v>733</v>
      </c>
      <c r="I710" s="124"/>
    </row>
    <row r="711" spans="1:9" ht="47.25" x14ac:dyDescent="0.25">
      <c r="A711" s="25" t="s">
        <v>278</v>
      </c>
      <c r="B711" s="16">
        <v>907</v>
      </c>
      <c r="C711" s="20" t="s">
        <v>491</v>
      </c>
      <c r="D711" s="20" t="s">
        <v>118</v>
      </c>
      <c r="E711" s="20" t="s">
        <v>497</v>
      </c>
      <c r="F711" s="20"/>
      <c r="G711" s="26">
        <f>G712</f>
        <v>297.5</v>
      </c>
      <c r="H711" s="173"/>
    </row>
    <row r="712" spans="1:9" ht="47.25" x14ac:dyDescent="0.25">
      <c r="A712" s="25" t="s">
        <v>272</v>
      </c>
      <c r="B712" s="16">
        <v>907</v>
      </c>
      <c r="C712" s="20" t="s">
        <v>491</v>
      </c>
      <c r="D712" s="20" t="s">
        <v>118</v>
      </c>
      <c r="E712" s="20" t="s">
        <v>497</v>
      </c>
      <c r="F712" s="20" t="s">
        <v>273</v>
      </c>
      <c r="G712" s="26">
        <f>G713</f>
        <v>297.5</v>
      </c>
      <c r="H712" s="173"/>
    </row>
    <row r="713" spans="1:9" ht="15.75" x14ac:dyDescent="0.25">
      <c r="A713" s="25" t="s">
        <v>274</v>
      </c>
      <c r="B713" s="16">
        <v>907</v>
      </c>
      <c r="C713" s="20" t="s">
        <v>491</v>
      </c>
      <c r="D713" s="20" t="s">
        <v>118</v>
      </c>
      <c r="E713" s="20" t="s">
        <v>497</v>
      </c>
      <c r="F713" s="20" t="s">
        <v>275</v>
      </c>
      <c r="G713" s="155">
        <f>797.5-500</f>
        <v>297.5</v>
      </c>
      <c r="H713" s="154" t="s">
        <v>731</v>
      </c>
    </row>
    <row r="714" spans="1:9" ht="31.5" hidden="1" x14ac:dyDescent="0.25">
      <c r="A714" s="25" t="s">
        <v>280</v>
      </c>
      <c r="B714" s="16">
        <v>907</v>
      </c>
      <c r="C714" s="20" t="s">
        <v>491</v>
      </c>
      <c r="D714" s="20" t="s">
        <v>118</v>
      </c>
      <c r="E714" s="20" t="s">
        <v>498</v>
      </c>
      <c r="F714" s="20"/>
      <c r="G714" s="26">
        <f>G715</f>
        <v>0</v>
      </c>
      <c r="H714" s="173"/>
    </row>
    <row r="715" spans="1:9" ht="47.25" hidden="1" x14ac:dyDescent="0.25">
      <c r="A715" s="25" t="s">
        <v>272</v>
      </c>
      <c r="B715" s="16">
        <v>907</v>
      </c>
      <c r="C715" s="20" t="s">
        <v>491</v>
      </c>
      <c r="D715" s="20" t="s">
        <v>118</v>
      </c>
      <c r="E715" s="20" t="s">
        <v>498</v>
      </c>
      <c r="F715" s="20" t="s">
        <v>273</v>
      </c>
      <c r="G715" s="26">
        <f>G716</f>
        <v>0</v>
      </c>
      <c r="H715" s="173"/>
    </row>
    <row r="716" spans="1:9" ht="15.75" hidden="1" x14ac:dyDescent="0.25">
      <c r="A716" s="25" t="s">
        <v>274</v>
      </c>
      <c r="B716" s="16">
        <v>907</v>
      </c>
      <c r="C716" s="20" t="s">
        <v>491</v>
      </c>
      <c r="D716" s="20" t="s">
        <v>118</v>
      </c>
      <c r="E716" s="20" t="s">
        <v>498</v>
      </c>
      <c r="F716" s="20" t="s">
        <v>275</v>
      </c>
      <c r="G716" s="26">
        <v>0</v>
      </c>
      <c r="H716" s="173"/>
    </row>
    <row r="717" spans="1:9" ht="31.5" hidden="1" x14ac:dyDescent="0.25">
      <c r="A717" s="25" t="s">
        <v>284</v>
      </c>
      <c r="B717" s="16">
        <v>907</v>
      </c>
      <c r="C717" s="20" t="s">
        <v>491</v>
      </c>
      <c r="D717" s="20" t="s">
        <v>118</v>
      </c>
      <c r="E717" s="20" t="s">
        <v>499</v>
      </c>
      <c r="F717" s="20"/>
      <c r="G717" s="26">
        <f>G718</f>
        <v>0</v>
      </c>
      <c r="H717" s="173"/>
    </row>
    <row r="718" spans="1:9" ht="47.25" hidden="1" x14ac:dyDescent="0.25">
      <c r="A718" s="25" t="s">
        <v>272</v>
      </c>
      <c r="B718" s="16">
        <v>907</v>
      </c>
      <c r="C718" s="20" t="s">
        <v>491</v>
      </c>
      <c r="D718" s="20" t="s">
        <v>118</v>
      </c>
      <c r="E718" s="20" t="s">
        <v>499</v>
      </c>
      <c r="F718" s="20" t="s">
        <v>273</v>
      </c>
      <c r="G718" s="26">
        <f>G719</f>
        <v>0</v>
      </c>
      <c r="H718" s="173"/>
    </row>
    <row r="719" spans="1:9" ht="15.75" hidden="1" x14ac:dyDescent="0.25">
      <c r="A719" s="25" t="s">
        <v>274</v>
      </c>
      <c r="B719" s="16">
        <v>907</v>
      </c>
      <c r="C719" s="20" t="s">
        <v>491</v>
      </c>
      <c r="D719" s="20" t="s">
        <v>118</v>
      </c>
      <c r="E719" s="20" t="s">
        <v>499</v>
      </c>
      <c r="F719" s="20" t="s">
        <v>275</v>
      </c>
      <c r="G719" s="26">
        <v>0</v>
      </c>
      <c r="H719" s="173"/>
    </row>
    <row r="720" spans="1:9" ht="15.75" x14ac:dyDescent="0.25">
      <c r="A720" s="25" t="s">
        <v>121</v>
      </c>
      <c r="B720" s="16">
        <v>907</v>
      </c>
      <c r="C720" s="20" t="s">
        <v>491</v>
      </c>
      <c r="D720" s="20" t="s">
        <v>118</v>
      </c>
      <c r="E720" s="20" t="s">
        <v>122</v>
      </c>
      <c r="F720" s="20"/>
      <c r="G720" s="26">
        <f>G721</f>
        <v>500</v>
      </c>
      <c r="H720" s="173"/>
    </row>
    <row r="721" spans="1:9" ht="31.5" x14ac:dyDescent="0.25">
      <c r="A721" s="25" t="s">
        <v>185</v>
      </c>
      <c r="B721" s="16">
        <v>907</v>
      </c>
      <c r="C721" s="20" t="s">
        <v>491</v>
      </c>
      <c r="D721" s="20" t="s">
        <v>118</v>
      </c>
      <c r="E721" s="20" t="s">
        <v>186</v>
      </c>
      <c r="F721" s="20"/>
      <c r="G721" s="26">
        <f>G722</f>
        <v>500</v>
      </c>
      <c r="H721" s="173"/>
    </row>
    <row r="722" spans="1:9" ht="31.5" x14ac:dyDescent="0.25">
      <c r="A722" s="25" t="s">
        <v>730</v>
      </c>
      <c r="B722" s="16">
        <v>907</v>
      </c>
      <c r="C722" s="20" t="s">
        <v>491</v>
      </c>
      <c r="D722" s="20" t="s">
        <v>118</v>
      </c>
      <c r="E722" s="20" t="s">
        <v>728</v>
      </c>
      <c r="F722" s="20"/>
      <c r="G722" s="26">
        <f>G724</f>
        <v>500</v>
      </c>
      <c r="H722" s="173"/>
    </row>
    <row r="723" spans="1:9" ht="47.25" x14ac:dyDescent="0.25">
      <c r="A723" s="25" t="s">
        <v>272</v>
      </c>
      <c r="B723" s="16">
        <v>907</v>
      </c>
      <c r="C723" s="20" t="s">
        <v>491</v>
      </c>
      <c r="D723" s="20" t="s">
        <v>118</v>
      </c>
      <c r="E723" s="20" t="s">
        <v>728</v>
      </c>
      <c r="F723" s="20" t="s">
        <v>273</v>
      </c>
      <c r="G723" s="26">
        <f>G724</f>
        <v>500</v>
      </c>
      <c r="H723" s="173"/>
    </row>
    <row r="724" spans="1:9" ht="15.75" x14ac:dyDescent="0.25">
      <c r="A724" s="25" t="s">
        <v>274</v>
      </c>
      <c r="B724" s="16">
        <v>907</v>
      </c>
      <c r="C724" s="20" t="s">
        <v>491</v>
      </c>
      <c r="D724" s="20" t="s">
        <v>118</v>
      </c>
      <c r="E724" s="20" t="s">
        <v>728</v>
      </c>
      <c r="F724" s="20" t="s">
        <v>275</v>
      </c>
      <c r="G724" s="155">
        <v>500</v>
      </c>
      <c r="H724" s="154" t="s">
        <v>732</v>
      </c>
    </row>
    <row r="725" spans="1:9" ht="31.5" x14ac:dyDescent="0.25">
      <c r="A725" s="23" t="s">
        <v>500</v>
      </c>
      <c r="B725" s="19">
        <v>907</v>
      </c>
      <c r="C725" s="24" t="s">
        <v>491</v>
      </c>
      <c r="D725" s="24" t="s">
        <v>234</v>
      </c>
      <c r="E725" s="24"/>
      <c r="F725" s="24"/>
      <c r="G725" s="21">
        <f>G733+G726</f>
        <v>11528.8</v>
      </c>
      <c r="H725" s="173"/>
    </row>
    <row r="726" spans="1:9" ht="47.25" x14ac:dyDescent="0.25">
      <c r="A726" s="29" t="s">
        <v>481</v>
      </c>
      <c r="B726" s="16">
        <v>907</v>
      </c>
      <c r="C726" s="20" t="s">
        <v>491</v>
      </c>
      <c r="D726" s="20" t="s">
        <v>234</v>
      </c>
      <c r="E726" s="40" t="s">
        <v>482</v>
      </c>
      <c r="F726" s="20"/>
      <c r="G726" s="26">
        <f>G727</f>
        <v>3047</v>
      </c>
      <c r="H726" s="173"/>
    </row>
    <row r="727" spans="1:9" ht="47.25" x14ac:dyDescent="0.25">
      <c r="A727" s="45" t="s">
        <v>501</v>
      </c>
      <c r="B727" s="16">
        <v>907</v>
      </c>
      <c r="C727" s="20" t="s">
        <v>491</v>
      </c>
      <c r="D727" s="20" t="s">
        <v>234</v>
      </c>
      <c r="E727" s="40" t="s">
        <v>502</v>
      </c>
      <c r="F727" s="20"/>
      <c r="G727" s="26">
        <f>G728</f>
        <v>3047</v>
      </c>
      <c r="H727" s="173"/>
    </row>
    <row r="728" spans="1:9" ht="31.5" x14ac:dyDescent="0.25">
      <c r="A728" s="29" t="s">
        <v>157</v>
      </c>
      <c r="B728" s="16">
        <v>907</v>
      </c>
      <c r="C728" s="20" t="s">
        <v>491</v>
      </c>
      <c r="D728" s="20" t="s">
        <v>234</v>
      </c>
      <c r="E728" s="40" t="s">
        <v>503</v>
      </c>
      <c r="F728" s="20"/>
      <c r="G728" s="26">
        <f>G731+G729</f>
        <v>3047</v>
      </c>
      <c r="H728" s="173"/>
    </row>
    <row r="729" spans="1:9" ht="94.5" x14ac:dyDescent="0.25">
      <c r="A729" s="25" t="s">
        <v>127</v>
      </c>
      <c r="B729" s="16">
        <v>907</v>
      </c>
      <c r="C729" s="20" t="s">
        <v>491</v>
      </c>
      <c r="D729" s="20" t="s">
        <v>234</v>
      </c>
      <c r="E729" s="40" t="s">
        <v>503</v>
      </c>
      <c r="F729" s="20" t="s">
        <v>128</v>
      </c>
      <c r="G729" s="26">
        <f>G730</f>
        <v>2111</v>
      </c>
      <c r="H729" s="173"/>
    </row>
    <row r="730" spans="1:9" ht="31.5" x14ac:dyDescent="0.25">
      <c r="A730" s="25" t="s">
        <v>129</v>
      </c>
      <c r="B730" s="16">
        <v>907</v>
      </c>
      <c r="C730" s="20" t="s">
        <v>491</v>
      </c>
      <c r="D730" s="20" t="s">
        <v>234</v>
      </c>
      <c r="E730" s="40" t="s">
        <v>503</v>
      </c>
      <c r="F730" s="20" t="s">
        <v>130</v>
      </c>
      <c r="G730" s="26">
        <v>2111</v>
      </c>
      <c r="H730" s="173"/>
      <c r="I730" s="114"/>
    </row>
    <row r="731" spans="1:9" ht="31.5" x14ac:dyDescent="0.25">
      <c r="A731" s="29" t="s">
        <v>131</v>
      </c>
      <c r="B731" s="16">
        <v>907</v>
      </c>
      <c r="C731" s="20" t="s">
        <v>491</v>
      </c>
      <c r="D731" s="20" t="s">
        <v>234</v>
      </c>
      <c r="E731" s="40" t="s">
        <v>503</v>
      </c>
      <c r="F731" s="20" t="s">
        <v>132</v>
      </c>
      <c r="G731" s="26">
        <f>G732</f>
        <v>936</v>
      </c>
      <c r="H731" s="173"/>
    </row>
    <row r="732" spans="1:9" ht="47.25" x14ac:dyDescent="0.25">
      <c r="A732" s="29" t="s">
        <v>133</v>
      </c>
      <c r="B732" s="16">
        <v>907</v>
      </c>
      <c r="C732" s="20" t="s">
        <v>491</v>
      </c>
      <c r="D732" s="20" t="s">
        <v>234</v>
      </c>
      <c r="E732" s="40" t="s">
        <v>503</v>
      </c>
      <c r="F732" s="20" t="s">
        <v>134</v>
      </c>
      <c r="G732" s="26">
        <f>3047-2111</f>
        <v>936</v>
      </c>
      <c r="H732" s="173"/>
      <c r="I732" s="114"/>
    </row>
    <row r="733" spans="1:9" ht="15.75" x14ac:dyDescent="0.25">
      <c r="A733" s="25" t="s">
        <v>121</v>
      </c>
      <c r="B733" s="16">
        <v>907</v>
      </c>
      <c r="C733" s="20" t="s">
        <v>491</v>
      </c>
      <c r="D733" s="20" t="s">
        <v>234</v>
      </c>
      <c r="E733" s="20" t="s">
        <v>122</v>
      </c>
      <c r="F733" s="20"/>
      <c r="G733" s="26">
        <f>G734+G740</f>
        <v>8481.7999999999993</v>
      </c>
      <c r="H733" s="173"/>
    </row>
    <row r="734" spans="1:9" ht="31.5" x14ac:dyDescent="0.25">
      <c r="A734" s="25" t="s">
        <v>123</v>
      </c>
      <c r="B734" s="16">
        <v>907</v>
      </c>
      <c r="C734" s="20" t="s">
        <v>491</v>
      </c>
      <c r="D734" s="20" t="s">
        <v>234</v>
      </c>
      <c r="E734" s="20" t="s">
        <v>124</v>
      </c>
      <c r="F734" s="20"/>
      <c r="G734" s="26">
        <f>G735</f>
        <v>3599.8</v>
      </c>
      <c r="H734" s="173"/>
    </row>
    <row r="735" spans="1:9" ht="47.25" x14ac:dyDescent="0.25">
      <c r="A735" s="25" t="s">
        <v>125</v>
      </c>
      <c r="B735" s="16">
        <v>907</v>
      </c>
      <c r="C735" s="20" t="s">
        <v>491</v>
      </c>
      <c r="D735" s="20" t="s">
        <v>234</v>
      </c>
      <c r="E735" s="20" t="s">
        <v>126</v>
      </c>
      <c r="F735" s="20"/>
      <c r="G735" s="26">
        <f>G736+G738</f>
        <v>3599.8</v>
      </c>
      <c r="H735" s="173"/>
    </row>
    <row r="736" spans="1:9" ht="94.5" x14ac:dyDescent="0.25">
      <c r="A736" s="25" t="s">
        <v>127</v>
      </c>
      <c r="B736" s="16">
        <v>907</v>
      </c>
      <c r="C736" s="20" t="s">
        <v>491</v>
      </c>
      <c r="D736" s="20" t="s">
        <v>234</v>
      </c>
      <c r="E736" s="20" t="s">
        <v>126</v>
      </c>
      <c r="F736" s="20" t="s">
        <v>128</v>
      </c>
      <c r="G736" s="26">
        <f>G737</f>
        <v>3599.8</v>
      </c>
      <c r="H736" s="173"/>
    </row>
    <row r="737" spans="1:12" ht="31.5" x14ac:dyDescent="0.25">
      <c r="A737" s="25" t="s">
        <v>129</v>
      </c>
      <c r="B737" s="16">
        <v>907</v>
      </c>
      <c r="C737" s="20" t="s">
        <v>491</v>
      </c>
      <c r="D737" s="20" t="s">
        <v>234</v>
      </c>
      <c r="E737" s="20" t="s">
        <v>126</v>
      </c>
      <c r="F737" s="20" t="s">
        <v>130</v>
      </c>
      <c r="G737" s="27">
        <v>3599.8</v>
      </c>
      <c r="H737" s="173"/>
    </row>
    <row r="738" spans="1:12" ht="31.5" hidden="1" x14ac:dyDescent="0.25">
      <c r="A738" s="25" t="s">
        <v>131</v>
      </c>
      <c r="B738" s="16">
        <v>907</v>
      </c>
      <c r="C738" s="20" t="s">
        <v>491</v>
      </c>
      <c r="D738" s="20" t="s">
        <v>234</v>
      </c>
      <c r="E738" s="20" t="s">
        <v>126</v>
      </c>
      <c r="F738" s="20" t="s">
        <v>132</v>
      </c>
      <c r="G738" s="26">
        <f>G739</f>
        <v>0</v>
      </c>
      <c r="H738" s="173"/>
    </row>
    <row r="739" spans="1:12" ht="47.25" hidden="1" x14ac:dyDescent="0.25">
      <c r="A739" s="25" t="s">
        <v>133</v>
      </c>
      <c r="B739" s="16">
        <v>907</v>
      </c>
      <c r="C739" s="20" t="s">
        <v>491</v>
      </c>
      <c r="D739" s="20" t="s">
        <v>234</v>
      </c>
      <c r="E739" s="20" t="s">
        <v>126</v>
      </c>
      <c r="F739" s="20" t="s">
        <v>134</v>
      </c>
      <c r="G739" s="26"/>
      <c r="H739" s="173"/>
    </row>
    <row r="740" spans="1:12" ht="15.75" x14ac:dyDescent="0.25">
      <c r="A740" s="25" t="s">
        <v>141</v>
      </c>
      <c r="B740" s="16">
        <v>907</v>
      </c>
      <c r="C740" s="20" t="s">
        <v>491</v>
      </c>
      <c r="D740" s="20" t="s">
        <v>234</v>
      </c>
      <c r="E740" s="20" t="s">
        <v>142</v>
      </c>
      <c r="F740" s="20"/>
      <c r="G740" s="26">
        <f>G741</f>
        <v>4882</v>
      </c>
      <c r="H740" s="173"/>
    </row>
    <row r="741" spans="1:12" ht="31.5" x14ac:dyDescent="0.25">
      <c r="A741" s="25" t="s">
        <v>340</v>
      </c>
      <c r="B741" s="16">
        <v>907</v>
      </c>
      <c r="C741" s="20" t="s">
        <v>491</v>
      </c>
      <c r="D741" s="20" t="s">
        <v>234</v>
      </c>
      <c r="E741" s="20" t="s">
        <v>341</v>
      </c>
      <c r="F741" s="20"/>
      <c r="G741" s="26">
        <f>G742+G744+G746</f>
        <v>4882</v>
      </c>
      <c r="H741" s="173"/>
      <c r="J741" s="741"/>
      <c r="K741" s="741"/>
    </row>
    <row r="742" spans="1:12" ht="94.5" x14ac:dyDescent="0.25">
      <c r="A742" s="25" t="s">
        <v>127</v>
      </c>
      <c r="B742" s="16">
        <v>907</v>
      </c>
      <c r="C742" s="20" t="s">
        <v>491</v>
      </c>
      <c r="D742" s="20" t="s">
        <v>234</v>
      </c>
      <c r="E742" s="20" t="s">
        <v>341</v>
      </c>
      <c r="F742" s="20" t="s">
        <v>128</v>
      </c>
      <c r="G742" s="26">
        <f>G743</f>
        <v>3660.7</v>
      </c>
      <c r="H742" s="173"/>
      <c r="J742" s="741"/>
      <c r="K742" s="741"/>
    </row>
    <row r="743" spans="1:12" ht="31.5" x14ac:dyDescent="0.25">
      <c r="A743" s="25" t="s">
        <v>342</v>
      </c>
      <c r="B743" s="16">
        <v>907</v>
      </c>
      <c r="C743" s="20" t="s">
        <v>491</v>
      </c>
      <c r="D743" s="20" t="s">
        <v>234</v>
      </c>
      <c r="E743" s="20" t="s">
        <v>341</v>
      </c>
      <c r="F743" s="20" t="s">
        <v>209</v>
      </c>
      <c r="G743" s="27">
        <f>4240.2-579.5</f>
        <v>3660.7</v>
      </c>
      <c r="H743" s="105"/>
      <c r="I743" s="123"/>
      <c r="J743" s="741"/>
      <c r="K743" s="741"/>
    </row>
    <row r="744" spans="1:12" ht="31.5" x14ac:dyDescent="0.25">
      <c r="A744" s="25" t="s">
        <v>131</v>
      </c>
      <c r="B744" s="16">
        <v>907</v>
      </c>
      <c r="C744" s="20" t="s">
        <v>491</v>
      </c>
      <c r="D744" s="20" t="s">
        <v>234</v>
      </c>
      <c r="E744" s="20" t="s">
        <v>341</v>
      </c>
      <c r="F744" s="20" t="s">
        <v>132</v>
      </c>
      <c r="G744" s="26">
        <f>G745</f>
        <v>1194.1999999999998</v>
      </c>
      <c r="H744" s="173"/>
      <c r="J744" s="741"/>
      <c r="K744" s="741"/>
    </row>
    <row r="745" spans="1:12" ht="47.25" x14ac:dyDescent="0.25">
      <c r="A745" s="25" t="s">
        <v>133</v>
      </c>
      <c r="B745" s="16">
        <v>907</v>
      </c>
      <c r="C745" s="20" t="s">
        <v>491</v>
      </c>
      <c r="D745" s="20" t="s">
        <v>234</v>
      </c>
      <c r="E745" s="20" t="s">
        <v>341</v>
      </c>
      <c r="F745" s="20" t="s">
        <v>134</v>
      </c>
      <c r="G745" s="27">
        <f>1339.6-145.4</f>
        <v>1194.1999999999998</v>
      </c>
      <c r="H745" s="105"/>
      <c r="I745" s="123"/>
      <c r="J745" s="741"/>
      <c r="K745" s="741"/>
    </row>
    <row r="746" spans="1:12" ht="15.75" x14ac:dyDescent="0.25">
      <c r="A746" s="25" t="s">
        <v>135</v>
      </c>
      <c r="B746" s="16">
        <v>907</v>
      </c>
      <c r="C746" s="20" t="s">
        <v>491</v>
      </c>
      <c r="D746" s="20" t="s">
        <v>234</v>
      </c>
      <c r="E746" s="20" t="s">
        <v>341</v>
      </c>
      <c r="F746" s="20" t="s">
        <v>145</v>
      </c>
      <c r="G746" s="26">
        <f>G747</f>
        <v>27.1</v>
      </c>
      <c r="H746" s="173"/>
      <c r="J746" s="741"/>
      <c r="K746" s="741"/>
    </row>
    <row r="747" spans="1:12" ht="15.75" x14ac:dyDescent="0.25">
      <c r="A747" s="25" t="s">
        <v>568</v>
      </c>
      <c r="B747" s="16">
        <v>907</v>
      </c>
      <c r="C747" s="20" t="s">
        <v>491</v>
      </c>
      <c r="D747" s="20" t="s">
        <v>234</v>
      </c>
      <c r="E747" s="20" t="s">
        <v>341</v>
      </c>
      <c r="F747" s="20" t="s">
        <v>138</v>
      </c>
      <c r="G747" s="26">
        <f>27.1</f>
        <v>27.1</v>
      </c>
      <c r="H747" s="105"/>
      <c r="I747" s="123"/>
      <c r="J747" s="741"/>
      <c r="K747" s="741"/>
    </row>
    <row r="748" spans="1:12" ht="47.25" x14ac:dyDescent="0.25">
      <c r="A748" s="19" t="s">
        <v>504</v>
      </c>
      <c r="B748" s="19">
        <v>908</v>
      </c>
      <c r="C748" s="20"/>
      <c r="D748" s="20"/>
      <c r="E748" s="20"/>
      <c r="F748" s="20"/>
      <c r="G748" s="21">
        <f>G763+G770+G784+G918+G749</f>
        <v>143249.49000000002</v>
      </c>
      <c r="H748" s="173"/>
      <c r="L748" s="115"/>
    </row>
    <row r="749" spans="1:12" ht="15.75" x14ac:dyDescent="0.25">
      <c r="A749" s="34" t="s">
        <v>117</v>
      </c>
      <c r="B749" s="19">
        <v>908</v>
      </c>
      <c r="C749" s="24" t="s">
        <v>118</v>
      </c>
      <c r="D749" s="20"/>
      <c r="E749" s="20"/>
      <c r="F749" s="20"/>
      <c r="G749" s="21">
        <f>G750</f>
        <v>16714.8</v>
      </c>
      <c r="H749" s="173"/>
      <c r="L749" s="115"/>
    </row>
    <row r="750" spans="1:12" ht="15.75" x14ac:dyDescent="0.25">
      <c r="A750" s="34" t="s">
        <v>139</v>
      </c>
      <c r="B750" s="19">
        <v>908</v>
      </c>
      <c r="C750" s="24" t="s">
        <v>118</v>
      </c>
      <c r="D750" s="24" t="s">
        <v>140</v>
      </c>
      <c r="E750" s="20"/>
      <c r="F750" s="20"/>
      <c r="G750" s="21">
        <f>G752+G755</f>
        <v>16714.8</v>
      </c>
      <c r="H750" s="173"/>
      <c r="L750" s="115"/>
    </row>
    <row r="751" spans="1:12" ht="15.75" x14ac:dyDescent="0.25">
      <c r="A751" s="25" t="s">
        <v>141</v>
      </c>
      <c r="B751" s="16">
        <v>908</v>
      </c>
      <c r="C751" s="20" t="s">
        <v>118</v>
      </c>
      <c r="D751" s="20" t="s">
        <v>140</v>
      </c>
      <c r="E751" s="20" t="s">
        <v>142</v>
      </c>
      <c r="F751" s="20"/>
      <c r="G751" s="26">
        <f>G752</f>
        <v>262.5</v>
      </c>
      <c r="H751" s="173"/>
      <c r="L751" s="115"/>
    </row>
    <row r="752" spans="1:12" ht="15.75" x14ac:dyDescent="0.25">
      <c r="A752" s="25" t="s">
        <v>143</v>
      </c>
      <c r="B752" s="16">
        <v>908</v>
      </c>
      <c r="C752" s="20" t="s">
        <v>118</v>
      </c>
      <c r="D752" s="20" t="s">
        <v>140</v>
      </c>
      <c r="E752" s="20" t="s">
        <v>144</v>
      </c>
      <c r="F752" s="20"/>
      <c r="G752" s="26">
        <f>G753</f>
        <v>262.5</v>
      </c>
      <c r="H752" s="173"/>
      <c r="L752" s="115"/>
    </row>
    <row r="753" spans="1:12" ht="15.75" x14ac:dyDescent="0.25">
      <c r="A753" s="25" t="s">
        <v>135</v>
      </c>
      <c r="B753" s="16">
        <v>908</v>
      </c>
      <c r="C753" s="20" t="s">
        <v>118</v>
      </c>
      <c r="D753" s="20" t="s">
        <v>140</v>
      </c>
      <c r="E753" s="20" t="s">
        <v>144</v>
      </c>
      <c r="F753" s="20" t="s">
        <v>145</v>
      </c>
      <c r="G753" s="26">
        <f>G754</f>
        <v>262.5</v>
      </c>
      <c r="H753" s="173"/>
      <c r="L753" s="115"/>
    </row>
    <row r="754" spans="1:12" ht="15.75" x14ac:dyDescent="0.25">
      <c r="A754" s="25" t="s">
        <v>568</v>
      </c>
      <c r="B754" s="16">
        <v>908</v>
      </c>
      <c r="C754" s="20" t="s">
        <v>118</v>
      </c>
      <c r="D754" s="20" t="s">
        <v>140</v>
      </c>
      <c r="E754" s="20" t="s">
        <v>144</v>
      </c>
      <c r="F754" s="20" t="s">
        <v>138</v>
      </c>
      <c r="G754" s="26">
        <v>262.5</v>
      </c>
      <c r="H754" s="105"/>
      <c r="I754" s="123"/>
      <c r="L754" s="115"/>
    </row>
    <row r="755" spans="1:12" ht="31.5" x14ac:dyDescent="0.25">
      <c r="A755" s="25" t="s">
        <v>584</v>
      </c>
      <c r="B755" s="16">
        <v>908</v>
      </c>
      <c r="C755" s="20" t="s">
        <v>118</v>
      </c>
      <c r="D755" s="20" t="s">
        <v>140</v>
      </c>
      <c r="E755" s="20" t="s">
        <v>585</v>
      </c>
      <c r="F755" s="20"/>
      <c r="G755" s="27">
        <f>G756</f>
        <v>16452.3</v>
      </c>
      <c r="H755" s="173"/>
    </row>
    <row r="756" spans="1:12" ht="31.5" x14ac:dyDescent="0.25">
      <c r="A756" s="25" t="s">
        <v>310</v>
      </c>
      <c r="B756" s="16">
        <v>908</v>
      </c>
      <c r="C756" s="20" t="s">
        <v>118</v>
      </c>
      <c r="D756" s="20" t="s">
        <v>140</v>
      </c>
      <c r="E756" s="20" t="s">
        <v>586</v>
      </c>
      <c r="F756" s="20"/>
      <c r="G756" s="27">
        <f>G757+G759+G761</f>
        <v>16452.3</v>
      </c>
      <c r="H756" s="173"/>
    </row>
    <row r="757" spans="1:12" ht="94.5" x14ac:dyDescent="0.25">
      <c r="A757" s="25" t="s">
        <v>127</v>
      </c>
      <c r="B757" s="16">
        <v>908</v>
      </c>
      <c r="C757" s="20" t="s">
        <v>118</v>
      </c>
      <c r="D757" s="20" t="s">
        <v>140</v>
      </c>
      <c r="E757" s="20" t="s">
        <v>586</v>
      </c>
      <c r="F757" s="20" t="s">
        <v>128</v>
      </c>
      <c r="G757" s="27">
        <f>G758</f>
        <v>13760</v>
      </c>
      <c r="H757" s="173"/>
    </row>
    <row r="758" spans="1:12" ht="31.5" x14ac:dyDescent="0.25">
      <c r="A758" s="46" t="s">
        <v>342</v>
      </c>
      <c r="B758" s="16">
        <v>908</v>
      </c>
      <c r="C758" s="20" t="s">
        <v>118</v>
      </c>
      <c r="D758" s="20" t="s">
        <v>140</v>
      </c>
      <c r="E758" s="20" t="s">
        <v>586</v>
      </c>
      <c r="F758" s="20" t="s">
        <v>209</v>
      </c>
      <c r="G758" s="163">
        <f>13403.8+356.2</f>
        <v>13760</v>
      </c>
      <c r="H758" s="105" t="s">
        <v>742</v>
      </c>
      <c r="I758" s="123"/>
      <c r="L758" s="115"/>
    </row>
    <row r="759" spans="1:12" ht="31.5" x14ac:dyDescent="0.25">
      <c r="A759" s="25" t="s">
        <v>131</v>
      </c>
      <c r="B759" s="16">
        <v>908</v>
      </c>
      <c r="C759" s="20" t="s">
        <v>118</v>
      </c>
      <c r="D759" s="20" t="s">
        <v>140</v>
      </c>
      <c r="E759" s="20" t="s">
        <v>586</v>
      </c>
      <c r="F759" s="20" t="s">
        <v>132</v>
      </c>
      <c r="G759" s="27">
        <f>G760</f>
        <v>2678</v>
      </c>
      <c r="H759" s="173"/>
      <c r="L759" s="115"/>
    </row>
    <row r="760" spans="1:12" ht="47.25" x14ac:dyDescent="0.25">
      <c r="A760" s="25" t="s">
        <v>133</v>
      </c>
      <c r="B760" s="16">
        <v>908</v>
      </c>
      <c r="C760" s="20" t="s">
        <v>118</v>
      </c>
      <c r="D760" s="20" t="s">
        <v>140</v>
      </c>
      <c r="E760" s="20" t="s">
        <v>586</v>
      </c>
      <c r="F760" s="20" t="s">
        <v>134</v>
      </c>
      <c r="G760" s="163">
        <f>3034.2-356.2</f>
        <v>2678</v>
      </c>
      <c r="H760" s="105" t="s">
        <v>743</v>
      </c>
      <c r="I760" s="123"/>
      <c r="L760" s="115"/>
    </row>
    <row r="761" spans="1:12" ht="15.75" x14ac:dyDescent="0.25">
      <c r="A761" s="25" t="s">
        <v>135</v>
      </c>
      <c r="B761" s="16">
        <v>908</v>
      </c>
      <c r="C761" s="20" t="s">
        <v>118</v>
      </c>
      <c r="D761" s="20" t="s">
        <v>140</v>
      </c>
      <c r="E761" s="20" t="s">
        <v>586</v>
      </c>
      <c r="F761" s="20" t="s">
        <v>145</v>
      </c>
      <c r="G761" s="27">
        <f>G762</f>
        <v>14.3</v>
      </c>
      <c r="H761" s="173"/>
      <c r="L761" s="115"/>
    </row>
    <row r="762" spans="1:12" ht="15.75" x14ac:dyDescent="0.25">
      <c r="A762" s="25" t="s">
        <v>704</v>
      </c>
      <c r="B762" s="16">
        <v>908</v>
      </c>
      <c r="C762" s="20" t="s">
        <v>118</v>
      </c>
      <c r="D762" s="20" t="s">
        <v>140</v>
      </c>
      <c r="E762" s="20" t="s">
        <v>586</v>
      </c>
      <c r="F762" s="20" t="s">
        <v>138</v>
      </c>
      <c r="G762" s="27">
        <v>14.3</v>
      </c>
      <c r="H762" s="105"/>
      <c r="I762" s="123"/>
      <c r="L762" s="115"/>
    </row>
    <row r="763" spans="1:12" ht="31.5" x14ac:dyDescent="0.25">
      <c r="A763" s="23" t="s">
        <v>222</v>
      </c>
      <c r="B763" s="19">
        <v>908</v>
      </c>
      <c r="C763" s="24" t="s">
        <v>215</v>
      </c>
      <c r="D763" s="24"/>
      <c r="E763" s="24"/>
      <c r="F763" s="24"/>
      <c r="G763" s="21">
        <f t="shared" ref="G763:G768" si="4">G764</f>
        <v>50</v>
      </c>
      <c r="H763" s="173"/>
    </row>
    <row r="764" spans="1:12" ht="63" x14ac:dyDescent="0.25">
      <c r="A764" s="23" t="s">
        <v>223</v>
      </c>
      <c r="B764" s="19">
        <v>908</v>
      </c>
      <c r="C764" s="24" t="s">
        <v>215</v>
      </c>
      <c r="D764" s="24" t="s">
        <v>219</v>
      </c>
      <c r="E764" s="24"/>
      <c r="F764" s="24"/>
      <c r="G764" s="21">
        <f t="shared" si="4"/>
        <v>50</v>
      </c>
      <c r="H764" s="173"/>
    </row>
    <row r="765" spans="1:12" ht="21.75" customHeight="1" x14ac:dyDescent="0.25">
      <c r="A765" s="25" t="s">
        <v>121</v>
      </c>
      <c r="B765" s="16">
        <v>908</v>
      </c>
      <c r="C765" s="20" t="s">
        <v>215</v>
      </c>
      <c r="D765" s="20" t="s">
        <v>219</v>
      </c>
      <c r="E765" s="20" t="s">
        <v>122</v>
      </c>
      <c r="F765" s="20"/>
      <c r="G765" s="26">
        <f t="shared" si="4"/>
        <v>50</v>
      </c>
      <c r="H765" s="173"/>
    </row>
    <row r="766" spans="1:12" ht="15.75" x14ac:dyDescent="0.25">
      <c r="A766" s="25" t="s">
        <v>141</v>
      </c>
      <c r="B766" s="16">
        <v>908</v>
      </c>
      <c r="C766" s="20" t="s">
        <v>215</v>
      </c>
      <c r="D766" s="20" t="s">
        <v>219</v>
      </c>
      <c r="E766" s="20" t="s">
        <v>142</v>
      </c>
      <c r="F766" s="20"/>
      <c r="G766" s="26">
        <f t="shared" si="4"/>
        <v>50</v>
      </c>
      <c r="H766" s="173"/>
    </row>
    <row r="767" spans="1:12" ht="15.75" x14ac:dyDescent="0.25">
      <c r="A767" s="25" t="s">
        <v>230</v>
      </c>
      <c r="B767" s="16">
        <v>908</v>
      </c>
      <c r="C767" s="20" t="s">
        <v>215</v>
      </c>
      <c r="D767" s="20" t="s">
        <v>219</v>
      </c>
      <c r="E767" s="20" t="s">
        <v>231</v>
      </c>
      <c r="F767" s="20"/>
      <c r="G767" s="26">
        <f t="shared" si="4"/>
        <v>50</v>
      </c>
      <c r="H767" s="173"/>
    </row>
    <row r="768" spans="1:12" ht="31.5" x14ac:dyDescent="0.25">
      <c r="A768" s="25" t="s">
        <v>131</v>
      </c>
      <c r="B768" s="16">
        <v>908</v>
      </c>
      <c r="C768" s="20" t="s">
        <v>215</v>
      </c>
      <c r="D768" s="20" t="s">
        <v>219</v>
      </c>
      <c r="E768" s="20" t="s">
        <v>231</v>
      </c>
      <c r="F768" s="20" t="s">
        <v>132</v>
      </c>
      <c r="G768" s="26">
        <f t="shared" si="4"/>
        <v>50</v>
      </c>
      <c r="H768" s="173"/>
    </row>
    <row r="769" spans="1:9" ht="47.25" x14ac:dyDescent="0.25">
      <c r="A769" s="25" t="s">
        <v>133</v>
      </c>
      <c r="B769" s="16">
        <v>908</v>
      </c>
      <c r="C769" s="20" t="s">
        <v>215</v>
      </c>
      <c r="D769" s="20" t="s">
        <v>219</v>
      </c>
      <c r="E769" s="20" t="s">
        <v>231</v>
      </c>
      <c r="F769" s="20" t="s">
        <v>134</v>
      </c>
      <c r="G769" s="26">
        <v>50</v>
      </c>
      <c r="H769" s="173"/>
    </row>
    <row r="770" spans="1:9" ht="15.75" x14ac:dyDescent="0.25">
      <c r="A770" s="23" t="s">
        <v>232</v>
      </c>
      <c r="B770" s="19">
        <v>908</v>
      </c>
      <c r="C770" s="24" t="s">
        <v>150</v>
      </c>
      <c r="D770" s="24"/>
      <c r="E770" s="24"/>
      <c r="F770" s="24"/>
      <c r="G770" s="21">
        <f>G771+G777</f>
        <v>18331.8</v>
      </c>
      <c r="H770" s="173"/>
    </row>
    <row r="771" spans="1:9" ht="15.75" x14ac:dyDescent="0.25">
      <c r="A771" s="23" t="s">
        <v>505</v>
      </c>
      <c r="B771" s="19">
        <v>908</v>
      </c>
      <c r="C771" s="24" t="s">
        <v>150</v>
      </c>
      <c r="D771" s="24" t="s">
        <v>299</v>
      </c>
      <c r="E771" s="24"/>
      <c r="F771" s="24"/>
      <c r="G771" s="21">
        <f>G772</f>
        <v>3207.7</v>
      </c>
      <c r="H771" s="173"/>
    </row>
    <row r="772" spans="1:9" ht="15.75" x14ac:dyDescent="0.25">
      <c r="A772" s="25" t="s">
        <v>121</v>
      </c>
      <c r="B772" s="16">
        <v>908</v>
      </c>
      <c r="C772" s="20" t="s">
        <v>150</v>
      </c>
      <c r="D772" s="20" t="s">
        <v>299</v>
      </c>
      <c r="E772" s="20" t="s">
        <v>122</v>
      </c>
      <c r="F772" s="24"/>
      <c r="G772" s="26">
        <f>G773</f>
        <v>3207.7</v>
      </c>
      <c r="H772" s="173"/>
    </row>
    <row r="773" spans="1:9" ht="15.75" x14ac:dyDescent="0.25">
      <c r="A773" s="25" t="s">
        <v>141</v>
      </c>
      <c r="B773" s="16">
        <v>908</v>
      </c>
      <c r="C773" s="20" t="s">
        <v>150</v>
      </c>
      <c r="D773" s="20" t="s">
        <v>299</v>
      </c>
      <c r="E773" s="20" t="s">
        <v>142</v>
      </c>
      <c r="F773" s="24"/>
      <c r="G773" s="26">
        <f>G774</f>
        <v>3207.7</v>
      </c>
      <c r="H773" s="173"/>
    </row>
    <row r="774" spans="1:9" ht="39.200000000000003" customHeight="1" x14ac:dyDescent="0.25">
      <c r="A774" s="25" t="s">
        <v>506</v>
      </c>
      <c r="B774" s="16">
        <v>908</v>
      </c>
      <c r="C774" s="20" t="s">
        <v>150</v>
      </c>
      <c r="D774" s="20" t="s">
        <v>299</v>
      </c>
      <c r="E774" s="20" t="s">
        <v>507</v>
      </c>
      <c r="F774" s="20"/>
      <c r="G774" s="26">
        <f>G775</f>
        <v>3207.7</v>
      </c>
      <c r="H774" s="173"/>
    </row>
    <row r="775" spans="1:9" ht="31.5" x14ac:dyDescent="0.25">
      <c r="A775" s="25" t="s">
        <v>131</v>
      </c>
      <c r="B775" s="16">
        <v>908</v>
      </c>
      <c r="C775" s="20" t="s">
        <v>150</v>
      </c>
      <c r="D775" s="20" t="s">
        <v>299</v>
      </c>
      <c r="E775" s="20" t="s">
        <v>507</v>
      </c>
      <c r="F775" s="20" t="s">
        <v>132</v>
      </c>
      <c r="G775" s="26">
        <f>G776</f>
        <v>3207.7</v>
      </c>
      <c r="H775" s="173"/>
    </row>
    <row r="776" spans="1:9" ht="47.25" x14ac:dyDescent="0.25">
      <c r="A776" s="25" t="s">
        <v>133</v>
      </c>
      <c r="B776" s="16">
        <v>908</v>
      </c>
      <c r="C776" s="20" t="s">
        <v>150</v>
      </c>
      <c r="D776" s="20" t="s">
        <v>299</v>
      </c>
      <c r="E776" s="20" t="s">
        <v>507</v>
      </c>
      <c r="F776" s="20" t="s">
        <v>134</v>
      </c>
      <c r="G776" s="26">
        <v>3207.7</v>
      </c>
      <c r="H776" s="173"/>
    </row>
    <row r="777" spans="1:9" ht="15.75" x14ac:dyDescent="0.25">
      <c r="A777" s="23" t="s">
        <v>508</v>
      </c>
      <c r="B777" s="19">
        <v>908</v>
      </c>
      <c r="C777" s="24" t="s">
        <v>150</v>
      </c>
      <c r="D777" s="24" t="s">
        <v>219</v>
      </c>
      <c r="E777" s="20"/>
      <c r="F777" s="24"/>
      <c r="G777" s="21">
        <f>G778</f>
        <v>15124.1</v>
      </c>
      <c r="H777" s="173"/>
    </row>
    <row r="778" spans="1:9" ht="47.25" x14ac:dyDescent="0.25">
      <c r="A778" s="31" t="s">
        <v>509</v>
      </c>
      <c r="B778" s="16">
        <v>908</v>
      </c>
      <c r="C778" s="20" t="s">
        <v>150</v>
      </c>
      <c r="D778" s="20" t="s">
        <v>219</v>
      </c>
      <c r="E778" s="20" t="s">
        <v>510</v>
      </c>
      <c r="F778" s="20"/>
      <c r="G778" s="26">
        <f>G779</f>
        <v>15124.1</v>
      </c>
      <c r="H778" s="173"/>
    </row>
    <row r="779" spans="1:9" ht="15.75" x14ac:dyDescent="0.25">
      <c r="A779" s="29" t="s">
        <v>511</v>
      </c>
      <c r="B779" s="16">
        <v>908</v>
      </c>
      <c r="C779" s="20" t="s">
        <v>150</v>
      </c>
      <c r="D779" s="20" t="s">
        <v>219</v>
      </c>
      <c r="E779" s="40" t="s">
        <v>512</v>
      </c>
      <c r="F779" s="20"/>
      <c r="G779" s="26">
        <f>G780+G782</f>
        <v>15124.1</v>
      </c>
      <c r="H779" s="173"/>
    </row>
    <row r="780" spans="1:9" ht="31.5" x14ac:dyDescent="0.25">
      <c r="A780" s="25" t="s">
        <v>131</v>
      </c>
      <c r="B780" s="16">
        <v>908</v>
      </c>
      <c r="C780" s="20" t="s">
        <v>150</v>
      </c>
      <c r="D780" s="20" t="s">
        <v>219</v>
      </c>
      <c r="E780" s="40" t="s">
        <v>512</v>
      </c>
      <c r="F780" s="20" t="s">
        <v>132</v>
      </c>
      <c r="G780" s="26">
        <f>G781</f>
        <v>15108.1</v>
      </c>
      <c r="H780" s="173"/>
    </row>
    <row r="781" spans="1:9" ht="47.25" x14ac:dyDescent="0.25">
      <c r="A781" s="25" t="s">
        <v>133</v>
      </c>
      <c r="B781" s="16">
        <v>908</v>
      </c>
      <c r="C781" s="20" t="s">
        <v>150</v>
      </c>
      <c r="D781" s="20" t="s">
        <v>219</v>
      </c>
      <c r="E781" s="40" t="s">
        <v>512</v>
      </c>
      <c r="F781" s="20" t="s">
        <v>134</v>
      </c>
      <c r="G781" s="26">
        <f>15124.1-10-6</f>
        <v>15108.1</v>
      </c>
      <c r="H781" s="119" t="s">
        <v>762</v>
      </c>
    </row>
    <row r="782" spans="1:9" ht="15.75" x14ac:dyDescent="0.25">
      <c r="A782" s="25" t="s">
        <v>135</v>
      </c>
      <c r="B782" s="16">
        <v>908</v>
      </c>
      <c r="C782" s="20" t="s">
        <v>150</v>
      </c>
      <c r="D782" s="20" t="s">
        <v>219</v>
      </c>
      <c r="E782" s="40" t="s">
        <v>512</v>
      </c>
      <c r="F782" s="20" t="s">
        <v>145</v>
      </c>
      <c r="G782" s="26">
        <f>G783</f>
        <v>16</v>
      </c>
      <c r="H782" s="173"/>
    </row>
    <row r="783" spans="1:9" ht="15.75" x14ac:dyDescent="0.25">
      <c r="A783" s="25" t="s">
        <v>568</v>
      </c>
      <c r="B783" s="16">
        <v>908</v>
      </c>
      <c r="C783" s="20" t="s">
        <v>150</v>
      </c>
      <c r="D783" s="20" t="s">
        <v>219</v>
      </c>
      <c r="E783" s="40" t="s">
        <v>512</v>
      </c>
      <c r="F783" s="20" t="s">
        <v>138</v>
      </c>
      <c r="G783" s="26">
        <f>10+6</f>
        <v>16</v>
      </c>
      <c r="H783" s="154" t="s">
        <v>763</v>
      </c>
    </row>
    <row r="784" spans="1:9" ht="15.75" x14ac:dyDescent="0.25">
      <c r="A784" s="23" t="s">
        <v>390</v>
      </c>
      <c r="B784" s="19">
        <v>908</v>
      </c>
      <c r="C784" s="24" t="s">
        <v>234</v>
      </c>
      <c r="D784" s="24"/>
      <c r="E784" s="24"/>
      <c r="F784" s="24"/>
      <c r="G784" s="21">
        <f>G785+G800+G847+G899</f>
        <v>108065.79000000001</v>
      </c>
      <c r="H784" s="173"/>
      <c r="I784" s="113"/>
    </row>
    <row r="785" spans="1:12" ht="15.75" x14ac:dyDescent="0.25">
      <c r="A785" s="23" t="s">
        <v>391</v>
      </c>
      <c r="B785" s="19">
        <v>908</v>
      </c>
      <c r="C785" s="24" t="s">
        <v>234</v>
      </c>
      <c r="D785" s="24" t="s">
        <v>118</v>
      </c>
      <c r="E785" s="24"/>
      <c r="F785" s="24"/>
      <c r="G785" s="21">
        <f>G786</f>
        <v>7765.4000000000005</v>
      </c>
      <c r="H785" s="173"/>
    </row>
    <row r="786" spans="1:12" ht="15.75" x14ac:dyDescent="0.25">
      <c r="A786" s="25" t="s">
        <v>121</v>
      </c>
      <c r="B786" s="16">
        <v>908</v>
      </c>
      <c r="C786" s="20" t="s">
        <v>234</v>
      </c>
      <c r="D786" s="20" t="s">
        <v>118</v>
      </c>
      <c r="E786" s="20" t="s">
        <v>122</v>
      </c>
      <c r="F786" s="20"/>
      <c r="G786" s="26">
        <f>G791</f>
        <v>7765.4000000000005</v>
      </c>
      <c r="H786" s="173"/>
    </row>
    <row r="787" spans="1:12" ht="31.5" hidden="1" x14ac:dyDescent="0.25">
      <c r="A787" s="25" t="s">
        <v>185</v>
      </c>
      <c r="B787" s="16">
        <v>908</v>
      </c>
      <c r="C787" s="20" t="s">
        <v>234</v>
      </c>
      <c r="D787" s="20" t="s">
        <v>118</v>
      </c>
      <c r="E787" s="20" t="s">
        <v>186</v>
      </c>
      <c r="F787" s="20"/>
      <c r="G787" s="26">
        <f>G788</f>
        <v>0</v>
      </c>
      <c r="H787" s="173"/>
    </row>
    <row r="788" spans="1:12" ht="15.75" hidden="1" x14ac:dyDescent="0.25">
      <c r="A788" s="25" t="s">
        <v>513</v>
      </c>
      <c r="B788" s="16">
        <v>908</v>
      </c>
      <c r="C788" s="20" t="s">
        <v>234</v>
      </c>
      <c r="D788" s="20" t="s">
        <v>118</v>
      </c>
      <c r="E788" s="20" t="s">
        <v>514</v>
      </c>
      <c r="F788" s="20"/>
      <c r="G788" s="26">
        <f>G789</f>
        <v>0</v>
      </c>
      <c r="H788" s="173"/>
    </row>
    <row r="789" spans="1:12" ht="15.75" hidden="1" x14ac:dyDescent="0.25">
      <c r="A789" s="25" t="s">
        <v>135</v>
      </c>
      <c r="B789" s="16">
        <v>908</v>
      </c>
      <c r="C789" s="20" t="s">
        <v>234</v>
      </c>
      <c r="D789" s="20" t="s">
        <v>118</v>
      </c>
      <c r="E789" s="20" t="s">
        <v>514</v>
      </c>
      <c r="F789" s="20" t="s">
        <v>145</v>
      </c>
      <c r="G789" s="26">
        <f>G790</f>
        <v>0</v>
      </c>
      <c r="H789" s="173"/>
    </row>
    <row r="790" spans="1:12" ht="63" hidden="1" x14ac:dyDescent="0.25">
      <c r="A790" s="25" t="s">
        <v>184</v>
      </c>
      <c r="B790" s="16">
        <v>908</v>
      </c>
      <c r="C790" s="20" t="s">
        <v>234</v>
      </c>
      <c r="D790" s="20" t="s">
        <v>118</v>
      </c>
      <c r="E790" s="20" t="s">
        <v>514</v>
      </c>
      <c r="F790" s="20" t="s">
        <v>160</v>
      </c>
      <c r="G790" s="26">
        <v>0</v>
      </c>
      <c r="H790" s="173"/>
    </row>
    <row r="791" spans="1:12" ht="15.75" x14ac:dyDescent="0.25">
      <c r="A791" s="25" t="s">
        <v>141</v>
      </c>
      <c r="B791" s="16">
        <v>908</v>
      </c>
      <c r="C791" s="20" t="s">
        <v>234</v>
      </c>
      <c r="D791" s="20" t="s">
        <v>118</v>
      </c>
      <c r="E791" s="20" t="s">
        <v>142</v>
      </c>
      <c r="F791" s="24"/>
      <c r="G791" s="26">
        <f>G792+G797</f>
        <v>7765.4000000000005</v>
      </c>
      <c r="H791" s="173"/>
    </row>
    <row r="792" spans="1:12" ht="15.75" x14ac:dyDescent="0.25">
      <c r="A792" s="25" t="s">
        <v>515</v>
      </c>
      <c r="B792" s="16">
        <v>908</v>
      </c>
      <c r="C792" s="20" t="s">
        <v>234</v>
      </c>
      <c r="D792" s="20" t="s">
        <v>118</v>
      </c>
      <c r="E792" s="20" t="s">
        <v>516</v>
      </c>
      <c r="F792" s="24"/>
      <c r="G792" s="26">
        <f>G795+G793</f>
        <v>3531.3</v>
      </c>
      <c r="H792" s="173"/>
    </row>
    <row r="793" spans="1:12" ht="31.5" x14ac:dyDescent="0.25">
      <c r="A793" s="25" t="s">
        <v>131</v>
      </c>
      <c r="B793" s="16">
        <v>908</v>
      </c>
      <c r="C793" s="20" t="s">
        <v>234</v>
      </c>
      <c r="D793" s="20" t="s">
        <v>118</v>
      </c>
      <c r="E793" s="20" t="s">
        <v>516</v>
      </c>
      <c r="F793" s="20" t="s">
        <v>132</v>
      </c>
      <c r="G793" s="26">
        <f>G794</f>
        <v>1131.3</v>
      </c>
      <c r="H793" s="173"/>
    </row>
    <row r="794" spans="1:12" ht="47.25" x14ac:dyDescent="0.25">
      <c r="A794" s="25" t="s">
        <v>133</v>
      </c>
      <c r="B794" s="16">
        <v>908</v>
      </c>
      <c r="C794" s="20" t="s">
        <v>234</v>
      </c>
      <c r="D794" s="20" t="s">
        <v>118</v>
      </c>
      <c r="E794" s="20" t="s">
        <v>516</v>
      </c>
      <c r="F794" s="20" t="s">
        <v>134</v>
      </c>
      <c r="G794" s="26">
        <v>1131.3</v>
      </c>
      <c r="H794" s="105"/>
      <c r="I794" s="124"/>
    </row>
    <row r="795" spans="1:12" ht="15.75" x14ac:dyDescent="0.25">
      <c r="A795" s="25" t="s">
        <v>135</v>
      </c>
      <c r="B795" s="16">
        <v>908</v>
      </c>
      <c r="C795" s="20" t="s">
        <v>234</v>
      </c>
      <c r="D795" s="20" t="s">
        <v>118</v>
      </c>
      <c r="E795" s="20" t="s">
        <v>516</v>
      </c>
      <c r="F795" s="20" t="s">
        <v>145</v>
      </c>
      <c r="G795" s="26">
        <f>G796</f>
        <v>2400</v>
      </c>
      <c r="H795" s="173"/>
    </row>
    <row r="796" spans="1:12" ht="63" x14ac:dyDescent="0.25">
      <c r="A796" s="25" t="s">
        <v>184</v>
      </c>
      <c r="B796" s="16">
        <v>908</v>
      </c>
      <c r="C796" s="20" t="s">
        <v>234</v>
      </c>
      <c r="D796" s="20" t="s">
        <v>118</v>
      </c>
      <c r="E796" s="20" t="s">
        <v>516</v>
      </c>
      <c r="F796" s="20" t="s">
        <v>160</v>
      </c>
      <c r="G796" s="26">
        <f>1500+900</f>
        <v>2400</v>
      </c>
      <c r="H796" s="173"/>
      <c r="I796" s="114"/>
    </row>
    <row r="797" spans="1:12" ht="31.5" x14ac:dyDescent="0.25">
      <c r="A797" s="29" t="s">
        <v>398</v>
      </c>
      <c r="B797" s="16">
        <v>908</v>
      </c>
      <c r="C797" s="20" t="s">
        <v>234</v>
      </c>
      <c r="D797" s="20" t="s">
        <v>118</v>
      </c>
      <c r="E797" s="20" t="s">
        <v>399</v>
      </c>
      <c r="F797" s="24"/>
      <c r="G797" s="26">
        <f>G798</f>
        <v>4234.1000000000004</v>
      </c>
      <c r="H797" s="173"/>
    </row>
    <row r="798" spans="1:12" ht="31.5" x14ac:dyDescent="0.25">
      <c r="A798" s="25" t="s">
        <v>131</v>
      </c>
      <c r="B798" s="16">
        <v>908</v>
      </c>
      <c r="C798" s="20" t="s">
        <v>234</v>
      </c>
      <c r="D798" s="20" t="s">
        <v>118</v>
      </c>
      <c r="E798" s="20" t="s">
        <v>399</v>
      </c>
      <c r="F798" s="20" t="s">
        <v>132</v>
      </c>
      <c r="G798" s="26">
        <f>G799</f>
        <v>4234.1000000000004</v>
      </c>
      <c r="H798" s="173"/>
    </row>
    <row r="799" spans="1:12" ht="47.25" x14ac:dyDescent="0.25">
      <c r="A799" s="25" t="s">
        <v>133</v>
      </c>
      <c r="B799" s="16">
        <v>908</v>
      </c>
      <c r="C799" s="20" t="s">
        <v>234</v>
      </c>
      <c r="D799" s="20" t="s">
        <v>118</v>
      </c>
      <c r="E799" s="20" t="s">
        <v>399</v>
      </c>
      <c r="F799" s="20" t="s">
        <v>134</v>
      </c>
      <c r="G799" s="27">
        <f>3811.8+422.3</f>
        <v>4234.1000000000004</v>
      </c>
      <c r="H799" s="173"/>
    </row>
    <row r="800" spans="1:12" ht="15.75" x14ac:dyDescent="0.25">
      <c r="A800" s="23" t="s">
        <v>517</v>
      </c>
      <c r="B800" s="19">
        <v>908</v>
      </c>
      <c r="C800" s="24" t="s">
        <v>234</v>
      </c>
      <c r="D800" s="24" t="s">
        <v>213</v>
      </c>
      <c r="E800" s="24"/>
      <c r="F800" s="24"/>
      <c r="G800" s="21">
        <f>G801+G826</f>
        <v>53711.1</v>
      </c>
      <c r="H800" s="173"/>
      <c r="I800" s="114"/>
      <c r="L800" s="115"/>
    </row>
    <row r="801" spans="1:10" ht="82.5" customHeight="1" x14ac:dyDescent="0.25">
      <c r="A801" s="25" t="s">
        <v>594</v>
      </c>
      <c r="B801" s="16">
        <v>908</v>
      </c>
      <c r="C801" s="20" t="s">
        <v>234</v>
      </c>
      <c r="D801" s="20" t="s">
        <v>213</v>
      </c>
      <c r="E801" s="20" t="s">
        <v>518</v>
      </c>
      <c r="F801" s="24"/>
      <c r="G801" s="26">
        <f>G805+G808+G811+G814+G817+G823</f>
        <v>5567.9000000000005</v>
      </c>
      <c r="H801" s="175"/>
      <c r="I801" s="114"/>
    </row>
    <row r="802" spans="1:10" ht="47.25" hidden="1" x14ac:dyDescent="0.25">
      <c r="A802" s="35" t="s">
        <v>519</v>
      </c>
      <c r="B802" s="16">
        <v>908</v>
      </c>
      <c r="C802" s="20" t="s">
        <v>234</v>
      </c>
      <c r="D802" s="20" t="s">
        <v>213</v>
      </c>
      <c r="E802" s="20" t="s">
        <v>520</v>
      </c>
      <c r="F802" s="20"/>
      <c r="G802" s="26">
        <f>G803</f>
        <v>0</v>
      </c>
      <c r="H802" s="173"/>
    </row>
    <row r="803" spans="1:10" ht="31.5" hidden="1" x14ac:dyDescent="0.25">
      <c r="A803" s="25" t="s">
        <v>131</v>
      </c>
      <c r="B803" s="16">
        <v>908</v>
      </c>
      <c r="C803" s="20" t="s">
        <v>234</v>
      </c>
      <c r="D803" s="20" t="s">
        <v>213</v>
      </c>
      <c r="E803" s="20" t="s">
        <v>520</v>
      </c>
      <c r="F803" s="20" t="s">
        <v>132</v>
      </c>
      <c r="G803" s="26">
        <f>G804</f>
        <v>0</v>
      </c>
      <c r="H803" s="173"/>
    </row>
    <row r="804" spans="1:10" ht="47.25" hidden="1" x14ac:dyDescent="0.25">
      <c r="A804" s="25" t="s">
        <v>133</v>
      </c>
      <c r="B804" s="16">
        <v>908</v>
      </c>
      <c r="C804" s="20" t="s">
        <v>234</v>
      </c>
      <c r="D804" s="20" t="s">
        <v>213</v>
      </c>
      <c r="E804" s="20" t="s">
        <v>520</v>
      </c>
      <c r="F804" s="20" t="s">
        <v>134</v>
      </c>
      <c r="G804" s="26">
        <v>0</v>
      </c>
      <c r="H804" s="173"/>
    </row>
    <row r="805" spans="1:10" ht="15.75" x14ac:dyDescent="0.25">
      <c r="A805" s="45" t="s">
        <v>521</v>
      </c>
      <c r="B805" s="16">
        <v>908</v>
      </c>
      <c r="C805" s="40" t="s">
        <v>234</v>
      </c>
      <c r="D805" s="40" t="s">
        <v>213</v>
      </c>
      <c r="E805" s="20" t="s">
        <v>522</v>
      </c>
      <c r="F805" s="40"/>
      <c r="G805" s="26">
        <f>G806</f>
        <v>450</v>
      </c>
      <c r="H805" s="173"/>
    </row>
    <row r="806" spans="1:10" ht="31.5" x14ac:dyDescent="0.25">
      <c r="A806" s="31" t="s">
        <v>131</v>
      </c>
      <c r="B806" s="16">
        <v>908</v>
      </c>
      <c r="C806" s="40" t="s">
        <v>234</v>
      </c>
      <c r="D806" s="40" t="s">
        <v>213</v>
      </c>
      <c r="E806" s="20" t="s">
        <v>522</v>
      </c>
      <c r="F806" s="40" t="s">
        <v>132</v>
      </c>
      <c r="G806" s="26">
        <f>G807</f>
        <v>450</v>
      </c>
      <c r="H806" s="173"/>
    </row>
    <row r="807" spans="1:10" ht="47.25" x14ac:dyDescent="0.25">
      <c r="A807" s="31" t="s">
        <v>133</v>
      </c>
      <c r="B807" s="16">
        <v>908</v>
      </c>
      <c r="C807" s="40" t="s">
        <v>234</v>
      </c>
      <c r="D807" s="40" t="s">
        <v>213</v>
      </c>
      <c r="E807" s="20" t="s">
        <v>522</v>
      </c>
      <c r="F807" s="40" t="s">
        <v>134</v>
      </c>
      <c r="G807" s="26">
        <v>450</v>
      </c>
      <c r="H807" s="173"/>
    </row>
    <row r="808" spans="1:10" ht="15.75" x14ac:dyDescent="0.25">
      <c r="A808" s="45" t="s">
        <v>523</v>
      </c>
      <c r="B808" s="16">
        <v>908</v>
      </c>
      <c r="C808" s="40" t="s">
        <v>234</v>
      </c>
      <c r="D808" s="40" t="s">
        <v>213</v>
      </c>
      <c r="E808" s="20" t="s">
        <v>524</v>
      </c>
      <c r="F808" s="40"/>
      <c r="G808" s="26">
        <f>G809</f>
        <v>3107</v>
      </c>
      <c r="H808" s="173"/>
    </row>
    <row r="809" spans="1:10" ht="31.5" x14ac:dyDescent="0.25">
      <c r="A809" s="31" t="s">
        <v>131</v>
      </c>
      <c r="B809" s="16">
        <v>908</v>
      </c>
      <c r="C809" s="40" t="s">
        <v>234</v>
      </c>
      <c r="D809" s="40" t="s">
        <v>213</v>
      </c>
      <c r="E809" s="20" t="s">
        <v>524</v>
      </c>
      <c r="F809" s="40" t="s">
        <v>132</v>
      </c>
      <c r="G809" s="26">
        <f>G810</f>
        <v>3107</v>
      </c>
      <c r="H809" s="173"/>
    </row>
    <row r="810" spans="1:10" ht="47.25" x14ac:dyDescent="0.25">
      <c r="A810" s="31" t="s">
        <v>133</v>
      </c>
      <c r="B810" s="16">
        <v>908</v>
      </c>
      <c r="C810" s="40" t="s">
        <v>234</v>
      </c>
      <c r="D810" s="40" t="s">
        <v>213</v>
      </c>
      <c r="E810" s="20" t="s">
        <v>524</v>
      </c>
      <c r="F810" s="40" t="s">
        <v>134</v>
      </c>
      <c r="G810" s="164">
        <f>110+20+2977</f>
        <v>3107</v>
      </c>
      <c r="H810" s="158" t="s">
        <v>744</v>
      </c>
    </row>
    <row r="811" spans="1:10" ht="15.75" x14ac:dyDescent="0.25">
      <c r="A811" s="45" t="s">
        <v>525</v>
      </c>
      <c r="B811" s="16">
        <v>908</v>
      </c>
      <c r="C811" s="40" t="s">
        <v>234</v>
      </c>
      <c r="D811" s="40" t="s">
        <v>213</v>
      </c>
      <c r="E811" s="20" t="s">
        <v>526</v>
      </c>
      <c r="F811" s="40"/>
      <c r="G811" s="26">
        <f>G812</f>
        <v>1374.6</v>
      </c>
      <c r="H811" s="173"/>
    </row>
    <row r="812" spans="1:10" ht="31.5" x14ac:dyDescent="0.25">
      <c r="A812" s="31" t="s">
        <v>131</v>
      </c>
      <c r="B812" s="16">
        <v>908</v>
      </c>
      <c r="C812" s="40" t="s">
        <v>234</v>
      </c>
      <c r="D812" s="40" t="s">
        <v>213</v>
      </c>
      <c r="E812" s="20" t="s">
        <v>526</v>
      </c>
      <c r="F812" s="40" t="s">
        <v>132</v>
      </c>
      <c r="G812" s="26">
        <f>G813</f>
        <v>1374.6</v>
      </c>
      <c r="H812" s="173"/>
    </row>
    <row r="813" spans="1:10" ht="47.25" x14ac:dyDescent="0.25">
      <c r="A813" s="31" t="s">
        <v>133</v>
      </c>
      <c r="B813" s="16">
        <v>908</v>
      </c>
      <c r="C813" s="40" t="s">
        <v>234</v>
      </c>
      <c r="D813" s="40" t="s">
        <v>213</v>
      </c>
      <c r="E813" s="20" t="s">
        <v>526</v>
      </c>
      <c r="F813" s="40" t="s">
        <v>134</v>
      </c>
      <c r="G813" s="164">
        <f>10+30+3534.6-2200</f>
        <v>1374.6</v>
      </c>
      <c r="H813" s="112" t="s">
        <v>750</v>
      </c>
      <c r="J813" s="165" t="s">
        <v>751</v>
      </c>
    </row>
    <row r="814" spans="1:10" ht="15.75" x14ac:dyDescent="0.25">
      <c r="A814" s="45" t="s">
        <v>527</v>
      </c>
      <c r="B814" s="16">
        <v>908</v>
      </c>
      <c r="C814" s="40" t="s">
        <v>234</v>
      </c>
      <c r="D814" s="40" t="s">
        <v>213</v>
      </c>
      <c r="E814" s="20" t="s">
        <v>528</v>
      </c>
      <c r="F814" s="40"/>
      <c r="G814" s="26">
        <f>G815</f>
        <v>159.10000000000002</v>
      </c>
      <c r="H814" s="173"/>
    </row>
    <row r="815" spans="1:10" ht="31.5" x14ac:dyDescent="0.25">
      <c r="A815" s="31" t="s">
        <v>131</v>
      </c>
      <c r="B815" s="16">
        <v>908</v>
      </c>
      <c r="C815" s="40" t="s">
        <v>234</v>
      </c>
      <c r="D815" s="40" t="s">
        <v>213</v>
      </c>
      <c r="E815" s="20" t="s">
        <v>528</v>
      </c>
      <c r="F815" s="40" t="s">
        <v>132</v>
      </c>
      <c r="G815" s="26">
        <f>G816</f>
        <v>159.10000000000002</v>
      </c>
      <c r="H815" s="173"/>
    </row>
    <row r="816" spans="1:10" ht="47.25" x14ac:dyDescent="0.25">
      <c r="A816" s="31" t="s">
        <v>133</v>
      </c>
      <c r="B816" s="16">
        <v>908</v>
      </c>
      <c r="C816" s="40" t="s">
        <v>234</v>
      </c>
      <c r="D816" s="40" t="s">
        <v>213</v>
      </c>
      <c r="E816" s="20" t="s">
        <v>528</v>
      </c>
      <c r="F816" s="40" t="s">
        <v>134</v>
      </c>
      <c r="G816" s="164">
        <f>250+5+681.1-522-255</f>
        <v>159.10000000000002</v>
      </c>
      <c r="H816" s="112" t="s">
        <v>745</v>
      </c>
    </row>
    <row r="817" spans="1:10" ht="15.75" x14ac:dyDescent="0.25">
      <c r="A817" s="45" t="s">
        <v>529</v>
      </c>
      <c r="B817" s="16">
        <v>908</v>
      </c>
      <c r="C817" s="40" t="s">
        <v>234</v>
      </c>
      <c r="D817" s="40" t="s">
        <v>213</v>
      </c>
      <c r="E817" s="20" t="s">
        <v>530</v>
      </c>
      <c r="F817" s="40"/>
      <c r="G817" s="26">
        <f>G818</f>
        <v>288.2</v>
      </c>
      <c r="H817" s="173"/>
    </row>
    <row r="818" spans="1:10" ht="31.5" x14ac:dyDescent="0.25">
      <c r="A818" s="31" t="s">
        <v>131</v>
      </c>
      <c r="B818" s="16">
        <v>908</v>
      </c>
      <c r="C818" s="40" t="s">
        <v>234</v>
      </c>
      <c r="D818" s="40" t="s">
        <v>213</v>
      </c>
      <c r="E818" s="20" t="s">
        <v>530</v>
      </c>
      <c r="F818" s="40" t="s">
        <v>132</v>
      </c>
      <c r="G818" s="26">
        <f>G819</f>
        <v>288.2</v>
      </c>
      <c r="H818" s="173"/>
    </row>
    <row r="819" spans="1:10" ht="47.25" x14ac:dyDescent="0.25">
      <c r="A819" s="31" t="s">
        <v>133</v>
      </c>
      <c r="B819" s="16">
        <v>908</v>
      </c>
      <c r="C819" s="40" t="s">
        <v>234</v>
      </c>
      <c r="D819" s="40" t="s">
        <v>213</v>
      </c>
      <c r="E819" s="20" t="s">
        <v>530</v>
      </c>
      <c r="F819" s="40" t="s">
        <v>134</v>
      </c>
      <c r="G819" s="26">
        <f>2+286.2</f>
        <v>288.2</v>
      </c>
      <c r="H819" s="112"/>
      <c r="J819" s="166" t="s">
        <v>752</v>
      </c>
    </row>
    <row r="820" spans="1:10" ht="31.5" hidden="1" x14ac:dyDescent="0.25">
      <c r="A820" s="174" t="s">
        <v>531</v>
      </c>
      <c r="B820" s="16">
        <v>908</v>
      </c>
      <c r="C820" s="40" t="s">
        <v>234</v>
      </c>
      <c r="D820" s="40" t="s">
        <v>213</v>
      </c>
      <c r="E820" s="20" t="s">
        <v>532</v>
      </c>
      <c r="F820" s="40"/>
      <c r="G820" s="26">
        <f>G821</f>
        <v>0</v>
      </c>
      <c r="H820" s="173"/>
    </row>
    <row r="821" spans="1:10" ht="31.5" hidden="1" x14ac:dyDescent="0.25">
      <c r="A821" s="31" t="s">
        <v>131</v>
      </c>
      <c r="B821" s="16">
        <v>908</v>
      </c>
      <c r="C821" s="40" t="s">
        <v>234</v>
      </c>
      <c r="D821" s="40" t="s">
        <v>213</v>
      </c>
      <c r="E821" s="20" t="s">
        <v>532</v>
      </c>
      <c r="F821" s="40" t="s">
        <v>132</v>
      </c>
      <c r="G821" s="26">
        <f>G822</f>
        <v>0</v>
      </c>
      <c r="H821" s="173"/>
    </row>
    <row r="822" spans="1:10" ht="47.25" hidden="1" x14ac:dyDescent="0.25">
      <c r="A822" s="31" t="s">
        <v>133</v>
      </c>
      <c r="B822" s="16">
        <v>908</v>
      </c>
      <c r="C822" s="40" t="s">
        <v>234</v>
      </c>
      <c r="D822" s="40" t="s">
        <v>213</v>
      </c>
      <c r="E822" s="20" t="s">
        <v>532</v>
      </c>
      <c r="F822" s="40" t="s">
        <v>134</v>
      </c>
      <c r="G822" s="26">
        <v>0</v>
      </c>
      <c r="H822" s="173"/>
    </row>
    <row r="823" spans="1:10" ht="15.75" x14ac:dyDescent="0.25">
      <c r="A823" s="174" t="s">
        <v>533</v>
      </c>
      <c r="B823" s="16">
        <v>908</v>
      </c>
      <c r="C823" s="40" t="s">
        <v>234</v>
      </c>
      <c r="D823" s="40" t="s">
        <v>213</v>
      </c>
      <c r="E823" s="20" t="s">
        <v>534</v>
      </c>
      <c r="F823" s="40"/>
      <c r="G823" s="26">
        <f>G824</f>
        <v>189</v>
      </c>
      <c r="H823" s="173"/>
    </row>
    <row r="824" spans="1:10" ht="31.5" x14ac:dyDescent="0.25">
      <c r="A824" s="25" t="s">
        <v>131</v>
      </c>
      <c r="B824" s="16">
        <v>908</v>
      </c>
      <c r="C824" s="40" t="s">
        <v>234</v>
      </c>
      <c r="D824" s="40" t="s">
        <v>213</v>
      </c>
      <c r="E824" s="20" t="s">
        <v>534</v>
      </c>
      <c r="F824" s="40" t="s">
        <v>132</v>
      </c>
      <c r="G824" s="26">
        <f>G825</f>
        <v>189</v>
      </c>
      <c r="H824" s="173"/>
    </row>
    <row r="825" spans="1:10" ht="47.25" x14ac:dyDescent="0.25">
      <c r="A825" s="25" t="s">
        <v>133</v>
      </c>
      <c r="B825" s="16">
        <v>908</v>
      </c>
      <c r="C825" s="40" t="s">
        <v>234</v>
      </c>
      <c r="D825" s="40" t="s">
        <v>213</v>
      </c>
      <c r="E825" s="20" t="s">
        <v>534</v>
      </c>
      <c r="F825" s="40" t="s">
        <v>134</v>
      </c>
      <c r="G825" s="26">
        <f>15+174</f>
        <v>189</v>
      </c>
      <c r="H825" s="112"/>
      <c r="J825" s="166" t="s">
        <v>753</v>
      </c>
    </row>
    <row r="826" spans="1:10" ht="15.75" x14ac:dyDescent="0.25">
      <c r="A826" s="25" t="s">
        <v>121</v>
      </c>
      <c r="B826" s="16">
        <v>908</v>
      </c>
      <c r="C826" s="20" t="s">
        <v>234</v>
      </c>
      <c r="D826" s="20" t="s">
        <v>213</v>
      </c>
      <c r="E826" s="20" t="s">
        <v>122</v>
      </c>
      <c r="F826" s="20"/>
      <c r="G826" s="26">
        <f>G827+G837</f>
        <v>48143.199999999997</v>
      </c>
      <c r="H826" s="173"/>
    </row>
    <row r="827" spans="1:10" ht="31.5" x14ac:dyDescent="0.25">
      <c r="A827" s="25" t="s">
        <v>185</v>
      </c>
      <c r="B827" s="16">
        <v>908</v>
      </c>
      <c r="C827" s="20" t="s">
        <v>234</v>
      </c>
      <c r="D827" s="20" t="s">
        <v>213</v>
      </c>
      <c r="E827" s="20" t="s">
        <v>186</v>
      </c>
      <c r="F827" s="20"/>
      <c r="G827" s="26">
        <f>G828+G831+G834</f>
        <v>25111.200000000001</v>
      </c>
      <c r="H827" s="173"/>
    </row>
    <row r="828" spans="1:10" ht="47.25" x14ac:dyDescent="0.25">
      <c r="A828" s="99" t="s">
        <v>681</v>
      </c>
      <c r="B828" s="16">
        <v>908</v>
      </c>
      <c r="C828" s="20" t="s">
        <v>234</v>
      </c>
      <c r="D828" s="20" t="s">
        <v>213</v>
      </c>
      <c r="E828" s="20" t="s">
        <v>535</v>
      </c>
      <c r="F828" s="20"/>
      <c r="G828" s="26">
        <f>G829</f>
        <v>5000</v>
      </c>
      <c r="H828" s="173"/>
    </row>
    <row r="829" spans="1:10" ht="31.5" x14ac:dyDescent="0.25">
      <c r="A829" s="25" t="s">
        <v>131</v>
      </c>
      <c r="B829" s="16">
        <v>908</v>
      </c>
      <c r="C829" s="20" t="s">
        <v>234</v>
      </c>
      <c r="D829" s="20" t="s">
        <v>213</v>
      </c>
      <c r="E829" s="20" t="s">
        <v>535</v>
      </c>
      <c r="F829" s="20" t="s">
        <v>132</v>
      </c>
      <c r="G829" s="26">
        <f>G830</f>
        <v>5000</v>
      </c>
      <c r="H829" s="173"/>
    </row>
    <row r="830" spans="1:10" ht="47.25" x14ac:dyDescent="0.25">
      <c r="A830" s="25" t="s">
        <v>133</v>
      </c>
      <c r="B830" s="16">
        <v>908</v>
      </c>
      <c r="C830" s="20" t="s">
        <v>234</v>
      </c>
      <c r="D830" s="20" t="s">
        <v>213</v>
      </c>
      <c r="E830" s="20" t="s">
        <v>535</v>
      </c>
      <c r="F830" s="20" t="s">
        <v>134</v>
      </c>
      <c r="G830" s="26">
        <f>5000</f>
        <v>5000</v>
      </c>
      <c r="H830" s="173"/>
      <c r="I830" s="114"/>
    </row>
    <row r="831" spans="1:10" ht="31.5" x14ac:dyDescent="0.25">
      <c r="A831" s="35" t="s">
        <v>687</v>
      </c>
      <c r="B831" s="16">
        <v>908</v>
      </c>
      <c r="C831" s="20" t="s">
        <v>234</v>
      </c>
      <c r="D831" s="20" t="s">
        <v>213</v>
      </c>
      <c r="E831" s="20" t="s">
        <v>536</v>
      </c>
      <c r="F831" s="20"/>
      <c r="G831" s="26">
        <f>G832</f>
        <v>20000</v>
      </c>
      <c r="H831" s="173"/>
    </row>
    <row r="832" spans="1:10" ht="31.5" x14ac:dyDescent="0.25">
      <c r="A832" s="25" t="s">
        <v>131</v>
      </c>
      <c r="B832" s="16">
        <v>908</v>
      </c>
      <c r="C832" s="20" t="s">
        <v>234</v>
      </c>
      <c r="D832" s="20" t="s">
        <v>213</v>
      </c>
      <c r="E832" s="20" t="s">
        <v>536</v>
      </c>
      <c r="F832" s="20" t="s">
        <v>132</v>
      </c>
      <c r="G832" s="26">
        <f>G833</f>
        <v>20000</v>
      </c>
      <c r="H832" s="173"/>
    </row>
    <row r="833" spans="1:10" ht="47.25" x14ac:dyDescent="0.25">
      <c r="A833" s="25" t="s">
        <v>133</v>
      </c>
      <c r="B833" s="16">
        <v>908</v>
      </c>
      <c r="C833" s="20" t="s">
        <v>234</v>
      </c>
      <c r="D833" s="20" t="s">
        <v>213</v>
      </c>
      <c r="E833" s="20" t="s">
        <v>536</v>
      </c>
      <c r="F833" s="20" t="s">
        <v>134</v>
      </c>
      <c r="G833" s="26">
        <v>20000</v>
      </c>
      <c r="H833" s="105"/>
    </row>
    <row r="834" spans="1:10" ht="47.25" x14ac:dyDescent="0.25">
      <c r="A834" s="25" t="s">
        <v>688</v>
      </c>
      <c r="B834" s="16">
        <v>908</v>
      </c>
      <c r="C834" s="20" t="s">
        <v>234</v>
      </c>
      <c r="D834" s="20" t="s">
        <v>213</v>
      </c>
      <c r="E834" s="20" t="s">
        <v>689</v>
      </c>
      <c r="F834" s="20"/>
      <c r="G834" s="26">
        <f>G835</f>
        <v>111.2</v>
      </c>
      <c r="H834" s="107"/>
    </row>
    <row r="835" spans="1:10" ht="31.5" x14ac:dyDescent="0.25">
      <c r="A835" s="25" t="s">
        <v>131</v>
      </c>
      <c r="B835" s="16">
        <v>908</v>
      </c>
      <c r="C835" s="20" t="s">
        <v>234</v>
      </c>
      <c r="D835" s="20" t="s">
        <v>213</v>
      </c>
      <c r="E835" s="20" t="s">
        <v>689</v>
      </c>
      <c r="F835" s="20" t="s">
        <v>132</v>
      </c>
      <c r="G835" s="26">
        <f>G836</f>
        <v>111.2</v>
      </c>
      <c r="H835" s="107"/>
    </row>
    <row r="836" spans="1:10" ht="47.25" x14ac:dyDescent="0.25">
      <c r="A836" s="25" t="s">
        <v>133</v>
      </c>
      <c r="B836" s="16">
        <v>908</v>
      </c>
      <c r="C836" s="20" t="s">
        <v>234</v>
      </c>
      <c r="D836" s="20" t="s">
        <v>213</v>
      </c>
      <c r="E836" s="20" t="s">
        <v>689</v>
      </c>
      <c r="F836" s="20" t="s">
        <v>134</v>
      </c>
      <c r="G836" s="26">
        <v>111.2</v>
      </c>
      <c r="H836" s="107"/>
    </row>
    <row r="837" spans="1:10" ht="15.75" x14ac:dyDescent="0.25">
      <c r="A837" s="25" t="s">
        <v>141</v>
      </c>
      <c r="B837" s="16">
        <v>908</v>
      </c>
      <c r="C837" s="20" t="s">
        <v>234</v>
      </c>
      <c r="D837" s="20" t="s">
        <v>213</v>
      </c>
      <c r="E837" s="20" t="s">
        <v>142</v>
      </c>
      <c r="F837" s="20"/>
      <c r="G837" s="26">
        <f>G838+G844</f>
        <v>23031.999999999996</v>
      </c>
      <c r="H837" s="173"/>
    </row>
    <row r="838" spans="1:10" ht="31.5" x14ac:dyDescent="0.25">
      <c r="A838" s="35" t="s">
        <v>537</v>
      </c>
      <c r="B838" s="16">
        <v>908</v>
      </c>
      <c r="C838" s="20" t="s">
        <v>234</v>
      </c>
      <c r="D838" s="20" t="s">
        <v>213</v>
      </c>
      <c r="E838" s="20" t="s">
        <v>538</v>
      </c>
      <c r="F838" s="20"/>
      <c r="G838" s="26">
        <f>G839+G841</f>
        <v>20353.699999999997</v>
      </c>
      <c r="H838" s="173"/>
    </row>
    <row r="839" spans="1:10" ht="31.5" x14ac:dyDescent="0.25">
      <c r="A839" s="25" t="s">
        <v>131</v>
      </c>
      <c r="B839" s="16">
        <v>908</v>
      </c>
      <c r="C839" s="20" t="s">
        <v>234</v>
      </c>
      <c r="D839" s="20" t="s">
        <v>213</v>
      </c>
      <c r="E839" s="20" t="s">
        <v>538</v>
      </c>
      <c r="F839" s="20" t="s">
        <v>132</v>
      </c>
      <c r="G839" s="26">
        <f>G840</f>
        <v>20322.099999999999</v>
      </c>
      <c r="H839" s="173"/>
    </row>
    <row r="840" spans="1:10" ht="47.25" x14ac:dyDescent="0.25">
      <c r="A840" s="25" t="s">
        <v>133</v>
      </c>
      <c r="B840" s="16">
        <v>908</v>
      </c>
      <c r="C840" s="20" t="s">
        <v>234</v>
      </c>
      <c r="D840" s="20" t="s">
        <v>213</v>
      </c>
      <c r="E840" s="20" t="s">
        <v>538</v>
      </c>
      <c r="F840" s="20" t="s">
        <v>134</v>
      </c>
      <c r="G840" s="159">
        <f>10880-5000-2230+172.1+16500</f>
        <v>20322.099999999999</v>
      </c>
      <c r="H840" s="105" t="s">
        <v>749</v>
      </c>
      <c r="I840" s="114"/>
      <c r="J840" s="167" t="s">
        <v>718</v>
      </c>
    </row>
    <row r="841" spans="1:10" ht="15.75" x14ac:dyDescent="0.25">
      <c r="A841" s="25" t="s">
        <v>135</v>
      </c>
      <c r="B841" s="16">
        <v>908</v>
      </c>
      <c r="C841" s="20" t="s">
        <v>234</v>
      </c>
      <c r="D841" s="20" t="s">
        <v>213</v>
      </c>
      <c r="E841" s="20" t="s">
        <v>538</v>
      </c>
      <c r="F841" s="20" t="s">
        <v>145</v>
      </c>
      <c r="G841" s="26">
        <f>G842+G843</f>
        <v>31.6</v>
      </c>
      <c r="H841" s="173"/>
    </row>
    <row r="842" spans="1:10" ht="63" hidden="1" x14ac:dyDescent="0.25">
      <c r="A842" s="25" t="s">
        <v>184</v>
      </c>
      <c r="B842" s="16">
        <v>908</v>
      </c>
      <c r="C842" s="20" t="s">
        <v>234</v>
      </c>
      <c r="D842" s="20" t="s">
        <v>213</v>
      </c>
      <c r="E842" s="20" t="s">
        <v>538</v>
      </c>
      <c r="F842" s="20" t="s">
        <v>160</v>
      </c>
      <c r="G842" s="26">
        <v>0</v>
      </c>
      <c r="H842" s="173"/>
    </row>
    <row r="843" spans="1:10" ht="15.75" x14ac:dyDescent="0.25">
      <c r="A843" s="25" t="s">
        <v>568</v>
      </c>
      <c r="B843" s="16">
        <v>908</v>
      </c>
      <c r="C843" s="20" t="s">
        <v>234</v>
      </c>
      <c r="D843" s="20" t="s">
        <v>213</v>
      </c>
      <c r="E843" s="20" t="s">
        <v>538</v>
      </c>
      <c r="F843" s="20" t="s">
        <v>138</v>
      </c>
      <c r="G843" s="26">
        <v>31.6</v>
      </c>
      <c r="H843" s="105"/>
      <c r="I843" s="123"/>
    </row>
    <row r="844" spans="1:10" ht="15.75" x14ac:dyDescent="0.25">
      <c r="A844" s="25" t="s">
        <v>539</v>
      </c>
      <c r="B844" s="16">
        <v>908</v>
      </c>
      <c r="C844" s="20" t="s">
        <v>234</v>
      </c>
      <c r="D844" s="20" t="s">
        <v>213</v>
      </c>
      <c r="E844" s="20" t="s">
        <v>540</v>
      </c>
      <c r="F844" s="20"/>
      <c r="G844" s="26">
        <f>G845</f>
        <v>2678.3</v>
      </c>
      <c r="H844" s="173"/>
    </row>
    <row r="845" spans="1:10" ht="15.75" x14ac:dyDescent="0.25">
      <c r="A845" s="25" t="s">
        <v>135</v>
      </c>
      <c r="B845" s="16">
        <v>908</v>
      </c>
      <c r="C845" s="20" t="s">
        <v>234</v>
      </c>
      <c r="D845" s="20" t="s">
        <v>213</v>
      </c>
      <c r="E845" s="20" t="s">
        <v>540</v>
      </c>
      <c r="F845" s="20" t="s">
        <v>145</v>
      </c>
      <c r="G845" s="26">
        <f>G846</f>
        <v>2678.3</v>
      </c>
      <c r="H845" s="173"/>
    </row>
    <row r="846" spans="1:10" ht="15.75" x14ac:dyDescent="0.25">
      <c r="A846" s="25" t="s">
        <v>146</v>
      </c>
      <c r="B846" s="16">
        <v>908</v>
      </c>
      <c r="C846" s="20" t="s">
        <v>234</v>
      </c>
      <c r="D846" s="20" t="s">
        <v>213</v>
      </c>
      <c r="E846" s="20" t="s">
        <v>540</v>
      </c>
      <c r="F846" s="20" t="s">
        <v>147</v>
      </c>
      <c r="G846" s="26">
        <v>2678.3</v>
      </c>
      <c r="H846" s="173"/>
      <c r="I846" s="114"/>
    </row>
    <row r="847" spans="1:10" ht="15.75" x14ac:dyDescent="0.25">
      <c r="A847" s="23" t="s">
        <v>541</v>
      </c>
      <c r="B847" s="19">
        <v>908</v>
      </c>
      <c r="C847" s="24" t="s">
        <v>234</v>
      </c>
      <c r="D847" s="24" t="s">
        <v>215</v>
      </c>
      <c r="E847" s="24"/>
      <c r="F847" s="24"/>
      <c r="G847" s="21">
        <f>G848++G878+G874</f>
        <v>25464.6</v>
      </c>
      <c r="H847" s="173"/>
    </row>
    <row r="848" spans="1:10" ht="47.25" x14ac:dyDescent="0.25">
      <c r="A848" s="25" t="s">
        <v>542</v>
      </c>
      <c r="B848" s="16">
        <v>908</v>
      </c>
      <c r="C848" s="20" t="s">
        <v>234</v>
      </c>
      <c r="D848" s="20" t="s">
        <v>215</v>
      </c>
      <c r="E848" s="20" t="s">
        <v>543</v>
      </c>
      <c r="F848" s="20"/>
      <c r="G848" s="26">
        <f>G849+G859</f>
        <v>12375.499999999998</v>
      </c>
      <c r="H848" s="173"/>
    </row>
    <row r="849" spans="1:8" ht="47.25" x14ac:dyDescent="0.25">
      <c r="A849" s="25" t="s">
        <v>544</v>
      </c>
      <c r="B849" s="16">
        <v>908</v>
      </c>
      <c r="C849" s="20" t="s">
        <v>234</v>
      </c>
      <c r="D849" s="20" t="s">
        <v>215</v>
      </c>
      <c r="E849" s="20" t="s">
        <v>545</v>
      </c>
      <c r="F849" s="20"/>
      <c r="G849" s="26">
        <f>G850+G853+G856</f>
        <v>8697.2999999999993</v>
      </c>
      <c r="H849" s="173"/>
    </row>
    <row r="850" spans="1:8" ht="31.5" x14ac:dyDescent="0.25">
      <c r="A850" s="25" t="s">
        <v>546</v>
      </c>
      <c r="B850" s="16">
        <v>908</v>
      </c>
      <c r="C850" s="20" t="s">
        <v>234</v>
      </c>
      <c r="D850" s="20" t="s">
        <v>215</v>
      </c>
      <c r="E850" s="20" t="s">
        <v>547</v>
      </c>
      <c r="F850" s="20"/>
      <c r="G850" s="26">
        <f>G851</f>
        <v>253.4</v>
      </c>
      <c r="H850" s="173"/>
    </row>
    <row r="851" spans="1:8" ht="31.5" x14ac:dyDescent="0.25">
      <c r="A851" s="25" t="s">
        <v>131</v>
      </c>
      <c r="B851" s="16">
        <v>908</v>
      </c>
      <c r="C851" s="20" t="s">
        <v>234</v>
      </c>
      <c r="D851" s="20" t="s">
        <v>215</v>
      </c>
      <c r="E851" s="20" t="s">
        <v>547</v>
      </c>
      <c r="F851" s="20" t="s">
        <v>132</v>
      </c>
      <c r="G851" s="26">
        <f>G852</f>
        <v>253.4</v>
      </c>
      <c r="H851" s="173"/>
    </row>
    <row r="852" spans="1:8" ht="47.25" x14ac:dyDescent="0.25">
      <c r="A852" s="25" t="s">
        <v>133</v>
      </c>
      <c r="B852" s="16">
        <v>908</v>
      </c>
      <c r="C852" s="20" t="s">
        <v>234</v>
      </c>
      <c r="D852" s="20" t="s">
        <v>215</v>
      </c>
      <c r="E852" s="20" t="s">
        <v>547</v>
      </c>
      <c r="F852" s="20" t="s">
        <v>134</v>
      </c>
      <c r="G852" s="26">
        <v>253.4</v>
      </c>
      <c r="H852" s="173"/>
    </row>
    <row r="853" spans="1:8" ht="15.75" x14ac:dyDescent="0.25">
      <c r="A853" s="25" t="s">
        <v>548</v>
      </c>
      <c r="B853" s="16">
        <v>908</v>
      </c>
      <c r="C853" s="20" t="s">
        <v>234</v>
      </c>
      <c r="D853" s="20" t="s">
        <v>215</v>
      </c>
      <c r="E853" s="20" t="s">
        <v>549</v>
      </c>
      <c r="F853" s="20"/>
      <c r="G853" s="26">
        <f>G854</f>
        <v>5258.6</v>
      </c>
      <c r="H853" s="173"/>
    </row>
    <row r="854" spans="1:8" ht="31.5" x14ac:dyDescent="0.25">
      <c r="A854" s="25" t="s">
        <v>131</v>
      </c>
      <c r="B854" s="16">
        <v>908</v>
      </c>
      <c r="C854" s="20" t="s">
        <v>234</v>
      </c>
      <c r="D854" s="20" t="s">
        <v>215</v>
      </c>
      <c r="E854" s="20" t="s">
        <v>549</v>
      </c>
      <c r="F854" s="20" t="s">
        <v>132</v>
      </c>
      <c r="G854" s="26">
        <f>G855</f>
        <v>5258.6</v>
      </c>
      <c r="H854" s="173"/>
    </row>
    <row r="855" spans="1:8" ht="47.25" x14ac:dyDescent="0.25">
      <c r="A855" s="25" t="s">
        <v>133</v>
      </c>
      <c r="B855" s="16">
        <v>908</v>
      </c>
      <c r="C855" s="20" t="s">
        <v>234</v>
      </c>
      <c r="D855" s="20" t="s">
        <v>215</v>
      </c>
      <c r="E855" s="20" t="s">
        <v>549</v>
      </c>
      <c r="F855" s="20" t="s">
        <v>134</v>
      </c>
      <c r="G855" s="26">
        <v>5258.6</v>
      </c>
      <c r="H855" s="173"/>
    </row>
    <row r="856" spans="1:8" ht="15.75" x14ac:dyDescent="0.25">
      <c r="A856" s="25" t="s">
        <v>550</v>
      </c>
      <c r="B856" s="16">
        <v>908</v>
      </c>
      <c r="C856" s="20" t="s">
        <v>234</v>
      </c>
      <c r="D856" s="20" t="s">
        <v>215</v>
      </c>
      <c r="E856" s="20" t="s">
        <v>551</v>
      </c>
      <c r="F856" s="20"/>
      <c r="G856" s="26">
        <f>G857</f>
        <v>3185.3</v>
      </c>
      <c r="H856" s="173"/>
    </row>
    <row r="857" spans="1:8" ht="31.5" x14ac:dyDescent="0.25">
      <c r="A857" s="25" t="s">
        <v>131</v>
      </c>
      <c r="B857" s="16">
        <v>908</v>
      </c>
      <c r="C857" s="20" t="s">
        <v>234</v>
      </c>
      <c r="D857" s="20" t="s">
        <v>215</v>
      </c>
      <c r="E857" s="20" t="s">
        <v>551</v>
      </c>
      <c r="F857" s="20" t="s">
        <v>132</v>
      </c>
      <c r="G857" s="26">
        <f>G858</f>
        <v>3185.3</v>
      </c>
      <c r="H857" s="173"/>
    </row>
    <row r="858" spans="1:8" ht="47.25" x14ac:dyDescent="0.25">
      <c r="A858" s="25" t="s">
        <v>133</v>
      </c>
      <c r="B858" s="16">
        <v>908</v>
      </c>
      <c r="C858" s="20" t="s">
        <v>234</v>
      </c>
      <c r="D858" s="20" t="s">
        <v>215</v>
      </c>
      <c r="E858" s="20" t="s">
        <v>551</v>
      </c>
      <c r="F858" s="20" t="s">
        <v>134</v>
      </c>
      <c r="G858" s="26">
        <v>3185.3</v>
      </c>
      <c r="H858" s="173"/>
    </row>
    <row r="859" spans="1:8" ht="47.25" x14ac:dyDescent="0.25">
      <c r="A859" s="25" t="s">
        <v>552</v>
      </c>
      <c r="B859" s="16">
        <v>908</v>
      </c>
      <c r="C859" s="20" t="s">
        <v>234</v>
      </c>
      <c r="D859" s="20" t="s">
        <v>215</v>
      </c>
      <c r="E859" s="20" t="s">
        <v>553</v>
      </c>
      <c r="F859" s="20"/>
      <c r="G859" s="26">
        <f>G860+G865+G868+G871</f>
        <v>3678.1999999999994</v>
      </c>
      <c r="H859" s="173"/>
    </row>
    <row r="860" spans="1:8" ht="15.75" x14ac:dyDescent="0.25">
      <c r="A860" s="25" t="s">
        <v>550</v>
      </c>
      <c r="B860" s="16">
        <v>908</v>
      </c>
      <c r="C860" s="20" t="s">
        <v>234</v>
      </c>
      <c r="D860" s="20" t="s">
        <v>215</v>
      </c>
      <c r="E860" s="20" t="s">
        <v>554</v>
      </c>
      <c r="F860" s="20"/>
      <c r="G860" s="26">
        <f>G861+G863</f>
        <v>1112.3999999999999</v>
      </c>
      <c r="H860" s="173"/>
    </row>
    <row r="861" spans="1:8" ht="94.5" x14ac:dyDescent="0.25">
      <c r="A861" s="25" t="s">
        <v>127</v>
      </c>
      <c r="B861" s="16">
        <v>908</v>
      </c>
      <c r="C861" s="20" t="s">
        <v>234</v>
      </c>
      <c r="D861" s="20" t="s">
        <v>215</v>
      </c>
      <c r="E861" s="20" t="s">
        <v>554</v>
      </c>
      <c r="F861" s="20" t="s">
        <v>128</v>
      </c>
      <c r="G861" s="26">
        <f>G862</f>
        <v>892.8</v>
      </c>
      <c r="H861" s="173"/>
    </row>
    <row r="862" spans="1:8" ht="31.5" x14ac:dyDescent="0.25">
      <c r="A862" s="46" t="s">
        <v>342</v>
      </c>
      <c r="B862" s="16">
        <v>908</v>
      </c>
      <c r="C862" s="20" t="s">
        <v>234</v>
      </c>
      <c r="D862" s="20" t="s">
        <v>215</v>
      </c>
      <c r="E862" s="20" t="s">
        <v>554</v>
      </c>
      <c r="F862" s="20" t="s">
        <v>209</v>
      </c>
      <c r="G862" s="26">
        <f>801.5+91.3</f>
        <v>892.8</v>
      </c>
      <c r="H862" s="105"/>
    </row>
    <row r="863" spans="1:8" ht="31.5" x14ac:dyDescent="0.25">
      <c r="A863" s="25" t="s">
        <v>131</v>
      </c>
      <c r="B863" s="16">
        <v>908</v>
      </c>
      <c r="C863" s="20" t="s">
        <v>234</v>
      </c>
      <c r="D863" s="20" t="s">
        <v>215</v>
      </c>
      <c r="E863" s="20" t="s">
        <v>554</v>
      </c>
      <c r="F863" s="20" t="s">
        <v>132</v>
      </c>
      <c r="G863" s="26">
        <f>G864</f>
        <v>219.6</v>
      </c>
      <c r="H863" s="173"/>
    </row>
    <row r="864" spans="1:8" ht="47.25" x14ac:dyDescent="0.25">
      <c r="A864" s="25" t="s">
        <v>133</v>
      </c>
      <c r="B864" s="16">
        <v>908</v>
      </c>
      <c r="C864" s="20" t="s">
        <v>234</v>
      </c>
      <c r="D864" s="20" t="s">
        <v>215</v>
      </c>
      <c r="E864" s="20" t="s">
        <v>554</v>
      </c>
      <c r="F864" s="20" t="s">
        <v>134</v>
      </c>
      <c r="G864" s="26">
        <v>219.6</v>
      </c>
      <c r="H864" s="173"/>
    </row>
    <row r="865" spans="1:8" ht="15.75" x14ac:dyDescent="0.25">
      <c r="A865" s="25" t="s">
        <v>555</v>
      </c>
      <c r="B865" s="16">
        <v>908</v>
      </c>
      <c r="C865" s="20" t="s">
        <v>234</v>
      </c>
      <c r="D865" s="20" t="s">
        <v>215</v>
      </c>
      <c r="E865" s="20" t="s">
        <v>556</v>
      </c>
      <c r="F865" s="20"/>
      <c r="G865" s="26">
        <f>G866</f>
        <v>86.6</v>
      </c>
      <c r="H865" s="173"/>
    </row>
    <row r="866" spans="1:8" ht="31.5" x14ac:dyDescent="0.25">
      <c r="A866" s="25" t="s">
        <v>131</v>
      </c>
      <c r="B866" s="16">
        <v>908</v>
      </c>
      <c r="C866" s="20" t="s">
        <v>234</v>
      </c>
      <c r="D866" s="20" t="s">
        <v>215</v>
      </c>
      <c r="E866" s="20" t="s">
        <v>556</v>
      </c>
      <c r="F866" s="20" t="s">
        <v>132</v>
      </c>
      <c r="G866" s="26">
        <f>G867</f>
        <v>86.6</v>
      </c>
      <c r="H866" s="173"/>
    </row>
    <row r="867" spans="1:8" ht="47.25" x14ac:dyDescent="0.25">
      <c r="A867" s="25" t="s">
        <v>133</v>
      </c>
      <c r="B867" s="16">
        <v>908</v>
      </c>
      <c r="C867" s="20" t="s">
        <v>234</v>
      </c>
      <c r="D867" s="20" t="s">
        <v>215</v>
      </c>
      <c r="E867" s="20" t="s">
        <v>556</v>
      </c>
      <c r="F867" s="20" t="s">
        <v>134</v>
      </c>
      <c r="G867" s="26">
        <v>86.6</v>
      </c>
      <c r="H867" s="173"/>
    </row>
    <row r="868" spans="1:8" ht="47.25" x14ac:dyDescent="0.25">
      <c r="A868" s="45" t="s">
        <v>557</v>
      </c>
      <c r="B868" s="16">
        <v>908</v>
      </c>
      <c r="C868" s="20" t="s">
        <v>234</v>
      </c>
      <c r="D868" s="20" t="s">
        <v>215</v>
      </c>
      <c r="E868" s="20" t="s">
        <v>558</v>
      </c>
      <c r="F868" s="20"/>
      <c r="G868" s="26">
        <f>G869</f>
        <v>2130.6</v>
      </c>
      <c r="H868" s="173"/>
    </row>
    <row r="869" spans="1:8" ht="31.5" x14ac:dyDescent="0.25">
      <c r="A869" s="25" t="s">
        <v>131</v>
      </c>
      <c r="B869" s="16">
        <v>908</v>
      </c>
      <c r="C869" s="20" t="s">
        <v>234</v>
      </c>
      <c r="D869" s="20" t="s">
        <v>215</v>
      </c>
      <c r="E869" s="20" t="s">
        <v>558</v>
      </c>
      <c r="F869" s="20" t="s">
        <v>132</v>
      </c>
      <c r="G869" s="26">
        <f>G870</f>
        <v>2130.6</v>
      </c>
      <c r="H869" s="173"/>
    </row>
    <row r="870" spans="1:8" ht="47.25" x14ac:dyDescent="0.25">
      <c r="A870" s="25" t="s">
        <v>133</v>
      </c>
      <c r="B870" s="16">
        <v>908</v>
      </c>
      <c r="C870" s="20" t="s">
        <v>234</v>
      </c>
      <c r="D870" s="20" t="s">
        <v>215</v>
      </c>
      <c r="E870" s="20" t="s">
        <v>558</v>
      </c>
      <c r="F870" s="20" t="s">
        <v>134</v>
      </c>
      <c r="G870" s="26">
        <v>2130.6</v>
      </c>
      <c r="H870" s="173"/>
    </row>
    <row r="871" spans="1:8" ht="31.5" x14ac:dyDescent="0.25">
      <c r="A871" s="45" t="s">
        <v>559</v>
      </c>
      <c r="B871" s="16">
        <v>908</v>
      </c>
      <c r="C871" s="20" t="s">
        <v>234</v>
      </c>
      <c r="D871" s="20" t="s">
        <v>215</v>
      </c>
      <c r="E871" s="20" t="s">
        <v>560</v>
      </c>
      <c r="F871" s="20"/>
      <c r="G871" s="26">
        <f>G872</f>
        <v>348.6</v>
      </c>
      <c r="H871" s="173"/>
    </row>
    <row r="872" spans="1:8" ht="31.5" x14ac:dyDescent="0.25">
      <c r="A872" s="25" t="s">
        <v>131</v>
      </c>
      <c r="B872" s="16">
        <v>908</v>
      </c>
      <c r="C872" s="20" t="s">
        <v>234</v>
      </c>
      <c r="D872" s="20" t="s">
        <v>215</v>
      </c>
      <c r="E872" s="20" t="s">
        <v>560</v>
      </c>
      <c r="F872" s="20" t="s">
        <v>132</v>
      </c>
      <c r="G872" s="26">
        <f>G873</f>
        <v>348.6</v>
      </c>
      <c r="H872" s="173"/>
    </row>
    <row r="873" spans="1:8" ht="47.25" x14ac:dyDescent="0.25">
      <c r="A873" s="25" t="s">
        <v>133</v>
      </c>
      <c r="B873" s="16">
        <v>908</v>
      </c>
      <c r="C873" s="20" t="s">
        <v>234</v>
      </c>
      <c r="D873" s="20" t="s">
        <v>215</v>
      </c>
      <c r="E873" s="20" t="s">
        <v>560</v>
      </c>
      <c r="F873" s="20" t="s">
        <v>134</v>
      </c>
      <c r="G873" s="26">
        <v>348.6</v>
      </c>
      <c r="H873" s="173"/>
    </row>
    <row r="874" spans="1:8" ht="63" x14ac:dyDescent="0.25">
      <c r="A874" s="25" t="s">
        <v>709</v>
      </c>
      <c r="B874" s="16">
        <v>908</v>
      </c>
      <c r="C874" s="20" t="s">
        <v>234</v>
      </c>
      <c r="D874" s="20" t="s">
        <v>215</v>
      </c>
      <c r="E874" s="20" t="s">
        <v>711</v>
      </c>
      <c r="F874" s="20"/>
      <c r="G874" s="26">
        <f>G875</f>
        <v>600</v>
      </c>
      <c r="H874" s="173"/>
    </row>
    <row r="875" spans="1:8" ht="31.5" x14ac:dyDescent="0.25">
      <c r="A875" s="80" t="s">
        <v>710</v>
      </c>
      <c r="B875" s="16">
        <v>908</v>
      </c>
      <c r="C875" s="20" t="s">
        <v>234</v>
      </c>
      <c r="D875" s="20" t="s">
        <v>215</v>
      </c>
      <c r="E875" s="20" t="s">
        <v>712</v>
      </c>
      <c r="F875" s="20"/>
      <c r="G875" s="26">
        <f>G876</f>
        <v>600</v>
      </c>
      <c r="H875" s="173"/>
    </row>
    <row r="876" spans="1:8" ht="31.5" x14ac:dyDescent="0.25">
      <c r="A876" s="25" t="s">
        <v>131</v>
      </c>
      <c r="B876" s="16">
        <v>908</v>
      </c>
      <c r="C876" s="20" t="s">
        <v>234</v>
      </c>
      <c r="D876" s="20" t="s">
        <v>215</v>
      </c>
      <c r="E876" s="20" t="s">
        <v>712</v>
      </c>
      <c r="F876" s="20" t="s">
        <v>132</v>
      </c>
      <c r="G876" s="26">
        <f>G877</f>
        <v>600</v>
      </c>
      <c r="H876" s="173"/>
    </row>
    <row r="877" spans="1:8" ht="47.25" x14ac:dyDescent="0.25">
      <c r="A877" s="25" t="s">
        <v>133</v>
      </c>
      <c r="B877" s="16">
        <v>908</v>
      </c>
      <c r="C877" s="20" t="s">
        <v>234</v>
      </c>
      <c r="D877" s="20" t="s">
        <v>215</v>
      </c>
      <c r="E877" s="20" t="s">
        <v>712</v>
      </c>
      <c r="F877" s="20" t="s">
        <v>134</v>
      </c>
      <c r="G877" s="26">
        <v>600</v>
      </c>
      <c r="H877" s="105"/>
    </row>
    <row r="878" spans="1:8" ht="15.75" x14ac:dyDescent="0.25">
      <c r="A878" s="25" t="s">
        <v>121</v>
      </c>
      <c r="B878" s="16">
        <v>908</v>
      </c>
      <c r="C878" s="20" t="s">
        <v>234</v>
      </c>
      <c r="D878" s="20" t="s">
        <v>215</v>
      </c>
      <c r="E878" s="20" t="s">
        <v>122</v>
      </c>
      <c r="F878" s="20"/>
      <c r="G878" s="26">
        <f>G879+G892</f>
        <v>12489.099999999999</v>
      </c>
      <c r="H878" s="173"/>
    </row>
    <row r="879" spans="1:8" ht="31.5" x14ac:dyDescent="0.25">
      <c r="A879" s="25" t="s">
        <v>185</v>
      </c>
      <c r="B879" s="16">
        <v>908</v>
      </c>
      <c r="C879" s="20" t="s">
        <v>234</v>
      </c>
      <c r="D879" s="20" t="s">
        <v>215</v>
      </c>
      <c r="E879" s="20" t="s">
        <v>186</v>
      </c>
      <c r="F879" s="20"/>
      <c r="G879" s="26">
        <f>G880+G883+G886+G889</f>
        <v>12033.199999999999</v>
      </c>
      <c r="H879" s="173"/>
    </row>
    <row r="880" spans="1:8" ht="31.5" x14ac:dyDescent="0.25">
      <c r="A880" s="25" t="s">
        <v>561</v>
      </c>
      <c r="B880" s="16">
        <v>908</v>
      </c>
      <c r="C880" s="20" t="s">
        <v>234</v>
      </c>
      <c r="D880" s="20" t="s">
        <v>215</v>
      </c>
      <c r="E880" s="20" t="s">
        <v>562</v>
      </c>
      <c r="F880" s="20"/>
      <c r="G880" s="26">
        <f>G881</f>
        <v>6302.4</v>
      </c>
      <c r="H880" s="173"/>
    </row>
    <row r="881" spans="1:9" ht="31.5" x14ac:dyDescent="0.25">
      <c r="A881" s="25" t="s">
        <v>131</v>
      </c>
      <c r="B881" s="16">
        <v>908</v>
      </c>
      <c r="C881" s="20" t="s">
        <v>234</v>
      </c>
      <c r="D881" s="20" t="s">
        <v>215</v>
      </c>
      <c r="E881" s="20" t="s">
        <v>562</v>
      </c>
      <c r="F881" s="20" t="s">
        <v>132</v>
      </c>
      <c r="G881" s="26">
        <f>G882</f>
        <v>6302.4</v>
      </c>
      <c r="H881" s="173"/>
    </row>
    <row r="882" spans="1:9" ht="47.25" x14ac:dyDescent="0.25">
      <c r="A882" s="25" t="s">
        <v>133</v>
      </c>
      <c r="B882" s="16">
        <v>908</v>
      </c>
      <c r="C882" s="20" t="s">
        <v>234</v>
      </c>
      <c r="D882" s="20" t="s">
        <v>215</v>
      </c>
      <c r="E882" s="20" t="s">
        <v>562</v>
      </c>
      <c r="F882" s="20" t="s">
        <v>134</v>
      </c>
      <c r="G882" s="26">
        <f>3907.3-814.9+3210</f>
        <v>6302.4</v>
      </c>
      <c r="H882" s="105"/>
      <c r="I882" s="114"/>
    </row>
    <row r="883" spans="1:9" ht="47.25" x14ac:dyDescent="0.25">
      <c r="A883" s="25" t="s">
        <v>690</v>
      </c>
      <c r="B883" s="16">
        <v>908</v>
      </c>
      <c r="C883" s="20" t="s">
        <v>234</v>
      </c>
      <c r="D883" s="20" t="s">
        <v>215</v>
      </c>
      <c r="E883" s="20" t="s">
        <v>691</v>
      </c>
      <c r="F883" s="20"/>
      <c r="G883" s="26">
        <f>G884</f>
        <v>2132</v>
      </c>
      <c r="H883" s="173"/>
    </row>
    <row r="884" spans="1:9" ht="31.5" x14ac:dyDescent="0.25">
      <c r="A884" s="25" t="s">
        <v>131</v>
      </c>
      <c r="B884" s="16">
        <v>908</v>
      </c>
      <c r="C884" s="20" t="s">
        <v>234</v>
      </c>
      <c r="D884" s="20" t="s">
        <v>215</v>
      </c>
      <c r="E884" s="20" t="s">
        <v>691</v>
      </c>
      <c r="F884" s="20" t="s">
        <v>132</v>
      </c>
      <c r="G884" s="26">
        <f>G885</f>
        <v>2132</v>
      </c>
      <c r="H884" s="173"/>
    </row>
    <row r="885" spans="1:9" ht="47.25" x14ac:dyDescent="0.25">
      <c r="A885" s="25" t="s">
        <v>133</v>
      </c>
      <c r="B885" s="16">
        <v>908</v>
      </c>
      <c r="C885" s="20" t="s">
        <v>234</v>
      </c>
      <c r="D885" s="20" t="s">
        <v>215</v>
      </c>
      <c r="E885" s="20" t="s">
        <v>691</v>
      </c>
      <c r="F885" s="20" t="s">
        <v>134</v>
      </c>
      <c r="G885" s="26">
        <v>2132</v>
      </c>
      <c r="H885" s="105"/>
    </row>
    <row r="886" spans="1:9" ht="47.25" x14ac:dyDescent="0.25">
      <c r="A886" s="25" t="s">
        <v>692</v>
      </c>
      <c r="B886" s="16">
        <v>908</v>
      </c>
      <c r="C886" s="20" t="s">
        <v>234</v>
      </c>
      <c r="D886" s="20" t="s">
        <v>215</v>
      </c>
      <c r="E886" s="20" t="s">
        <v>563</v>
      </c>
      <c r="F886" s="20"/>
      <c r="G886" s="26">
        <f>G887</f>
        <v>2000</v>
      </c>
      <c r="H886" s="173"/>
    </row>
    <row r="887" spans="1:9" ht="31.5" x14ac:dyDescent="0.25">
      <c r="A887" s="25" t="s">
        <v>131</v>
      </c>
      <c r="B887" s="16">
        <v>908</v>
      </c>
      <c r="C887" s="20" t="s">
        <v>234</v>
      </c>
      <c r="D887" s="20" t="s">
        <v>215</v>
      </c>
      <c r="E887" s="20" t="s">
        <v>563</v>
      </c>
      <c r="F887" s="20" t="s">
        <v>132</v>
      </c>
      <c r="G887" s="26">
        <f>G888</f>
        <v>2000</v>
      </c>
      <c r="H887" s="173"/>
    </row>
    <row r="888" spans="1:9" ht="47.25" x14ac:dyDescent="0.25">
      <c r="A888" s="25" t="s">
        <v>133</v>
      </c>
      <c r="B888" s="16">
        <v>908</v>
      </c>
      <c r="C888" s="20" t="s">
        <v>234</v>
      </c>
      <c r="D888" s="20" t="s">
        <v>215</v>
      </c>
      <c r="E888" s="20" t="s">
        <v>563</v>
      </c>
      <c r="F888" s="20" t="s">
        <v>134</v>
      </c>
      <c r="G888" s="26">
        <v>2000</v>
      </c>
      <c r="H888" s="105"/>
    </row>
    <row r="889" spans="1:9" ht="63" x14ac:dyDescent="0.25">
      <c r="A889" s="25" t="s">
        <v>693</v>
      </c>
      <c r="B889" s="16">
        <v>908</v>
      </c>
      <c r="C889" s="20" t="s">
        <v>234</v>
      </c>
      <c r="D889" s="20" t="s">
        <v>215</v>
      </c>
      <c r="E889" s="20" t="s">
        <v>694</v>
      </c>
      <c r="F889" s="20"/>
      <c r="G889" s="26">
        <f>G890</f>
        <v>1598.8</v>
      </c>
      <c r="H889" s="107"/>
    </row>
    <row r="890" spans="1:9" ht="31.5" x14ac:dyDescent="0.25">
      <c r="A890" s="25" t="s">
        <v>131</v>
      </c>
      <c r="B890" s="16">
        <v>908</v>
      </c>
      <c r="C890" s="20" t="s">
        <v>234</v>
      </c>
      <c r="D890" s="20" t="s">
        <v>215</v>
      </c>
      <c r="E890" s="20" t="s">
        <v>694</v>
      </c>
      <c r="F890" s="20" t="s">
        <v>132</v>
      </c>
      <c r="G890" s="26">
        <f>G891</f>
        <v>1598.8</v>
      </c>
      <c r="H890" s="107"/>
    </row>
    <row r="891" spans="1:9" ht="47.25" x14ac:dyDescent="0.25">
      <c r="A891" s="25" t="s">
        <v>133</v>
      </c>
      <c r="B891" s="16">
        <v>908</v>
      </c>
      <c r="C891" s="20" t="s">
        <v>234</v>
      </c>
      <c r="D891" s="20" t="s">
        <v>215</v>
      </c>
      <c r="E891" s="20" t="s">
        <v>694</v>
      </c>
      <c r="F891" s="20" t="s">
        <v>134</v>
      </c>
      <c r="G891" s="26">
        <v>1598.8</v>
      </c>
      <c r="H891" s="107"/>
    </row>
    <row r="892" spans="1:9" ht="15.75" x14ac:dyDescent="0.25">
      <c r="A892" s="25" t="s">
        <v>141</v>
      </c>
      <c r="B892" s="16">
        <v>908</v>
      </c>
      <c r="C892" s="20" t="s">
        <v>234</v>
      </c>
      <c r="D892" s="20" t="s">
        <v>215</v>
      </c>
      <c r="E892" s="20" t="s">
        <v>142</v>
      </c>
      <c r="F892" s="20"/>
      <c r="G892" s="26">
        <f>G893</f>
        <v>455.9</v>
      </c>
      <c r="H892" s="173"/>
    </row>
    <row r="893" spans="1:9" ht="15.75" x14ac:dyDescent="0.25">
      <c r="A893" s="25" t="s">
        <v>564</v>
      </c>
      <c r="B893" s="16">
        <v>908</v>
      </c>
      <c r="C893" s="20" t="s">
        <v>234</v>
      </c>
      <c r="D893" s="20" t="s">
        <v>215</v>
      </c>
      <c r="E893" s="20" t="s">
        <v>565</v>
      </c>
      <c r="F893" s="20"/>
      <c r="G893" s="26">
        <f>G894</f>
        <v>455.9</v>
      </c>
      <c r="H893" s="173"/>
    </row>
    <row r="894" spans="1:9" ht="31.5" x14ac:dyDescent="0.25">
      <c r="A894" s="25" t="s">
        <v>131</v>
      </c>
      <c r="B894" s="16">
        <v>908</v>
      </c>
      <c r="C894" s="20" t="s">
        <v>234</v>
      </c>
      <c r="D894" s="20" t="s">
        <v>215</v>
      </c>
      <c r="E894" s="20" t="s">
        <v>565</v>
      </c>
      <c r="F894" s="20" t="s">
        <v>132</v>
      </c>
      <c r="G894" s="26">
        <f>G895</f>
        <v>455.9</v>
      </c>
      <c r="H894" s="173"/>
    </row>
    <row r="895" spans="1:9" ht="47.25" x14ac:dyDescent="0.25">
      <c r="A895" s="25" t="s">
        <v>133</v>
      </c>
      <c r="B895" s="16">
        <v>908</v>
      </c>
      <c r="C895" s="20" t="s">
        <v>234</v>
      </c>
      <c r="D895" s="20" t="s">
        <v>215</v>
      </c>
      <c r="E895" s="20" t="s">
        <v>565</v>
      </c>
      <c r="F895" s="20" t="s">
        <v>134</v>
      </c>
      <c r="G895" s="27">
        <v>455.9</v>
      </c>
      <c r="H895" s="173"/>
    </row>
    <row r="896" spans="1:9" ht="15.75" hidden="1" x14ac:dyDescent="0.25">
      <c r="A896" s="25" t="s">
        <v>566</v>
      </c>
      <c r="B896" s="16">
        <v>908</v>
      </c>
      <c r="C896" s="20" t="s">
        <v>234</v>
      </c>
      <c r="D896" s="20" t="s">
        <v>215</v>
      </c>
      <c r="E896" s="20" t="s">
        <v>567</v>
      </c>
      <c r="F896" s="20"/>
      <c r="G896" s="27">
        <f>G897</f>
        <v>0</v>
      </c>
      <c r="H896" s="173"/>
    </row>
    <row r="897" spans="1:10" ht="15.75" hidden="1" x14ac:dyDescent="0.25">
      <c r="A897" s="25" t="s">
        <v>135</v>
      </c>
      <c r="B897" s="16">
        <v>908</v>
      </c>
      <c r="C897" s="20" t="s">
        <v>234</v>
      </c>
      <c r="D897" s="20" t="s">
        <v>215</v>
      </c>
      <c r="E897" s="20" t="s">
        <v>567</v>
      </c>
      <c r="F897" s="20" t="s">
        <v>145</v>
      </c>
      <c r="G897" s="27">
        <f>G898</f>
        <v>0</v>
      </c>
      <c r="H897" s="173"/>
    </row>
    <row r="898" spans="1:10" ht="15.75" hidden="1" x14ac:dyDescent="0.25">
      <c r="A898" s="25" t="s">
        <v>568</v>
      </c>
      <c r="B898" s="16">
        <v>908</v>
      </c>
      <c r="C898" s="20" t="s">
        <v>234</v>
      </c>
      <c r="D898" s="20" t="s">
        <v>215</v>
      </c>
      <c r="E898" s="20" t="s">
        <v>567</v>
      </c>
      <c r="F898" s="20" t="s">
        <v>138</v>
      </c>
      <c r="G898" s="27">
        <v>0</v>
      </c>
      <c r="H898" s="173"/>
    </row>
    <row r="899" spans="1:10" ht="31.5" x14ac:dyDescent="0.25">
      <c r="A899" s="23" t="s">
        <v>569</v>
      </c>
      <c r="B899" s="19">
        <v>908</v>
      </c>
      <c r="C899" s="24" t="s">
        <v>234</v>
      </c>
      <c r="D899" s="24" t="s">
        <v>234</v>
      </c>
      <c r="E899" s="24"/>
      <c r="F899" s="24"/>
      <c r="G899" s="21">
        <f>G900</f>
        <v>21124.69</v>
      </c>
      <c r="H899" s="173"/>
    </row>
    <row r="900" spans="1:10" ht="15.75" x14ac:dyDescent="0.25">
      <c r="A900" s="25" t="s">
        <v>121</v>
      </c>
      <c r="B900" s="16">
        <v>908</v>
      </c>
      <c r="C900" s="20" t="s">
        <v>234</v>
      </c>
      <c r="D900" s="20" t="s">
        <v>234</v>
      </c>
      <c r="E900" s="20" t="s">
        <v>122</v>
      </c>
      <c r="F900" s="20"/>
      <c r="G900" s="26">
        <f>G901+G909</f>
        <v>21124.69</v>
      </c>
      <c r="H900" s="173"/>
    </row>
    <row r="901" spans="1:10" ht="31.5" x14ac:dyDescent="0.25">
      <c r="A901" s="25" t="s">
        <v>123</v>
      </c>
      <c r="B901" s="16">
        <v>908</v>
      </c>
      <c r="C901" s="20" t="s">
        <v>234</v>
      </c>
      <c r="D901" s="20" t="s">
        <v>234</v>
      </c>
      <c r="E901" s="20" t="s">
        <v>124</v>
      </c>
      <c r="F901" s="20"/>
      <c r="G901" s="26">
        <f>G902</f>
        <v>13501.699999999999</v>
      </c>
      <c r="H901" s="173"/>
    </row>
    <row r="902" spans="1:10" ht="47.25" x14ac:dyDescent="0.25">
      <c r="A902" s="25" t="s">
        <v>125</v>
      </c>
      <c r="B902" s="16">
        <v>908</v>
      </c>
      <c r="C902" s="20" t="s">
        <v>234</v>
      </c>
      <c r="D902" s="20" t="s">
        <v>234</v>
      </c>
      <c r="E902" s="20" t="s">
        <v>126</v>
      </c>
      <c r="F902" s="20"/>
      <c r="G902" s="26">
        <f>G903+G907+G905</f>
        <v>13501.699999999999</v>
      </c>
      <c r="H902" s="173"/>
    </row>
    <row r="903" spans="1:10" ht="94.5" x14ac:dyDescent="0.25">
      <c r="A903" s="25" t="s">
        <v>127</v>
      </c>
      <c r="B903" s="16">
        <v>908</v>
      </c>
      <c r="C903" s="20" t="s">
        <v>234</v>
      </c>
      <c r="D903" s="20" t="s">
        <v>234</v>
      </c>
      <c r="E903" s="20" t="s">
        <v>126</v>
      </c>
      <c r="F903" s="20" t="s">
        <v>128</v>
      </c>
      <c r="G903" s="26">
        <f>G904</f>
        <v>13327.8</v>
      </c>
      <c r="H903" s="173"/>
    </row>
    <row r="904" spans="1:10" ht="31.5" x14ac:dyDescent="0.25">
      <c r="A904" s="25" t="s">
        <v>129</v>
      </c>
      <c r="B904" s="16">
        <v>908</v>
      </c>
      <c r="C904" s="20" t="s">
        <v>234</v>
      </c>
      <c r="D904" s="20" t="s">
        <v>234</v>
      </c>
      <c r="E904" s="20" t="s">
        <v>126</v>
      </c>
      <c r="F904" s="20" t="s">
        <v>130</v>
      </c>
      <c r="G904" s="163">
        <f>13259.3+28.4+100-59.9</f>
        <v>13327.8</v>
      </c>
      <c r="H904" s="105" t="s">
        <v>747</v>
      </c>
      <c r="I904" s="123"/>
      <c r="J904" s="167" t="s">
        <v>754</v>
      </c>
    </row>
    <row r="905" spans="1:10" ht="31.5" x14ac:dyDescent="0.25">
      <c r="A905" s="25" t="s">
        <v>131</v>
      </c>
      <c r="B905" s="16">
        <v>908</v>
      </c>
      <c r="C905" s="20" t="s">
        <v>234</v>
      </c>
      <c r="D905" s="20" t="s">
        <v>234</v>
      </c>
      <c r="E905" s="20" t="s">
        <v>126</v>
      </c>
      <c r="F905" s="20" t="s">
        <v>132</v>
      </c>
      <c r="G905" s="26">
        <f>G906</f>
        <v>25</v>
      </c>
      <c r="H905" s="173"/>
    </row>
    <row r="906" spans="1:10" ht="47.25" x14ac:dyDescent="0.25">
      <c r="A906" s="25" t="s">
        <v>133</v>
      </c>
      <c r="B906" s="16">
        <v>908</v>
      </c>
      <c r="C906" s="20" t="s">
        <v>234</v>
      </c>
      <c r="D906" s="20" t="s">
        <v>234</v>
      </c>
      <c r="E906" s="20" t="s">
        <v>126</v>
      </c>
      <c r="F906" s="20" t="s">
        <v>134</v>
      </c>
      <c r="G906" s="27">
        <v>25</v>
      </c>
      <c r="H906" s="105"/>
      <c r="I906" s="123"/>
    </row>
    <row r="907" spans="1:10" ht="15.75" x14ac:dyDescent="0.25">
      <c r="A907" s="25" t="s">
        <v>135</v>
      </c>
      <c r="B907" s="16">
        <v>908</v>
      </c>
      <c r="C907" s="20" t="s">
        <v>234</v>
      </c>
      <c r="D907" s="20" t="s">
        <v>234</v>
      </c>
      <c r="E907" s="20" t="s">
        <v>126</v>
      </c>
      <c r="F907" s="20" t="s">
        <v>145</v>
      </c>
      <c r="G907" s="26">
        <f>G908</f>
        <v>148.9</v>
      </c>
      <c r="H907" s="173"/>
    </row>
    <row r="908" spans="1:10" ht="15.75" x14ac:dyDescent="0.25">
      <c r="A908" s="25" t="s">
        <v>568</v>
      </c>
      <c r="B908" s="16">
        <v>908</v>
      </c>
      <c r="C908" s="20" t="s">
        <v>234</v>
      </c>
      <c r="D908" s="20" t="s">
        <v>234</v>
      </c>
      <c r="E908" s="20" t="s">
        <v>126</v>
      </c>
      <c r="F908" s="20" t="s">
        <v>138</v>
      </c>
      <c r="G908" s="159">
        <f>89+59.9</f>
        <v>148.9</v>
      </c>
      <c r="H908" s="154" t="s">
        <v>746</v>
      </c>
    </row>
    <row r="909" spans="1:10" ht="15.75" x14ac:dyDescent="0.25">
      <c r="A909" s="25" t="s">
        <v>141</v>
      </c>
      <c r="B909" s="16">
        <v>908</v>
      </c>
      <c r="C909" s="20" t="s">
        <v>234</v>
      </c>
      <c r="D909" s="20" t="s">
        <v>234</v>
      </c>
      <c r="E909" s="20" t="s">
        <v>142</v>
      </c>
      <c r="F909" s="20"/>
      <c r="G909" s="26">
        <f>G913+G910</f>
        <v>7622.99</v>
      </c>
      <c r="H909" s="173"/>
    </row>
    <row r="910" spans="1:10" ht="31.5" x14ac:dyDescent="0.25">
      <c r="A910" s="25" t="s">
        <v>570</v>
      </c>
      <c r="B910" s="16">
        <v>908</v>
      </c>
      <c r="C910" s="20" t="s">
        <v>234</v>
      </c>
      <c r="D910" s="20" t="s">
        <v>234</v>
      </c>
      <c r="E910" s="20" t="s">
        <v>571</v>
      </c>
      <c r="F910" s="20"/>
      <c r="G910" s="27">
        <f>G911</f>
        <v>1461</v>
      </c>
      <c r="H910" s="173"/>
    </row>
    <row r="911" spans="1:10" ht="15.75" x14ac:dyDescent="0.25">
      <c r="A911" s="25" t="s">
        <v>135</v>
      </c>
      <c r="B911" s="16">
        <v>908</v>
      </c>
      <c r="C911" s="20" t="s">
        <v>234</v>
      </c>
      <c r="D911" s="20" t="s">
        <v>234</v>
      </c>
      <c r="E911" s="20" t="s">
        <v>571</v>
      </c>
      <c r="F911" s="20" t="s">
        <v>145</v>
      </c>
      <c r="G911" s="27">
        <f>G912</f>
        <v>1461</v>
      </c>
      <c r="H911" s="173"/>
    </row>
    <row r="912" spans="1:10" ht="63" x14ac:dyDescent="0.25">
      <c r="A912" s="25" t="s">
        <v>184</v>
      </c>
      <c r="B912" s="16">
        <v>908</v>
      </c>
      <c r="C912" s="20" t="s">
        <v>234</v>
      </c>
      <c r="D912" s="20" t="s">
        <v>234</v>
      </c>
      <c r="E912" s="20" t="s">
        <v>571</v>
      </c>
      <c r="F912" s="20" t="s">
        <v>160</v>
      </c>
      <c r="G912" s="27">
        <v>1461</v>
      </c>
      <c r="H912" s="173"/>
    </row>
    <row r="913" spans="1:10" ht="31.5" x14ac:dyDescent="0.25">
      <c r="A913" s="25" t="s">
        <v>340</v>
      </c>
      <c r="B913" s="16">
        <v>908</v>
      </c>
      <c r="C913" s="20" t="s">
        <v>234</v>
      </c>
      <c r="D913" s="20" t="s">
        <v>234</v>
      </c>
      <c r="E913" s="20" t="s">
        <v>341</v>
      </c>
      <c r="F913" s="20"/>
      <c r="G913" s="26">
        <f>G914+G916</f>
        <v>6161.99</v>
      </c>
      <c r="H913" s="173"/>
    </row>
    <row r="914" spans="1:10" ht="94.5" x14ac:dyDescent="0.25">
      <c r="A914" s="25" t="s">
        <v>127</v>
      </c>
      <c r="B914" s="16">
        <v>908</v>
      </c>
      <c r="C914" s="20" t="s">
        <v>234</v>
      </c>
      <c r="D914" s="20" t="s">
        <v>234</v>
      </c>
      <c r="E914" s="20" t="s">
        <v>341</v>
      </c>
      <c r="F914" s="20" t="s">
        <v>128</v>
      </c>
      <c r="G914" s="26">
        <f>G915</f>
        <v>4505.49</v>
      </c>
      <c r="H914" s="173"/>
    </row>
    <row r="915" spans="1:10" ht="31.5" x14ac:dyDescent="0.25">
      <c r="A915" s="25" t="s">
        <v>342</v>
      </c>
      <c r="B915" s="16">
        <v>908</v>
      </c>
      <c r="C915" s="20" t="s">
        <v>234</v>
      </c>
      <c r="D915" s="20" t="s">
        <v>234</v>
      </c>
      <c r="E915" s="20" t="s">
        <v>341</v>
      </c>
      <c r="F915" s="20" t="s">
        <v>209</v>
      </c>
      <c r="G915" s="153">
        <f>6196.89-1411.4-100-180</f>
        <v>4505.49</v>
      </c>
      <c r="H915" s="105" t="s">
        <v>760</v>
      </c>
      <c r="I915" s="123"/>
      <c r="J915" s="166" t="s">
        <v>759</v>
      </c>
    </row>
    <row r="916" spans="1:10" ht="31.5" x14ac:dyDescent="0.25">
      <c r="A916" s="25" t="s">
        <v>131</v>
      </c>
      <c r="B916" s="16">
        <v>908</v>
      </c>
      <c r="C916" s="20" t="s">
        <v>234</v>
      </c>
      <c r="D916" s="20" t="s">
        <v>234</v>
      </c>
      <c r="E916" s="20" t="s">
        <v>341</v>
      </c>
      <c r="F916" s="20" t="s">
        <v>132</v>
      </c>
      <c r="G916" s="26">
        <f>G917</f>
        <v>1656.5</v>
      </c>
      <c r="H916" s="173"/>
    </row>
    <row r="917" spans="1:10" ht="47.25" x14ac:dyDescent="0.25">
      <c r="A917" s="25" t="s">
        <v>133</v>
      </c>
      <c r="B917" s="16">
        <v>908</v>
      </c>
      <c r="C917" s="20" t="s">
        <v>234</v>
      </c>
      <c r="D917" s="20" t="s">
        <v>234</v>
      </c>
      <c r="E917" s="20" t="s">
        <v>341</v>
      </c>
      <c r="F917" s="20" t="s">
        <v>134</v>
      </c>
      <c r="G917" s="153">
        <f>1341.9+928.5-198.8-595.1+180</f>
        <v>1656.5</v>
      </c>
      <c r="H917" s="105" t="s">
        <v>761</v>
      </c>
      <c r="I917" s="124"/>
      <c r="J917" s="166"/>
    </row>
    <row r="918" spans="1:10" ht="15.75" x14ac:dyDescent="0.25">
      <c r="A918" s="23" t="s">
        <v>243</v>
      </c>
      <c r="B918" s="19">
        <v>908</v>
      </c>
      <c r="C918" s="24" t="s">
        <v>244</v>
      </c>
      <c r="D918" s="24"/>
      <c r="E918" s="24"/>
      <c r="F918" s="24"/>
      <c r="G918" s="21">
        <f t="shared" ref="G918:G923" si="5">G919</f>
        <v>87.1</v>
      </c>
      <c r="H918" s="173"/>
    </row>
    <row r="919" spans="1:10" ht="31.5" x14ac:dyDescent="0.25">
      <c r="A919" s="23" t="s">
        <v>258</v>
      </c>
      <c r="B919" s="19">
        <v>908</v>
      </c>
      <c r="C919" s="24" t="s">
        <v>244</v>
      </c>
      <c r="D919" s="24" t="s">
        <v>120</v>
      </c>
      <c r="E919" s="24"/>
      <c r="F919" s="24"/>
      <c r="G919" s="21">
        <f t="shared" si="5"/>
        <v>87.1</v>
      </c>
      <c r="H919" s="173"/>
    </row>
    <row r="920" spans="1:10" ht="15.75" x14ac:dyDescent="0.25">
      <c r="A920" s="25" t="s">
        <v>121</v>
      </c>
      <c r="B920" s="16">
        <v>908</v>
      </c>
      <c r="C920" s="20" t="s">
        <v>244</v>
      </c>
      <c r="D920" s="20" t="s">
        <v>120</v>
      </c>
      <c r="E920" s="20" t="s">
        <v>122</v>
      </c>
      <c r="F920" s="20"/>
      <c r="G920" s="21">
        <f t="shared" si="5"/>
        <v>87.1</v>
      </c>
      <c r="H920" s="173"/>
    </row>
    <row r="921" spans="1:10" ht="15.75" x14ac:dyDescent="0.25">
      <c r="A921" s="25" t="s">
        <v>141</v>
      </c>
      <c r="B921" s="16">
        <v>908</v>
      </c>
      <c r="C921" s="20" t="s">
        <v>244</v>
      </c>
      <c r="D921" s="20" t="s">
        <v>120</v>
      </c>
      <c r="E921" s="20" t="s">
        <v>142</v>
      </c>
      <c r="F921" s="20"/>
      <c r="G921" s="26">
        <f t="shared" si="5"/>
        <v>87.1</v>
      </c>
      <c r="H921" s="173"/>
    </row>
    <row r="922" spans="1:10" ht="15.75" x14ac:dyDescent="0.25">
      <c r="A922" s="25" t="s">
        <v>572</v>
      </c>
      <c r="B922" s="16">
        <v>908</v>
      </c>
      <c r="C922" s="20" t="s">
        <v>244</v>
      </c>
      <c r="D922" s="20" t="s">
        <v>120</v>
      </c>
      <c r="E922" s="20" t="s">
        <v>573</v>
      </c>
      <c r="F922" s="20"/>
      <c r="G922" s="26">
        <f t="shared" si="5"/>
        <v>87.1</v>
      </c>
      <c r="H922" s="173"/>
    </row>
    <row r="923" spans="1:10" ht="15.75" x14ac:dyDescent="0.25">
      <c r="A923" s="25" t="s">
        <v>135</v>
      </c>
      <c r="B923" s="16">
        <v>908</v>
      </c>
      <c r="C923" s="20" t="s">
        <v>244</v>
      </c>
      <c r="D923" s="20" t="s">
        <v>120</v>
      </c>
      <c r="E923" s="20" t="s">
        <v>573</v>
      </c>
      <c r="F923" s="20" t="s">
        <v>145</v>
      </c>
      <c r="G923" s="26">
        <f t="shared" si="5"/>
        <v>87.1</v>
      </c>
      <c r="H923" s="173"/>
    </row>
    <row r="924" spans="1:10" ht="63" x14ac:dyDescent="0.25">
      <c r="A924" s="25" t="s">
        <v>184</v>
      </c>
      <c r="B924" s="16">
        <v>908</v>
      </c>
      <c r="C924" s="20" t="s">
        <v>244</v>
      </c>
      <c r="D924" s="20" t="s">
        <v>120</v>
      </c>
      <c r="E924" s="20" t="s">
        <v>573</v>
      </c>
      <c r="F924" s="20" t="s">
        <v>160</v>
      </c>
      <c r="G924" s="26">
        <v>87.1</v>
      </c>
      <c r="H924" s="173"/>
    </row>
    <row r="925" spans="1:10" ht="31.5" x14ac:dyDescent="0.25">
      <c r="A925" s="19" t="s">
        <v>574</v>
      </c>
      <c r="B925" s="19">
        <v>910</v>
      </c>
      <c r="C925" s="47"/>
      <c r="D925" s="47"/>
      <c r="E925" s="47"/>
      <c r="F925" s="47"/>
      <c r="G925" s="21">
        <f>G926</f>
        <v>7042.5</v>
      </c>
      <c r="H925" s="173"/>
    </row>
    <row r="926" spans="1:10" ht="15.75" x14ac:dyDescent="0.25">
      <c r="A926" s="23" t="s">
        <v>117</v>
      </c>
      <c r="B926" s="19">
        <v>910</v>
      </c>
      <c r="C926" s="24" t="s">
        <v>118</v>
      </c>
      <c r="D926" s="24"/>
      <c r="E926" s="24"/>
      <c r="F926" s="24"/>
      <c r="G926" s="21">
        <f>G927+G935+G945+G953</f>
        <v>7042.5</v>
      </c>
      <c r="H926" s="173"/>
    </row>
    <row r="927" spans="1:10" ht="47.25" x14ac:dyDescent="0.25">
      <c r="A927" s="23" t="s">
        <v>575</v>
      </c>
      <c r="B927" s="19">
        <v>910</v>
      </c>
      <c r="C927" s="24" t="s">
        <v>118</v>
      </c>
      <c r="D927" s="24" t="s">
        <v>213</v>
      </c>
      <c r="E927" s="24"/>
      <c r="F927" s="24"/>
      <c r="G927" s="21">
        <f>G928</f>
        <v>4188.8</v>
      </c>
      <c r="H927" s="173"/>
    </row>
    <row r="928" spans="1:10" ht="15.75" x14ac:dyDescent="0.25">
      <c r="A928" s="25" t="s">
        <v>121</v>
      </c>
      <c r="B928" s="16">
        <v>910</v>
      </c>
      <c r="C928" s="20" t="s">
        <v>118</v>
      </c>
      <c r="D928" s="20" t="s">
        <v>213</v>
      </c>
      <c r="E928" s="20" t="s">
        <v>122</v>
      </c>
      <c r="F928" s="20"/>
      <c r="G928" s="26">
        <f>G929</f>
        <v>4188.8</v>
      </c>
      <c r="H928" s="173"/>
    </row>
    <row r="929" spans="1:10" ht="31.5" x14ac:dyDescent="0.25">
      <c r="A929" s="25" t="s">
        <v>123</v>
      </c>
      <c r="B929" s="16">
        <v>910</v>
      </c>
      <c r="C929" s="20" t="s">
        <v>118</v>
      </c>
      <c r="D929" s="20" t="s">
        <v>213</v>
      </c>
      <c r="E929" s="20" t="s">
        <v>124</v>
      </c>
      <c r="F929" s="20"/>
      <c r="G929" s="26">
        <f>G930</f>
        <v>4188.8</v>
      </c>
      <c r="H929" s="173"/>
    </row>
    <row r="930" spans="1:10" ht="47.25" x14ac:dyDescent="0.25">
      <c r="A930" s="25" t="s">
        <v>576</v>
      </c>
      <c r="B930" s="16">
        <v>910</v>
      </c>
      <c r="C930" s="20" t="s">
        <v>118</v>
      </c>
      <c r="D930" s="20" t="s">
        <v>213</v>
      </c>
      <c r="E930" s="20" t="s">
        <v>577</v>
      </c>
      <c r="F930" s="20"/>
      <c r="G930" s="26">
        <f>G931+G933</f>
        <v>4188.8</v>
      </c>
      <c r="H930" s="173"/>
    </row>
    <row r="931" spans="1:10" ht="94.5" x14ac:dyDescent="0.25">
      <c r="A931" s="25" t="s">
        <v>127</v>
      </c>
      <c r="B931" s="16">
        <v>910</v>
      </c>
      <c r="C931" s="20" t="s">
        <v>118</v>
      </c>
      <c r="D931" s="20" t="s">
        <v>213</v>
      </c>
      <c r="E931" s="20" t="s">
        <v>577</v>
      </c>
      <c r="F931" s="20" t="s">
        <v>128</v>
      </c>
      <c r="G931" s="26">
        <f>G932+G933</f>
        <v>4188.8</v>
      </c>
      <c r="H931" s="173"/>
    </row>
    <row r="932" spans="1:10" ht="31.5" x14ac:dyDescent="0.25">
      <c r="A932" s="25" t="s">
        <v>129</v>
      </c>
      <c r="B932" s="16">
        <v>910</v>
      </c>
      <c r="C932" s="20" t="s">
        <v>118</v>
      </c>
      <c r="D932" s="20" t="s">
        <v>213</v>
      </c>
      <c r="E932" s="20" t="s">
        <v>577</v>
      </c>
      <c r="F932" s="20" t="s">
        <v>130</v>
      </c>
      <c r="G932" s="27">
        <v>4188.8</v>
      </c>
      <c r="H932" s="173"/>
      <c r="J932" s="166" t="s">
        <v>755</v>
      </c>
    </row>
    <row r="933" spans="1:10" ht="47.25" hidden="1" x14ac:dyDescent="0.25">
      <c r="A933" s="25" t="s">
        <v>198</v>
      </c>
      <c r="B933" s="16">
        <v>910</v>
      </c>
      <c r="C933" s="20" t="s">
        <v>118</v>
      </c>
      <c r="D933" s="20" t="s">
        <v>213</v>
      </c>
      <c r="E933" s="20" t="s">
        <v>577</v>
      </c>
      <c r="F933" s="20" t="s">
        <v>132</v>
      </c>
      <c r="G933" s="26">
        <f>G934</f>
        <v>0</v>
      </c>
      <c r="H933" s="173"/>
    </row>
    <row r="934" spans="1:10" ht="47.25" hidden="1" x14ac:dyDescent="0.25">
      <c r="A934" s="25" t="s">
        <v>133</v>
      </c>
      <c r="B934" s="16">
        <v>910</v>
      </c>
      <c r="C934" s="20" t="s">
        <v>118</v>
      </c>
      <c r="D934" s="20" t="s">
        <v>213</v>
      </c>
      <c r="E934" s="20" t="s">
        <v>577</v>
      </c>
      <c r="F934" s="20" t="s">
        <v>134</v>
      </c>
      <c r="G934" s="26"/>
      <c r="H934" s="173"/>
    </row>
    <row r="935" spans="1:10" ht="78.75" x14ac:dyDescent="0.25">
      <c r="A935" s="23" t="s">
        <v>578</v>
      </c>
      <c r="B935" s="19">
        <v>910</v>
      </c>
      <c r="C935" s="24" t="s">
        <v>118</v>
      </c>
      <c r="D935" s="24" t="s">
        <v>215</v>
      </c>
      <c r="E935" s="24"/>
      <c r="F935" s="24"/>
      <c r="G935" s="21">
        <f>G936</f>
        <v>1138.7</v>
      </c>
      <c r="H935" s="173"/>
    </row>
    <row r="936" spans="1:10" ht="15.75" x14ac:dyDescent="0.25">
      <c r="A936" s="25" t="s">
        <v>121</v>
      </c>
      <c r="B936" s="16">
        <v>910</v>
      </c>
      <c r="C936" s="20" t="s">
        <v>118</v>
      </c>
      <c r="D936" s="20" t="s">
        <v>215</v>
      </c>
      <c r="E936" s="20" t="s">
        <v>122</v>
      </c>
      <c r="F936" s="24"/>
      <c r="G936" s="26">
        <f>G937</f>
        <v>1138.7</v>
      </c>
      <c r="H936" s="173"/>
    </row>
    <row r="937" spans="1:10" ht="31.5" x14ac:dyDescent="0.25">
      <c r="A937" s="25" t="s">
        <v>123</v>
      </c>
      <c r="B937" s="16">
        <v>910</v>
      </c>
      <c r="C937" s="20" t="s">
        <v>118</v>
      </c>
      <c r="D937" s="20" t="s">
        <v>215</v>
      </c>
      <c r="E937" s="20" t="s">
        <v>124</v>
      </c>
      <c r="F937" s="24"/>
      <c r="G937" s="26">
        <f>G938</f>
        <v>1138.7</v>
      </c>
      <c r="H937" s="173"/>
    </row>
    <row r="938" spans="1:10" ht="47.25" x14ac:dyDescent="0.25">
      <c r="A938" s="25" t="s">
        <v>579</v>
      </c>
      <c r="B938" s="16">
        <v>910</v>
      </c>
      <c r="C938" s="20" t="s">
        <v>118</v>
      </c>
      <c r="D938" s="20" t="s">
        <v>215</v>
      </c>
      <c r="E938" s="20" t="s">
        <v>580</v>
      </c>
      <c r="F938" s="20"/>
      <c r="G938" s="26">
        <f>G939+G941+G943</f>
        <v>1138.7</v>
      </c>
      <c r="H938" s="173"/>
    </row>
    <row r="939" spans="1:10" ht="94.5" x14ac:dyDescent="0.25">
      <c r="A939" s="25" t="s">
        <v>127</v>
      </c>
      <c r="B939" s="16">
        <v>910</v>
      </c>
      <c r="C939" s="20" t="s">
        <v>118</v>
      </c>
      <c r="D939" s="20" t="s">
        <v>215</v>
      </c>
      <c r="E939" s="20" t="s">
        <v>580</v>
      </c>
      <c r="F939" s="20" t="s">
        <v>128</v>
      </c>
      <c r="G939" s="26">
        <f>G940</f>
        <v>1003.7</v>
      </c>
      <c r="H939" s="173"/>
    </row>
    <row r="940" spans="1:10" ht="31.5" x14ac:dyDescent="0.25">
      <c r="A940" s="25" t="s">
        <v>129</v>
      </c>
      <c r="B940" s="16">
        <v>910</v>
      </c>
      <c r="C940" s="20" t="s">
        <v>118</v>
      </c>
      <c r="D940" s="20" t="s">
        <v>215</v>
      </c>
      <c r="E940" s="20" t="s">
        <v>580</v>
      </c>
      <c r="F940" s="20" t="s">
        <v>130</v>
      </c>
      <c r="G940" s="26">
        <v>1003.7</v>
      </c>
      <c r="H940" s="173"/>
    </row>
    <row r="941" spans="1:10" ht="47.25" x14ac:dyDescent="0.25">
      <c r="A941" s="25" t="s">
        <v>198</v>
      </c>
      <c r="B941" s="16">
        <v>910</v>
      </c>
      <c r="C941" s="20" t="s">
        <v>118</v>
      </c>
      <c r="D941" s="20" t="s">
        <v>215</v>
      </c>
      <c r="E941" s="20" t="s">
        <v>580</v>
      </c>
      <c r="F941" s="20" t="s">
        <v>132</v>
      </c>
      <c r="G941" s="26">
        <f>G942</f>
        <v>135</v>
      </c>
      <c r="H941" s="173"/>
    </row>
    <row r="942" spans="1:10" ht="47.25" x14ac:dyDescent="0.25">
      <c r="A942" s="25" t="s">
        <v>133</v>
      </c>
      <c r="B942" s="16">
        <v>910</v>
      </c>
      <c r="C942" s="20" t="s">
        <v>118</v>
      </c>
      <c r="D942" s="20" t="s">
        <v>215</v>
      </c>
      <c r="E942" s="20" t="s">
        <v>580</v>
      </c>
      <c r="F942" s="20" t="s">
        <v>134</v>
      </c>
      <c r="G942" s="26">
        <v>135</v>
      </c>
      <c r="H942" s="173"/>
    </row>
    <row r="943" spans="1:10" ht="15.75" hidden="1" x14ac:dyDescent="0.25">
      <c r="A943" s="25" t="s">
        <v>135</v>
      </c>
      <c r="B943" s="16">
        <v>910</v>
      </c>
      <c r="C943" s="20" t="s">
        <v>118</v>
      </c>
      <c r="D943" s="20" t="s">
        <v>215</v>
      </c>
      <c r="E943" s="20" t="s">
        <v>580</v>
      </c>
      <c r="F943" s="20" t="s">
        <v>145</v>
      </c>
      <c r="G943" s="26">
        <f>G944</f>
        <v>0</v>
      </c>
      <c r="H943" s="173"/>
    </row>
    <row r="944" spans="1:10" ht="15.75" hidden="1" x14ac:dyDescent="0.25">
      <c r="A944" s="25" t="s">
        <v>568</v>
      </c>
      <c r="B944" s="16">
        <v>910</v>
      </c>
      <c r="C944" s="20" t="s">
        <v>118</v>
      </c>
      <c r="D944" s="20" t="s">
        <v>215</v>
      </c>
      <c r="E944" s="20" t="s">
        <v>580</v>
      </c>
      <c r="F944" s="20" t="s">
        <v>138</v>
      </c>
      <c r="G944" s="26">
        <v>0</v>
      </c>
      <c r="H944" s="173"/>
    </row>
    <row r="945" spans="1:10" ht="63" x14ac:dyDescent="0.25">
      <c r="A945" s="23" t="s">
        <v>119</v>
      </c>
      <c r="B945" s="19">
        <v>910</v>
      </c>
      <c r="C945" s="24" t="s">
        <v>118</v>
      </c>
      <c r="D945" s="24" t="s">
        <v>120</v>
      </c>
      <c r="E945" s="24"/>
      <c r="F945" s="24"/>
      <c r="G945" s="21">
        <f>G946</f>
        <v>1682.5</v>
      </c>
      <c r="H945" s="173"/>
    </row>
    <row r="946" spans="1:10" s="111" customFormat="1" ht="15.75" x14ac:dyDescent="0.25">
      <c r="A946" s="25" t="s">
        <v>121</v>
      </c>
      <c r="B946" s="16">
        <v>910</v>
      </c>
      <c r="C946" s="20" t="s">
        <v>118</v>
      </c>
      <c r="D946" s="20" t="s">
        <v>120</v>
      </c>
      <c r="E946" s="20" t="s">
        <v>122</v>
      </c>
      <c r="F946" s="20"/>
      <c r="G946" s="26">
        <f>G947</f>
        <v>1682.5</v>
      </c>
      <c r="H946" s="173"/>
      <c r="I946" s="127"/>
    </row>
    <row r="947" spans="1:10" s="111" customFormat="1" ht="31.5" x14ac:dyDescent="0.25">
      <c r="A947" s="25" t="s">
        <v>123</v>
      </c>
      <c r="B947" s="16">
        <v>910</v>
      </c>
      <c r="C947" s="20" t="s">
        <v>118</v>
      </c>
      <c r="D947" s="20" t="s">
        <v>120</v>
      </c>
      <c r="E947" s="20" t="s">
        <v>124</v>
      </c>
      <c r="F947" s="20"/>
      <c r="G947" s="26">
        <f>G948</f>
        <v>1682.5</v>
      </c>
      <c r="H947" s="173"/>
      <c r="I947" s="127"/>
    </row>
    <row r="948" spans="1:10" s="111" customFormat="1" ht="47.25" x14ac:dyDescent="0.25">
      <c r="A948" s="25" t="s">
        <v>125</v>
      </c>
      <c r="B948" s="16">
        <v>910</v>
      </c>
      <c r="C948" s="20" t="s">
        <v>118</v>
      </c>
      <c r="D948" s="20" t="s">
        <v>120</v>
      </c>
      <c r="E948" s="20" t="s">
        <v>126</v>
      </c>
      <c r="F948" s="20"/>
      <c r="G948" s="26">
        <f>G949+G951</f>
        <v>1682.5</v>
      </c>
      <c r="H948" s="173"/>
      <c r="I948" s="127"/>
    </row>
    <row r="949" spans="1:10" ht="94.5" x14ac:dyDescent="0.25">
      <c r="A949" s="25" t="s">
        <v>127</v>
      </c>
      <c r="B949" s="16">
        <v>910</v>
      </c>
      <c r="C949" s="20" t="s">
        <v>118</v>
      </c>
      <c r="D949" s="20" t="s">
        <v>120</v>
      </c>
      <c r="E949" s="20" t="s">
        <v>126</v>
      </c>
      <c r="F949" s="20" t="s">
        <v>128</v>
      </c>
      <c r="G949" s="26">
        <f>G950</f>
        <v>1664.2</v>
      </c>
      <c r="H949" s="173"/>
    </row>
    <row r="950" spans="1:10" ht="31.5" x14ac:dyDescent="0.25">
      <c r="A950" s="25" t="s">
        <v>129</v>
      </c>
      <c r="B950" s="16">
        <v>910</v>
      </c>
      <c r="C950" s="20" t="s">
        <v>118</v>
      </c>
      <c r="D950" s="20" t="s">
        <v>120</v>
      </c>
      <c r="E950" s="20" t="s">
        <v>126</v>
      </c>
      <c r="F950" s="20" t="s">
        <v>130</v>
      </c>
      <c r="G950" s="26">
        <v>1664.2</v>
      </c>
      <c r="H950" s="173"/>
      <c r="J950" s="169" t="s">
        <v>756</v>
      </c>
    </row>
    <row r="951" spans="1:10" ht="47.25" x14ac:dyDescent="0.25">
      <c r="A951" s="25" t="s">
        <v>198</v>
      </c>
      <c r="B951" s="16">
        <v>910</v>
      </c>
      <c r="C951" s="20" t="s">
        <v>118</v>
      </c>
      <c r="D951" s="20" t="s">
        <v>120</v>
      </c>
      <c r="E951" s="20" t="s">
        <v>126</v>
      </c>
      <c r="F951" s="20" t="s">
        <v>132</v>
      </c>
      <c r="G951" s="26">
        <f>G952</f>
        <v>18.3</v>
      </c>
      <c r="H951" s="173"/>
    </row>
    <row r="952" spans="1:10" ht="47.25" x14ac:dyDescent="0.25">
      <c r="A952" s="25" t="s">
        <v>133</v>
      </c>
      <c r="B952" s="16">
        <v>910</v>
      </c>
      <c r="C952" s="20" t="s">
        <v>118</v>
      </c>
      <c r="D952" s="20" t="s">
        <v>120</v>
      </c>
      <c r="E952" s="20" t="s">
        <v>126</v>
      </c>
      <c r="F952" s="20" t="s">
        <v>134</v>
      </c>
      <c r="G952" s="26">
        <v>18.3</v>
      </c>
      <c r="H952" s="173"/>
    </row>
    <row r="953" spans="1:10" ht="15.75" x14ac:dyDescent="0.25">
      <c r="A953" s="23" t="s">
        <v>139</v>
      </c>
      <c r="B953" s="19">
        <v>910</v>
      </c>
      <c r="C953" s="24" t="s">
        <v>118</v>
      </c>
      <c r="D953" s="24" t="s">
        <v>140</v>
      </c>
      <c r="E953" s="109"/>
      <c r="F953" s="20"/>
      <c r="G953" s="21">
        <f>G954+G958</f>
        <v>32.5</v>
      </c>
      <c r="H953" s="173"/>
    </row>
    <row r="954" spans="1:10" ht="47.25" x14ac:dyDescent="0.25">
      <c r="A954" s="25" t="s">
        <v>161</v>
      </c>
      <c r="B954" s="16">
        <v>910</v>
      </c>
      <c r="C954" s="20" t="s">
        <v>118</v>
      </c>
      <c r="D954" s="20" t="s">
        <v>140</v>
      </c>
      <c r="E954" s="20" t="s">
        <v>162</v>
      </c>
      <c r="F954" s="20"/>
      <c r="G954" s="26">
        <f>G955</f>
        <v>0.5</v>
      </c>
      <c r="H954" s="173"/>
    </row>
    <row r="955" spans="1:10" ht="63" x14ac:dyDescent="0.25">
      <c r="A955" s="31" t="s">
        <v>695</v>
      </c>
      <c r="B955" s="16">
        <v>910</v>
      </c>
      <c r="C955" s="20" t="s">
        <v>118</v>
      </c>
      <c r="D955" s="20" t="s">
        <v>140</v>
      </c>
      <c r="E955" s="40" t="s">
        <v>696</v>
      </c>
      <c r="F955" s="20"/>
      <c r="G955" s="26">
        <f>G956</f>
        <v>0.5</v>
      </c>
      <c r="H955" s="173"/>
    </row>
    <row r="956" spans="1:10" ht="31.5" x14ac:dyDescent="0.25">
      <c r="A956" s="25" t="s">
        <v>131</v>
      </c>
      <c r="B956" s="16">
        <v>910</v>
      </c>
      <c r="C956" s="20" t="s">
        <v>118</v>
      </c>
      <c r="D956" s="20" t="s">
        <v>140</v>
      </c>
      <c r="E956" s="40" t="s">
        <v>696</v>
      </c>
      <c r="F956" s="20" t="s">
        <v>132</v>
      </c>
      <c r="G956" s="26">
        <f>G957</f>
        <v>0.5</v>
      </c>
      <c r="H956" s="173"/>
    </row>
    <row r="957" spans="1:10" ht="47.25" x14ac:dyDescent="0.25">
      <c r="A957" s="25" t="s">
        <v>133</v>
      </c>
      <c r="B957" s="16">
        <v>910</v>
      </c>
      <c r="C957" s="20" t="s">
        <v>118</v>
      </c>
      <c r="D957" s="20" t="s">
        <v>140</v>
      </c>
      <c r="E957" s="40" t="s">
        <v>696</v>
      </c>
      <c r="F957" s="20" t="s">
        <v>134</v>
      </c>
      <c r="G957" s="26">
        <v>0.5</v>
      </c>
      <c r="H957" s="173"/>
    </row>
    <row r="958" spans="1:10" ht="15.75" x14ac:dyDescent="0.25">
      <c r="A958" s="31" t="s">
        <v>121</v>
      </c>
      <c r="B958" s="16">
        <v>910</v>
      </c>
      <c r="C958" s="20" t="s">
        <v>118</v>
      </c>
      <c r="D958" s="20" t="s">
        <v>140</v>
      </c>
      <c r="E958" s="20" t="s">
        <v>122</v>
      </c>
      <c r="F958" s="20"/>
      <c r="G958" s="26">
        <f>G959</f>
        <v>32</v>
      </c>
      <c r="H958" s="173"/>
    </row>
    <row r="959" spans="1:10" ht="31.5" x14ac:dyDescent="0.25">
      <c r="A959" s="31" t="s">
        <v>185</v>
      </c>
      <c r="B959" s="16">
        <v>910</v>
      </c>
      <c r="C959" s="20" t="s">
        <v>118</v>
      </c>
      <c r="D959" s="20" t="s">
        <v>140</v>
      </c>
      <c r="E959" s="20" t="s">
        <v>186</v>
      </c>
      <c r="F959" s="20"/>
      <c r="G959" s="26">
        <f>G960</f>
        <v>32</v>
      </c>
      <c r="H959" s="173"/>
    </row>
    <row r="960" spans="1:10" ht="63" x14ac:dyDescent="0.25">
      <c r="A960" s="31" t="s">
        <v>695</v>
      </c>
      <c r="B960" s="16">
        <v>910</v>
      </c>
      <c r="C960" s="20" t="s">
        <v>118</v>
      </c>
      <c r="D960" s="20" t="s">
        <v>140</v>
      </c>
      <c r="E960" s="20" t="s">
        <v>697</v>
      </c>
      <c r="F960" s="20"/>
      <c r="G960" s="26">
        <f>G961</f>
        <v>32</v>
      </c>
      <c r="H960" s="173"/>
    </row>
    <row r="961" spans="1:12" ht="31.5" x14ac:dyDescent="0.25">
      <c r="A961" s="25" t="s">
        <v>131</v>
      </c>
      <c r="B961" s="16">
        <v>910</v>
      </c>
      <c r="C961" s="20" t="s">
        <v>118</v>
      </c>
      <c r="D961" s="20" t="s">
        <v>140</v>
      </c>
      <c r="E961" s="20" t="s">
        <v>697</v>
      </c>
      <c r="F961" s="20" t="s">
        <v>132</v>
      </c>
      <c r="G961" s="26">
        <f>G962</f>
        <v>32</v>
      </c>
      <c r="H961" s="173"/>
    </row>
    <row r="962" spans="1:12" ht="47.25" x14ac:dyDescent="0.25">
      <c r="A962" s="25" t="s">
        <v>133</v>
      </c>
      <c r="B962" s="16">
        <v>910</v>
      </c>
      <c r="C962" s="20" t="s">
        <v>118</v>
      </c>
      <c r="D962" s="20" t="s">
        <v>140</v>
      </c>
      <c r="E962" s="20" t="s">
        <v>697</v>
      </c>
      <c r="F962" s="20" t="s">
        <v>134</v>
      </c>
      <c r="G962" s="26">
        <v>32</v>
      </c>
      <c r="H962" s="110"/>
    </row>
    <row r="963" spans="1:12" ht="31.5" x14ac:dyDescent="0.25">
      <c r="A963" s="23" t="s">
        <v>581</v>
      </c>
      <c r="B963" s="19">
        <v>913</v>
      </c>
      <c r="C963" s="24"/>
      <c r="D963" s="24"/>
      <c r="E963" s="24"/>
      <c r="F963" s="24"/>
      <c r="G963" s="21">
        <f>G964</f>
        <v>6309.8</v>
      </c>
      <c r="H963" s="173"/>
    </row>
    <row r="964" spans="1:12" ht="15.75" x14ac:dyDescent="0.25">
      <c r="A964" s="23" t="s">
        <v>582</v>
      </c>
      <c r="B964" s="19">
        <v>913</v>
      </c>
      <c r="C964" s="24" t="s">
        <v>238</v>
      </c>
      <c r="D964" s="20"/>
      <c r="E964" s="20"/>
      <c r="F964" s="20"/>
      <c r="G964" s="26">
        <f>G965</f>
        <v>6309.8</v>
      </c>
      <c r="H964" s="173"/>
    </row>
    <row r="965" spans="1:12" ht="15.75" x14ac:dyDescent="0.25">
      <c r="A965" s="23" t="s">
        <v>583</v>
      </c>
      <c r="B965" s="19">
        <v>913</v>
      </c>
      <c r="C965" s="24" t="s">
        <v>238</v>
      </c>
      <c r="D965" s="24" t="s">
        <v>213</v>
      </c>
      <c r="E965" s="24"/>
      <c r="F965" s="24"/>
      <c r="G965" s="26">
        <f>G966</f>
        <v>6309.8</v>
      </c>
      <c r="H965" s="173"/>
    </row>
    <row r="966" spans="1:12" ht="15.75" x14ac:dyDescent="0.25">
      <c r="A966" s="25" t="s">
        <v>121</v>
      </c>
      <c r="B966" s="16">
        <v>913</v>
      </c>
      <c r="C966" s="20" t="s">
        <v>238</v>
      </c>
      <c r="D966" s="20" t="s">
        <v>213</v>
      </c>
      <c r="E966" s="20" t="s">
        <v>122</v>
      </c>
      <c r="F966" s="20"/>
      <c r="G966" s="26">
        <f>G967</f>
        <v>6309.8</v>
      </c>
      <c r="H966" s="173"/>
    </row>
    <row r="967" spans="1:12" ht="31.5" x14ac:dyDescent="0.25">
      <c r="A967" s="25" t="s">
        <v>584</v>
      </c>
      <c r="B967" s="16">
        <v>913</v>
      </c>
      <c r="C967" s="20" t="s">
        <v>238</v>
      </c>
      <c r="D967" s="20" t="s">
        <v>213</v>
      </c>
      <c r="E967" s="20" t="s">
        <v>585</v>
      </c>
      <c r="F967" s="20"/>
      <c r="G967" s="26">
        <f>G968</f>
        <v>6309.8</v>
      </c>
      <c r="H967" s="173"/>
    </row>
    <row r="968" spans="1:12" ht="31.5" x14ac:dyDescent="0.25">
      <c r="A968" s="25" t="s">
        <v>310</v>
      </c>
      <c r="B968" s="16">
        <v>913</v>
      </c>
      <c r="C968" s="20" t="s">
        <v>238</v>
      </c>
      <c r="D968" s="20" t="s">
        <v>213</v>
      </c>
      <c r="E968" s="20" t="s">
        <v>586</v>
      </c>
      <c r="F968" s="20"/>
      <c r="G968" s="26">
        <f>G969+G971+G973</f>
        <v>6309.8</v>
      </c>
      <c r="H968" s="173"/>
    </row>
    <row r="969" spans="1:12" ht="94.5" x14ac:dyDescent="0.25">
      <c r="A969" s="25" t="s">
        <v>127</v>
      </c>
      <c r="B969" s="16">
        <v>913</v>
      </c>
      <c r="C969" s="20" t="s">
        <v>238</v>
      </c>
      <c r="D969" s="20" t="s">
        <v>213</v>
      </c>
      <c r="E969" s="20" t="s">
        <v>586</v>
      </c>
      <c r="F969" s="20" t="s">
        <v>128</v>
      </c>
      <c r="G969" s="26">
        <f>G970</f>
        <v>5371.7</v>
      </c>
      <c r="H969" s="173"/>
    </row>
    <row r="970" spans="1:12" ht="31.5" x14ac:dyDescent="0.25">
      <c r="A970" s="25" t="s">
        <v>208</v>
      </c>
      <c r="B970" s="16">
        <v>913</v>
      </c>
      <c r="C970" s="20" t="s">
        <v>238</v>
      </c>
      <c r="D970" s="20" t="s">
        <v>213</v>
      </c>
      <c r="E970" s="20" t="s">
        <v>586</v>
      </c>
      <c r="F970" s="20" t="s">
        <v>209</v>
      </c>
      <c r="G970" s="27">
        <v>5371.7</v>
      </c>
      <c r="H970" s="173"/>
    </row>
    <row r="971" spans="1:12" ht="31.5" x14ac:dyDescent="0.25">
      <c r="A971" s="25" t="s">
        <v>131</v>
      </c>
      <c r="B971" s="16">
        <v>913</v>
      </c>
      <c r="C971" s="20" t="s">
        <v>238</v>
      </c>
      <c r="D971" s="20" t="s">
        <v>213</v>
      </c>
      <c r="E971" s="20" t="s">
        <v>586</v>
      </c>
      <c r="F971" s="20" t="s">
        <v>132</v>
      </c>
      <c r="G971" s="26">
        <f>G972</f>
        <v>928.1</v>
      </c>
      <c r="H971" s="173"/>
    </row>
    <row r="972" spans="1:12" ht="47.25" x14ac:dyDescent="0.25">
      <c r="A972" s="25" t="s">
        <v>133</v>
      </c>
      <c r="B972" s="16">
        <v>913</v>
      </c>
      <c r="C972" s="20" t="s">
        <v>238</v>
      </c>
      <c r="D972" s="20" t="s">
        <v>213</v>
      </c>
      <c r="E972" s="20" t="s">
        <v>586</v>
      </c>
      <c r="F972" s="20" t="s">
        <v>134</v>
      </c>
      <c r="G972" s="27">
        <f>898.3+28.1+1.7</f>
        <v>928.1</v>
      </c>
      <c r="H972" s="105"/>
      <c r="I972" s="124"/>
    </row>
    <row r="973" spans="1:12" ht="15.75" x14ac:dyDescent="0.25">
      <c r="A973" s="25" t="s">
        <v>135</v>
      </c>
      <c r="B973" s="16">
        <v>913</v>
      </c>
      <c r="C973" s="20" t="s">
        <v>238</v>
      </c>
      <c r="D973" s="20" t="s">
        <v>213</v>
      </c>
      <c r="E973" s="20" t="s">
        <v>586</v>
      </c>
      <c r="F973" s="20" t="s">
        <v>145</v>
      </c>
      <c r="G973" s="26">
        <f>G974</f>
        <v>10</v>
      </c>
      <c r="H973" s="173"/>
    </row>
    <row r="974" spans="1:12" ht="15.75" x14ac:dyDescent="0.25">
      <c r="A974" s="25" t="s">
        <v>568</v>
      </c>
      <c r="B974" s="16">
        <v>913</v>
      </c>
      <c r="C974" s="20" t="s">
        <v>238</v>
      </c>
      <c r="D974" s="20" t="s">
        <v>213</v>
      </c>
      <c r="E974" s="20" t="s">
        <v>586</v>
      </c>
      <c r="F974" s="20" t="s">
        <v>138</v>
      </c>
      <c r="G974" s="26">
        <v>10</v>
      </c>
      <c r="H974" s="173"/>
    </row>
    <row r="975" spans="1:12" ht="18.75" x14ac:dyDescent="0.3">
      <c r="A975" s="48" t="s">
        <v>587</v>
      </c>
      <c r="B975" s="48"/>
      <c r="C975" s="24"/>
      <c r="D975" s="24"/>
      <c r="E975" s="24"/>
      <c r="F975" s="24"/>
      <c r="G975" s="49">
        <f>G963+G925+G748+G673+G498+G459+G220+G27+G10</f>
        <v>665442.18999999994</v>
      </c>
      <c r="H975" s="173"/>
      <c r="L975" s="115"/>
    </row>
    <row r="976" spans="1:12" x14ac:dyDescent="0.25">
      <c r="A976" s="50"/>
      <c r="B976" s="50"/>
      <c r="C976" s="50"/>
      <c r="D976" s="50"/>
      <c r="E976" s="50"/>
      <c r="F976" s="50"/>
      <c r="G976" s="50"/>
      <c r="I976" s="113"/>
    </row>
    <row r="977" spans="1:12" ht="18.75" x14ac:dyDescent="0.3">
      <c r="A977" s="50"/>
      <c r="B977" s="50"/>
      <c r="C977" s="51"/>
      <c r="D977" s="51"/>
      <c r="E977" s="51"/>
      <c r="F977" s="101" t="s">
        <v>588</v>
      </c>
      <c r="G977" s="52">
        <f>G975-G978</f>
        <v>460911.08999999991</v>
      </c>
    </row>
    <row r="978" spans="1:12" ht="18.75" x14ac:dyDescent="0.3">
      <c r="A978" s="50"/>
      <c r="B978" s="50"/>
      <c r="C978" s="51"/>
      <c r="D978" s="51"/>
      <c r="E978" s="51"/>
      <c r="F978" s="101" t="s">
        <v>589</v>
      </c>
      <c r="G978" s="52">
        <f>G98+G180+G186+G208+G214+G261+G273+G338+G444+G480+G494+G527+G581+G640+G694+G787+G827+G879+G623+G959</f>
        <v>204531.10000000003</v>
      </c>
      <c r="I978" s="117"/>
    </row>
    <row r="979" spans="1:12" ht="15.75" x14ac:dyDescent="0.25">
      <c r="A979" s="50"/>
      <c r="B979" s="50"/>
      <c r="C979" s="51"/>
      <c r="D979" s="53"/>
      <c r="E979" s="53"/>
      <c r="F979" s="53"/>
      <c r="G979" s="102"/>
    </row>
    <row r="980" spans="1:12" ht="15.75" x14ac:dyDescent="0.25">
      <c r="A980" s="50"/>
      <c r="B980" s="50"/>
      <c r="C980" s="51"/>
      <c r="D980" s="53"/>
      <c r="E980" s="53"/>
      <c r="F980" s="53"/>
      <c r="G980" s="51"/>
    </row>
    <row r="981" spans="1:12" ht="15.75" x14ac:dyDescent="0.25">
      <c r="A981" s="50"/>
      <c r="B981" s="50"/>
      <c r="C981" s="54">
        <v>1</v>
      </c>
      <c r="D981" s="53"/>
      <c r="E981" s="53"/>
      <c r="F981" s="53"/>
      <c r="G981" s="55">
        <f>G11+G28+G460+G499+G926+G749+G228</f>
        <v>118780.1</v>
      </c>
      <c r="H981" s="104"/>
      <c r="I981" s="118" t="e">
        <f>'пр.2 Рд,пр 22'!#REF!</f>
        <v>#REF!</v>
      </c>
      <c r="L981" s="104"/>
    </row>
    <row r="982" spans="1:12" ht="15.75" x14ac:dyDescent="0.25">
      <c r="A982" s="50"/>
      <c r="B982" s="50"/>
      <c r="C982" s="54">
        <v>2</v>
      </c>
      <c r="D982" s="53"/>
      <c r="E982" s="53"/>
      <c r="F982" s="53"/>
      <c r="G982" s="55">
        <f>G147</f>
        <v>0</v>
      </c>
      <c r="H982" s="104"/>
      <c r="I982" s="118">
        <v>0</v>
      </c>
      <c r="L982" s="104"/>
    </row>
    <row r="983" spans="1:12" ht="15.75" x14ac:dyDescent="0.25">
      <c r="A983" s="50"/>
      <c r="B983" s="50"/>
      <c r="C983" s="54">
        <v>3</v>
      </c>
      <c r="D983" s="53"/>
      <c r="E983" s="53"/>
      <c r="F983" s="53"/>
      <c r="G983" s="55">
        <f>G763+G159</f>
        <v>7209.4000000000005</v>
      </c>
      <c r="H983" s="104"/>
      <c r="I983" s="118" t="e">
        <f>'пр.2 Рд,пр 22'!#REF!</f>
        <v>#REF!</v>
      </c>
      <c r="L983" s="104"/>
    </row>
    <row r="984" spans="1:12" ht="15.75" x14ac:dyDescent="0.25">
      <c r="A984" s="50"/>
      <c r="B984" s="50"/>
      <c r="C984" s="54">
        <v>4</v>
      </c>
      <c r="D984" s="53"/>
      <c r="E984" s="53"/>
      <c r="F984" s="53"/>
      <c r="G984" s="55">
        <f>G177+G770</f>
        <v>20153.2</v>
      </c>
      <c r="H984" s="104"/>
      <c r="I984" s="118" t="e">
        <f>'пр.2 Рд,пр 22'!#REF!</f>
        <v>#REF!</v>
      </c>
      <c r="L984" s="104"/>
    </row>
    <row r="985" spans="1:12" ht="15.75" x14ac:dyDescent="0.25">
      <c r="A985" s="50"/>
      <c r="B985" s="50"/>
      <c r="C985" s="54">
        <v>5</v>
      </c>
      <c r="D985" s="53"/>
      <c r="E985" s="53"/>
      <c r="F985" s="53"/>
      <c r="G985" s="55">
        <f>G784+G477</f>
        <v>109165.59000000001</v>
      </c>
      <c r="H985" s="104"/>
      <c r="I985" s="118" t="e">
        <f>'пр.2 Рд,пр 22'!#REF!</f>
        <v>#REF!</v>
      </c>
      <c r="L985" s="104"/>
    </row>
    <row r="986" spans="1:12" ht="15.75" x14ac:dyDescent="0.25">
      <c r="A986" s="50"/>
      <c r="B986" s="50"/>
      <c r="C986" s="54">
        <v>7</v>
      </c>
      <c r="D986" s="53"/>
      <c r="E986" s="53"/>
      <c r="F986" s="53"/>
      <c r="G986" s="55">
        <f>G674+G506+G235</f>
        <v>290484.60000000003</v>
      </c>
      <c r="H986" s="104"/>
      <c r="I986" s="118" t="e">
        <f>'пр.2 Рд,пр 22'!#REF!</f>
        <v>#REF!</v>
      </c>
      <c r="L986" s="104"/>
    </row>
    <row r="987" spans="1:12" ht="15.75" x14ac:dyDescent="0.25">
      <c r="A987" s="50"/>
      <c r="B987" s="50"/>
      <c r="C987" s="54">
        <v>8</v>
      </c>
      <c r="D987" s="53"/>
      <c r="E987" s="53"/>
      <c r="F987" s="53"/>
      <c r="G987" s="55">
        <f>G277</f>
        <v>61699.8</v>
      </c>
      <c r="H987" s="104"/>
      <c r="I987" s="118" t="e">
        <f>'пр.2 Рд,пр 22'!#REF!</f>
        <v>#REF!</v>
      </c>
      <c r="L987" s="104"/>
    </row>
    <row r="988" spans="1:12" ht="15.75" x14ac:dyDescent="0.25">
      <c r="A988" s="50"/>
      <c r="B988" s="50"/>
      <c r="C988" s="54">
        <v>10</v>
      </c>
      <c r="D988" s="53"/>
      <c r="E988" s="53"/>
      <c r="F988" s="53"/>
      <c r="G988" s="55">
        <f>G918+G492+G388+G195</f>
        <v>16937</v>
      </c>
      <c r="H988" s="104"/>
      <c r="I988" s="118" t="e">
        <f>'пр.2 Рд,пр 22'!#REF!</f>
        <v>#REF!</v>
      </c>
      <c r="L988" s="104"/>
    </row>
    <row r="989" spans="1:12" ht="15.75" x14ac:dyDescent="0.25">
      <c r="A989" s="50"/>
      <c r="B989" s="50"/>
      <c r="C989" s="54">
        <v>11</v>
      </c>
      <c r="D989" s="53"/>
      <c r="E989" s="53"/>
      <c r="F989" s="53"/>
      <c r="G989" s="55">
        <f>G704</f>
        <v>34702.699999999997</v>
      </c>
      <c r="H989" s="104"/>
      <c r="I989" s="118" t="e">
        <f>'пр.2 Рд,пр 22'!#REF!</f>
        <v>#REF!</v>
      </c>
      <c r="L989" s="104"/>
    </row>
    <row r="990" spans="1:12" ht="15.75" x14ac:dyDescent="0.25">
      <c r="A990" s="50"/>
      <c r="B990" s="50"/>
      <c r="C990" s="54">
        <v>12</v>
      </c>
      <c r="D990" s="53"/>
      <c r="E990" s="53"/>
      <c r="F990" s="53"/>
      <c r="G990" s="55">
        <f>G964</f>
        <v>6309.8</v>
      </c>
      <c r="H990" s="104"/>
      <c r="I990" s="118" t="e">
        <f>'пр.2 Рд,пр 22'!#REF!</f>
        <v>#REF!</v>
      </c>
      <c r="L990" s="104"/>
    </row>
    <row r="991" spans="1:12" ht="15.75" x14ac:dyDescent="0.25">
      <c r="A991" s="50"/>
      <c r="B991" s="50"/>
      <c r="C991" s="55"/>
      <c r="D991" s="53"/>
      <c r="E991" s="53"/>
      <c r="F991" s="53"/>
      <c r="G991" s="103">
        <f>SUM(G981:G990)</f>
        <v>665442.19000000018</v>
      </c>
      <c r="H991" s="104"/>
      <c r="I991" s="118" t="e">
        <f>'пр.2 Рд,пр 22'!#REF!</f>
        <v>#REF!</v>
      </c>
      <c r="L991" s="104"/>
    </row>
    <row r="992" spans="1:12" x14ac:dyDescent="0.25">
      <c r="G992" s="104"/>
      <c r="H992" s="104"/>
      <c r="I992" s="118"/>
    </row>
    <row r="993" spans="4:9" x14ac:dyDescent="0.25">
      <c r="D993" s="1" t="s">
        <v>590</v>
      </c>
      <c r="E993" s="1">
        <v>50</v>
      </c>
      <c r="G993" s="104">
        <f>G778</f>
        <v>15124.1</v>
      </c>
      <c r="H993" s="104"/>
      <c r="I993" s="118"/>
    </row>
    <row r="994" spans="4:9" x14ac:dyDescent="0.25">
      <c r="E994" s="1">
        <v>51</v>
      </c>
      <c r="G994" s="104">
        <f>G390</f>
        <v>3693</v>
      </c>
      <c r="H994" s="104"/>
      <c r="I994" s="118"/>
    </row>
    <row r="995" spans="4:9" x14ac:dyDescent="0.25">
      <c r="E995" s="1">
        <v>52</v>
      </c>
      <c r="G995" s="104">
        <f>G508+G547+G634+G613</f>
        <v>89244.700000000012</v>
      </c>
      <c r="H995" s="104"/>
      <c r="I995" s="118"/>
    </row>
    <row r="996" spans="4:9" x14ac:dyDescent="0.25">
      <c r="E996" s="1">
        <v>53</v>
      </c>
      <c r="G996" s="104">
        <f>G57</f>
        <v>250</v>
      </c>
      <c r="H996" s="104"/>
      <c r="I996" s="118"/>
    </row>
    <row r="997" spans="4:9" x14ac:dyDescent="0.25">
      <c r="E997" s="1">
        <v>54</v>
      </c>
      <c r="G997" s="104">
        <f>G61+G954</f>
        <v>654</v>
      </c>
      <c r="H997" s="104"/>
      <c r="I997" s="118"/>
    </row>
    <row r="998" spans="4:9" x14ac:dyDescent="0.25">
      <c r="E998" s="1">
        <v>55</v>
      </c>
      <c r="G998" s="104">
        <f>G203</f>
        <v>10</v>
      </c>
      <c r="H998" s="104"/>
      <c r="I998" s="118"/>
    </row>
    <row r="999" spans="4:9" x14ac:dyDescent="0.25">
      <c r="E999" s="1">
        <v>56</v>
      </c>
      <c r="G999" s="104">
        <f>G73</f>
        <v>80</v>
      </c>
      <c r="H999" s="104"/>
      <c r="I999" s="118"/>
    </row>
    <row r="1000" spans="4:9" x14ac:dyDescent="0.25">
      <c r="E1000" s="1">
        <v>57</v>
      </c>
      <c r="G1000" s="104">
        <f>G726+G706+G676</f>
        <v>36478.9</v>
      </c>
      <c r="H1000" s="104"/>
      <c r="I1000" s="118"/>
    </row>
    <row r="1001" spans="4:9" x14ac:dyDescent="0.25">
      <c r="E1001" s="1">
        <v>58</v>
      </c>
      <c r="G1001" s="104">
        <f>G279+G237</f>
        <v>58528.700000000004</v>
      </c>
      <c r="H1001" s="104"/>
      <c r="I1001" s="118"/>
    </row>
    <row r="1002" spans="4:9" x14ac:dyDescent="0.25">
      <c r="E1002" s="1">
        <v>59</v>
      </c>
      <c r="G1002" s="104">
        <f>G333</f>
        <v>200</v>
      </c>
      <c r="H1002" s="104"/>
      <c r="I1002" s="118"/>
    </row>
    <row r="1003" spans="4:9" x14ac:dyDescent="0.25">
      <c r="E1003" s="1">
        <v>60</v>
      </c>
      <c r="G1003" s="104">
        <f>G848</f>
        <v>12375.499999999998</v>
      </c>
      <c r="H1003" s="104"/>
      <c r="I1003" s="118"/>
    </row>
    <row r="1004" spans="4:9" x14ac:dyDescent="0.25">
      <c r="E1004" s="1">
        <v>61</v>
      </c>
      <c r="G1004" s="104">
        <f>G86</f>
        <v>120</v>
      </c>
      <c r="H1004" s="104"/>
      <c r="I1004" s="118"/>
    </row>
    <row r="1005" spans="4:9" x14ac:dyDescent="0.25">
      <c r="E1005" s="1">
        <v>62</v>
      </c>
      <c r="G1005" s="104">
        <f>G801</f>
        <v>5567.9000000000005</v>
      </c>
      <c r="H1005" s="104"/>
      <c r="I1005" s="118"/>
    </row>
    <row r="1006" spans="4:9" x14ac:dyDescent="0.25">
      <c r="E1006" s="1">
        <v>63</v>
      </c>
      <c r="G1006" s="104">
        <f>G359+G646</f>
        <v>145</v>
      </c>
      <c r="H1006" s="104"/>
      <c r="I1006" s="118"/>
    </row>
    <row r="1007" spans="4:9" x14ac:dyDescent="0.25">
      <c r="E1007" s="1">
        <v>64</v>
      </c>
      <c r="G1007" s="104">
        <f>G90+G369</f>
        <v>34</v>
      </c>
      <c r="H1007" s="104"/>
      <c r="I1007" s="118"/>
    </row>
    <row r="1008" spans="4:9" x14ac:dyDescent="0.25">
      <c r="E1008" s="1">
        <v>65</v>
      </c>
      <c r="G1008" s="104">
        <f>G874</f>
        <v>600</v>
      </c>
      <c r="H1008" s="104"/>
      <c r="I1008" s="118"/>
    </row>
    <row r="1009" spans="7:9" x14ac:dyDescent="0.25">
      <c r="G1009" s="104">
        <f>SUM(G993:G1008)</f>
        <v>223105.80000000002</v>
      </c>
      <c r="H1009" s="104"/>
      <c r="I1009" s="118"/>
    </row>
    <row r="1010" spans="7:9" x14ac:dyDescent="0.25">
      <c r="G1010" s="104"/>
      <c r="H1010" s="104"/>
      <c r="I1010" s="118"/>
    </row>
  </sheetData>
  <mergeCells count="5">
    <mergeCell ref="A4:G4"/>
    <mergeCell ref="A5:G5"/>
    <mergeCell ref="J381:K387"/>
    <mergeCell ref="J666:K672"/>
    <mergeCell ref="J741:K747"/>
  </mergeCells>
  <pageMargins left="0.39370078740157483" right="0.39370078740157483" top="1.1811023622047245" bottom="0.39370078740157483" header="0.31496062992125984" footer="0.31496062992125984"/>
  <pageSetup paperSize="9" scale="65" orientation="portrait" r:id="rId1"/>
  <rowBreaks count="1" manualBreakCount="1">
    <brk id="975" max="6" man="1"/>
  </rowBreaks>
  <colBreaks count="1" manualBreakCount="1">
    <brk id="8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151"/>
  <sheetViews>
    <sheetView topLeftCell="A1085" zoomScaleNormal="100" zoomScaleSheetLayoutView="100" workbookViewId="0">
      <selection activeCell="H107" sqref="H107"/>
    </sheetView>
  </sheetViews>
  <sheetFormatPr defaultRowHeight="15" x14ac:dyDescent="0.25"/>
  <cols>
    <col min="1" max="1" width="55" style="204" customWidth="1"/>
    <col min="2" max="2" width="6.42578125" style="204" customWidth="1"/>
    <col min="3" max="3" width="6" style="204" customWidth="1"/>
    <col min="4" max="4" width="5.140625" style="204" customWidth="1"/>
    <col min="5" max="5" width="15.85546875" style="204" customWidth="1"/>
    <col min="6" max="6" width="7" style="204" customWidth="1"/>
    <col min="7" max="7" width="15.85546875" style="115" customWidth="1"/>
    <col min="8" max="8" width="16" style="115" customWidth="1"/>
    <col min="9" max="9" width="13.28515625" hidden="1" customWidth="1"/>
    <col min="10" max="11" width="0" hidden="1" customWidth="1"/>
    <col min="12" max="12" width="10.42578125" customWidth="1"/>
    <col min="13" max="13" width="10.85546875" customWidth="1"/>
    <col min="14" max="14" width="9.28515625" customWidth="1"/>
    <col min="15" max="15" width="7.42578125" customWidth="1"/>
    <col min="16" max="16" width="8" customWidth="1"/>
    <col min="17" max="17" width="7.7109375" customWidth="1"/>
    <col min="18" max="18" width="7.140625" customWidth="1"/>
    <col min="19" max="23" width="8.140625" style="203" customWidth="1"/>
    <col min="24" max="24" width="6.7109375" customWidth="1"/>
    <col min="25" max="27" width="7.42578125" style="203" customWidth="1"/>
  </cols>
  <sheetData>
    <row r="1" spans="1:9" ht="18.75" customHeight="1" x14ac:dyDescent="0.25">
      <c r="A1" s="63"/>
      <c r="B1" s="63"/>
      <c r="C1" s="63"/>
      <c r="D1" s="63"/>
      <c r="G1" s="724" t="s">
        <v>1518</v>
      </c>
      <c r="H1" s="724"/>
      <c r="I1" s="204"/>
    </row>
    <row r="2" spans="1:9" ht="18.75" customHeight="1" x14ac:dyDescent="0.25">
      <c r="A2" s="63"/>
      <c r="B2" s="63"/>
      <c r="C2" s="63"/>
      <c r="D2" s="63"/>
      <c r="G2" s="724" t="s">
        <v>1517</v>
      </c>
      <c r="H2" s="724"/>
      <c r="I2" s="204"/>
    </row>
    <row r="3" spans="1:9" s="203" customFormat="1" ht="18.75" customHeight="1" x14ac:dyDescent="0.25">
      <c r="A3" s="63"/>
      <c r="B3" s="63"/>
      <c r="C3" s="63"/>
      <c r="D3" s="63"/>
      <c r="E3" s="204"/>
      <c r="F3" s="204"/>
      <c r="G3" s="724" t="s">
        <v>1509</v>
      </c>
      <c r="H3" s="724"/>
      <c r="I3" s="204"/>
    </row>
    <row r="4" spans="1:9" ht="15.75" x14ac:dyDescent="0.25">
      <c r="A4" s="740"/>
      <c r="B4" s="740"/>
      <c r="C4" s="740"/>
      <c r="D4" s="740"/>
      <c r="E4" s="740"/>
      <c r="F4" s="740"/>
      <c r="I4" s="204"/>
    </row>
    <row r="5" spans="1:9" ht="15.75" x14ac:dyDescent="0.25">
      <c r="A5" s="731" t="s">
        <v>1289</v>
      </c>
      <c r="B5" s="731"/>
      <c r="C5" s="731"/>
      <c r="D5" s="731"/>
      <c r="E5" s="731"/>
      <c r="F5" s="731"/>
      <c r="G5" s="731"/>
      <c r="H5" s="731"/>
      <c r="I5" s="204"/>
    </row>
    <row r="6" spans="1:9" ht="15.75" x14ac:dyDescent="0.25">
      <c r="A6" s="367"/>
      <c r="B6" s="367"/>
      <c r="C6" s="367"/>
      <c r="D6" s="367"/>
      <c r="E6" s="367"/>
      <c r="F6" s="367"/>
      <c r="I6" s="204"/>
    </row>
    <row r="7" spans="1:9" ht="15.75" x14ac:dyDescent="0.25">
      <c r="A7" s="13"/>
      <c r="B7" s="13"/>
      <c r="C7" s="13"/>
      <c r="D7" s="13"/>
      <c r="E7" s="13"/>
      <c r="F7" s="13"/>
      <c r="G7" s="275" t="s">
        <v>1</v>
      </c>
      <c r="H7" s="275"/>
      <c r="I7" s="204"/>
    </row>
    <row r="8" spans="1:9" ht="63" x14ac:dyDescent="0.25">
      <c r="A8" s="366" t="s">
        <v>110</v>
      </c>
      <c r="B8" s="366" t="s">
        <v>111</v>
      </c>
      <c r="C8" s="15" t="s">
        <v>112</v>
      </c>
      <c r="D8" s="15" t="s">
        <v>113</v>
      </c>
      <c r="E8" s="15" t="s">
        <v>114</v>
      </c>
      <c r="F8" s="15" t="s">
        <v>115</v>
      </c>
      <c r="G8" s="392" t="s">
        <v>1027</v>
      </c>
      <c r="H8" s="392" t="s">
        <v>1290</v>
      </c>
      <c r="I8" s="204"/>
    </row>
    <row r="9" spans="1:9" s="203" customFormat="1" ht="15.75" x14ac:dyDescent="0.25">
      <c r="A9" s="308" t="s">
        <v>1411</v>
      </c>
      <c r="B9" s="366"/>
      <c r="C9" s="15"/>
      <c r="D9" s="15"/>
      <c r="E9" s="15"/>
      <c r="F9" s="15"/>
      <c r="G9" s="59">
        <v>12478.69</v>
      </c>
      <c r="H9" s="59">
        <v>25451.88</v>
      </c>
      <c r="I9" s="204"/>
    </row>
    <row r="10" spans="1:9" ht="31.5" x14ac:dyDescent="0.25">
      <c r="A10" s="19" t="s">
        <v>116</v>
      </c>
      <c r="B10" s="19">
        <v>901</v>
      </c>
      <c r="C10" s="20"/>
      <c r="D10" s="20"/>
      <c r="E10" s="20"/>
      <c r="F10" s="20"/>
      <c r="G10" s="21">
        <f>G11+G25</f>
        <v>13506</v>
      </c>
      <c r="H10" s="21">
        <f>H11+H25</f>
        <v>13506</v>
      </c>
      <c r="I10" s="204"/>
    </row>
    <row r="11" spans="1:9" ht="15.75" x14ac:dyDescent="0.25">
      <c r="A11" s="23" t="s">
        <v>117</v>
      </c>
      <c r="B11" s="19">
        <v>901</v>
      </c>
      <c r="C11" s="24" t="s">
        <v>118</v>
      </c>
      <c r="D11" s="20"/>
      <c r="E11" s="20"/>
      <c r="F11" s="20"/>
      <c r="G11" s="21">
        <f t="shared" ref="G11:H13" si="0">G12</f>
        <v>13506</v>
      </c>
      <c r="H11" s="21">
        <f t="shared" si="0"/>
        <v>13506</v>
      </c>
      <c r="I11" s="204"/>
    </row>
    <row r="12" spans="1:9" ht="51" customHeight="1" x14ac:dyDescent="0.25">
      <c r="A12" s="23" t="s">
        <v>119</v>
      </c>
      <c r="B12" s="19">
        <v>901</v>
      </c>
      <c r="C12" s="24" t="s">
        <v>118</v>
      </c>
      <c r="D12" s="24" t="s">
        <v>120</v>
      </c>
      <c r="E12" s="24"/>
      <c r="F12" s="24"/>
      <c r="G12" s="21">
        <f t="shared" si="0"/>
        <v>13506</v>
      </c>
      <c r="H12" s="21">
        <f t="shared" si="0"/>
        <v>13506</v>
      </c>
      <c r="I12" s="204"/>
    </row>
    <row r="13" spans="1:9" ht="31.5" x14ac:dyDescent="0.25">
      <c r="A13" s="23" t="s">
        <v>917</v>
      </c>
      <c r="B13" s="19">
        <v>901</v>
      </c>
      <c r="C13" s="24" t="s">
        <v>118</v>
      </c>
      <c r="D13" s="24" t="s">
        <v>120</v>
      </c>
      <c r="E13" s="24" t="s">
        <v>858</v>
      </c>
      <c r="F13" s="24"/>
      <c r="G13" s="21">
        <f t="shared" si="0"/>
        <v>13506</v>
      </c>
      <c r="H13" s="21">
        <f t="shared" si="0"/>
        <v>13506</v>
      </c>
      <c r="I13" s="204"/>
    </row>
    <row r="14" spans="1:9" ht="15.75" x14ac:dyDescent="0.25">
      <c r="A14" s="23" t="s">
        <v>918</v>
      </c>
      <c r="B14" s="19">
        <v>901</v>
      </c>
      <c r="C14" s="24" t="s">
        <v>118</v>
      </c>
      <c r="D14" s="24" t="s">
        <v>120</v>
      </c>
      <c r="E14" s="24" t="s">
        <v>859</v>
      </c>
      <c r="F14" s="24"/>
      <c r="G14" s="21">
        <f>G15+G22</f>
        <v>13506</v>
      </c>
      <c r="H14" s="21">
        <f>H15+H22</f>
        <v>13506</v>
      </c>
      <c r="I14" s="204"/>
    </row>
    <row r="15" spans="1:9" ht="31.5" x14ac:dyDescent="0.25">
      <c r="A15" s="25" t="s">
        <v>897</v>
      </c>
      <c r="B15" s="16">
        <v>901</v>
      </c>
      <c r="C15" s="20" t="s">
        <v>118</v>
      </c>
      <c r="D15" s="20" t="s">
        <v>120</v>
      </c>
      <c r="E15" s="20" t="s">
        <v>860</v>
      </c>
      <c r="F15" s="20"/>
      <c r="G15" s="26">
        <f>G16+G18+G20</f>
        <v>13086</v>
      </c>
      <c r="H15" s="26">
        <f>H16+H18+H20</f>
        <v>13086</v>
      </c>
      <c r="I15" s="204"/>
    </row>
    <row r="16" spans="1:9" ht="78.75" x14ac:dyDescent="0.25">
      <c r="A16" s="25" t="s">
        <v>127</v>
      </c>
      <c r="B16" s="16">
        <v>901</v>
      </c>
      <c r="C16" s="20" t="s">
        <v>118</v>
      </c>
      <c r="D16" s="20" t="s">
        <v>120</v>
      </c>
      <c r="E16" s="20" t="s">
        <v>860</v>
      </c>
      <c r="F16" s="20" t="s">
        <v>128</v>
      </c>
      <c r="G16" s="26">
        <f>G17</f>
        <v>12081</v>
      </c>
      <c r="H16" s="26">
        <f>H17</f>
        <v>12081</v>
      </c>
      <c r="I16" s="204"/>
    </row>
    <row r="17" spans="1:12" ht="31.5" x14ac:dyDescent="0.25">
      <c r="A17" s="25" t="s">
        <v>129</v>
      </c>
      <c r="B17" s="16">
        <v>901</v>
      </c>
      <c r="C17" s="20" t="s">
        <v>118</v>
      </c>
      <c r="D17" s="20" t="s">
        <v>120</v>
      </c>
      <c r="E17" s="20" t="s">
        <v>860</v>
      </c>
      <c r="F17" s="20" t="s">
        <v>130</v>
      </c>
      <c r="G17" s="26">
        <v>12081</v>
      </c>
      <c r="H17" s="26">
        <f t="shared" ref="H17:H97" si="1">G17</f>
        <v>12081</v>
      </c>
      <c r="I17" s="204"/>
    </row>
    <row r="18" spans="1:12" ht="31.5" x14ac:dyDescent="0.25">
      <c r="A18" s="25" t="s">
        <v>131</v>
      </c>
      <c r="B18" s="16">
        <v>901</v>
      </c>
      <c r="C18" s="20" t="s">
        <v>118</v>
      </c>
      <c r="D18" s="20" t="s">
        <v>120</v>
      </c>
      <c r="E18" s="20" t="s">
        <v>860</v>
      </c>
      <c r="F18" s="20" t="s">
        <v>132</v>
      </c>
      <c r="G18" s="26">
        <f>G19</f>
        <v>977</v>
      </c>
      <c r="H18" s="26">
        <f>H19</f>
        <v>977</v>
      </c>
      <c r="I18" s="204"/>
    </row>
    <row r="19" spans="1:12" ht="31.5" x14ac:dyDescent="0.25">
      <c r="A19" s="25" t="s">
        <v>133</v>
      </c>
      <c r="B19" s="16">
        <v>901</v>
      </c>
      <c r="C19" s="20" t="s">
        <v>118</v>
      </c>
      <c r="D19" s="20" t="s">
        <v>120</v>
      </c>
      <c r="E19" s="20" t="s">
        <v>860</v>
      </c>
      <c r="F19" s="20" t="s">
        <v>134</v>
      </c>
      <c r="G19" s="26">
        <v>977</v>
      </c>
      <c r="H19" s="26">
        <f t="shared" si="1"/>
        <v>977</v>
      </c>
      <c r="I19" s="204"/>
    </row>
    <row r="20" spans="1:12" ht="15.75" x14ac:dyDescent="0.25">
      <c r="A20" s="25" t="s">
        <v>135</v>
      </c>
      <c r="B20" s="16">
        <v>901</v>
      </c>
      <c r="C20" s="20" t="s">
        <v>118</v>
      </c>
      <c r="D20" s="20" t="s">
        <v>120</v>
      </c>
      <c r="E20" s="20" t="s">
        <v>860</v>
      </c>
      <c r="F20" s="20" t="s">
        <v>136</v>
      </c>
      <c r="G20" s="26">
        <f>G21</f>
        <v>28</v>
      </c>
      <c r="H20" s="26">
        <f>H21</f>
        <v>28</v>
      </c>
      <c r="I20" s="204"/>
    </row>
    <row r="21" spans="1:12" ht="15.75" x14ac:dyDescent="0.25">
      <c r="A21" s="25" t="s">
        <v>568</v>
      </c>
      <c r="B21" s="16">
        <v>901</v>
      </c>
      <c r="C21" s="20" t="s">
        <v>118</v>
      </c>
      <c r="D21" s="20" t="s">
        <v>120</v>
      </c>
      <c r="E21" s="20" t="s">
        <v>860</v>
      </c>
      <c r="F21" s="20" t="s">
        <v>138</v>
      </c>
      <c r="G21" s="26">
        <v>28</v>
      </c>
      <c r="H21" s="26">
        <v>28</v>
      </c>
      <c r="I21" s="204"/>
    </row>
    <row r="22" spans="1:12" ht="47.25" x14ac:dyDescent="0.25">
      <c r="A22" s="25" t="s">
        <v>839</v>
      </c>
      <c r="B22" s="16">
        <v>901</v>
      </c>
      <c r="C22" s="20" t="s">
        <v>118</v>
      </c>
      <c r="D22" s="20" t="s">
        <v>120</v>
      </c>
      <c r="E22" s="20" t="s">
        <v>862</v>
      </c>
      <c r="F22" s="20"/>
      <c r="G22" s="26">
        <f>G23</f>
        <v>420</v>
      </c>
      <c r="H22" s="26">
        <f>H23</f>
        <v>420</v>
      </c>
      <c r="I22" s="204"/>
    </row>
    <row r="23" spans="1:12" ht="78.75" x14ac:dyDescent="0.25">
      <c r="A23" s="25" t="s">
        <v>127</v>
      </c>
      <c r="B23" s="16">
        <v>901</v>
      </c>
      <c r="C23" s="20" t="s">
        <v>118</v>
      </c>
      <c r="D23" s="20" t="s">
        <v>120</v>
      </c>
      <c r="E23" s="20" t="s">
        <v>862</v>
      </c>
      <c r="F23" s="20" t="s">
        <v>128</v>
      </c>
      <c r="G23" s="26">
        <f>G24</f>
        <v>420</v>
      </c>
      <c r="H23" s="26">
        <f>H24</f>
        <v>420</v>
      </c>
      <c r="I23" s="204"/>
    </row>
    <row r="24" spans="1:12" ht="31.5" x14ac:dyDescent="0.25">
      <c r="A24" s="25" t="s">
        <v>129</v>
      </c>
      <c r="B24" s="16">
        <v>901</v>
      </c>
      <c r="C24" s="20" t="s">
        <v>118</v>
      </c>
      <c r="D24" s="20" t="s">
        <v>120</v>
      </c>
      <c r="E24" s="20" t="s">
        <v>862</v>
      </c>
      <c r="F24" s="20" t="s">
        <v>130</v>
      </c>
      <c r="G24" s="26">
        <v>420</v>
      </c>
      <c r="H24" s="26">
        <v>420</v>
      </c>
      <c r="I24" s="204"/>
    </row>
    <row r="25" spans="1:12" s="203" customFormat="1" ht="15.75" hidden="1" x14ac:dyDescent="0.25">
      <c r="A25" s="23" t="s">
        <v>139</v>
      </c>
      <c r="B25" s="19">
        <v>901</v>
      </c>
      <c r="C25" s="24" t="s">
        <v>118</v>
      </c>
      <c r="D25" s="24" t="s">
        <v>140</v>
      </c>
      <c r="E25" s="24"/>
      <c r="F25" s="24"/>
      <c r="G25" s="21">
        <f t="shared" ref="G25:H29" si="2">G26</f>
        <v>0</v>
      </c>
      <c r="H25" s="21">
        <f t="shared" si="2"/>
        <v>0</v>
      </c>
      <c r="I25" s="204"/>
    </row>
    <row r="26" spans="1:12" s="203" customFormat="1" ht="15.75" hidden="1" x14ac:dyDescent="0.25">
      <c r="A26" s="23" t="s">
        <v>141</v>
      </c>
      <c r="B26" s="19">
        <v>901</v>
      </c>
      <c r="C26" s="24" t="s">
        <v>118</v>
      </c>
      <c r="D26" s="24" t="s">
        <v>140</v>
      </c>
      <c r="E26" s="24" t="s">
        <v>866</v>
      </c>
      <c r="F26" s="24"/>
      <c r="G26" s="21">
        <f t="shared" si="2"/>
        <v>0</v>
      </c>
      <c r="H26" s="21">
        <f t="shared" si="2"/>
        <v>0</v>
      </c>
      <c r="I26" s="204"/>
    </row>
    <row r="27" spans="1:12" s="203" customFormat="1" ht="31.5" hidden="1" x14ac:dyDescent="0.25">
      <c r="A27" s="23" t="s">
        <v>870</v>
      </c>
      <c r="B27" s="19">
        <v>901</v>
      </c>
      <c r="C27" s="24" t="s">
        <v>118</v>
      </c>
      <c r="D27" s="24" t="s">
        <v>140</v>
      </c>
      <c r="E27" s="24" t="s">
        <v>865</v>
      </c>
      <c r="F27" s="24"/>
      <c r="G27" s="21">
        <f t="shared" si="2"/>
        <v>0</v>
      </c>
      <c r="H27" s="21">
        <f t="shared" si="2"/>
        <v>0</v>
      </c>
      <c r="I27" s="204"/>
    </row>
    <row r="28" spans="1:12" s="203" customFormat="1" ht="15.75" hidden="1" x14ac:dyDescent="0.25">
      <c r="A28" s="25" t="s">
        <v>1137</v>
      </c>
      <c r="B28" s="16">
        <v>901</v>
      </c>
      <c r="C28" s="20" t="s">
        <v>118</v>
      </c>
      <c r="D28" s="20" t="s">
        <v>140</v>
      </c>
      <c r="E28" s="20" t="s">
        <v>1138</v>
      </c>
      <c r="F28" s="20"/>
      <c r="G28" s="26">
        <f t="shared" si="2"/>
        <v>0</v>
      </c>
      <c r="H28" s="26">
        <f t="shared" si="2"/>
        <v>0</v>
      </c>
      <c r="I28" s="204"/>
    </row>
    <row r="29" spans="1:12" s="203" customFormat="1" ht="15.75" hidden="1" x14ac:dyDescent="0.25">
      <c r="A29" s="25" t="s">
        <v>135</v>
      </c>
      <c r="B29" s="16">
        <v>901</v>
      </c>
      <c r="C29" s="20" t="s">
        <v>118</v>
      </c>
      <c r="D29" s="20" t="s">
        <v>140</v>
      </c>
      <c r="E29" s="20" t="s">
        <v>1138</v>
      </c>
      <c r="F29" s="20" t="s">
        <v>145</v>
      </c>
      <c r="G29" s="26">
        <f>G30</f>
        <v>0</v>
      </c>
      <c r="H29" s="26">
        <f t="shared" si="2"/>
        <v>0</v>
      </c>
      <c r="I29" s="204"/>
    </row>
    <row r="30" spans="1:12" s="203" customFormat="1" ht="15.75" hidden="1" x14ac:dyDescent="0.25">
      <c r="A30" s="25" t="s">
        <v>1137</v>
      </c>
      <c r="B30" s="16">
        <v>901</v>
      </c>
      <c r="C30" s="20" t="s">
        <v>118</v>
      </c>
      <c r="D30" s="20" t="s">
        <v>140</v>
      </c>
      <c r="E30" s="20" t="s">
        <v>1138</v>
      </c>
      <c r="F30" s="20" t="s">
        <v>1139</v>
      </c>
      <c r="G30" s="26">
        <v>0</v>
      </c>
      <c r="H30" s="26">
        <v>0</v>
      </c>
      <c r="I30" s="204"/>
      <c r="L30" s="203" t="s">
        <v>1294</v>
      </c>
    </row>
    <row r="31" spans="1:12" ht="21.75" customHeight="1" x14ac:dyDescent="0.25">
      <c r="A31" s="19" t="s">
        <v>148</v>
      </c>
      <c r="B31" s="19">
        <v>902</v>
      </c>
      <c r="C31" s="20"/>
      <c r="D31" s="20"/>
      <c r="E31" s="20"/>
      <c r="F31" s="20"/>
      <c r="G31" s="21">
        <f>G32+G172+G191+G218+G165</f>
        <v>79192.81</v>
      </c>
      <c r="H31" s="21">
        <f>H32+H172+H191+H218+H165</f>
        <v>66013.72</v>
      </c>
      <c r="I31" s="204"/>
    </row>
    <row r="32" spans="1:12" ht="15.75" x14ac:dyDescent="0.25">
      <c r="A32" s="23" t="s">
        <v>117</v>
      </c>
      <c r="B32" s="19">
        <v>902</v>
      </c>
      <c r="C32" s="24" t="s">
        <v>118</v>
      </c>
      <c r="D32" s="20"/>
      <c r="E32" s="20"/>
      <c r="F32" s="20"/>
      <c r="G32" s="21">
        <f>G52+G113+G130+G122+G33</f>
        <v>56938.81</v>
      </c>
      <c r="H32" s="21">
        <f>H52+H113+H130+H122+H33</f>
        <v>43793.119999999995</v>
      </c>
      <c r="I32" s="204"/>
    </row>
    <row r="33" spans="1:9" s="203" customFormat="1" ht="47.25" x14ac:dyDescent="0.25">
      <c r="A33" s="23" t="s">
        <v>575</v>
      </c>
      <c r="B33" s="19">
        <v>902</v>
      </c>
      <c r="C33" s="24" t="s">
        <v>118</v>
      </c>
      <c r="D33" s="24" t="s">
        <v>213</v>
      </c>
      <c r="E33" s="20"/>
      <c r="F33" s="20"/>
      <c r="G33" s="21">
        <f>G34+G44</f>
        <v>4867.3999999999996</v>
      </c>
      <c r="H33" s="21">
        <f>H34+H44</f>
        <v>4867.3999999999996</v>
      </c>
      <c r="I33" s="204"/>
    </row>
    <row r="34" spans="1:9" s="203" customFormat="1" ht="31.5" x14ac:dyDescent="0.25">
      <c r="A34" s="23" t="s">
        <v>917</v>
      </c>
      <c r="B34" s="19">
        <v>902</v>
      </c>
      <c r="C34" s="24" t="s">
        <v>118</v>
      </c>
      <c r="D34" s="24" t="s">
        <v>213</v>
      </c>
      <c r="E34" s="24" t="s">
        <v>858</v>
      </c>
      <c r="F34" s="20"/>
      <c r="G34" s="21">
        <f>G35</f>
        <v>4826.8999999999996</v>
      </c>
      <c r="H34" s="21">
        <f>H35</f>
        <v>4826.8999999999996</v>
      </c>
      <c r="I34" s="204"/>
    </row>
    <row r="35" spans="1:9" s="203" customFormat="1" ht="15.75" x14ac:dyDescent="0.25">
      <c r="A35" s="23" t="s">
        <v>918</v>
      </c>
      <c r="B35" s="19">
        <v>902</v>
      </c>
      <c r="C35" s="24" t="s">
        <v>118</v>
      </c>
      <c r="D35" s="24" t="s">
        <v>213</v>
      </c>
      <c r="E35" s="24" t="s">
        <v>859</v>
      </c>
      <c r="F35" s="20"/>
      <c r="G35" s="21">
        <f>G36+G41</f>
        <v>4826.8999999999996</v>
      </c>
      <c r="H35" s="21">
        <f>H36+H41</f>
        <v>4826.8999999999996</v>
      </c>
      <c r="I35" s="204"/>
    </row>
    <row r="36" spans="1:9" s="203" customFormat="1" ht="31.5" x14ac:dyDescent="0.25">
      <c r="A36" s="25" t="s">
        <v>576</v>
      </c>
      <c r="B36" s="16">
        <v>902</v>
      </c>
      <c r="C36" s="20" t="s">
        <v>118</v>
      </c>
      <c r="D36" s="20" t="s">
        <v>213</v>
      </c>
      <c r="E36" s="20" t="s">
        <v>1330</v>
      </c>
      <c r="F36" s="20"/>
      <c r="G36" s="26">
        <f>G37+G39</f>
        <v>4826.8999999999996</v>
      </c>
      <c r="H36" s="26">
        <f>H37+H39</f>
        <v>4826.8999999999996</v>
      </c>
      <c r="I36" s="204"/>
    </row>
    <row r="37" spans="1:9" s="203" customFormat="1" ht="78.75" x14ac:dyDescent="0.25">
      <c r="A37" s="25" t="s">
        <v>127</v>
      </c>
      <c r="B37" s="16">
        <v>902</v>
      </c>
      <c r="C37" s="20" t="s">
        <v>118</v>
      </c>
      <c r="D37" s="20" t="s">
        <v>213</v>
      </c>
      <c r="E37" s="20" t="s">
        <v>1330</v>
      </c>
      <c r="F37" s="20" t="s">
        <v>128</v>
      </c>
      <c r="G37" s="26">
        <f>G38</f>
        <v>4736.8999999999996</v>
      </c>
      <c r="H37" s="26">
        <f>H38</f>
        <v>4736.8999999999996</v>
      </c>
      <c r="I37" s="204"/>
    </row>
    <row r="38" spans="1:9" s="203" customFormat="1" ht="31.5" x14ac:dyDescent="0.25">
      <c r="A38" s="25" t="s">
        <v>129</v>
      </c>
      <c r="B38" s="16">
        <v>902</v>
      </c>
      <c r="C38" s="20" t="s">
        <v>118</v>
      </c>
      <c r="D38" s="20" t="s">
        <v>213</v>
      </c>
      <c r="E38" s="20" t="s">
        <v>1330</v>
      </c>
      <c r="F38" s="20" t="s">
        <v>130</v>
      </c>
      <c r="G38" s="27">
        <v>4736.8999999999996</v>
      </c>
      <c r="H38" s="26">
        <f>G38</f>
        <v>4736.8999999999996</v>
      </c>
      <c r="I38" s="204"/>
    </row>
    <row r="39" spans="1:9" s="203" customFormat="1" ht="31.5" x14ac:dyDescent="0.25">
      <c r="A39" s="25" t="s">
        <v>198</v>
      </c>
      <c r="B39" s="16">
        <v>902</v>
      </c>
      <c r="C39" s="20" t="s">
        <v>118</v>
      </c>
      <c r="D39" s="20" t="s">
        <v>213</v>
      </c>
      <c r="E39" s="20" t="s">
        <v>1330</v>
      </c>
      <c r="F39" s="20" t="s">
        <v>132</v>
      </c>
      <c r="G39" s="26">
        <f>G40</f>
        <v>90</v>
      </c>
      <c r="H39" s="26">
        <f>H40</f>
        <v>90</v>
      </c>
      <c r="I39" s="204"/>
    </row>
    <row r="40" spans="1:9" s="203" customFormat="1" ht="32.65" customHeight="1" x14ac:dyDescent="0.25">
      <c r="A40" s="25" t="s">
        <v>133</v>
      </c>
      <c r="B40" s="16">
        <v>902</v>
      </c>
      <c r="C40" s="20" t="s">
        <v>118</v>
      </c>
      <c r="D40" s="20" t="s">
        <v>213</v>
      </c>
      <c r="E40" s="20" t="s">
        <v>1330</v>
      </c>
      <c r="F40" s="20" t="s">
        <v>134</v>
      </c>
      <c r="G40" s="26">
        <v>90</v>
      </c>
      <c r="H40" s="26">
        <f>G40</f>
        <v>90</v>
      </c>
      <c r="I40" s="204"/>
    </row>
    <row r="41" spans="1:9" s="203" customFormat="1" ht="47.25" hidden="1" x14ac:dyDescent="0.25">
      <c r="A41" s="25" t="s">
        <v>839</v>
      </c>
      <c r="B41" s="16">
        <v>902</v>
      </c>
      <c r="C41" s="20" t="s">
        <v>118</v>
      </c>
      <c r="D41" s="20" t="s">
        <v>213</v>
      </c>
      <c r="E41" s="20" t="s">
        <v>862</v>
      </c>
      <c r="F41" s="20"/>
      <c r="G41" s="26">
        <f>G42</f>
        <v>0</v>
      </c>
      <c r="H41" s="26">
        <f>G41</f>
        <v>0</v>
      </c>
      <c r="I41" s="204"/>
    </row>
    <row r="42" spans="1:9" s="203" customFormat="1" ht="78.75" hidden="1" x14ac:dyDescent="0.25">
      <c r="A42" s="25" t="s">
        <v>127</v>
      </c>
      <c r="B42" s="16">
        <v>902</v>
      </c>
      <c r="C42" s="20" t="s">
        <v>118</v>
      </c>
      <c r="D42" s="20" t="s">
        <v>213</v>
      </c>
      <c r="E42" s="20" t="s">
        <v>862</v>
      </c>
      <c r="F42" s="20" t="s">
        <v>128</v>
      </c>
      <c r="G42" s="26">
        <f>G43</f>
        <v>0</v>
      </c>
      <c r="H42" s="26">
        <f>G42</f>
        <v>0</v>
      </c>
      <c r="I42" s="204"/>
    </row>
    <row r="43" spans="1:9" s="203" customFormat="1" ht="31.5" hidden="1" x14ac:dyDescent="0.25">
      <c r="A43" s="25" t="s">
        <v>129</v>
      </c>
      <c r="B43" s="16">
        <v>902</v>
      </c>
      <c r="C43" s="20" t="s">
        <v>118</v>
      </c>
      <c r="D43" s="20" t="s">
        <v>213</v>
      </c>
      <c r="E43" s="20" t="s">
        <v>862</v>
      </c>
      <c r="F43" s="20" t="s">
        <v>130</v>
      </c>
      <c r="G43" s="26">
        <f>42-42</f>
        <v>0</v>
      </c>
      <c r="H43" s="26">
        <f>G43</f>
        <v>0</v>
      </c>
      <c r="I43" s="204"/>
    </row>
    <row r="44" spans="1:9" s="203" customFormat="1" ht="47.25" x14ac:dyDescent="0.25">
      <c r="A44" s="23" t="s">
        <v>1364</v>
      </c>
      <c r="B44" s="19">
        <v>902</v>
      </c>
      <c r="C44" s="24" t="s">
        <v>118</v>
      </c>
      <c r="D44" s="24" t="s">
        <v>213</v>
      </c>
      <c r="E44" s="24" t="s">
        <v>162</v>
      </c>
      <c r="F44" s="24"/>
      <c r="G44" s="21">
        <f>G45</f>
        <v>40.5</v>
      </c>
      <c r="H44" s="21">
        <f>H45</f>
        <v>40.5</v>
      </c>
      <c r="I44" s="204"/>
    </row>
    <row r="45" spans="1:9" s="203" customFormat="1" ht="63" x14ac:dyDescent="0.25">
      <c r="A45" s="220" t="s">
        <v>843</v>
      </c>
      <c r="B45" s="19">
        <v>902</v>
      </c>
      <c r="C45" s="24" t="s">
        <v>118</v>
      </c>
      <c r="D45" s="24" t="s">
        <v>213</v>
      </c>
      <c r="E45" s="7" t="s">
        <v>850</v>
      </c>
      <c r="F45" s="24"/>
      <c r="G45" s="21">
        <f>G46+G49</f>
        <v>40.5</v>
      </c>
      <c r="H45" s="21">
        <f>H46+H49</f>
        <v>40.5</v>
      </c>
      <c r="I45" s="204"/>
    </row>
    <row r="46" spans="1:9" s="203" customFormat="1" ht="47.25" x14ac:dyDescent="0.25">
      <c r="A46" s="31" t="s">
        <v>1094</v>
      </c>
      <c r="B46" s="16">
        <v>902</v>
      </c>
      <c r="C46" s="20" t="s">
        <v>118</v>
      </c>
      <c r="D46" s="20" t="s">
        <v>213</v>
      </c>
      <c r="E46" s="40" t="s">
        <v>993</v>
      </c>
      <c r="F46" s="20"/>
      <c r="G46" s="26">
        <f>G47</f>
        <v>40.5</v>
      </c>
      <c r="H46" s="26">
        <f>H47</f>
        <v>40.5</v>
      </c>
      <c r="I46" s="204"/>
    </row>
    <row r="47" spans="1:9" s="203" customFormat="1" ht="31.5" x14ac:dyDescent="0.25">
      <c r="A47" s="25" t="s">
        <v>131</v>
      </c>
      <c r="B47" s="16">
        <v>902</v>
      </c>
      <c r="C47" s="20" t="s">
        <v>118</v>
      </c>
      <c r="D47" s="20" t="s">
        <v>213</v>
      </c>
      <c r="E47" s="40" t="s">
        <v>993</v>
      </c>
      <c r="F47" s="20" t="s">
        <v>132</v>
      </c>
      <c r="G47" s="26">
        <f>G48</f>
        <v>40.5</v>
      </c>
      <c r="H47" s="26">
        <f>H48</f>
        <v>40.5</v>
      </c>
      <c r="I47" s="204"/>
    </row>
    <row r="48" spans="1:9" s="203" customFormat="1" ht="31.5" x14ac:dyDescent="0.25">
      <c r="A48" s="25" t="s">
        <v>133</v>
      </c>
      <c r="B48" s="16">
        <v>902</v>
      </c>
      <c r="C48" s="20" t="s">
        <v>118</v>
      </c>
      <c r="D48" s="20" t="s">
        <v>213</v>
      </c>
      <c r="E48" s="40" t="s">
        <v>696</v>
      </c>
      <c r="F48" s="20" t="s">
        <v>134</v>
      </c>
      <c r="G48" s="26">
        <f>0.5+40</f>
        <v>40.5</v>
      </c>
      <c r="H48" s="26">
        <f>G48</f>
        <v>40.5</v>
      </c>
      <c r="I48" s="204"/>
    </row>
    <row r="49" spans="1:9" s="203" customFormat="1" ht="47.25" hidden="1" x14ac:dyDescent="0.25">
      <c r="A49" s="31" t="s">
        <v>695</v>
      </c>
      <c r="B49" s="16">
        <v>902</v>
      </c>
      <c r="C49" s="20" t="s">
        <v>118</v>
      </c>
      <c r="D49" s="20" t="s">
        <v>213</v>
      </c>
      <c r="E49" s="20" t="s">
        <v>992</v>
      </c>
      <c r="F49" s="20"/>
      <c r="G49" s="26">
        <f>G50</f>
        <v>0</v>
      </c>
      <c r="H49" s="26">
        <f>H50</f>
        <v>0</v>
      </c>
      <c r="I49" s="204"/>
    </row>
    <row r="50" spans="1:9" s="203" customFormat="1" ht="31.5" hidden="1" x14ac:dyDescent="0.25">
      <c r="A50" s="25" t="s">
        <v>131</v>
      </c>
      <c r="B50" s="16">
        <v>902</v>
      </c>
      <c r="C50" s="20" t="s">
        <v>118</v>
      </c>
      <c r="D50" s="20" t="s">
        <v>213</v>
      </c>
      <c r="E50" s="20" t="s">
        <v>992</v>
      </c>
      <c r="F50" s="20" t="s">
        <v>132</v>
      </c>
      <c r="G50" s="26">
        <f>G51</f>
        <v>0</v>
      </c>
      <c r="H50" s="26">
        <f>H51</f>
        <v>0</v>
      </c>
      <c r="I50" s="204"/>
    </row>
    <row r="51" spans="1:9" s="203" customFormat="1" ht="31.5" hidden="1" x14ac:dyDescent="0.25">
      <c r="A51" s="25" t="s">
        <v>133</v>
      </c>
      <c r="B51" s="16">
        <v>902</v>
      </c>
      <c r="C51" s="20" t="s">
        <v>118</v>
      </c>
      <c r="D51" s="20" t="s">
        <v>213</v>
      </c>
      <c r="E51" s="20" t="s">
        <v>992</v>
      </c>
      <c r="F51" s="20" t="s">
        <v>134</v>
      </c>
      <c r="G51" s="26"/>
      <c r="H51" s="26"/>
      <c r="I51" s="204"/>
    </row>
    <row r="52" spans="1:9" ht="63" x14ac:dyDescent="0.25">
      <c r="A52" s="23" t="s">
        <v>149</v>
      </c>
      <c r="B52" s="19">
        <v>902</v>
      </c>
      <c r="C52" s="24" t="s">
        <v>118</v>
      </c>
      <c r="D52" s="24" t="s">
        <v>150</v>
      </c>
      <c r="E52" s="24"/>
      <c r="F52" s="24"/>
      <c r="G52" s="21">
        <f>G53+G89</f>
        <v>44730.21</v>
      </c>
      <c r="H52" s="21">
        <f>H53+H89</f>
        <v>31541.519999999997</v>
      </c>
      <c r="I52" s="204"/>
    </row>
    <row r="53" spans="1:9" ht="31.5" x14ac:dyDescent="0.25">
      <c r="A53" s="23" t="s">
        <v>917</v>
      </c>
      <c r="B53" s="19">
        <v>902</v>
      </c>
      <c r="C53" s="24" t="s">
        <v>118</v>
      </c>
      <c r="D53" s="24" t="s">
        <v>150</v>
      </c>
      <c r="E53" s="24" t="s">
        <v>858</v>
      </c>
      <c r="F53" s="24"/>
      <c r="G53" s="44">
        <f>G54+G70</f>
        <v>44126.71</v>
      </c>
      <c r="H53" s="44">
        <f>H54+H70</f>
        <v>30938.019999999997</v>
      </c>
      <c r="I53" s="204"/>
    </row>
    <row r="54" spans="1:9" ht="15.75" x14ac:dyDescent="0.25">
      <c r="A54" s="23" t="s">
        <v>918</v>
      </c>
      <c r="B54" s="19">
        <v>902</v>
      </c>
      <c r="C54" s="24" t="s">
        <v>118</v>
      </c>
      <c r="D54" s="24" t="s">
        <v>150</v>
      </c>
      <c r="E54" s="24" t="s">
        <v>859</v>
      </c>
      <c r="F54" s="24"/>
      <c r="G54" s="44">
        <f>G55+G64+G67</f>
        <v>40818.11</v>
      </c>
      <c r="H54" s="44">
        <f>H55+H64+H67</f>
        <v>27844.92</v>
      </c>
      <c r="I54" s="204"/>
    </row>
    <row r="55" spans="1:9" ht="31.5" x14ac:dyDescent="0.25">
      <c r="A55" s="25" t="s">
        <v>897</v>
      </c>
      <c r="B55" s="16">
        <v>902</v>
      </c>
      <c r="C55" s="20" t="s">
        <v>118</v>
      </c>
      <c r="D55" s="20" t="s">
        <v>150</v>
      </c>
      <c r="E55" s="20" t="s">
        <v>860</v>
      </c>
      <c r="F55" s="20"/>
      <c r="G55" s="26">
        <f>G56+G58+G60+G62</f>
        <v>37155.71</v>
      </c>
      <c r="H55" s="26">
        <f>H56+H58+H60+H62</f>
        <v>24182.519999999997</v>
      </c>
      <c r="I55" s="204"/>
    </row>
    <row r="56" spans="1:9" ht="78.75" x14ac:dyDescent="0.25">
      <c r="A56" s="25" t="s">
        <v>127</v>
      </c>
      <c r="B56" s="16">
        <v>902</v>
      </c>
      <c r="C56" s="20" t="s">
        <v>118</v>
      </c>
      <c r="D56" s="20" t="s">
        <v>150</v>
      </c>
      <c r="E56" s="20" t="s">
        <v>860</v>
      </c>
      <c r="F56" s="20" t="s">
        <v>128</v>
      </c>
      <c r="G56" s="26">
        <f>G57</f>
        <v>31521.309999999998</v>
      </c>
      <c r="H56" s="26">
        <f>H57</f>
        <v>18548.12</v>
      </c>
      <c r="I56" s="204"/>
    </row>
    <row r="57" spans="1:9" ht="31.5" x14ac:dyDescent="0.25">
      <c r="A57" s="25" t="s">
        <v>129</v>
      </c>
      <c r="B57" s="16">
        <v>902</v>
      </c>
      <c r="C57" s="20" t="s">
        <v>118</v>
      </c>
      <c r="D57" s="20" t="s">
        <v>150</v>
      </c>
      <c r="E57" s="20" t="s">
        <v>860</v>
      </c>
      <c r="F57" s="20" t="s">
        <v>130</v>
      </c>
      <c r="G57" s="26">
        <f>44000-G9</f>
        <v>31521.309999999998</v>
      </c>
      <c r="H57" s="26">
        <f>44000-H9</f>
        <v>18548.12</v>
      </c>
      <c r="I57" s="204"/>
    </row>
    <row r="58" spans="1:9" ht="31.5" x14ac:dyDescent="0.25">
      <c r="A58" s="25" t="s">
        <v>131</v>
      </c>
      <c r="B58" s="16">
        <v>902</v>
      </c>
      <c r="C58" s="20" t="s">
        <v>118</v>
      </c>
      <c r="D58" s="20" t="s">
        <v>150</v>
      </c>
      <c r="E58" s="20" t="s">
        <v>860</v>
      </c>
      <c r="F58" s="20" t="s">
        <v>132</v>
      </c>
      <c r="G58" s="26">
        <f>G59</f>
        <v>5559.4</v>
      </c>
      <c r="H58" s="26">
        <f>H59</f>
        <v>5559.4</v>
      </c>
      <c r="I58" s="204"/>
    </row>
    <row r="59" spans="1:9" ht="31.5" x14ac:dyDescent="0.25">
      <c r="A59" s="25" t="s">
        <v>133</v>
      </c>
      <c r="B59" s="16">
        <v>902</v>
      </c>
      <c r="C59" s="20" t="s">
        <v>118</v>
      </c>
      <c r="D59" s="20" t="s">
        <v>150</v>
      </c>
      <c r="E59" s="20" t="s">
        <v>860</v>
      </c>
      <c r="F59" s="20" t="s">
        <v>134</v>
      </c>
      <c r="G59" s="26">
        <v>5559.4</v>
      </c>
      <c r="H59" s="26">
        <f>G59</f>
        <v>5559.4</v>
      </c>
      <c r="I59" s="204"/>
    </row>
    <row r="60" spans="1:9" ht="31.5" hidden="1" x14ac:dyDescent="0.25">
      <c r="A60" s="25" t="s">
        <v>248</v>
      </c>
      <c r="B60" s="16">
        <v>902</v>
      </c>
      <c r="C60" s="20" t="s">
        <v>118</v>
      </c>
      <c r="D60" s="20" t="s">
        <v>150</v>
      </c>
      <c r="E60" s="20" t="s">
        <v>860</v>
      </c>
      <c r="F60" s="20" t="s">
        <v>249</v>
      </c>
      <c r="G60" s="26">
        <f>G61</f>
        <v>0</v>
      </c>
      <c r="H60" s="26">
        <f>H61</f>
        <v>0</v>
      </c>
      <c r="I60" s="204"/>
    </row>
    <row r="61" spans="1:9" ht="31.5" hidden="1" x14ac:dyDescent="0.25">
      <c r="A61" s="25" t="s">
        <v>250</v>
      </c>
      <c r="B61" s="16">
        <v>902</v>
      </c>
      <c r="C61" s="20" t="s">
        <v>118</v>
      </c>
      <c r="D61" s="20" t="s">
        <v>150</v>
      </c>
      <c r="E61" s="20" t="s">
        <v>860</v>
      </c>
      <c r="F61" s="20" t="s">
        <v>251</v>
      </c>
      <c r="G61" s="26">
        <v>0</v>
      </c>
      <c r="H61" s="26">
        <f t="shared" si="1"/>
        <v>0</v>
      </c>
      <c r="I61" s="204"/>
    </row>
    <row r="62" spans="1:9" ht="15.75" x14ac:dyDescent="0.25">
      <c r="A62" s="25" t="s">
        <v>135</v>
      </c>
      <c r="B62" s="16">
        <v>902</v>
      </c>
      <c r="C62" s="20" t="s">
        <v>118</v>
      </c>
      <c r="D62" s="20" t="s">
        <v>150</v>
      </c>
      <c r="E62" s="20" t="s">
        <v>860</v>
      </c>
      <c r="F62" s="20" t="s">
        <v>145</v>
      </c>
      <c r="G62" s="26">
        <f>G63</f>
        <v>75</v>
      </c>
      <c r="H62" s="26">
        <f>H63</f>
        <v>75</v>
      </c>
      <c r="I62" s="204"/>
    </row>
    <row r="63" spans="1:9" ht="15.75" x14ac:dyDescent="0.25">
      <c r="A63" s="25" t="s">
        <v>568</v>
      </c>
      <c r="B63" s="16">
        <v>902</v>
      </c>
      <c r="C63" s="20" t="s">
        <v>118</v>
      </c>
      <c r="D63" s="20" t="s">
        <v>150</v>
      </c>
      <c r="E63" s="20" t="s">
        <v>860</v>
      </c>
      <c r="F63" s="20" t="s">
        <v>138</v>
      </c>
      <c r="G63" s="26">
        <v>75</v>
      </c>
      <c r="H63" s="26">
        <f t="shared" si="1"/>
        <v>75</v>
      </c>
      <c r="I63" s="204"/>
    </row>
    <row r="64" spans="1:9" ht="31.5" x14ac:dyDescent="0.25">
      <c r="A64" s="25" t="s">
        <v>840</v>
      </c>
      <c r="B64" s="16">
        <v>902</v>
      </c>
      <c r="C64" s="20" t="s">
        <v>118</v>
      </c>
      <c r="D64" s="20" t="s">
        <v>150</v>
      </c>
      <c r="E64" s="20" t="s">
        <v>861</v>
      </c>
      <c r="F64" s="20"/>
      <c r="G64" s="26">
        <f>G65</f>
        <v>2071.4</v>
      </c>
      <c r="H64" s="26">
        <f t="shared" si="1"/>
        <v>2071.4</v>
      </c>
      <c r="I64" s="204"/>
    </row>
    <row r="65" spans="1:9" ht="78.75" x14ac:dyDescent="0.25">
      <c r="A65" s="25" t="s">
        <v>127</v>
      </c>
      <c r="B65" s="16">
        <v>902</v>
      </c>
      <c r="C65" s="20" t="s">
        <v>118</v>
      </c>
      <c r="D65" s="20" t="s">
        <v>150</v>
      </c>
      <c r="E65" s="20" t="s">
        <v>861</v>
      </c>
      <c r="F65" s="20" t="s">
        <v>128</v>
      </c>
      <c r="G65" s="26">
        <f>G66</f>
        <v>2071.4</v>
      </c>
      <c r="H65" s="26">
        <f>H66</f>
        <v>2071.4</v>
      </c>
      <c r="I65" s="204"/>
    </row>
    <row r="66" spans="1:9" ht="31.5" x14ac:dyDescent="0.25">
      <c r="A66" s="25" t="s">
        <v>129</v>
      </c>
      <c r="B66" s="16">
        <v>902</v>
      </c>
      <c r="C66" s="20" t="s">
        <v>118</v>
      </c>
      <c r="D66" s="20" t="s">
        <v>150</v>
      </c>
      <c r="E66" s="20" t="s">
        <v>861</v>
      </c>
      <c r="F66" s="20" t="s">
        <v>130</v>
      </c>
      <c r="G66" s="26">
        <v>2071.4</v>
      </c>
      <c r="H66" s="26">
        <f t="shared" si="1"/>
        <v>2071.4</v>
      </c>
      <c r="I66" s="204"/>
    </row>
    <row r="67" spans="1:9" ht="47.25" x14ac:dyDescent="0.25">
      <c r="A67" s="25" t="s">
        <v>839</v>
      </c>
      <c r="B67" s="16">
        <v>902</v>
      </c>
      <c r="C67" s="20" t="s">
        <v>118</v>
      </c>
      <c r="D67" s="20" t="s">
        <v>150</v>
      </c>
      <c r="E67" s="20" t="s">
        <v>862</v>
      </c>
      <c r="F67" s="20"/>
      <c r="G67" s="26">
        <f>G68</f>
        <v>1591</v>
      </c>
      <c r="H67" s="26">
        <f>H68</f>
        <v>1591</v>
      </c>
      <c r="I67" s="204"/>
    </row>
    <row r="68" spans="1:9" ht="78.75" x14ac:dyDescent="0.25">
      <c r="A68" s="25" t="s">
        <v>127</v>
      </c>
      <c r="B68" s="16">
        <v>902</v>
      </c>
      <c r="C68" s="20" t="s">
        <v>118</v>
      </c>
      <c r="D68" s="20" t="s">
        <v>150</v>
      </c>
      <c r="E68" s="20" t="s">
        <v>862</v>
      </c>
      <c r="F68" s="20" t="s">
        <v>128</v>
      </c>
      <c r="G68" s="26">
        <f>G69</f>
        <v>1591</v>
      </c>
      <c r="H68" s="26">
        <f>H69</f>
        <v>1591</v>
      </c>
      <c r="I68" s="204"/>
    </row>
    <row r="69" spans="1:9" ht="31.5" x14ac:dyDescent="0.25">
      <c r="A69" s="25" t="s">
        <v>129</v>
      </c>
      <c r="B69" s="16">
        <v>902</v>
      </c>
      <c r="C69" s="20" t="s">
        <v>118</v>
      </c>
      <c r="D69" s="20" t="s">
        <v>150</v>
      </c>
      <c r="E69" s="20" t="s">
        <v>862</v>
      </c>
      <c r="F69" s="20" t="s">
        <v>130</v>
      </c>
      <c r="G69" s="26">
        <v>1591</v>
      </c>
      <c r="H69" s="26">
        <f t="shared" si="1"/>
        <v>1591</v>
      </c>
      <c r="I69" s="204"/>
    </row>
    <row r="70" spans="1:9" ht="31.5" x14ac:dyDescent="0.25">
      <c r="A70" s="23" t="s">
        <v>885</v>
      </c>
      <c r="B70" s="19">
        <v>902</v>
      </c>
      <c r="C70" s="24" t="s">
        <v>118</v>
      </c>
      <c r="D70" s="24" t="s">
        <v>150</v>
      </c>
      <c r="E70" s="24" t="s">
        <v>863</v>
      </c>
      <c r="F70" s="24"/>
      <c r="G70" s="21">
        <f>G71+G74+G79+G84</f>
        <v>3308.6</v>
      </c>
      <c r="H70" s="21">
        <f>H71+H74+H79+H84</f>
        <v>3093.1</v>
      </c>
      <c r="I70" s="204"/>
    </row>
    <row r="71" spans="1:9" ht="47.25" hidden="1" x14ac:dyDescent="0.25">
      <c r="A71" s="25" t="s">
        <v>779</v>
      </c>
      <c r="B71" s="16">
        <v>902</v>
      </c>
      <c r="C71" s="20" t="s">
        <v>118</v>
      </c>
      <c r="D71" s="20" t="s">
        <v>150</v>
      </c>
      <c r="E71" s="20" t="s">
        <v>919</v>
      </c>
      <c r="F71" s="24"/>
      <c r="G71" s="26">
        <f>G72</f>
        <v>0</v>
      </c>
      <c r="H71" s="26">
        <f>H72</f>
        <v>0</v>
      </c>
      <c r="I71" s="204"/>
    </row>
    <row r="72" spans="1:9" ht="31.5" hidden="1" x14ac:dyDescent="0.25">
      <c r="A72" s="25" t="s">
        <v>131</v>
      </c>
      <c r="B72" s="16">
        <v>902</v>
      </c>
      <c r="C72" s="20" t="s">
        <v>118</v>
      </c>
      <c r="D72" s="20" t="s">
        <v>150</v>
      </c>
      <c r="E72" s="20" t="s">
        <v>919</v>
      </c>
      <c r="F72" s="20" t="s">
        <v>132</v>
      </c>
      <c r="G72" s="26">
        <f>G73</f>
        <v>0</v>
      </c>
      <c r="H72" s="26">
        <f>H73</f>
        <v>0</v>
      </c>
      <c r="I72" s="204"/>
    </row>
    <row r="73" spans="1:9" ht="31.5" hidden="1" x14ac:dyDescent="0.25">
      <c r="A73" s="25" t="s">
        <v>133</v>
      </c>
      <c r="B73" s="16">
        <v>902</v>
      </c>
      <c r="C73" s="20" t="s">
        <v>118</v>
      </c>
      <c r="D73" s="20" t="s">
        <v>150</v>
      </c>
      <c r="E73" s="20" t="s">
        <v>919</v>
      </c>
      <c r="F73" s="20" t="s">
        <v>134</v>
      </c>
      <c r="G73" s="393">
        <v>0</v>
      </c>
      <c r="H73" s="393">
        <v>0</v>
      </c>
      <c r="I73" s="204"/>
    </row>
    <row r="74" spans="1:9" ht="47.25" x14ac:dyDescent="0.25">
      <c r="A74" s="31" t="s">
        <v>189</v>
      </c>
      <c r="B74" s="16">
        <v>902</v>
      </c>
      <c r="C74" s="20" t="s">
        <v>118</v>
      </c>
      <c r="D74" s="20" t="s">
        <v>150</v>
      </c>
      <c r="E74" s="20" t="s">
        <v>920</v>
      </c>
      <c r="F74" s="20"/>
      <c r="G74" s="26">
        <f>G75+G77</f>
        <v>563.20000000000005</v>
      </c>
      <c r="H74" s="26">
        <f>H75+H77</f>
        <v>347.7</v>
      </c>
      <c r="I74" s="204"/>
    </row>
    <row r="75" spans="1:9" ht="78.75" x14ac:dyDescent="0.25">
      <c r="A75" s="25" t="s">
        <v>127</v>
      </c>
      <c r="B75" s="16">
        <v>902</v>
      </c>
      <c r="C75" s="20" t="s">
        <v>118</v>
      </c>
      <c r="D75" s="20" t="s">
        <v>150</v>
      </c>
      <c r="E75" s="20" t="s">
        <v>920</v>
      </c>
      <c r="F75" s="20" t="s">
        <v>128</v>
      </c>
      <c r="G75" s="26">
        <f>G76</f>
        <v>563.20000000000005</v>
      </c>
      <c r="H75" s="26">
        <f>H76</f>
        <v>347.7</v>
      </c>
      <c r="I75" s="204"/>
    </row>
    <row r="76" spans="1:9" ht="31.5" x14ac:dyDescent="0.25">
      <c r="A76" s="25" t="s">
        <v>129</v>
      </c>
      <c r="B76" s="16">
        <v>902</v>
      </c>
      <c r="C76" s="20" t="s">
        <v>118</v>
      </c>
      <c r="D76" s="20" t="s">
        <v>150</v>
      </c>
      <c r="E76" s="20" t="s">
        <v>920</v>
      </c>
      <c r="F76" s="20" t="s">
        <v>130</v>
      </c>
      <c r="G76" s="26">
        <v>563.20000000000005</v>
      </c>
      <c r="H76" s="26">
        <v>347.7</v>
      </c>
      <c r="I76" s="204"/>
    </row>
    <row r="77" spans="1:9" ht="31.5" hidden="1" x14ac:dyDescent="0.25">
      <c r="A77" s="25" t="s">
        <v>131</v>
      </c>
      <c r="B77" s="16">
        <v>902</v>
      </c>
      <c r="C77" s="20" t="s">
        <v>118</v>
      </c>
      <c r="D77" s="20" t="s">
        <v>150</v>
      </c>
      <c r="E77" s="20" t="s">
        <v>920</v>
      </c>
      <c r="F77" s="20" t="s">
        <v>132</v>
      </c>
      <c r="G77" s="26">
        <f>G78</f>
        <v>0</v>
      </c>
      <c r="H77" s="26">
        <f>H78</f>
        <v>0</v>
      </c>
      <c r="I77" s="204"/>
    </row>
    <row r="78" spans="1:9" ht="31.5" hidden="1" x14ac:dyDescent="0.25">
      <c r="A78" s="25" t="s">
        <v>133</v>
      </c>
      <c r="B78" s="16">
        <v>902</v>
      </c>
      <c r="C78" s="20" t="s">
        <v>118</v>
      </c>
      <c r="D78" s="20" t="s">
        <v>150</v>
      </c>
      <c r="E78" s="20" t="s">
        <v>920</v>
      </c>
      <c r="F78" s="20" t="s">
        <v>134</v>
      </c>
      <c r="G78" s="393">
        <v>0</v>
      </c>
      <c r="H78" s="393">
        <v>0</v>
      </c>
      <c r="I78" s="204"/>
    </row>
    <row r="79" spans="1:9" ht="47.25" x14ac:dyDescent="0.25">
      <c r="A79" s="31" t="s">
        <v>194</v>
      </c>
      <c r="B79" s="16">
        <v>902</v>
      </c>
      <c r="C79" s="20" t="s">
        <v>118</v>
      </c>
      <c r="D79" s="20" t="s">
        <v>150</v>
      </c>
      <c r="E79" s="20" t="s">
        <v>1028</v>
      </c>
      <c r="F79" s="20"/>
      <c r="G79" s="26">
        <f>G80+G82</f>
        <v>1411.1</v>
      </c>
      <c r="H79" s="26">
        <f>H80+H82</f>
        <v>1411.1</v>
      </c>
      <c r="I79" s="204"/>
    </row>
    <row r="80" spans="1:9" ht="78.75" x14ac:dyDescent="0.25">
      <c r="A80" s="25" t="s">
        <v>127</v>
      </c>
      <c r="B80" s="16">
        <v>902</v>
      </c>
      <c r="C80" s="20" t="s">
        <v>118</v>
      </c>
      <c r="D80" s="20" t="s">
        <v>150</v>
      </c>
      <c r="E80" s="20" t="s">
        <v>1028</v>
      </c>
      <c r="F80" s="20" t="s">
        <v>128</v>
      </c>
      <c r="G80" s="26">
        <f>G81</f>
        <v>1372.1</v>
      </c>
      <c r="H80" s="26">
        <f>H81</f>
        <v>1372.1</v>
      </c>
      <c r="I80" s="204"/>
    </row>
    <row r="81" spans="1:9" ht="31.5" x14ac:dyDescent="0.25">
      <c r="A81" s="25" t="s">
        <v>129</v>
      </c>
      <c r="B81" s="16">
        <v>902</v>
      </c>
      <c r="C81" s="20" t="s">
        <v>118</v>
      </c>
      <c r="D81" s="20" t="s">
        <v>150</v>
      </c>
      <c r="E81" s="20" t="s">
        <v>1028</v>
      </c>
      <c r="F81" s="20" t="s">
        <v>130</v>
      </c>
      <c r="G81" s="26">
        <f>1372.1</f>
        <v>1372.1</v>
      </c>
      <c r="H81" s="26">
        <f t="shared" si="1"/>
        <v>1372.1</v>
      </c>
      <c r="I81" s="204"/>
    </row>
    <row r="82" spans="1:9" ht="31.5" x14ac:dyDescent="0.25">
      <c r="A82" s="25" t="s">
        <v>131</v>
      </c>
      <c r="B82" s="16">
        <v>902</v>
      </c>
      <c r="C82" s="20" t="s">
        <v>118</v>
      </c>
      <c r="D82" s="20" t="s">
        <v>150</v>
      </c>
      <c r="E82" s="20" t="s">
        <v>1028</v>
      </c>
      <c r="F82" s="20" t="s">
        <v>132</v>
      </c>
      <c r="G82" s="26">
        <f>G83</f>
        <v>39</v>
      </c>
      <c r="H82" s="26">
        <f>H83</f>
        <v>39</v>
      </c>
      <c r="I82" s="204"/>
    </row>
    <row r="83" spans="1:9" ht="31.5" x14ac:dyDescent="0.25">
      <c r="A83" s="25" t="s">
        <v>133</v>
      </c>
      <c r="B83" s="16">
        <v>902</v>
      </c>
      <c r="C83" s="20" t="s">
        <v>118</v>
      </c>
      <c r="D83" s="20" t="s">
        <v>150</v>
      </c>
      <c r="E83" s="20" t="s">
        <v>1028</v>
      </c>
      <c r="F83" s="20" t="s">
        <v>134</v>
      </c>
      <c r="G83" s="26">
        <f>61.2-19.5-2.7</f>
        <v>39</v>
      </c>
      <c r="H83" s="26">
        <f t="shared" si="1"/>
        <v>39</v>
      </c>
      <c r="I83" s="204"/>
    </row>
    <row r="84" spans="1:9" ht="47.25" x14ac:dyDescent="0.25">
      <c r="A84" s="31" t="s">
        <v>196</v>
      </c>
      <c r="B84" s="16">
        <v>902</v>
      </c>
      <c r="C84" s="20" t="s">
        <v>118</v>
      </c>
      <c r="D84" s="20" t="s">
        <v>150</v>
      </c>
      <c r="E84" s="20" t="s">
        <v>921</v>
      </c>
      <c r="F84" s="20"/>
      <c r="G84" s="26">
        <f>G85+G87</f>
        <v>1334.3</v>
      </c>
      <c r="H84" s="26">
        <f>H85+H87</f>
        <v>1334.3</v>
      </c>
      <c r="I84" s="204"/>
    </row>
    <row r="85" spans="1:9" ht="78.75" x14ac:dyDescent="0.25">
      <c r="A85" s="25" t="s">
        <v>127</v>
      </c>
      <c r="B85" s="16">
        <v>902</v>
      </c>
      <c r="C85" s="20" t="s">
        <v>118</v>
      </c>
      <c r="D85" s="20" t="s">
        <v>150</v>
      </c>
      <c r="E85" s="20" t="s">
        <v>921</v>
      </c>
      <c r="F85" s="20" t="s">
        <v>128</v>
      </c>
      <c r="G85" s="26">
        <f>G86</f>
        <v>1300.3</v>
      </c>
      <c r="H85" s="26">
        <f>H86</f>
        <v>1300.3</v>
      </c>
      <c r="I85" s="204"/>
    </row>
    <row r="86" spans="1:9" ht="31.5" x14ac:dyDescent="0.25">
      <c r="A86" s="25" t="s">
        <v>129</v>
      </c>
      <c r="B86" s="16">
        <v>902</v>
      </c>
      <c r="C86" s="20" t="s">
        <v>118</v>
      </c>
      <c r="D86" s="20" t="s">
        <v>150</v>
      </c>
      <c r="E86" s="20" t="s">
        <v>921</v>
      </c>
      <c r="F86" s="20" t="s">
        <v>130</v>
      </c>
      <c r="G86" s="26">
        <v>1300.3</v>
      </c>
      <c r="H86" s="26">
        <f t="shared" si="1"/>
        <v>1300.3</v>
      </c>
      <c r="I86" s="204"/>
    </row>
    <row r="87" spans="1:9" ht="31.5" x14ac:dyDescent="0.25">
      <c r="A87" s="25" t="s">
        <v>198</v>
      </c>
      <c r="B87" s="16">
        <v>902</v>
      </c>
      <c r="C87" s="20" t="s">
        <v>118</v>
      </c>
      <c r="D87" s="20" t="s">
        <v>150</v>
      </c>
      <c r="E87" s="20" t="s">
        <v>921</v>
      </c>
      <c r="F87" s="20" t="s">
        <v>132</v>
      </c>
      <c r="G87" s="26">
        <f>G88</f>
        <v>34</v>
      </c>
      <c r="H87" s="26">
        <f>H88</f>
        <v>34</v>
      </c>
      <c r="I87" s="204"/>
    </row>
    <row r="88" spans="1:9" ht="31.5" x14ac:dyDescent="0.25">
      <c r="A88" s="25" t="s">
        <v>133</v>
      </c>
      <c r="B88" s="16">
        <v>902</v>
      </c>
      <c r="C88" s="20" t="s">
        <v>118</v>
      </c>
      <c r="D88" s="20" t="s">
        <v>150</v>
      </c>
      <c r="E88" s="20" t="s">
        <v>921</v>
      </c>
      <c r="F88" s="20" t="s">
        <v>134</v>
      </c>
      <c r="G88" s="26">
        <v>34</v>
      </c>
      <c r="H88" s="26">
        <f t="shared" si="1"/>
        <v>34</v>
      </c>
      <c r="I88" s="204"/>
    </row>
    <row r="89" spans="1:9" ht="47.25" x14ac:dyDescent="0.25">
      <c r="A89" s="23" t="s">
        <v>1364</v>
      </c>
      <c r="B89" s="19">
        <v>902</v>
      </c>
      <c r="C89" s="24" t="s">
        <v>118</v>
      </c>
      <c r="D89" s="24" t="s">
        <v>150</v>
      </c>
      <c r="E89" s="24" t="s">
        <v>162</v>
      </c>
      <c r="F89" s="24"/>
      <c r="G89" s="21">
        <f>G90+G94+G106</f>
        <v>603.5</v>
      </c>
      <c r="H89" s="21">
        <f>H90+H94+H106</f>
        <v>603.5</v>
      </c>
      <c r="I89" s="204"/>
    </row>
    <row r="90" spans="1:9" ht="63" x14ac:dyDescent="0.25">
      <c r="A90" s="305" t="s">
        <v>1339</v>
      </c>
      <c r="B90" s="19">
        <v>902</v>
      </c>
      <c r="C90" s="24" t="s">
        <v>118</v>
      </c>
      <c r="D90" s="24" t="s">
        <v>150</v>
      </c>
      <c r="E90" s="7" t="s">
        <v>849</v>
      </c>
      <c r="F90" s="24"/>
      <c r="G90" s="21">
        <f t="shared" ref="G90:H92" si="3">G91</f>
        <v>526</v>
      </c>
      <c r="H90" s="21">
        <f t="shared" si="3"/>
        <v>526</v>
      </c>
      <c r="I90" s="204"/>
    </row>
    <row r="91" spans="1:9" ht="47.25" x14ac:dyDescent="0.25">
      <c r="A91" s="29" t="s">
        <v>1308</v>
      </c>
      <c r="B91" s="16">
        <v>902</v>
      </c>
      <c r="C91" s="20" t="s">
        <v>118</v>
      </c>
      <c r="D91" s="20" t="s">
        <v>150</v>
      </c>
      <c r="E91" s="40" t="s">
        <v>841</v>
      </c>
      <c r="F91" s="20"/>
      <c r="G91" s="26">
        <f t="shared" si="3"/>
        <v>526</v>
      </c>
      <c r="H91" s="26">
        <f t="shared" si="3"/>
        <v>526</v>
      </c>
      <c r="I91" s="204"/>
    </row>
    <row r="92" spans="1:9" ht="31.5" x14ac:dyDescent="0.25">
      <c r="A92" s="25" t="s">
        <v>131</v>
      </c>
      <c r="B92" s="16">
        <v>902</v>
      </c>
      <c r="C92" s="20" t="s">
        <v>118</v>
      </c>
      <c r="D92" s="20" t="s">
        <v>150</v>
      </c>
      <c r="E92" s="40" t="s">
        <v>841</v>
      </c>
      <c r="F92" s="20" t="s">
        <v>132</v>
      </c>
      <c r="G92" s="26">
        <f t="shared" si="3"/>
        <v>526</v>
      </c>
      <c r="H92" s="26">
        <f t="shared" si="3"/>
        <v>526</v>
      </c>
      <c r="I92" s="204"/>
    </row>
    <row r="93" spans="1:9" ht="31.5" x14ac:dyDescent="0.25">
      <c r="A93" s="25" t="s">
        <v>133</v>
      </c>
      <c r="B93" s="16">
        <v>902</v>
      </c>
      <c r="C93" s="20" t="s">
        <v>118</v>
      </c>
      <c r="D93" s="20" t="s">
        <v>150</v>
      </c>
      <c r="E93" s="40" t="s">
        <v>841</v>
      </c>
      <c r="F93" s="20" t="s">
        <v>134</v>
      </c>
      <c r="G93" s="26">
        <v>526</v>
      </c>
      <c r="H93" s="26">
        <f t="shared" si="1"/>
        <v>526</v>
      </c>
      <c r="I93" s="204"/>
    </row>
    <row r="94" spans="1:9" ht="63" x14ac:dyDescent="0.25">
      <c r="A94" s="220" t="s">
        <v>843</v>
      </c>
      <c r="B94" s="19">
        <v>902</v>
      </c>
      <c r="C94" s="24" t="s">
        <v>118</v>
      </c>
      <c r="D94" s="24" t="s">
        <v>150</v>
      </c>
      <c r="E94" s="7" t="s">
        <v>850</v>
      </c>
      <c r="F94" s="24"/>
      <c r="G94" s="21">
        <f>G95+G100+G103</f>
        <v>77</v>
      </c>
      <c r="H94" s="21">
        <f>H95+H100+H103</f>
        <v>77</v>
      </c>
      <c r="I94" s="204"/>
    </row>
    <row r="95" spans="1:9" ht="47.25" x14ac:dyDescent="0.25">
      <c r="A95" s="174" t="s">
        <v>165</v>
      </c>
      <c r="B95" s="16">
        <v>902</v>
      </c>
      <c r="C95" s="20" t="s">
        <v>118</v>
      </c>
      <c r="D95" s="20" t="s">
        <v>150</v>
      </c>
      <c r="E95" s="40" t="s">
        <v>842</v>
      </c>
      <c r="F95" s="20"/>
      <c r="G95" s="26">
        <f>G96+G98</f>
        <v>77</v>
      </c>
      <c r="H95" s="26">
        <f>H96+H98</f>
        <v>77</v>
      </c>
      <c r="I95" s="204"/>
    </row>
    <row r="96" spans="1:9" ht="78.75" x14ac:dyDescent="0.25">
      <c r="A96" s="25" t="s">
        <v>127</v>
      </c>
      <c r="B96" s="16">
        <v>902</v>
      </c>
      <c r="C96" s="20" t="s">
        <v>118</v>
      </c>
      <c r="D96" s="20" t="s">
        <v>150</v>
      </c>
      <c r="E96" s="40" t="s">
        <v>842</v>
      </c>
      <c r="F96" s="20" t="s">
        <v>128</v>
      </c>
      <c r="G96" s="26">
        <f>G97</f>
        <v>37</v>
      </c>
      <c r="H96" s="26">
        <f>H97</f>
        <v>37</v>
      </c>
      <c r="I96" s="204"/>
    </row>
    <row r="97" spans="1:9" ht="31.5" x14ac:dyDescent="0.25">
      <c r="A97" s="25" t="s">
        <v>129</v>
      </c>
      <c r="B97" s="16">
        <v>902</v>
      </c>
      <c r="C97" s="20" t="s">
        <v>118</v>
      </c>
      <c r="D97" s="20" t="s">
        <v>150</v>
      </c>
      <c r="E97" s="40" t="s">
        <v>842</v>
      </c>
      <c r="F97" s="20" t="s">
        <v>130</v>
      </c>
      <c r="G97" s="26">
        <f>37</f>
        <v>37</v>
      </c>
      <c r="H97" s="26">
        <f t="shared" si="1"/>
        <v>37</v>
      </c>
      <c r="I97" s="204"/>
    </row>
    <row r="98" spans="1:9" ht="31.5" x14ac:dyDescent="0.25">
      <c r="A98" s="25" t="s">
        <v>131</v>
      </c>
      <c r="B98" s="16">
        <v>902</v>
      </c>
      <c r="C98" s="20" t="s">
        <v>118</v>
      </c>
      <c r="D98" s="20" t="s">
        <v>150</v>
      </c>
      <c r="E98" s="40" t="s">
        <v>842</v>
      </c>
      <c r="F98" s="20" t="s">
        <v>132</v>
      </c>
      <c r="G98" s="26">
        <f>G99</f>
        <v>40</v>
      </c>
      <c r="H98" s="26">
        <f>H99</f>
        <v>40</v>
      </c>
      <c r="I98" s="204"/>
    </row>
    <row r="99" spans="1:9" ht="31.5" x14ac:dyDescent="0.25">
      <c r="A99" s="25" t="s">
        <v>133</v>
      </c>
      <c r="B99" s="16">
        <v>902</v>
      </c>
      <c r="C99" s="20" t="s">
        <v>118</v>
      </c>
      <c r="D99" s="20" t="s">
        <v>150</v>
      </c>
      <c r="E99" s="40" t="s">
        <v>842</v>
      </c>
      <c r="F99" s="20" t="s">
        <v>134</v>
      </c>
      <c r="G99" s="26">
        <f>40</f>
        <v>40</v>
      </c>
      <c r="H99" s="26">
        <f t="shared" ref="H99:H178" si="4">G99</f>
        <v>40</v>
      </c>
      <c r="I99" s="204"/>
    </row>
    <row r="100" spans="1:9" s="203" customFormat="1" ht="47.25" hidden="1" x14ac:dyDescent="0.25">
      <c r="A100" s="31" t="s">
        <v>1094</v>
      </c>
      <c r="B100" s="16">
        <v>902</v>
      </c>
      <c r="C100" s="20" t="s">
        <v>118</v>
      </c>
      <c r="D100" s="20" t="s">
        <v>150</v>
      </c>
      <c r="E100" s="40" t="s">
        <v>993</v>
      </c>
      <c r="F100" s="20"/>
      <c r="G100" s="26">
        <f>G101</f>
        <v>0</v>
      </c>
      <c r="H100" s="26">
        <f>H101</f>
        <v>0</v>
      </c>
      <c r="I100" s="204"/>
    </row>
    <row r="101" spans="1:9" s="203" customFormat="1" ht="31.5" hidden="1" x14ac:dyDescent="0.25">
      <c r="A101" s="25" t="s">
        <v>131</v>
      </c>
      <c r="B101" s="16">
        <v>902</v>
      </c>
      <c r="C101" s="20" t="s">
        <v>118</v>
      </c>
      <c r="D101" s="20" t="s">
        <v>150</v>
      </c>
      <c r="E101" s="40" t="s">
        <v>993</v>
      </c>
      <c r="F101" s="20" t="s">
        <v>132</v>
      </c>
      <c r="G101" s="26">
        <f>G102</f>
        <v>0</v>
      </c>
      <c r="H101" s="26">
        <f>H102</f>
        <v>0</v>
      </c>
      <c r="I101" s="204"/>
    </row>
    <row r="102" spans="1:9" s="203" customFormat="1" ht="31.5" hidden="1" x14ac:dyDescent="0.25">
      <c r="A102" s="25" t="s">
        <v>133</v>
      </c>
      <c r="B102" s="16">
        <v>902</v>
      </c>
      <c r="C102" s="20" t="s">
        <v>118</v>
      </c>
      <c r="D102" s="20" t="s">
        <v>150</v>
      </c>
      <c r="E102" s="40" t="s">
        <v>696</v>
      </c>
      <c r="F102" s="20" t="s">
        <v>134</v>
      </c>
      <c r="G102" s="26">
        <v>0</v>
      </c>
      <c r="H102" s="26">
        <v>0</v>
      </c>
      <c r="I102" s="204"/>
    </row>
    <row r="103" spans="1:9" s="203" customFormat="1" ht="47.25" hidden="1" x14ac:dyDescent="0.25">
      <c r="A103" s="31" t="s">
        <v>695</v>
      </c>
      <c r="B103" s="16">
        <v>902</v>
      </c>
      <c r="C103" s="20" t="s">
        <v>118</v>
      </c>
      <c r="D103" s="20" t="s">
        <v>150</v>
      </c>
      <c r="E103" s="20" t="s">
        <v>992</v>
      </c>
      <c r="F103" s="20"/>
      <c r="G103" s="26">
        <f>G104</f>
        <v>0</v>
      </c>
      <c r="H103" s="26">
        <f>H104</f>
        <v>0</v>
      </c>
      <c r="I103" s="204"/>
    </row>
    <row r="104" spans="1:9" s="203" customFormat="1" ht="31.5" hidden="1" x14ac:dyDescent="0.25">
      <c r="A104" s="25" t="s">
        <v>131</v>
      </c>
      <c r="B104" s="16">
        <v>902</v>
      </c>
      <c r="C104" s="20" t="s">
        <v>118</v>
      </c>
      <c r="D104" s="20" t="s">
        <v>150</v>
      </c>
      <c r="E104" s="20" t="s">
        <v>992</v>
      </c>
      <c r="F104" s="20" t="s">
        <v>132</v>
      </c>
      <c r="G104" s="26">
        <f>G105</f>
        <v>0</v>
      </c>
      <c r="H104" s="26">
        <f>H105</f>
        <v>0</v>
      </c>
      <c r="I104" s="204"/>
    </row>
    <row r="105" spans="1:9" s="203" customFormat="1" ht="31.5" hidden="1" x14ac:dyDescent="0.25">
      <c r="A105" s="25" t="s">
        <v>133</v>
      </c>
      <c r="B105" s="16">
        <v>902</v>
      </c>
      <c r="C105" s="20" t="s">
        <v>118</v>
      </c>
      <c r="D105" s="20" t="s">
        <v>150</v>
      </c>
      <c r="E105" s="20" t="s">
        <v>992</v>
      </c>
      <c r="F105" s="20" t="s">
        <v>134</v>
      </c>
      <c r="G105" s="26">
        <v>0</v>
      </c>
      <c r="H105" s="26">
        <v>0</v>
      </c>
      <c r="I105" s="204"/>
    </row>
    <row r="106" spans="1:9" ht="63" x14ac:dyDescent="0.25">
      <c r="A106" s="221" t="s">
        <v>1003</v>
      </c>
      <c r="B106" s="19">
        <v>902</v>
      </c>
      <c r="C106" s="24" t="s">
        <v>118</v>
      </c>
      <c r="D106" s="24" t="s">
        <v>150</v>
      </c>
      <c r="E106" s="7" t="s">
        <v>851</v>
      </c>
      <c r="F106" s="24"/>
      <c r="G106" s="21">
        <f t="shared" ref="G106:H108" si="5">G107</f>
        <v>0.5</v>
      </c>
      <c r="H106" s="21">
        <f t="shared" si="5"/>
        <v>0.5</v>
      </c>
      <c r="I106" s="204"/>
    </row>
    <row r="107" spans="1:9" ht="47.25" x14ac:dyDescent="0.25">
      <c r="A107" s="33" t="s">
        <v>191</v>
      </c>
      <c r="B107" s="16">
        <v>902</v>
      </c>
      <c r="C107" s="20" t="s">
        <v>118</v>
      </c>
      <c r="D107" s="20" t="s">
        <v>150</v>
      </c>
      <c r="E107" s="40" t="s">
        <v>844</v>
      </c>
      <c r="F107" s="20"/>
      <c r="G107" s="26">
        <f t="shared" si="5"/>
        <v>0.5</v>
      </c>
      <c r="H107" s="26">
        <f t="shared" si="5"/>
        <v>0.5</v>
      </c>
      <c r="I107" s="204"/>
    </row>
    <row r="108" spans="1:9" ht="31.5" x14ac:dyDescent="0.25">
      <c r="A108" s="25" t="s">
        <v>131</v>
      </c>
      <c r="B108" s="16">
        <v>902</v>
      </c>
      <c r="C108" s="20" t="s">
        <v>118</v>
      </c>
      <c r="D108" s="20" t="s">
        <v>150</v>
      </c>
      <c r="E108" s="40" t="s">
        <v>844</v>
      </c>
      <c r="F108" s="20" t="s">
        <v>132</v>
      </c>
      <c r="G108" s="26">
        <f t="shared" si="5"/>
        <v>0.5</v>
      </c>
      <c r="H108" s="26">
        <f t="shared" si="5"/>
        <v>0.5</v>
      </c>
      <c r="I108" s="204"/>
    </row>
    <row r="109" spans="1:9" ht="31.5" x14ac:dyDescent="0.25">
      <c r="A109" s="25" t="s">
        <v>133</v>
      </c>
      <c r="B109" s="16">
        <v>902</v>
      </c>
      <c r="C109" s="20" t="s">
        <v>118</v>
      </c>
      <c r="D109" s="20" t="s">
        <v>150</v>
      </c>
      <c r="E109" s="40" t="s">
        <v>844</v>
      </c>
      <c r="F109" s="20" t="s">
        <v>134</v>
      </c>
      <c r="G109" s="26">
        <f>0.5</f>
        <v>0.5</v>
      </c>
      <c r="H109" s="26">
        <f t="shared" si="4"/>
        <v>0.5</v>
      </c>
      <c r="I109" s="204"/>
    </row>
    <row r="110" spans="1:9" ht="47.25" hidden="1" x14ac:dyDescent="0.25">
      <c r="A110" s="33" t="s">
        <v>191</v>
      </c>
      <c r="B110" s="16">
        <v>902</v>
      </c>
      <c r="C110" s="20" t="s">
        <v>118</v>
      </c>
      <c r="D110" s="20" t="s">
        <v>150</v>
      </c>
      <c r="E110" s="20" t="s">
        <v>845</v>
      </c>
      <c r="F110" s="20"/>
      <c r="G110" s="26" t="e">
        <f>'Пр.4 ведом.22'!#REF!</f>
        <v>#REF!</v>
      </c>
      <c r="H110" s="26" t="e">
        <f t="shared" si="4"/>
        <v>#REF!</v>
      </c>
      <c r="I110" s="204"/>
    </row>
    <row r="111" spans="1:9" ht="31.5" hidden="1" x14ac:dyDescent="0.25">
      <c r="A111" s="25" t="s">
        <v>131</v>
      </c>
      <c r="B111" s="16">
        <v>902</v>
      </c>
      <c r="C111" s="20" t="s">
        <v>118</v>
      </c>
      <c r="D111" s="20" t="s">
        <v>150</v>
      </c>
      <c r="E111" s="20" t="s">
        <v>845</v>
      </c>
      <c r="F111" s="20" t="s">
        <v>132</v>
      </c>
      <c r="G111" s="26" t="e">
        <f>'Пр.4 ведом.22'!#REF!</f>
        <v>#REF!</v>
      </c>
      <c r="H111" s="26" t="e">
        <f t="shared" si="4"/>
        <v>#REF!</v>
      </c>
      <c r="I111" s="204"/>
    </row>
    <row r="112" spans="1:9" ht="31.5" hidden="1" x14ac:dyDescent="0.25">
      <c r="A112" s="25" t="s">
        <v>133</v>
      </c>
      <c r="B112" s="16">
        <v>902</v>
      </c>
      <c r="C112" s="20" t="s">
        <v>118</v>
      </c>
      <c r="D112" s="20" t="s">
        <v>150</v>
      </c>
      <c r="E112" s="20" t="s">
        <v>845</v>
      </c>
      <c r="F112" s="20" t="s">
        <v>134</v>
      </c>
      <c r="G112" s="26" t="e">
        <f>'Пр.4 ведом.22'!#REF!</f>
        <v>#REF!</v>
      </c>
      <c r="H112" s="26" t="e">
        <f t="shared" si="4"/>
        <v>#REF!</v>
      </c>
      <c r="I112" s="204"/>
    </row>
    <row r="113" spans="1:9" ht="47.25" x14ac:dyDescent="0.25">
      <c r="A113" s="23" t="s">
        <v>119</v>
      </c>
      <c r="B113" s="19">
        <v>902</v>
      </c>
      <c r="C113" s="24" t="s">
        <v>118</v>
      </c>
      <c r="D113" s="24" t="s">
        <v>120</v>
      </c>
      <c r="E113" s="24"/>
      <c r="F113" s="20"/>
      <c r="G113" s="21">
        <f>G114</f>
        <v>1332.2</v>
      </c>
      <c r="H113" s="21">
        <f>H114</f>
        <v>1332.2</v>
      </c>
      <c r="I113" s="204"/>
    </row>
    <row r="114" spans="1:9" ht="31.5" x14ac:dyDescent="0.25">
      <c r="A114" s="23" t="s">
        <v>917</v>
      </c>
      <c r="B114" s="19">
        <v>902</v>
      </c>
      <c r="C114" s="24" t="s">
        <v>118</v>
      </c>
      <c r="D114" s="24" t="s">
        <v>120</v>
      </c>
      <c r="E114" s="24" t="s">
        <v>858</v>
      </c>
      <c r="F114" s="24"/>
      <c r="G114" s="21">
        <f>G115</f>
        <v>1332.2</v>
      </c>
      <c r="H114" s="21">
        <f>H115</f>
        <v>1332.2</v>
      </c>
      <c r="I114" s="204"/>
    </row>
    <row r="115" spans="1:9" ht="15.75" x14ac:dyDescent="0.25">
      <c r="A115" s="23" t="s">
        <v>918</v>
      </c>
      <c r="B115" s="19">
        <v>902</v>
      </c>
      <c r="C115" s="24" t="s">
        <v>118</v>
      </c>
      <c r="D115" s="24" t="s">
        <v>120</v>
      </c>
      <c r="E115" s="24" t="s">
        <v>859</v>
      </c>
      <c r="F115" s="24"/>
      <c r="G115" s="21">
        <f>G116+G119</f>
        <v>1332.2</v>
      </c>
      <c r="H115" s="21">
        <f>H116+H119</f>
        <v>1332.2</v>
      </c>
      <c r="I115" s="204"/>
    </row>
    <row r="116" spans="1:9" ht="31.5" x14ac:dyDescent="0.25">
      <c r="A116" s="25" t="s">
        <v>897</v>
      </c>
      <c r="B116" s="16">
        <v>902</v>
      </c>
      <c r="C116" s="20" t="s">
        <v>118</v>
      </c>
      <c r="D116" s="20" t="s">
        <v>120</v>
      </c>
      <c r="E116" s="20" t="s">
        <v>860</v>
      </c>
      <c r="F116" s="20"/>
      <c r="G116" s="26">
        <f>G117</f>
        <v>1286.2</v>
      </c>
      <c r="H116" s="26">
        <f>H117</f>
        <v>1286.2</v>
      </c>
      <c r="I116" s="204"/>
    </row>
    <row r="117" spans="1:9" ht="78.75" x14ac:dyDescent="0.25">
      <c r="A117" s="25" t="s">
        <v>127</v>
      </c>
      <c r="B117" s="16">
        <v>902</v>
      </c>
      <c r="C117" s="20" t="s">
        <v>118</v>
      </c>
      <c r="D117" s="20" t="s">
        <v>120</v>
      </c>
      <c r="E117" s="20" t="s">
        <v>860</v>
      </c>
      <c r="F117" s="20" t="s">
        <v>128</v>
      </c>
      <c r="G117" s="26">
        <f>G118</f>
        <v>1286.2</v>
      </c>
      <c r="H117" s="26">
        <f>H118</f>
        <v>1286.2</v>
      </c>
      <c r="I117" s="204"/>
    </row>
    <row r="118" spans="1:9" ht="31.5" x14ac:dyDescent="0.25">
      <c r="A118" s="25" t="s">
        <v>129</v>
      </c>
      <c r="B118" s="16">
        <v>902</v>
      </c>
      <c r="C118" s="20" t="s">
        <v>118</v>
      </c>
      <c r="D118" s="20" t="s">
        <v>120</v>
      </c>
      <c r="E118" s="20" t="s">
        <v>860</v>
      </c>
      <c r="F118" s="20" t="s">
        <v>130</v>
      </c>
      <c r="G118" s="26">
        <v>1286.2</v>
      </c>
      <c r="H118" s="26">
        <f t="shared" si="4"/>
        <v>1286.2</v>
      </c>
      <c r="I118" s="204"/>
    </row>
    <row r="119" spans="1:9" ht="47.25" x14ac:dyDescent="0.25">
      <c r="A119" s="25" t="s">
        <v>839</v>
      </c>
      <c r="B119" s="16">
        <v>902</v>
      </c>
      <c r="C119" s="20" t="s">
        <v>118</v>
      </c>
      <c r="D119" s="20" t="s">
        <v>120</v>
      </c>
      <c r="E119" s="20" t="s">
        <v>862</v>
      </c>
      <c r="F119" s="20"/>
      <c r="G119" s="26">
        <f>G120</f>
        <v>46</v>
      </c>
      <c r="H119" s="26">
        <f>H120</f>
        <v>46</v>
      </c>
      <c r="I119" s="204"/>
    </row>
    <row r="120" spans="1:9" ht="78.75" x14ac:dyDescent="0.25">
      <c r="A120" s="25" t="s">
        <v>127</v>
      </c>
      <c r="B120" s="16">
        <v>902</v>
      </c>
      <c r="C120" s="20" t="s">
        <v>118</v>
      </c>
      <c r="D120" s="20" t="s">
        <v>120</v>
      </c>
      <c r="E120" s="20" t="s">
        <v>862</v>
      </c>
      <c r="F120" s="20" t="s">
        <v>128</v>
      </c>
      <c r="G120" s="26">
        <f>G121</f>
        <v>46</v>
      </c>
      <c r="H120" s="26">
        <f>H121</f>
        <v>46</v>
      </c>
      <c r="I120" s="204"/>
    </row>
    <row r="121" spans="1:9" ht="31.5" x14ac:dyDescent="0.25">
      <c r="A121" s="25" t="s">
        <v>129</v>
      </c>
      <c r="B121" s="16">
        <v>902</v>
      </c>
      <c r="C121" s="20" t="s">
        <v>118</v>
      </c>
      <c r="D121" s="20" t="s">
        <v>120</v>
      </c>
      <c r="E121" s="20" t="s">
        <v>862</v>
      </c>
      <c r="F121" s="20" t="s">
        <v>130</v>
      </c>
      <c r="G121" s="26">
        <v>46</v>
      </c>
      <c r="H121" s="26">
        <f t="shared" si="4"/>
        <v>46</v>
      </c>
      <c r="I121" s="204"/>
    </row>
    <row r="122" spans="1:9" s="203" customFormat="1" ht="15.75" hidden="1" x14ac:dyDescent="0.25">
      <c r="A122" s="23" t="s">
        <v>1147</v>
      </c>
      <c r="B122" s="19">
        <v>902</v>
      </c>
      <c r="C122" s="24" t="s">
        <v>118</v>
      </c>
      <c r="D122" s="24" t="s">
        <v>264</v>
      </c>
      <c r="E122" s="24"/>
      <c r="F122" s="20"/>
      <c r="G122" s="21">
        <f t="shared" ref="G122:H124" si="6">G123</f>
        <v>0</v>
      </c>
      <c r="H122" s="21">
        <f t="shared" si="6"/>
        <v>0</v>
      </c>
      <c r="I122" s="204"/>
    </row>
    <row r="123" spans="1:9" s="203" customFormat="1" ht="15.75" hidden="1" x14ac:dyDescent="0.25">
      <c r="A123" s="23" t="s">
        <v>141</v>
      </c>
      <c r="B123" s="19">
        <v>902</v>
      </c>
      <c r="C123" s="24" t="s">
        <v>118</v>
      </c>
      <c r="D123" s="24" t="s">
        <v>264</v>
      </c>
      <c r="E123" s="24" t="s">
        <v>866</v>
      </c>
      <c r="F123" s="20"/>
      <c r="G123" s="21">
        <f t="shared" si="6"/>
        <v>0</v>
      </c>
      <c r="H123" s="21">
        <f t="shared" si="6"/>
        <v>0</v>
      </c>
      <c r="I123" s="204"/>
    </row>
    <row r="124" spans="1:9" s="203" customFormat="1" ht="31.5" hidden="1" x14ac:dyDescent="0.25">
      <c r="A124" s="23" t="s">
        <v>870</v>
      </c>
      <c r="B124" s="19">
        <v>902</v>
      </c>
      <c r="C124" s="24" t="s">
        <v>118</v>
      </c>
      <c r="D124" s="24" t="s">
        <v>264</v>
      </c>
      <c r="E124" s="24" t="s">
        <v>865</v>
      </c>
      <c r="F124" s="20"/>
      <c r="G124" s="21">
        <f t="shared" si="6"/>
        <v>0</v>
      </c>
      <c r="H124" s="21">
        <f t="shared" si="6"/>
        <v>0</v>
      </c>
      <c r="I124" s="204"/>
    </row>
    <row r="125" spans="1:9" s="203" customFormat="1" ht="15.75" hidden="1" x14ac:dyDescent="0.25">
      <c r="A125" s="45" t="s">
        <v>199</v>
      </c>
      <c r="B125" s="16">
        <v>902</v>
      </c>
      <c r="C125" s="20" t="s">
        <v>118</v>
      </c>
      <c r="D125" s="20" t="s">
        <v>264</v>
      </c>
      <c r="E125" s="20" t="s">
        <v>1146</v>
      </c>
      <c r="F125" s="20"/>
      <c r="G125" s="26">
        <f>G126+G128</f>
        <v>0</v>
      </c>
      <c r="H125" s="26">
        <f>H126+H128</f>
        <v>0</v>
      </c>
      <c r="I125" s="204"/>
    </row>
    <row r="126" spans="1:9" s="203" customFormat="1" ht="78.75" hidden="1" x14ac:dyDescent="0.25">
      <c r="A126" s="25" t="s">
        <v>127</v>
      </c>
      <c r="B126" s="16">
        <v>902</v>
      </c>
      <c r="C126" s="20" t="s">
        <v>118</v>
      </c>
      <c r="D126" s="20" t="s">
        <v>264</v>
      </c>
      <c r="E126" s="20" t="s">
        <v>1146</v>
      </c>
      <c r="F126" s="20" t="s">
        <v>128</v>
      </c>
      <c r="G126" s="26">
        <f>G127</f>
        <v>0</v>
      </c>
      <c r="H126" s="26">
        <f>H127</f>
        <v>0</v>
      </c>
      <c r="I126" s="204"/>
    </row>
    <row r="127" spans="1:9" s="203" customFormat="1" ht="31.5" hidden="1" x14ac:dyDescent="0.25">
      <c r="A127" s="25" t="s">
        <v>129</v>
      </c>
      <c r="B127" s="16">
        <v>902</v>
      </c>
      <c r="C127" s="20" t="s">
        <v>118</v>
      </c>
      <c r="D127" s="20" t="s">
        <v>264</v>
      </c>
      <c r="E127" s="20" t="s">
        <v>1146</v>
      </c>
      <c r="F127" s="20" t="s">
        <v>130</v>
      </c>
      <c r="G127" s="26">
        <v>0</v>
      </c>
      <c r="H127" s="26">
        <v>0</v>
      </c>
      <c r="I127" s="204"/>
    </row>
    <row r="128" spans="1:9" s="203" customFormat="1" ht="31.5" hidden="1" x14ac:dyDescent="0.25">
      <c r="A128" s="25" t="s">
        <v>198</v>
      </c>
      <c r="B128" s="16">
        <v>902</v>
      </c>
      <c r="C128" s="20" t="s">
        <v>118</v>
      </c>
      <c r="D128" s="20" t="s">
        <v>264</v>
      </c>
      <c r="E128" s="20" t="s">
        <v>1146</v>
      </c>
      <c r="F128" s="20" t="s">
        <v>132</v>
      </c>
      <c r="G128" s="26">
        <f>G129</f>
        <v>0</v>
      </c>
      <c r="H128" s="26">
        <f>H129</f>
        <v>0</v>
      </c>
      <c r="I128" s="204"/>
    </row>
    <row r="129" spans="1:9" s="203" customFormat="1" ht="31.5" hidden="1" x14ac:dyDescent="0.25">
      <c r="A129" s="25" t="s">
        <v>133</v>
      </c>
      <c r="B129" s="16">
        <v>902</v>
      </c>
      <c r="C129" s="20" t="s">
        <v>118</v>
      </c>
      <c r="D129" s="20" t="s">
        <v>264</v>
      </c>
      <c r="E129" s="20" t="s">
        <v>1146</v>
      </c>
      <c r="F129" s="20" t="s">
        <v>134</v>
      </c>
      <c r="G129" s="26">
        <v>0</v>
      </c>
      <c r="H129" s="26">
        <v>0</v>
      </c>
      <c r="I129" s="204"/>
    </row>
    <row r="130" spans="1:9" ht="15.75" x14ac:dyDescent="0.25">
      <c r="A130" s="23" t="s">
        <v>139</v>
      </c>
      <c r="B130" s="19">
        <v>902</v>
      </c>
      <c r="C130" s="24" t="s">
        <v>118</v>
      </c>
      <c r="D130" s="24" t="s">
        <v>140</v>
      </c>
      <c r="E130" s="24"/>
      <c r="F130" s="24"/>
      <c r="G130" s="21">
        <f>G146+G155+G131+G160+G141</f>
        <v>6009</v>
      </c>
      <c r="H130" s="21">
        <f>H146+H155+H131+H160+H141</f>
        <v>6052</v>
      </c>
      <c r="I130" s="204"/>
    </row>
    <row r="131" spans="1:9" ht="15.75" x14ac:dyDescent="0.25">
      <c r="A131" s="23" t="s">
        <v>141</v>
      </c>
      <c r="B131" s="19">
        <v>902</v>
      </c>
      <c r="C131" s="24" t="s">
        <v>118</v>
      </c>
      <c r="D131" s="24" t="s">
        <v>140</v>
      </c>
      <c r="E131" s="24" t="s">
        <v>866</v>
      </c>
      <c r="F131" s="24"/>
      <c r="G131" s="21">
        <f>G132</f>
        <v>5829</v>
      </c>
      <c r="H131" s="21">
        <f>H132</f>
        <v>5829</v>
      </c>
      <c r="I131" s="204"/>
    </row>
    <row r="132" spans="1:9" ht="31.5" x14ac:dyDescent="0.25">
      <c r="A132" s="23" t="s">
        <v>922</v>
      </c>
      <c r="B132" s="19">
        <v>902</v>
      </c>
      <c r="C132" s="24" t="s">
        <v>118</v>
      </c>
      <c r="D132" s="24" t="s">
        <v>140</v>
      </c>
      <c r="E132" s="24" t="s">
        <v>867</v>
      </c>
      <c r="F132" s="24"/>
      <c r="G132" s="21">
        <f>G133+G138</f>
        <v>5829</v>
      </c>
      <c r="H132" s="21">
        <f>H133+H138</f>
        <v>5829</v>
      </c>
      <c r="I132" s="204"/>
    </row>
    <row r="133" spans="1:9" ht="31.5" x14ac:dyDescent="0.25">
      <c r="A133" s="25" t="s">
        <v>928</v>
      </c>
      <c r="B133" s="16">
        <v>902</v>
      </c>
      <c r="C133" s="20" t="s">
        <v>118</v>
      </c>
      <c r="D133" s="20" t="s">
        <v>140</v>
      </c>
      <c r="E133" s="20" t="s">
        <v>868</v>
      </c>
      <c r="F133" s="20"/>
      <c r="G133" s="26">
        <f>G134+G136</f>
        <v>5701</v>
      </c>
      <c r="H133" s="26">
        <f>H134+H136</f>
        <v>5701</v>
      </c>
      <c r="I133" s="204"/>
    </row>
    <row r="134" spans="1:9" ht="78.75" x14ac:dyDescent="0.25">
      <c r="A134" s="25" t="s">
        <v>127</v>
      </c>
      <c r="B134" s="16">
        <v>902</v>
      </c>
      <c r="C134" s="20" t="s">
        <v>118</v>
      </c>
      <c r="D134" s="20" t="s">
        <v>140</v>
      </c>
      <c r="E134" s="20" t="s">
        <v>868</v>
      </c>
      <c r="F134" s="20" t="s">
        <v>128</v>
      </c>
      <c r="G134" s="26">
        <f>G135</f>
        <v>4501</v>
      </c>
      <c r="H134" s="26">
        <f>H135</f>
        <v>4501</v>
      </c>
      <c r="I134" s="204"/>
    </row>
    <row r="135" spans="1:9" ht="15.75" x14ac:dyDescent="0.25">
      <c r="A135" s="25" t="s">
        <v>208</v>
      </c>
      <c r="B135" s="16">
        <v>902</v>
      </c>
      <c r="C135" s="20" t="s">
        <v>118</v>
      </c>
      <c r="D135" s="20" t="s">
        <v>140</v>
      </c>
      <c r="E135" s="20" t="s">
        <v>868</v>
      </c>
      <c r="F135" s="20" t="s">
        <v>209</v>
      </c>
      <c r="G135" s="26">
        <v>4501</v>
      </c>
      <c r="H135" s="26">
        <f t="shared" si="4"/>
        <v>4501</v>
      </c>
      <c r="I135" s="204"/>
    </row>
    <row r="136" spans="1:9" ht="31.5" x14ac:dyDescent="0.25">
      <c r="A136" s="25" t="s">
        <v>198</v>
      </c>
      <c r="B136" s="16">
        <v>902</v>
      </c>
      <c r="C136" s="20" t="s">
        <v>118</v>
      </c>
      <c r="D136" s="20" t="s">
        <v>140</v>
      </c>
      <c r="E136" s="20" t="s">
        <v>868</v>
      </c>
      <c r="F136" s="20" t="s">
        <v>132</v>
      </c>
      <c r="G136" s="26">
        <f>G137</f>
        <v>1200</v>
      </c>
      <c r="H136" s="26">
        <f>H137</f>
        <v>1200</v>
      </c>
      <c r="I136" s="204"/>
    </row>
    <row r="137" spans="1:9" ht="31.5" x14ac:dyDescent="0.25">
      <c r="A137" s="25" t="s">
        <v>133</v>
      </c>
      <c r="B137" s="16">
        <v>902</v>
      </c>
      <c r="C137" s="20" t="s">
        <v>118</v>
      </c>
      <c r="D137" s="20" t="s">
        <v>140</v>
      </c>
      <c r="E137" s="20" t="s">
        <v>868</v>
      </c>
      <c r="F137" s="20" t="s">
        <v>134</v>
      </c>
      <c r="G137" s="26">
        <v>1200</v>
      </c>
      <c r="H137" s="26">
        <f t="shared" si="4"/>
        <v>1200</v>
      </c>
      <c r="I137" s="204"/>
    </row>
    <row r="138" spans="1:9" ht="47.25" x14ac:dyDescent="0.25">
      <c r="A138" s="25" t="s">
        <v>839</v>
      </c>
      <c r="B138" s="16">
        <v>902</v>
      </c>
      <c r="C138" s="20" t="s">
        <v>118</v>
      </c>
      <c r="D138" s="20" t="s">
        <v>140</v>
      </c>
      <c r="E138" s="20" t="s">
        <v>869</v>
      </c>
      <c r="F138" s="20"/>
      <c r="G138" s="26">
        <f>G139</f>
        <v>128</v>
      </c>
      <c r="H138" s="26">
        <f>H139</f>
        <v>128</v>
      </c>
      <c r="I138" s="204"/>
    </row>
    <row r="139" spans="1:9" ht="78.75" x14ac:dyDescent="0.25">
      <c r="A139" s="25" t="s">
        <v>127</v>
      </c>
      <c r="B139" s="16">
        <v>902</v>
      </c>
      <c r="C139" s="20" t="s">
        <v>118</v>
      </c>
      <c r="D139" s="20" t="s">
        <v>140</v>
      </c>
      <c r="E139" s="20" t="s">
        <v>869</v>
      </c>
      <c r="F139" s="20" t="s">
        <v>128</v>
      </c>
      <c r="G139" s="26">
        <f>G140</f>
        <v>128</v>
      </c>
      <c r="H139" s="26">
        <f>H140</f>
        <v>128</v>
      </c>
      <c r="I139" s="204"/>
    </row>
    <row r="140" spans="1:9" ht="15.75" x14ac:dyDescent="0.25">
      <c r="A140" s="25" t="s">
        <v>208</v>
      </c>
      <c r="B140" s="16">
        <v>902</v>
      </c>
      <c r="C140" s="20" t="s">
        <v>118</v>
      </c>
      <c r="D140" s="20" t="s">
        <v>140</v>
      </c>
      <c r="E140" s="20" t="s">
        <v>869</v>
      </c>
      <c r="F140" s="20" t="s">
        <v>209</v>
      </c>
      <c r="G140" s="26">
        <v>128</v>
      </c>
      <c r="H140" s="26">
        <f t="shared" si="4"/>
        <v>128</v>
      </c>
      <c r="I140" s="204"/>
    </row>
    <row r="141" spans="1:9" s="203" customFormat="1" ht="47.25" x14ac:dyDescent="0.25">
      <c r="A141" s="34" t="s">
        <v>1220</v>
      </c>
      <c r="B141" s="19">
        <v>902</v>
      </c>
      <c r="C141" s="24" t="s">
        <v>118</v>
      </c>
      <c r="D141" s="24" t="s">
        <v>140</v>
      </c>
      <c r="E141" s="24" t="s">
        <v>324</v>
      </c>
      <c r="F141" s="24"/>
      <c r="G141" s="21">
        <f>G143</f>
        <v>12</v>
      </c>
      <c r="H141" s="21">
        <f>H143</f>
        <v>40</v>
      </c>
      <c r="I141" s="204"/>
    </row>
    <row r="142" spans="1:9" s="203" customFormat="1" ht="63" x14ac:dyDescent="0.25">
      <c r="A142" s="34" t="s">
        <v>1025</v>
      </c>
      <c r="B142" s="19">
        <v>902</v>
      </c>
      <c r="C142" s="24" t="s">
        <v>118</v>
      </c>
      <c r="D142" s="24" t="s">
        <v>140</v>
      </c>
      <c r="E142" s="24" t="s">
        <v>934</v>
      </c>
      <c r="F142" s="24"/>
      <c r="G142" s="21">
        <f>G145</f>
        <v>12</v>
      </c>
      <c r="H142" s="21">
        <f>H145</f>
        <v>40</v>
      </c>
      <c r="I142" s="204"/>
    </row>
    <row r="143" spans="1:9" s="203" customFormat="1" ht="47.25" x14ac:dyDescent="0.25">
      <c r="A143" s="31" t="s">
        <v>1080</v>
      </c>
      <c r="B143" s="16">
        <v>902</v>
      </c>
      <c r="C143" s="20" t="s">
        <v>118</v>
      </c>
      <c r="D143" s="20" t="s">
        <v>140</v>
      </c>
      <c r="E143" s="20" t="s">
        <v>1026</v>
      </c>
      <c r="F143" s="20"/>
      <c r="G143" s="26">
        <f>G144</f>
        <v>12</v>
      </c>
      <c r="H143" s="26">
        <f>H144</f>
        <v>40</v>
      </c>
      <c r="I143" s="204"/>
    </row>
    <row r="144" spans="1:9" s="203" customFormat="1" ht="31.5" x14ac:dyDescent="0.25">
      <c r="A144" s="25" t="s">
        <v>131</v>
      </c>
      <c r="B144" s="16">
        <v>902</v>
      </c>
      <c r="C144" s="20" t="s">
        <v>118</v>
      </c>
      <c r="D144" s="20" t="s">
        <v>140</v>
      </c>
      <c r="E144" s="20" t="s">
        <v>1026</v>
      </c>
      <c r="F144" s="20" t="s">
        <v>132</v>
      </c>
      <c r="G144" s="26">
        <f>G145</f>
        <v>12</v>
      </c>
      <c r="H144" s="26">
        <f>H145</f>
        <v>40</v>
      </c>
      <c r="I144" s="204"/>
    </row>
    <row r="145" spans="1:9" s="203" customFormat="1" ht="31.5" x14ac:dyDescent="0.25">
      <c r="A145" s="25" t="s">
        <v>133</v>
      </c>
      <c r="B145" s="16">
        <v>902</v>
      </c>
      <c r="C145" s="20" t="s">
        <v>118</v>
      </c>
      <c r="D145" s="20" t="s">
        <v>140</v>
      </c>
      <c r="E145" s="20" t="s">
        <v>1026</v>
      </c>
      <c r="F145" s="20" t="s">
        <v>134</v>
      </c>
      <c r="G145" s="26">
        <v>12</v>
      </c>
      <c r="H145" s="26">
        <v>40</v>
      </c>
      <c r="I145" s="204"/>
    </row>
    <row r="146" spans="1:9" ht="54.75" customHeight="1" x14ac:dyDescent="0.25">
      <c r="A146" s="41" t="s">
        <v>1341</v>
      </c>
      <c r="B146" s="19">
        <v>902</v>
      </c>
      <c r="C146" s="24" t="s">
        <v>118</v>
      </c>
      <c r="D146" s="24" t="s">
        <v>140</v>
      </c>
      <c r="E146" s="24" t="s">
        <v>705</v>
      </c>
      <c r="F146" s="222"/>
      <c r="G146" s="21">
        <f>G147+G151</f>
        <v>43</v>
      </c>
      <c r="H146" s="21">
        <f>H147+H151</f>
        <v>43</v>
      </c>
      <c r="I146" s="204"/>
    </row>
    <row r="147" spans="1:9" ht="47.25" x14ac:dyDescent="0.25">
      <c r="A147" s="211" t="s">
        <v>846</v>
      </c>
      <c r="B147" s="19">
        <v>902</v>
      </c>
      <c r="C147" s="24" t="s">
        <v>118</v>
      </c>
      <c r="D147" s="24" t="s">
        <v>140</v>
      </c>
      <c r="E147" s="24" t="s">
        <v>852</v>
      </c>
      <c r="F147" s="222"/>
      <c r="G147" s="21">
        <f t="shared" ref="G147:H149" si="7">G148</f>
        <v>28</v>
      </c>
      <c r="H147" s="21">
        <f t="shared" si="7"/>
        <v>28</v>
      </c>
      <c r="I147" s="204"/>
    </row>
    <row r="148" spans="1:9" ht="31.5" x14ac:dyDescent="0.25">
      <c r="A148" s="98" t="s">
        <v>776</v>
      </c>
      <c r="B148" s="16">
        <v>902</v>
      </c>
      <c r="C148" s="20" t="s">
        <v>118</v>
      </c>
      <c r="D148" s="20" t="s">
        <v>140</v>
      </c>
      <c r="E148" s="20" t="s">
        <v>847</v>
      </c>
      <c r="F148" s="32"/>
      <c r="G148" s="26">
        <f t="shared" si="7"/>
        <v>28</v>
      </c>
      <c r="H148" s="26">
        <f t="shared" si="7"/>
        <v>28</v>
      </c>
      <c r="I148" s="204"/>
    </row>
    <row r="149" spans="1:9" ht="31.5" x14ac:dyDescent="0.25">
      <c r="A149" s="25" t="s">
        <v>131</v>
      </c>
      <c r="B149" s="16">
        <v>902</v>
      </c>
      <c r="C149" s="20" t="s">
        <v>118</v>
      </c>
      <c r="D149" s="20" t="s">
        <v>140</v>
      </c>
      <c r="E149" s="20" t="s">
        <v>847</v>
      </c>
      <c r="F149" s="32" t="s">
        <v>132</v>
      </c>
      <c r="G149" s="26">
        <f t="shared" si="7"/>
        <v>28</v>
      </c>
      <c r="H149" s="26">
        <f t="shared" si="7"/>
        <v>28</v>
      </c>
      <c r="I149" s="204"/>
    </row>
    <row r="150" spans="1:9" ht="31.5" x14ac:dyDescent="0.25">
      <c r="A150" s="25" t="s">
        <v>133</v>
      </c>
      <c r="B150" s="16">
        <v>902</v>
      </c>
      <c r="C150" s="20" t="s">
        <v>118</v>
      </c>
      <c r="D150" s="20" t="s">
        <v>140</v>
      </c>
      <c r="E150" s="20" t="s">
        <v>847</v>
      </c>
      <c r="F150" s="32" t="s">
        <v>134</v>
      </c>
      <c r="G150" s="26">
        <v>28</v>
      </c>
      <c r="H150" s="26">
        <v>28</v>
      </c>
      <c r="I150" s="204"/>
    </row>
    <row r="151" spans="1:9" ht="31.5" x14ac:dyDescent="0.25">
      <c r="A151" s="212" t="s">
        <v>1023</v>
      </c>
      <c r="B151" s="19">
        <v>902</v>
      </c>
      <c r="C151" s="24" t="s">
        <v>118</v>
      </c>
      <c r="D151" s="24" t="s">
        <v>140</v>
      </c>
      <c r="E151" s="24" t="s">
        <v>853</v>
      </c>
      <c r="F151" s="222"/>
      <c r="G151" s="21">
        <f t="shared" ref="G151:H153" si="8">G152</f>
        <v>15</v>
      </c>
      <c r="H151" s="21">
        <f t="shared" si="8"/>
        <v>15</v>
      </c>
      <c r="I151" s="204"/>
    </row>
    <row r="152" spans="1:9" ht="31.5" x14ac:dyDescent="0.25">
      <c r="A152" s="98" t="s">
        <v>777</v>
      </c>
      <c r="B152" s="16">
        <v>902</v>
      </c>
      <c r="C152" s="20" t="s">
        <v>118</v>
      </c>
      <c r="D152" s="20" t="s">
        <v>140</v>
      </c>
      <c r="E152" s="20" t="s">
        <v>848</v>
      </c>
      <c r="F152" s="32"/>
      <c r="G152" s="26">
        <f t="shared" si="8"/>
        <v>15</v>
      </c>
      <c r="H152" s="26">
        <f t="shared" si="8"/>
        <v>15</v>
      </c>
      <c r="I152" s="204"/>
    </row>
    <row r="153" spans="1:9" ht="31.5" x14ac:dyDescent="0.25">
      <c r="A153" s="25" t="s">
        <v>131</v>
      </c>
      <c r="B153" s="16">
        <v>902</v>
      </c>
      <c r="C153" s="20" t="s">
        <v>118</v>
      </c>
      <c r="D153" s="20" t="s">
        <v>140</v>
      </c>
      <c r="E153" s="20" t="s">
        <v>848</v>
      </c>
      <c r="F153" s="32" t="s">
        <v>132</v>
      </c>
      <c r="G153" s="26">
        <f t="shared" si="8"/>
        <v>15</v>
      </c>
      <c r="H153" s="26">
        <f t="shared" si="8"/>
        <v>15</v>
      </c>
      <c r="I153" s="204"/>
    </row>
    <row r="154" spans="1:9" ht="31.5" x14ac:dyDescent="0.25">
      <c r="A154" s="25" t="s">
        <v>133</v>
      </c>
      <c r="B154" s="16">
        <v>902</v>
      </c>
      <c r="C154" s="20" t="s">
        <v>118</v>
      </c>
      <c r="D154" s="20" t="s">
        <v>140</v>
      </c>
      <c r="E154" s="20" t="s">
        <v>848</v>
      </c>
      <c r="F154" s="32" t="s">
        <v>134</v>
      </c>
      <c r="G154" s="26">
        <f>15</f>
        <v>15</v>
      </c>
      <c r="H154" s="26">
        <f t="shared" si="4"/>
        <v>15</v>
      </c>
      <c r="I154" s="204"/>
    </row>
    <row r="155" spans="1:9" ht="78.75" x14ac:dyDescent="0.25">
      <c r="A155" s="41" t="s">
        <v>1365</v>
      </c>
      <c r="B155" s="19">
        <v>902</v>
      </c>
      <c r="C155" s="8" t="s">
        <v>118</v>
      </c>
      <c r="D155" s="8" t="s">
        <v>140</v>
      </c>
      <c r="E155" s="367" t="s">
        <v>817</v>
      </c>
      <c r="F155" s="8"/>
      <c r="G155" s="21">
        <f t="shared" ref="G155:H158" si="9">G156</f>
        <v>45</v>
      </c>
      <c r="H155" s="21">
        <f t="shared" si="9"/>
        <v>50</v>
      </c>
      <c r="I155" s="204"/>
    </row>
    <row r="156" spans="1:9" ht="47.25" x14ac:dyDescent="0.25">
      <c r="A156" s="213" t="s">
        <v>854</v>
      </c>
      <c r="B156" s="19">
        <v>902</v>
      </c>
      <c r="C156" s="8" t="s">
        <v>118</v>
      </c>
      <c r="D156" s="8" t="s">
        <v>140</v>
      </c>
      <c r="E156" s="194" t="s">
        <v>1075</v>
      </c>
      <c r="F156" s="8"/>
      <c r="G156" s="21">
        <f t="shared" si="9"/>
        <v>45</v>
      </c>
      <c r="H156" s="21">
        <f t="shared" si="9"/>
        <v>50</v>
      </c>
      <c r="I156" s="204"/>
    </row>
    <row r="157" spans="1:9" ht="31.5" x14ac:dyDescent="0.25">
      <c r="A157" s="97" t="s">
        <v>171</v>
      </c>
      <c r="B157" s="16">
        <v>902</v>
      </c>
      <c r="C157" s="9" t="s">
        <v>118</v>
      </c>
      <c r="D157" s="9" t="s">
        <v>140</v>
      </c>
      <c r="E157" s="5" t="s">
        <v>855</v>
      </c>
      <c r="F157" s="9"/>
      <c r="G157" s="26">
        <f t="shared" si="9"/>
        <v>45</v>
      </c>
      <c r="H157" s="26">
        <f t="shared" si="9"/>
        <v>50</v>
      </c>
      <c r="I157" s="204"/>
    </row>
    <row r="158" spans="1:9" ht="31.5" x14ac:dyDescent="0.25">
      <c r="A158" s="25" t="s">
        <v>131</v>
      </c>
      <c r="B158" s="16">
        <v>902</v>
      </c>
      <c r="C158" s="9" t="s">
        <v>118</v>
      </c>
      <c r="D158" s="9" t="s">
        <v>140</v>
      </c>
      <c r="E158" s="5" t="s">
        <v>855</v>
      </c>
      <c r="F158" s="9" t="s">
        <v>132</v>
      </c>
      <c r="G158" s="26">
        <f t="shared" si="9"/>
        <v>45</v>
      </c>
      <c r="H158" s="26">
        <f t="shared" si="9"/>
        <v>50</v>
      </c>
      <c r="I158" s="204"/>
    </row>
    <row r="159" spans="1:9" ht="35.450000000000003" customHeight="1" x14ac:dyDescent="0.25">
      <c r="A159" s="25" t="s">
        <v>133</v>
      </c>
      <c r="B159" s="16">
        <v>902</v>
      </c>
      <c r="C159" s="9" t="s">
        <v>118</v>
      </c>
      <c r="D159" s="9" t="s">
        <v>140</v>
      </c>
      <c r="E159" s="5" t="s">
        <v>855</v>
      </c>
      <c r="F159" s="9" t="s">
        <v>134</v>
      </c>
      <c r="G159" s="26">
        <v>45</v>
      </c>
      <c r="H159" s="26">
        <v>50</v>
      </c>
      <c r="I159" s="204"/>
    </row>
    <row r="160" spans="1:9" ht="63" x14ac:dyDescent="0.25">
      <c r="A160" s="41" t="s">
        <v>1343</v>
      </c>
      <c r="B160" s="19">
        <v>902</v>
      </c>
      <c r="C160" s="8" t="s">
        <v>118</v>
      </c>
      <c r="D160" s="8" t="s">
        <v>140</v>
      </c>
      <c r="E160" s="194" t="s">
        <v>818</v>
      </c>
      <c r="F160" s="8"/>
      <c r="G160" s="21">
        <f>G162</f>
        <v>80</v>
      </c>
      <c r="H160" s="21">
        <f>H162</f>
        <v>90</v>
      </c>
      <c r="I160" s="204"/>
    </row>
    <row r="161" spans="1:9" ht="31.5" x14ac:dyDescent="0.25">
      <c r="A161" s="58" t="s">
        <v>856</v>
      </c>
      <c r="B161" s="19">
        <v>902</v>
      </c>
      <c r="C161" s="8" t="s">
        <v>118</v>
      </c>
      <c r="D161" s="8" t="s">
        <v>140</v>
      </c>
      <c r="E161" s="194" t="s">
        <v>864</v>
      </c>
      <c r="F161" s="8"/>
      <c r="G161" s="21">
        <f t="shared" ref="G161:H163" si="10">G162</f>
        <v>80</v>
      </c>
      <c r="H161" s="21">
        <f t="shared" si="10"/>
        <v>90</v>
      </c>
      <c r="I161" s="204"/>
    </row>
    <row r="162" spans="1:9" ht="15.75" x14ac:dyDescent="0.25">
      <c r="A162" s="45" t="s">
        <v>822</v>
      </c>
      <c r="B162" s="16">
        <v>902</v>
      </c>
      <c r="C162" s="9" t="s">
        <v>118</v>
      </c>
      <c r="D162" s="9" t="s">
        <v>140</v>
      </c>
      <c r="E162" s="5" t="s">
        <v>857</v>
      </c>
      <c r="F162" s="9"/>
      <c r="G162" s="26">
        <f t="shared" si="10"/>
        <v>80</v>
      </c>
      <c r="H162" s="26">
        <f t="shared" si="10"/>
        <v>90</v>
      </c>
      <c r="I162" s="204"/>
    </row>
    <row r="163" spans="1:9" ht="31.5" x14ac:dyDescent="0.25">
      <c r="A163" s="25" t="s">
        <v>131</v>
      </c>
      <c r="B163" s="16">
        <v>902</v>
      </c>
      <c r="C163" s="9" t="s">
        <v>118</v>
      </c>
      <c r="D163" s="9" t="s">
        <v>140</v>
      </c>
      <c r="E163" s="5" t="s">
        <v>857</v>
      </c>
      <c r="F163" s="9" t="s">
        <v>132</v>
      </c>
      <c r="G163" s="26">
        <f t="shared" si="10"/>
        <v>80</v>
      </c>
      <c r="H163" s="26">
        <f t="shared" si="10"/>
        <v>90</v>
      </c>
      <c r="I163" s="204"/>
    </row>
    <row r="164" spans="1:9" ht="31.5" x14ac:dyDescent="0.25">
      <c r="A164" s="25" t="s">
        <v>133</v>
      </c>
      <c r="B164" s="16">
        <v>902</v>
      </c>
      <c r="C164" s="9" t="s">
        <v>118</v>
      </c>
      <c r="D164" s="9" t="s">
        <v>140</v>
      </c>
      <c r="E164" s="5" t="s">
        <v>857</v>
      </c>
      <c r="F164" s="9" t="s">
        <v>134</v>
      </c>
      <c r="G164" s="26">
        <v>80</v>
      </c>
      <c r="H164" s="26">
        <v>90</v>
      </c>
      <c r="I164" s="204"/>
    </row>
    <row r="165" spans="1:9" ht="15.75" hidden="1" x14ac:dyDescent="0.25">
      <c r="A165" s="23" t="s">
        <v>212</v>
      </c>
      <c r="B165" s="19">
        <v>902</v>
      </c>
      <c r="C165" s="24" t="s">
        <v>213</v>
      </c>
      <c r="D165" s="24"/>
      <c r="E165" s="24"/>
      <c r="F165" s="24"/>
      <c r="G165" s="21">
        <f t="shared" ref="G165:H168" si="11">G166</f>
        <v>0</v>
      </c>
      <c r="H165" s="21">
        <f t="shared" si="11"/>
        <v>0</v>
      </c>
      <c r="I165" s="204"/>
    </row>
    <row r="166" spans="1:9" ht="17.100000000000001" hidden="1" customHeight="1" x14ac:dyDescent="0.25">
      <c r="A166" s="23" t="s">
        <v>218</v>
      </c>
      <c r="B166" s="19">
        <v>902</v>
      </c>
      <c r="C166" s="24" t="s">
        <v>213</v>
      </c>
      <c r="D166" s="24" t="s">
        <v>219</v>
      </c>
      <c r="E166" s="24"/>
      <c r="F166" s="24"/>
      <c r="G166" s="21">
        <f t="shared" si="11"/>
        <v>0</v>
      </c>
      <c r="H166" s="21">
        <f t="shared" si="11"/>
        <v>0</v>
      </c>
      <c r="I166" s="204"/>
    </row>
    <row r="167" spans="1:9" ht="15.75" hidden="1" x14ac:dyDescent="0.25">
      <c r="A167" s="23" t="s">
        <v>141</v>
      </c>
      <c r="B167" s="19">
        <v>902</v>
      </c>
      <c r="C167" s="24" t="s">
        <v>213</v>
      </c>
      <c r="D167" s="24" t="s">
        <v>219</v>
      </c>
      <c r="E167" s="24" t="s">
        <v>866</v>
      </c>
      <c r="F167" s="24"/>
      <c r="G167" s="21">
        <f t="shared" si="11"/>
        <v>0</v>
      </c>
      <c r="H167" s="21">
        <f t="shared" si="11"/>
        <v>0</v>
      </c>
      <c r="I167" s="204"/>
    </row>
    <row r="168" spans="1:9" ht="31.5" hidden="1" x14ac:dyDescent="0.25">
      <c r="A168" s="23" t="s">
        <v>870</v>
      </c>
      <c r="B168" s="19">
        <v>902</v>
      </c>
      <c r="C168" s="24" t="s">
        <v>213</v>
      </c>
      <c r="D168" s="24" t="s">
        <v>219</v>
      </c>
      <c r="E168" s="24" t="s">
        <v>865</v>
      </c>
      <c r="F168" s="24"/>
      <c r="G168" s="21">
        <f t="shared" si="11"/>
        <v>0</v>
      </c>
      <c r="H168" s="21">
        <f t="shared" si="11"/>
        <v>0</v>
      </c>
      <c r="I168" s="204"/>
    </row>
    <row r="169" spans="1:9" ht="15.75" hidden="1" x14ac:dyDescent="0.25">
      <c r="A169" s="25" t="s">
        <v>220</v>
      </c>
      <c r="B169" s="16">
        <v>902</v>
      </c>
      <c r="C169" s="20" t="s">
        <v>213</v>
      </c>
      <c r="D169" s="20" t="s">
        <v>219</v>
      </c>
      <c r="E169" s="20" t="s">
        <v>871</v>
      </c>
      <c r="F169" s="20"/>
      <c r="G169" s="26">
        <f>'Пр.4 ведом.22'!G162</f>
        <v>0</v>
      </c>
      <c r="H169" s="26">
        <f t="shared" si="4"/>
        <v>0</v>
      </c>
      <c r="I169" s="204"/>
    </row>
    <row r="170" spans="1:9" ht="31.5" hidden="1" x14ac:dyDescent="0.25">
      <c r="A170" s="25" t="s">
        <v>198</v>
      </c>
      <c r="B170" s="16">
        <v>902</v>
      </c>
      <c r="C170" s="20" t="s">
        <v>213</v>
      </c>
      <c r="D170" s="20" t="s">
        <v>219</v>
      </c>
      <c r="E170" s="20" t="s">
        <v>871</v>
      </c>
      <c r="F170" s="20" t="s">
        <v>132</v>
      </c>
      <c r="G170" s="26">
        <f>'Пр.4 ведом.22'!G163</f>
        <v>0</v>
      </c>
      <c r="H170" s="26">
        <f t="shared" si="4"/>
        <v>0</v>
      </c>
      <c r="I170" s="204"/>
    </row>
    <row r="171" spans="1:9" ht="31.5" hidden="1" x14ac:dyDescent="0.25">
      <c r="A171" s="25" t="s">
        <v>133</v>
      </c>
      <c r="B171" s="16">
        <v>902</v>
      </c>
      <c r="C171" s="20" t="s">
        <v>213</v>
      </c>
      <c r="D171" s="20" t="s">
        <v>219</v>
      </c>
      <c r="E171" s="20" t="s">
        <v>871</v>
      </c>
      <c r="F171" s="20" t="s">
        <v>134</v>
      </c>
      <c r="G171" s="26">
        <f>'Пр.4 ведом.22'!G164</f>
        <v>0</v>
      </c>
      <c r="H171" s="26">
        <f t="shared" si="4"/>
        <v>0</v>
      </c>
      <c r="I171" s="204"/>
    </row>
    <row r="172" spans="1:9" ht="31.5" x14ac:dyDescent="0.25">
      <c r="A172" s="23" t="s">
        <v>222</v>
      </c>
      <c r="B172" s="19">
        <v>902</v>
      </c>
      <c r="C172" s="24" t="s">
        <v>215</v>
      </c>
      <c r="D172" s="24"/>
      <c r="E172" s="24"/>
      <c r="F172" s="24"/>
      <c r="G172" s="21">
        <f>G173</f>
        <v>8090.1</v>
      </c>
      <c r="H172" s="21">
        <f>H173</f>
        <v>8090.1</v>
      </c>
      <c r="I172" s="204"/>
    </row>
    <row r="173" spans="1:9" ht="47.25" x14ac:dyDescent="0.25">
      <c r="A173" s="23" t="s">
        <v>1345</v>
      </c>
      <c r="B173" s="19">
        <v>902</v>
      </c>
      <c r="C173" s="24" t="s">
        <v>215</v>
      </c>
      <c r="D173" s="24" t="s">
        <v>244</v>
      </c>
      <c r="E173" s="20"/>
      <c r="F173" s="20"/>
      <c r="G173" s="21">
        <f>G174</f>
        <v>8090.1</v>
      </c>
      <c r="H173" s="21">
        <f>H174</f>
        <v>8090.1</v>
      </c>
      <c r="I173" s="204"/>
    </row>
    <row r="174" spans="1:9" ht="15.75" x14ac:dyDescent="0.25">
      <c r="A174" s="23" t="s">
        <v>141</v>
      </c>
      <c r="B174" s="19">
        <v>902</v>
      </c>
      <c r="C174" s="24" t="s">
        <v>215</v>
      </c>
      <c r="D174" s="24" t="s">
        <v>244</v>
      </c>
      <c r="E174" s="24" t="s">
        <v>866</v>
      </c>
      <c r="F174" s="24"/>
      <c r="G174" s="21">
        <f>G175+G182</f>
        <v>8090.1</v>
      </c>
      <c r="H174" s="21">
        <f>H175+H182</f>
        <v>8090.1</v>
      </c>
      <c r="I174" s="204"/>
    </row>
    <row r="175" spans="1:9" ht="31.5" x14ac:dyDescent="0.25">
      <c r="A175" s="23" t="s">
        <v>870</v>
      </c>
      <c r="B175" s="19">
        <v>902</v>
      </c>
      <c r="C175" s="24" t="s">
        <v>215</v>
      </c>
      <c r="D175" s="24" t="s">
        <v>244</v>
      </c>
      <c r="E175" s="24" t="s">
        <v>865</v>
      </c>
      <c r="F175" s="24"/>
      <c r="G175" s="21">
        <f>G176+G179</f>
        <v>1982</v>
      </c>
      <c r="H175" s="21">
        <f>H176+H179</f>
        <v>1982</v>
      </c>
      <c r="I175" s="204"/>
    </row>
    <row r="176" spans="1:9" ht="47.25" x14ac:dyDescent="0.25">
      <c r="A176" s="25" t="s">
        <v>224</v>
      </c>
      <c r="B176" s="16">
        <v>902</v>
      </c>
      <c r="C176" s="20" t="s">
        <v>215</v>
      </c>
      <c r="D176" s="20" t="s">
        <v>244</v>
      </c>
      <c r="E176" s="20" t="s">
        <v>875</v>
      </c>
      <c r="F176" s="20"/>
      <c r="G176" s="26">
        <f>G177</f>
        <v>1785</v>
      </c>
      <c r="H176" s="26">
        <f>H177</f>
        <v>1785</v>
      </c>
      <c r="I176" s="204"/>
    </row>
    <row r="177" spans="1:9" ht="31.5" x14ac:dyDescent="0.25">
      <c r="A177" s="25" t="s">
        <v>198</v>
      </c>
      <c r="B177" s="16">
        <v>902</v>
      </c>
      <c r="C177" s="20" t="s">
        <v>215</v>
      </c>
      <c r="D177" s="20" t="s">
        <v>244</v>
      </c>
      <c r="E177" s="20" t="s">
        <v>875</v>
      </c>
      <c r="F177" s="20" t="s">
        <v>132</v>
      </c>
      <c r="G177" s="26">
        <f>G178</f>
        <v>1785</v>
      </c>
      <c r="H177" s="26">
        <f>H178</f>
        <v>1785</v>
      </c>
      <c r="I177" s="204"/>
    </row>
    <row r="178" spans="1:9" ht="31.5" x14ac:dyDescent="0.25">
      <c r="A178" s="25" t="s">
        <v>133</v>
      </c>
      <c r="B178" s="16">
        <v>902</v>
      </c>
      <c r="C178" s="20" t="s">
        <v>215</v>
      </c>
      <c r="D178" s="20" t="s">
        <v>244</v>
      </c>
      <c r="E178" s="20" t="s">
        <v>875</v>
      </c>
      <c r="F178" s="20" t="s">
        <v>134</v>
      </c>
      <c r="G178" s="26">
        <f>1785</f>
        <v>1785</v>
      </c>
      <c r="H178" s="26">
        <f t="shared" si="4"/>
        <v>1785</v>
      </c>
      <c r="I178" s="204"/>
    </row>
    <row r="179" spans="1:9" ht="15.75" x14ac:dyDescent="0.25">
      <c r="A179" s="25" t="s">
        <v>230</v>
      </c>
      <c r="B179" s="16">
        <v>902</v>
      </c>
      <c r="C179" s="20" t="s">
        <v>215</v>
      </c>
      <c r="D179" s="20" t="s">
        <v>244</v>
      </c>
      <c r="E179" s="20" t="s">
        <v>876</v>
      </c>
      <c r="F179" s="20"/>
      <c r="G179" s="26">
        <f>G180</f>
        <v>197</v>
      </c>
      <c r="H179" s="26">
        <f>H180</f>
        <v>197</v>
      </c>
      <c r="I179" s="204"/>
    </row>
    <row r="180" spans="1:9" ht="31.5" x14ac:dyDescent="0.25">
      <c r="A180" s="25" t="s">
        <v>198</v>
      </c>
      <c r="B180" s="16">
        <v>902</v>
      </c>
      <c r="C180" s="20" t="s">
        <v>215</v>
      </c>
      <c r="D180" s="20" t="s">
        <v>244</v>
      </c>
      <c r="E180" s="20" t="s">
        <v>876</v>
      </c>
      <c r="F180" s="20" t="s">
        <v>132</v>
      </c>
      <c r="G180" s="26">
        <f>G181</f>
        <v>197</v>
      </c>
      <c r="H180" s="26">
        <f>H181</f>
        <v>197</v>
      </c>
      <c r="I180" s="204"/>
    </row>
    <row r="181" spans="1:9" ht="31.5" x14ac:dyDescent="0.25">
      <c r="A181" s="25" t="s">
        <v>133</v>
      </c>
      <c r="B181" s="16">
        <v>902</v>
      </c>
      <c r="C181" s="20" t="s">
        <v>215</v>
      </c>
      <c r="D181" s="20" t="s">
        <v>244</v>
      </c>
      <c r="E181" s="20" t="s">
        <v>876</v>
      </c>
      <c r="F181" s="20" t="s">
        <v>134</v>
      </c>
      <c r="G181" s="26">
        <f>197</f>
        <v>197</v>
      </c>
      <c r="H181" s="26">
        <f t="shared" ref="H181:H241" si="12">G181</f>
        <v>197</v>
      </c>
      <c r="I181" s="204"/>
    </row>
    <row r="182" spans="1:9" ht="31.5" x14ac:dyDescent="0.25">
      <c r="A182" s="23" t="s">
        <v>923</v>
      </c>
      <c r="B182" s="19">
        <v>902</v>
      </c>
      <c r="C182" s="24" t="s">
        <v>215</v>
      </c>
      <c r="D182" s="24" t="s">
        <v>244</v>
      </c>
      <c r="E182" s="24" t="s">
        <v>872</v>
      </c>
      <c r="F182" s="24"/>
      <c r="G182" s="21">
        <f>G183+G188</f>
        <v>6108.1</v>
      </c>
      <c r="H182" s="21">
        <f>H183+H188</f>
        <v>6108.1</v>
      </c>
      <c r="I182" s="204"/>
    </row>
    <row r="183" spans="1:9" ht="31.5" x14ac:dyDescent="0.25">
      <c r="A183" s="25" t="s">
        <v>927</v>
      </c>
      <c r="B183" s="16">
        <v>902</v>
      </c>
      <c r="C183" s="20" t="s">
        <v>215</v>
      </c>
      <c r="D183" s="20" t="s">
        <v>244</v>
      </c>
      <c r="E183" s="20" t="s">
        <v>873</v>
      </c>
      <c r="F183" s="20"/>
      <c r="G183" s="26">
        <f>G184+G186</f>
        <v>5856.1</v>
      </c>
      <c r="H183" s="26">
        <f>H184+H186</f>
        <v>5856.1</v>
      </c>
      <c r="I183" s="204"/>
    </row>
    <row r="184" spans="1:9" ht="78.75" x14ac:dyDescent="0.25">
      <c r="A184" s="25" t="s">
        <v>127</v>
      </c>
      <c r="B184" s="16">
        <v>902</v>
      </c>
      <c r="C184" s="20" t="s">
        <v>215</v>
      </c>
      <c r="D184" s="20" t="s">
        <v>244</v>
      </c>
      <c r="E184" s="20" t="s">
        <v>873</v>
      </c>
      <c r="F184" s="20" t="s">
        <v>128</v>
      </c>
      <c r="G184" s="26">
        <f>G185</f>
        <v>5693.1</v>
      </c>
      <c r="H184" s="26">
        <f t="shared" si="12"/>
        <v>5693.1</v>
      </c>
      <c r="I184" s="204"/>
    </row>
    <row r="185" spans="1:9" ht="15.75" x14ac:dyDescent="0.25">
      <c r="A185" s="25" t="s">
        <v>208</v>
      </c>
      <c r="B185" s="16">
        <v>902</v>
      </c>
      <c r="C185" s="20" t="s">
        <v>215</v>
      </c>
      <c r="D185" s="20" t="s">
        <v>244</v>
      </c>
      <c r="E185" s="20" t="s">
        <v>873</v>
      </c>
      <c r="F185" s="20" t="s">
        <v>209</v>
      </c>
      <c r="G185" s="26">
        <v>5693.1</v>
      </c>
      <c r="H185" s="26">
        <f t="shared" si="12"/>
        <v>5693.1</v>
      </c>
      <c r="I185" s="204"/>
    </row>
    <row r="186" spans="1:9" ht="31.5" x14ac:dyDescent="0.25">
      <c r="A186" s="25" t="s">
        <v>198</v>
      </c>
      <c r="B186" s="16">
        <v>902</v>
      </c>
      <c r="C186" s="20" t="s">
        <v>215</v>
      </c>
      <c r="D186" s="20" t="s">
        <v>244</v>
      </c>
      <c r="E186" s="20" t="s">
        <v>873</v>
      </c>
      <c r="F186" s="20" t="s">
        <v>132</v>
      </c>
      <c r="G186" s="26">
        <f>G187</f>
        <v>163</v>
      </c>
      <c r="H186" s="26">
        <f>H187</f>
        <v>163</v>
      </c>
      <c r="I186" s="204"/>
    </row>
    <row r="187" spans="1:9" ht="31.5" x14ac:dyDescent="0.25">
      <c r="A187" s="25" t="s">
        <v>133</v>
      </c>
      <c r="B187" s="16">
        <v>902</v>
      </c>
      <c r="C187" s="20" t="s">
        <v>215</v>
      </c>
      <c r="D187" s="20" t="s">
        <v>244</v>
      </c>
      <c r="E187" s="20" t="s">
        <v>873</v>
      </c>
      <c r="F187" s="20" t="s">
        <v>134</v>
      </c>
      <c r="G187" s="26">
        <f>163</f>
        <v>163</v>
      </c>
      <c r="H187" s="26">
        <f t="shared" si="12"/>
        <v>163</v>
      </c>
      <c r="I187" s="204"/>
    </row>
    <row r="188" spans="1:9" ht="47.25" x14ac:dyDescent="0.25">
      <c r="A188" s="25" t="s">
        <v>839</v>
      </c>
      <c r="B188" s="16">
        <v>902</v>
      </c>
      <c r="C188" s="20" t="s">
        <v>215</v>
      </c>
      <c r="D188" s="20" t="s">
        <v>244</v>
      </c>
      <c r="E188" s="20" t="s">
        <v>874</v>
      </c>
      <c r="F188" s="20"/>
      <c r="G188" s="26">
        <f>G189</f>
        <v>252</v>
      </c>
      <c r="H188" s="26">
        <f>H189</f>
        <v>252</v>
      </c>
      <c r="I188" s="204"/>
    </row>
    <row r="189" spans="1:9" ht="78.75" x14ac:dyDescent="0.25">
      <c r="A189" s="25" t="s">
        <v>127</v>
      </c>
      <c r="B189" s="16">
        <v>902</v>
      </c>
      <c r="C189" s="20" t="s">
        <v>215</v>
      </c>
      <c r="D189" s="20" t="s">
        <v>244</v>
      </c>
      <c r="E189" s="20" t="s">
        <v>874</v>
      </c>
      <c r="F189" s="20" t="s">
        <v>128</v>
      </c>
      <c r="G189" s="26">
        <f>G190</f>
        <v>252</v>
      </c>
      <c r="H189" s="26">
        <f>H190</f>
        <v>252</v>
      </c>
      <c r="I189" s="204"/>
    </row>
    <row r="190" spans="1:9" ht="19.5" customHeight="1" x14ac:dyDescent="0.25">
      <c r="A190" s="25" t="s">
        <v>208</v>
      </c>
      <c r="B190" s="16">
        <v>902</v>
      </c>
      <c r="C190" s="20" t="s">
        <v>215</v>
      </c>
      <c r="D190" s="20" t="s">
        <v>244</v>
      </c>
      <c r="E190" s="20" t="s">
        <v>874</v>
      </c>
      <c r="F190" s="20" t="s">
        <v>209</v>
      </c>
      <c r="G190" s="26">
        <f>252</f>
        <v>252</v>
      </c>
      <c r="H190" s="26">
        <f t="shared" si="12"/>
        <v>252</v>
      </c>
      <c r="I190" s="204"/>
    </row>
    <row r="191" spans="1:9" ht="15.75" x14ac:dyDescent="0.25">
      <c r="A191" s="23" t="s">
        <v>232</v>
      </c>
      <c r="B191" s="19">
        <v>902</v>
      </c>
      <c r="C191" s="24" t="s">
        <v>150</v>
      </c>
      <c r="D191" s="24"/>
      <c r="E191" s="24"/>
      <c r="F191" s="20"/>
      <c r="G191" s="21">
        <f>G205+G192</f>
        <v>688.2</v>
      </c>
      <c r="H191" s="21">
        <f>H205+H192</f>
        <v>698.8</v>
      </c>
      <c r="I191" s="204"/>
    </row>
    <row r="192" spans="1:9" ht="15.75" x14ac:dyDescent="0.25">
      <c r="A192" s="23" t="s">
        <v>233</v>
      </c>
      <c r="B192" s="19">
        <v>902</v>
      </c>
      <c r="C192" s="24" t="s">
        <v>150</v>
      </c>
      <c r="D192" s="24" t="s">
        <v>234</v>
      </c>
      <c r="E192" s="24"/>
      <c r="F192" s="20"/>
      <c r="G192" s="21">
        <f>G193</f>
        <v>274</v>
      </c>
      <c r="H192" s="21">
        <f>H193</f>
        <v>274</v>
      </c>
      <c r="I192" s="204"/>
    </row>
    <row r="193" spans="1:9" ht="31.5" x14ac:dyDescent="0.25">
      <c r="A193" s="34" t="s">
        <v>1344</v>
      </c>
      <c r="B193" s="19">
        <v>902</v>
      </c>
      <c r="C193" s="24" t="s">
        <v>150</v>
      </c>
      <c r="D193" s="24" t="s">
        <v>234</v>
      </c>
      <c r="E193" s="194" t="s">
        <v>182</v>
      </c>
      <c r="F193" s="222"/>
      <c r="G193" s="21">
        <f>G194+G201</f>
        <v>274</v>
      </c>
      <c r="H193" s="21">
        <f>H194+H201</f>
        <v>274</v>
      </c>
      <c r="I193" s="204"/>
    </row>
    <row r="194" spans="1:9" ht="31.5" x14ac:dyDescent="0.25">
      <c r="A194" s="34" t="s">
        <v>1006</v>
      </c>
      <c r="B194" s="19">
        <v>902</v>
      </c>
      <c r="C194" s="24" t="s">
        <v>150</v>
      </c>
      <c r="D194" s="24" t="s">
        <v>234</v>
      </c>
      <c r="E194" s="251" t="s">
        <v>877</v>
      </c>
      <c r="F194" s="222"/>
      <c r="G194" s="21">
        <f>G195+G198</f>
        <v>274</v>
      </c>
      <c r="H194" s="21">
        <f>H195+H198</f>
        <v>274</v>
      </c>
      <c r="I194" s="204"/>
    </row>
    <row r="195" spans="1:9" ht="31.5" x14ac:dyDescent="0.25">
      <c r="A195" s="25" t="s">
        <v>235</v>
      </c>
      <c r="B195" s="16">
        <v>902</v>
      </c>
      <c r="C195" s="20" t="s">
        <v>150</v>
      </c>
      <c r="D195" s="20" t="s">
        <v>234</v>
      </c>
      <c r="E195" s="20" t="s">
        <v>898</v>
      </c>
      <c r="F195" s="32"/>
      <c r="G195" s="26">
        <f>G196</f>
        <v>274</v>
      </c>
      <c r="H195" s="26">
        <f>H196</f>
        <v>274</v>
      </c>
      <c r="I195" s="204"/>
    </row>
    <row r="196" spans="1:9" ht="15.75" x14ac:dyDescent="0.25">
      <c r="A196" s="29" t="s">
        <v>135</v>
      </c>
      <c r="B196" s="16">
        <v>902</v>
      </c>
      <c r="C196" s="20" t="s">
        <v>150</v>
      </c>
      <c r="D196" s="20" t="s">
        <v>234</v>
      </c>
      <c r="E196" s="20" t="s">
        <v>898</v>
      </c>
      <c r="F196" s="32" t="s">
        <v>145</v>
      </c>
      <c r="G196" s="26">
        <f>G197</f>
        <v>274</v>
      </c>
      <c r="H196" s="26">
        <f>H197</f>
        <v>274</v>
      </c>
      <c r="I196" s="204"/>
    </row>
    <row r="197" spans="1:9" ht="47.25" x14ac:dyDescent="0.25">
      <c r="A197" s="29" t="s">
        <v>184</v>
      </c>
      <c r="B197" s="16">
        <v>902</v>
      </c>
      <c r="C197" s="20" t="s">
        <v>150</v>
      </c>
      <c r="D197" s="20" t="s">
        <v>234</v>
      </c>
      <c r="E197" s="20" t="s">
        <v>898</v>
      </c>
      <c r="F197" s="32" t="s">
        <v>160</v>
      </c>
      <c r="G197" s="26">
        <f>19+255</f>
        <v>274</v>
      </c>
      <c r="H197" s="26">
        <f>19+255</f>
        <v>274</v>
      </c>
      <c r="I197" s="204"/>
    </row>
    <row r="198" spans="1:9" ht="31.5" hidden="1" x14ac:dyDescent="0.25">
      <c r="A198" s="25" t="s">
        <v>235</v>
      </c>
      <c r="B198" s="16">
        <v>902</v>
      </c>
      <c r="C198" s="20" t="s">
        <v>150</v>
      </c>
      <c r="D198" s="20" t="s">
        <v>234</v>
      </c>
      <c r="E198" s="20" t="s">
        <v>880</v>
      </c>
      <c r="F198" s="20"/>
      <c r="G198" s="26">
        <f>G199</f>
        <v>0</v>
      </c>
      <c r="H198" s="26">
        <f>H199</f>
        <v>0</v>
      </c>
      <c r="I198" s="204"/>
    </row>
    <row r="199" spans="1:9" ht="15.75" hidden="1" x14ac:dyDescent="0.25">
      <c r="A199" s="25" t="s">
        <v>135</v>
      </c>
      <c r="B199" s="16">
        <v>902</v>
      </c>
      <c r="C199" s="20" t="s">
        <v>150</v>
      </c>
      <c r="D199" s="20" t="s">
        <v>234</v>
      </c>
      <c r="E199" s="20" t="s">
        <v>880</v>
      </c>
      <c r="F199" s="20" t="s">
        <v>145</v>
      </c>
      <c r="G199" s="26">
        <f>G200</f>
        <v>0</v>
      </c>
      <c r="H199" s="26">
        <f>H200</f>
        <v>0</v>
      </c>
      <c r="I199" s="204"/>
    </row>
    <row r="200" spans="1:9" ht="47.25" hidden="1" x14ac:dyDescent="0.25">
      <c r="A200" s="25" t="s">
        <v>184</v>
      </c>
      <c r="B200" s="16">
        <v>902</v>
      </c>
      <c r="C200" s="20" t="s">
        <v>150</v>
      </c>
      <c r="D200" s="20" t="s">
        <v>234</v>
      </c>
      <c r="E200" s="20" t="s">
        <v>880</v>
      </c>
      <c r="F200" s="20" t="s">
        <v>160</v>
      </c>
      <c r="G200" s="26"/>
      <c r="H200" s="26"/>
      <c r="I200" s="204"/>
    </row>
    <row r="201" spans="1:9" ht="47.25" hidden="1" x14ac:dyDescent="0.25">
      <c r="A201" s="214" t="s">
        <v>1007</v>
      </c>
      <c r="B201" s="19">
        <v>902</v>
      </c>
      <c r="C201" s="24" t="s">
        <v>150</v>
      </c>
      <c r="D201" s="24" t="s">
        <v>234</v>
      </c>
      <c r="E201" s="194" t="s">
        <v>879</v>
      </c>
      <c r="F201" s="222"/>
      <c r="G201" s="21">
        <f t="shared" ref="G201:H203" si="13">G202</f>
        <v>0</v>
      </c>
      <c r="H201" s="21">
        <f t="shared" si="13"/>
        <v>0</v>
      </c>
      <c r="I201" s="204"/>
    </row>
    <row r="202" spans="1:9" ht="15.75" hidden="1" x14ac:dyDescent="0.25">
      <c r="A202" s="25" t="s">
        <v>878</v>
      </c>
      <c r="B202" s="16">
        <v>902</v>
      </c>
      <c r="C202" s="20" t="s">
        <v>150</v>
      </c>
      <c r="D202" s="20" t="s">
        <v>234</v>
      </c>
      <c r="E202" s="5" t="s">
        <v>899</v>
      </c>
      <c r="F202" s="32"/>
      <c r="G202" s="26">
        <f t="shared" si="13"/>
        <v>0</v>
      </c>
      <c r="H202" s="26">
        <f t="shared" si="13"/>
        <v>0</v>
      </c>
      <c r="I202" s="204"/>
    </row>
    <row r="203" spans="1:9" ht="15.75" hidden="1" x14ac:dyDescent="0.25">
      <c r="A203" s="29" t="s">
        <v>135</v>
      </c>
      <c r="B203" s="16">
        <v>902</v>
      </c>
      <c r="C203" s="20" t="s">
        <v>150</v>
      </c>
      <c r="D203" s="20" t="s">
        <v>234</v>
      </c>
      <c r="E203" s="5" t="s">
        <v>899</v>
      </c>
      <c r="F203" s="32" t="s">
        <v>145</v>
      </c>
      <c r="G203" s="26">
        <f t="shared" si="13"/>
        <v>0</v>
      </c>
      <c r="H203" s="26">
        <f t="shared" si="13"/>
        <v>0</v>
      </c>
      <c r="I203" s="204"/>
    </row>
    <row r="204" spans="1:9" ht="47.25" hidden="1" x14ac:dyDescent="0.25">
      <c r="A204" s="29" t="s">
        <v>184</v>
      </c>
      <c r="B204" s="16">
        <v>902</v>
      </c>
      <c r="C204" s="20" t="s">
        <v>150</v>
      </c>
      <c r="D204" s="20" t="s">
        <v>234</v>
      </c>
      <c r="E204" s="5" t="s">
        <v>899</v>
      </c>
      <c r="F204" s="32" t="s">
        <v>160</v>
      </c>
      <c r="G204" s="26">
        <v>0</v>
      </c>
      <c r="H204" s="26">
        <v>0</v>
      </c>
      <c r="I204" s="204"/>
    </row>
    <row r="205" spans="1:9" ht="31.5" x14ac:dyDescent="0.25">
      <c r="A205" s="23" t="s">
        <v>237</v>
      </c>
      <c r="B205" s="19">
        <v>902</v>
      </c>
      <c r="C205" s="24" t="s">
        <v>150</v>
      </c>
      <c r="D205" s="24" t="s">
        <v>238</v>
      </c>
      <c r="E205" s="24"/>
      <c r="F205" s="24"/>
      <c r="G205" s="21">
        <f>G206+G213</f>
        <v>414.2</v>
      </c>
      <c r="H205" s="21">
        <f>H206+H213</f>
        <v>424.8</v>
      </c>
      <c r="I205" s="204"/>
    </row>
    <row r="206" spans="1:9" ht="31.5" x14ac:dyDescent="0.25">
      <c r="A206" s="23" t="s">
        <v>917</v>
      </c>
      <c r="B206" s="19">
        <v>902</v>
      </c>
      <c r="C206" s="24" t="s">
        <v>150</v>
      </c>
      <c r="D206" s="24" t="s">
        <v>238</v>
      </c>
      <c r="E206" s="24" t="s">
        <v>858</v>
      </c>
      <c r="F206" s="24"/>
      <c r="G206" s="21">
        <f>G207</f>
        <v>264.2</v>
      </c>
      <c r="H206" s="21">
        <f>H207</f>
        <v>274.8</v>
      </c>
      <c r="I206" s="204"/>
    </row>
    <row r="207" spans="1:9" ht="31.5" x14ac:dyDescent="0.25">
      <c r="A207" s="23" t="s">
        <v>885</v>
      </c>
      <c r="B207" s="19">
        <v>902</v>
      </c>
      <c r="C207" s="24" t="s">
        <v>150</v>
      </c>
      <c r="D207" s="24" t="s">
        <v>238</v>
      </c>
      <c r="E207" s="24" t="s">
        <v>863</v>
      </c>
      <c r="F207" s="24"/>
      <c r="G207" s="21">
        <f>G208</f>
        <v>264.2</v>
      </c>
      <c r="H207" s="21">
        <f>H208</f>
        <v>274.8</v>
      </c>
      <c r="I207" s="204"/>
    </row>
    <row r="208" spans="1:9" ht="63" x14ac:dyDescent="0.25">
      <c r="A208" s="31" t="s">
        <v>241</v>
      </c>
      <c r="B208" s="16">
        <v>902</v>
      </c>
      <c r="C208" s="20" t="s">
        <v>150</v>
      </c>
      <c r="D208" s="20" t="s">
        <v>238</v>
      </c>
      <c r="E208" s="20" t="s">
        <v>924</v>
      </c>
      <c r="F208" s="20"/>
      <c r="G208" s="26">
        <f>G209+G211</f>
        <v>264.2</v>
      </c>
      <c r="H208" s="26">
        <f>H209+H211</f>
        <v>274.8</v>
      </c>
      <c r="I208" s="204"/>
    </row>
    <row r="209" spans="1:9" ht="78.75" x14ac:dyDescent="0.25">
      <c r="A209" s="25" t="s">
        <v>127</v>
      </c>
      <c r="B209" s="16">
        <v>902</v>
      </c>
      <c r="C209" s="20" t="s">
        <v>150</v>
      </c>
      <c r="D209" s="20" t="s">
        <v>238</v>
      </c>
      <c r="E209" s="20" t="s">
        <v>924</v>
      </c>
      <c r="F209" s="20" t="s">
        <v>128</v>
      </c>
      <c r="G209" s="26">
        <f>G210</f>
        <v>205.8</v>
      </c>
      <c r="H209" s="26">
        <f>H210</f>
        <v>205.8</v>
      </c>
      <c r="I209" s="204"/>
    </row>
    <row r="210" spans="1:9" ht="31.5" x14ac:dyDescent="0.25">
      <c r="A210" s="25" t="s">
        <v>129</v>
      </c>
      <c r="B210" s="16">
        <v>902</v>
      </c>
      <c r="C210" s="20" t="s">
        <v>150</v>
      </c>
      <c r="D210" s="20" t="s">
        <v>238</v>
      </c>
      <c r="E210" s="20" t="s">
        <v>924</v>
      </c>
      <c r="F210" s="20" t="s">
        <v>130</v>
      </c>
      <c r="G210" s="26">
        <f>187+18.8</f>
        <v>205.8</v>
      </c>
      <c r="H210" s="26">
        <f t="shared" si="12"/>
        <v>205.8</v>
      </c>
      <c r="I210" s="204"/>
    </row>
    <row r="211" spans="1:9" ht="31.5" x14ac:dyDescent="0.25">
      <c r="A211" s="25" t="s">
        <v>131</v>
      </c>
      <c r="B211" s="16">
        <v>902</v>
      </c>
      <c r="C211" s="20" t="s">
        <v>150</v>
      </c>
      <c r="D211" s="20" t="s">
        <v>238</v>
      </c>
      <c r="E211" s="20" t="s">
        <v>924</v>
      </c>
      <c r="F211" s="20" t="s">
        <v>132</v>
      </c>
      <c r="G211" s="26">
        <f>G212</f>
        <v>58.4</v>
      </c>
      <c r="H211" s="26">
        <f>H212</f>
        <v>69</v>
      </c>
      <c r="I211" s="204"/>
    </row>
    <row r="212" spans="1:9" ht="31.5" x14ac:dyDescent="0.25">
      <c r="A212" s="25" t="s">
        <v>133</v>
      </c>
      <c r="B212" s="16">
        <v>902</v>
      </c>
      <c r="C212" s="20" t="s">
        <v>150</v>
      </c>
      <c r="D212" s="20" t="s">
        <v>238</v>
      </c>
      <c r="E212" s="20" t="s">
        <v>924</v>
      </c>
      <c r="F212" s="20" t="s">
        <v>134</v>
      </c>
      <c r="G212" s="26">
        <f>101.8-43.4</f>
        <v>58.4</v>
      </c>
      <c r="H212" s="26">
        <v>69</v>
      </c>
      <c r="I212" s="204"/>
    </row>
    <row r="213" spans="1:9" ht="47.25" x14ac:dyDescent="0.25">
      <c r="A213" s="23" t="s">
        <v>1336</v>
      </c>
      <c r="B213" s="19">
        <v>902</v>
      </c>
      <c r="C213" s="24" t="s">
        <v>150</v>
      </c>
      <c r="D213" s="24" t="s">
        <v>238</v>
      </c>
      <c r="E213" s="24" t="s">
        <v>156</v>
      </c>
      <c r="F213" s="24"/>
      <c r="G213" s="21">
        <f t="shared" ref="G213:H215" si="14">G214</f>
        <v>150</v>
      </c>
      <c r="H213" s="21">
        <f t="shared" si="14"/>
        <v>150</v>
      </c>
      <c r="I213" s="204"/>
    </row>
    <row r="214" spans="1:9" ht="47.25" x14ac:dyDescent="0.25">
      <c r="A214" s="23" t="s">
        <v>1064</v>
      </c>
      <c r="B214" s="19">
        <v>902</v>
      </c>
      <c r="C214" s="24" t="s">
        <v>150</v>
      </c>
      <c r="D214" s="24" t="s">
        <v>238</v>
      </c>
      <c r="E214" s="24" t="s">
        <v>1061</v>
      </c>
      <c r="F214" s="24"/>
      <c r="G214" s="21">
        <f t="shared" si="14"/>
        <v>150</v>
      </c>
      <c r="H214" s="21">
        <f t="shared" si="14"/>
        <v>150</v>
      </c>
      <c r="I214" s="204"/>
    </row>
    <row r="215" spans="1:9" ht="31.5" x14ac:dyDescent="0.25">
      <c r="A215" s="25" t="s">
        <v>1065</v>
      </c>
      <c r="B215" s="16">
        <v>902</v>
      </c>
      <c r="C215" s="20" t="s">
        <v>150</v>
      </c>
      <c r="D215" s="20" t="s">
        <v>238</v>
      </c>
      <c r="E215" s="20" t="s">
        <v>1062</v>
      </c>
      <c r="F215" s="20"/>
      <c r="G215" s="26">
        <f t="shared" si="14"/>
        <v>150</v>
      </c>
      <c r="H215" s="26">
        <f t="shared" si="14"/>
        <v>150</v>
      </c>
      <c r="I215" s="204"/>
    </row>
    <row r="216" spans="1:9" ht="15.75" x14ac:dyDescent="0.25">
      <c r="A216" s="25" t="s">
        <v>135</v>
      </c>
      <c r="B216" s="16">
        <v>902</v>
      </c>
      <c r="C216" s="20" t="s">
        <v>150</v>
      </c>
      <c r="D216" s="20" t="s">
        <v>238</v>
      </c>
      <c r="E216" s="20" t="s">
        <v>1062</v>
      </c>
      <c r="F216" s="20" t="s">
        <v>145</v>
      </c>
      <c r="G216" s="26">
        <f>G217</f>
        <v>150</v>
      </c>
      <c r="H216" s="26">
        <f t="shared" si="12"/>
        <v>150</v>
      </c>
      <c r="I216" s="204"/>
    </row>
    <row r="217" spans="1:9" ht="47.25" x14ac:dyDescent="0.25">
      <c r="A217" s="25" t="s">
        <v>184</v>
      </c>
      <c r="B217" s="16">
        <v>902</v>
      </c>
      <c r="C217" s="20" t="s">
        <v>150</v>
      </c>
      <c r="D217" s="20" t="s">
        <v>238</v>
      </c>
      <c r="E217" s="20" t="s">
        <v>1062</v>
      </c>
      <c r="F217" s="20" t="s">
        <v>160</v>
      </c>
      <c r="G217" s="159">
        <v>150</v>
      </c>
      <c r="H217" s="159">
        <f t="shared" si="12"/>
        <v>150</v>
      </c>
      <c r="I217" s="204"/>
    </row>
    <row r="218" spans="1:9" ht="15.75" x14ac:dyDescent="0.25">
      <c r="A218" s="23" t="s">
        <v>243</v>
      </c>
      <c r="B218" s="19">
        <v>902</v>
      </c>
      <c r="C218" s="24" t="s">
        <v>244</v>
      </c>
      <c r="D218" s="24"/>
      <c r="E218" s="24"/>
      <c r="F218" s="24"/>
      <c r="G218" s="21">
        <f>G219+G225+G234</f>
        <v>13475.699999999999</v>
      </c>
      <c r="H218" s="21">
        <f>H219+H225+H234</f>
        <v>13431.699999999999</v>
      </c>
      <c r="I218" s="204"/>
    </row>
    <row r="219" spans="1:9" ht="15.75" x14ac:dyDescent="0.25">
      <c r="A219" s="23" t="s">
        <v>245</v>
      </c>
      <c r="B219" s="19">
        <v>902</v>
      </c>
      <c r="C219" s="24" t="s">
        <v>244</v>
      </c>
      <c r="D219" s="24" t="s">
        <v>118</v>
      </c>
      <c r="E219" s="24"/>
      <c r="F219" s="24"/>
      <c r="G219" s="21">
        <f t="shared" ref="G219:H219" si="15">G220</f>
        <v>9815.2999999999993</v>
      </c>
      <c r="H219" s="21">
        <f t="shared" si="15"/>
        <v>9815.2999999999993</v>
      </c>
      <c r="I219" s="204"/>
    </row>
    <row r="220" spans="1:9" ht="15.75" x14ac:dyDescent="0.25">
      <c r="A220" s="23" t="s">
        <v>141</v>
      </c>
      <c r="B220" s="19">
        <v>902</v>
      </c>
      <c r="C220" s="24" t="s">
        <v>244</v>
      </c>
      <c r="D220" s="24" t="s">
        <v>118</v>
      </c>
      <c r="E220" s="24" t="s">
        <v>866</v>
      </c>
      <c r="F220" s="24"/>
      <c r="G220" s="21">
        <f t="shared" ref="G220:H223" si="16">G221</f>
        <v>9815.2999999999993</v>
      </c>
      <c r="H220" s="21">
        <f t="shared" si="16"/>
        <v>9815.2999999999993</v>
      </c>
      <c r="I220" s="204"/>
    </row>
    <row r="221" spans="1:9" ht="31.5" x14ac:dyDescent="0.25">
      <c r="A221" s="23" t="s">
        <v>870</v>
      </c>
      <c r="B221" s="19">
        <v>902</v>
      </c>
      <c r="C221" s="24" t="s">
        <v>244</v>
      </c>
      <c r="D221" s="24" t="s">
        <v>118</v>
      </c>
      <c r="E221" s="24" t="s">
        <v>865</v>
      </c>
      <c r="F221" s="24"/>
      <c r="G221" s="21">
        <f t="shared" si="16"/>
        <v>9815.2999999999993</v>
      </c>
      <c r="H221" s="21">
        <f t="shared" si="16"/>
        <v>9815.2999999999993</v>
      </c>
      <c r="I221" s="204"/>
    </row>
    <row r="222" spans="1:9" ht="15.75" x14ac:dyDescent="0.25">
      <c r="A222" s="25" t="s">
        <v>246</v>
      </c>
      <c r="B222" s="16">
        <v>902</v>
      </c>
      <c r="C222" s="20" t="s">
        <v>244</v>
      </c>
      <c r="D222" s="20" t="s">
        <v>118</v>
      </c>
      <c r="E222" s="20" t="s">
        <v>881</v>
      </c>
      <c r="F222" s="20"/>
      <c r="G222" s="26">
        <f t="shared" si="16"/>
        <v>9815.2999999999993</v>
      </c>
      <c r="H222" s="26">
        <f t="shared" si="16"/>
        <v>9815.2999999999993</v>
      </c>
      <c r="I222" s="204"/>
    </row>
    <row r="223" spans="1:9" ht="22.7" customHeight="1" x14ac:dyDescent="0.25">
      <c r="A223" s="25" t="s">
        <v>248</v>
      </c>
      <c r="B223" s="16">
        <v>902</v>
      </c>
      <c r="C223" s="20" t="s">
        <v>244</v>
      </c>
      <c r="D223" s="20" t="s">
        <v>118</v>
      </c>
      <c r="E223" s="20" t="s">
        <v>881</v>
      </c>
      <c r="F223" s="20" t="s">
        <v>249</v>
      </c>
      <c r="G223" s="26">
        <f t="shared" si="16"/>
        <v>9815.2999999999993</v>
      </c>
      <c r="H223" s="26">
        <f t="shared" si="16"/>
        <v>9815.2999999999993</v>
      </c>
      <c r="I223" s="204"/>
    </row>
    <row r="224" spans="1:9" ht="31.5" x14ac:dyDescent="0.25">
      <c r="A224" s="25" t="s">
        <v>348</v>
      </c>
      <c r="B224" s="16">
        <v>902</v>
      </c>
      <c r="C224" s="20" t="s">
        <v>244</v>
      </c>
      <c r="D224" s="20" t="s">
        <v>118</v>
      </c>
      <c r="E224" s="20" t="s">
        <v>881</v>
      </c>
      <c r="F224" s="20" t="s">
        <v>349</v>
      </c>
      <c r="G224" s="26">
        <v>9815.2999999999993</v>
      </c>
      <c r="H224" s="26">
        <f t="shared" si="12"/>
        <v>9815.2999999999993</v>
      </c>
      <c r="I224" s="204"/>
    </row>
    <row r="225" spans="1:9" ht="15.75" x14ac:dyDescent="0.25">
      <c r="A225" s="23" t="s">
        <v>252</v>
      </c>
      <c r="B225" s="19">
        <v>902</v>
      </c>
      <c r="C225" s="24" t="s">
        <v>244</v>
      </c>
      <c r="D225" s="24" t="s">
        <v>215</v>
      </c>
      <c r="E225" s="20"/>
      <c r="F225" s="20"/>
      <c r="G225" s="21">
        <f>G226</f>
        <v>10</v>
      </c>
      <c r="H225" s="21">
        <f>H226</f>
        <v>10</v>
      </c>
      <c r="I225" s="204"/>
    </row>
    <row r="226" spans="1:9" ht="63" x14ac:dyDescent="0.25">
      <c r="A226" s="23" t="s">
        <v>1346</v>
      </c>
      <c r="B226" s="19">
        <v>902</v>
      </c>
      <c r="C226" s="24" t="s">
        <v>244</v>
      </c>
      <c r="D226" s="24" t="s">
        <v>215</v>
      </c>
      <c r="E226" s="24" t="s">
        <v>254</v>
      </c>
      <c r="F226" s="24"/>
      <c r="G226" s="21">
        <f>G227</f>
        <v>10</v>
      </c>
      <c r="H226" s="21">
        <f>H227</f>
        <v>10</v>
      </c>
      <c r="I226" s="204"/>
    </row>
    <row r="227" spans="1:9" ht="47.25" x14ac:dyDescent="0.25">
      <c r="A227" s="23" t="s">
        <v>884</v>
      </c>
      <c r="B227" s="19">
        <v>902</v>
      </c>
      <c r="C227" s="24" t="s">
        <v>244</v>
      </c>
      <c r="D227" s="24" t="s">
        <v>215</v>
      </c>
      <c r="E227" s="24" t="s">
        <v>882</v>
      </c>
      <c r="F227" s="24"/>
      <c r="G227" s="21">
        <f>G228+G231</f>
        <v>10</v>
      </c>
      <c r="H227" s="21">
        <f>H228+H231</f>
        <v>10</v>
      </c>
      <c r="I227" s="204"/>
    </row>
    <row r="228" spans="1:9" ht="31.5" x14ac:dyDescent="0.25">
      <c r="A228" s="25" t="s">
        <v>883</v>
      </c>
      <c r="B228" s="16">
        <v>902</v>
      </c>
      <c r="C228" s="20" t="s">
        <v>244</v>
      </c>
      <c r="D228" s="20" t="s">
        <v>215</v>
      </c>
      <c r="E228" s="20" t="s">
        <v>1188</v>
      </c>
      <c r="F228" s="20"/>
      <c r="G228" s="26">
        <f>G229</f>
        <v>10</v>
      </c>
      <c r="H228" s="26">
        <f>H229</f>
        <v>10</v>
      </c>
      <c r="I228" s="204"/>
    </row>
    <row r="229" spans="1:9" ht="19.5" customHeight="1" x14ac:dyDescent="0.25">
      <c r="A229" s="25" t="s">
        <v>248</v>
      </c>
      <c r="B229" s="16">
        <v>902</v>
      </c>
      <c r="C229" s="20" t="s">
        <v>244</v>
      </c>
      <c r="D229" s="20" t="s">
        <v>215</v>
      </c>
      <c r="E229" s="20" t="s">
        <v>1188</v>
      </c>
      <c r="F229" s="20" t="s">
        <v>249</v>
      </c>
      <c r="G229" s="26">
        <f>G230</f>
        <v>10</v>
      </c>
      <c r="H229" s="26">
        <f>H230</f>
        <v>10</v>
      </c>
      <c r="I229" s="204"/>
    </row>
    <row r="230" spans="1:9" ht="31.5" x14ac:dyDescent="0.25">
      <c r="A230" s="25" t="s">
        <v>250</v>
      </c>
      <c r="B230" s="16">
        <v>902</v>
      </c>
      <c r="C230" s="20" t="s">
        <v>244</v>
      </c>
      <c r="D230" s="20" t="s">
        <v>215</v>
      </c>
      <c r="E230" s="20" t="s">
        <v>1188</v>
      </c>
      <c r="F230" s="20" t="s">
        <v>251</v>
      </c>
      <c r="G230" s="26">
        <f>10</f>
        <v>10</v>
      </c>
      <c r="H230" s="26">
        <f t="shared" si="12"/>
        <v>10</v>
      </c>
      <c r="I230" s="204"/>
    </row>
    <row r="231" spans="1:9" s="203" customFormat="1" ht="63" hidden="1" x14ac:dyDescent="0.25">
      <c r="A231" s="25" t="s">
        <v>1187</v>
      </c>
      <c r="B231" s="16">
        <v>902</v>
      </c>
      <c r="C231" s="20" t="s">
        <v>244</v>
      </c>
      <c r="D231" s="20" t="s">
        <v>215</v>
      </c>
      <c r="E231" s="20" t="s">
        <v>1175</v>
      </c>
      <c r="F231" s="20"/>
      <c r="G231" s="26">
        <f>G232</f>
        <v>0</v>
      </c>
      <c r="H231" s="26">
        <f>H232</f>
        <v>0</v>
      </c>
      <c r="I231" s="204"/>
    </row>
    <row r="232" spans="1:9" s="203" customFormat="1" ht="20.25" hidden="1" customHeight="1" x14ac:dyDescent="0.25">
      <c r="A232" s="25" t="s">
        <v>248</v>
      </c>
      <c r="B232" s="16">
        <v>902</v>
      </c>
      <c r="C232" s="20" t="s">
        <v>244</v>
      </c>
      <c r="D232" s="20" t="s">
        <v>215</v>
      </c>
      <c r="E232" s="20" t="s">
        <v>1175</v>
      </c>
      <c r="F232" s="20" t="s">
        <v>249</v>
      </c>
      <c r="G232" s="26">
        <f>G233</f>
        <v>0</v>
      </c>
      <c r="H232" s="26">
        <f>H233</f>
        <v>0</v>
      </c>
      <c r="I232" s="204"/>
    </row>
    <row r="233" spans="1:9" s="203" customFormat="1" ht="31.5" hidden="1" x14ac:dyDescent="0.25">
      <c r="A233" s="25" t="s">
        <v>250</v>
      </c>
      <c r="B233" s="16">
        <v>902</v>
      </c>
      <c r="C233" s="20" t="s">
        <v>244</v>
      </c>
      <c r="D233" s="20" t="s">
        <v>215</v>
      </c>
      <c r="E233" s="20" t="s">
        <v>1175</v>
      </c>
      <c r="F233" s="20" t="s">
        <v>251</v>
      </c>
      <c r="G233" s="26">
        <v>0</v>
      </c>
      <c r="H233" s="26">
        <v>0</v>
      </c>
      <c r="I233" s="204"/>
    </row>
    <row r="234" spans="1:9" ht="15.75" x14ac:dyDescent="0.25">
      <c r="A234" s="23" t="s">
        <v>258</v>
      </c>
      <c r="B234" s="19">
        <v>902</v>
      </c>
      <c r="C234" s="24" t="s">
        <v>244</v>
      </c>
      <c r="D234" s="24" t="s">
        <v>120</v>
      </c>
      <c r="E234" s="24"/>
      <c r="F234" s="24"/>
      <c r="G234" s="21">
        <f t="shared" ref="G234:H236" si="17">G235</f>
        <v>3650.4</v>
      </c>
      <c r="H234" s="21">
        <f t="shared" si="17"/>
        <v>3606.4</v>
      </c>
      <c r="I234" s="204"/>
    </row>
    <row r="235" spans="1:9" ht="31.5" x14ac:dyDescent="0.25">
      <c r="A235" s="23" t="s">
        <v>917</v>
      </c>
      <c r="B235" s="19">
        <v>902</v>
      </c>
      <c r="C235" s="24" t="s">
        <v>244</v>
      </c>
      <c r="D235" s="24" t="s">
        <v>120</v>
      </c>
      <c r="E235" s="24" t="s">
        <v>858</v>
      </c>
      <c r="F235" s="24"/>
      <c r="G235" s="21">
        <f t="shared" si="17"/>
        <v>3650.4</v>
      </c>
      <c r="H235" s="21">
        <f t="shared" si="17"/>
        <v>3606.4</v>
      </c>
      <c r="I235" s="204"/>
    </row>
    <row r="236" spans="1:9" ht="31.5" x14ac:dyDescent="0.25">
      <c r="A236" s="23" t="s">
        <v>885</v>
      </c>
      <c r="B236" s="19">
        <v>902</v>
      </c>
      <c r="C236" s="24" t="s">
        <v>244</v>
      </c>
      <c r="D236" s="24" t="s">
        <v>120</v>
      </c>
      <c r="E236" s="24" t="s">
        <v>863</v>
      </c>
      <c r="F236" s="24"/>
      <c r="G236" s="21">
        <f t="shared" si="17"/>
        <v>3650.4</v>
      </c>
      <c r="H236" s="21">
        <f t="shared" si="17"/>
        <v>3606.4</v>
      </c>
      <c r="I236" s="204"/>
    </row>
    <row r="237" spans="1:9" ht="47.25" x14ac:dyDescent="0.25">
      <c r="A237" s="31" t="s">
        <v>259</v>
      </c>
      <c r="B237" s="16">
        <v>902</v>
      </c>
      <c r="C237" s="20" t="s">
        <v>244</v>
      </c>
      <c r="D237" s="20" t="s">
        <v>120</v>
      </c>
      <c r="E237" s="20" t="s">
        <v>925</v>
      </c>
      <c r="F237" s="20"/>
      <c r="G237" s="26">
        <f>G238+G240</f>
        <v>3650.4</v>
      </c>
      <c r="H237" s="26">
        <f>H238+H240</f>
        <v>3606.4</v>
      </c>
      <c r="I237" s="204"/>
    </row>
    <row r="238" spans="1:9" ht="78.75" x14ac:dyDescent="0.25">
      <c r="A238" s="25" t="s">
        <v>127</v>
      </c>
      <c r="B238" s="16">
        <v>902</v>
      </c>
      <c r="C238" s="20" t="s">
        <v>244</v>
      </c>
      <c r="D238" s="20" t="s">
        <v>120</v>
      </c>
      <c r="E238" s="20" t="s">
        <v>925</v>
      </c>
      <c r="F238" s="20" t="s">
        <v>128</v>
      </c>
      <c r="G238" s="26">
        <f>G239</f>
        <v>3249.8</v>
      </c>
      <c r="H238" s="26">
        <f>H239</f>
        <v>3205.8</v>
      </c>
      <c r="I238" s="204"/>
    </row>
    <row r="239" spans="1:9" ht="31.5" x14ac:dyDescent="0.25">
      <c r="A239" s="25" t="s">
        <v>129</v>
      </c>
      <c r="B239" s="16">
        <v>902</v>
      </c>
      <c r="C239" s="20" t="s">
        <v>244</v>
      </c>
      <c r="D239" s="20" t="s">
        <v>120</v>
      </c>
      <c r="E239" s="20" t="s">
        <v>925</v>
      </c>
      <c r="F239" s="20" t="s">
        <v>130</v>
      </c>
      <c r="G239" s="26">
        <v>3249.8</v>
      </c>
      <c r="H239" s="26">
        <v>3205.8</v>
      </c>
      <c r="I239" s="204"/>
    </row>
    <row r="240" spans="1:9" ht="31.5" x14ac:dyDescent="0.25">
      <c r="A240" s="25" t="s">
        <v>131</v>
      </c>
      <c r="B240" s="16">
        <v>902</v>
      </c>
      <c r="C240" s="20" t="s">
        <v>244</v>
      </c>
      <c r="D240" s="20" t="s">
        <v>120</v>
      </c>
      <c r="E240" s="20" t="s">
        <v>925</v>
      </c>
      <c r="F240" s="20" t="s">
        <v>132</v>
      </c>
      <c r="G240" s="26">
        <f>G241</f>
        <v>400.6</v>
      </c>
      <c r="H240" s="26">
        <f>H241</f>
        <v>400.6</v>
      </c>
      <c r="I240" s="204"/>
    </row>
    <row r="241" spans="1:12" ht="31.5" x14ac:dyDescent="0.25">
      <c r="A241" s="25" t="s">
        <v>133</v>
      </c>
      <c r="B241" s="16">
        <v>902</v>
      </c>
      <c r="C241" s="20" t="s">
        <v>244</v>
      </c>
      <c r="D241" s="20" t="s">
        <v>120</v>
      </c>
      <c r="E241" s="20" t="s">
        <v>925</v>
      </c>
      <c r="F241" s="20" t="s">
        <v>134</v>
      </c>
      <c r="G241" s="26">
        <v>400.6</v>
      </c>
      <c r="H241" s="26">
        <f t="shared" si="12"/>
        <v>400.6</v>
      </c>
      <c r="I241" s="204"/>
    </row>
    <row r="242" spans="1:12" ht="47.25" x14ac:dyDescent="0.25">
      <c r="A242" s="19" t="s">
        <v>261</v>
      </c>
      <c r="B242" s="19">
        <v>903</v>
      </c>
      <c r="C242" s="20"/>
      <c r="D242" s="20"/>
      <c r="E242" s="20"/>
      <c r="F242" s="20"/>
      <c r="G242" s="21">
        <f>G293+G357+G445+G243+G273+G468</f>
        <v>104757.7</v>
      </c>
      <c r="H242" s="21">
        <f>H293+H357+H445+H243+H273+H468</f>
        <v>106518</v>
      </c>
      <c r="I242" s="204"/>
    </row>
    <row r="243" spans="1:12" ht="15.75" x14ac:dyDescent="0.25">
      <c r="A243" s="23" t="s">
        <v>117</v>
      </c>
      <c r="B243" s="19">
        <v>903</v>
      </c>
      <c r="C243" s="24" t="s">
        <v>118</v>
      </c>
      <c r="D243" s="20"/>
      <c r="E243" s="20"/>
      <c r="F243" s="20"/>
      <c r="G243" s="21">
        <f>G244</f>
        <v>225</v>
      </c>
      <c r="H243" s="21">
        <f>H244</f>
        <v>625</v>
      </c>
      <c r="I243" s="204"/>
    </row>
    <row r="244" spans="1:12" ht="15.75" x14ac:dyDescent="0.25">
      <c r="A244" s="23" t="s">
        <v>139</v>
      </c>
      <c r="B244" s="19">
        <v>903</v>
      </c>
      <c r="C244" s="24" t="s">
        <v>118</v>
      </c>
      <c r="D244" s="24" t="s">
        <v>140</v>
      </c>
      <c r="E244" s="20"/>
      <c r="F244" s="20"/>
      <c r="G244" s="21">
        <f>G245+G251+G268</f>
        <v>225</v>
      </c>
      <c r="H244" s="21">
        <f>H245+H251+H268</f>
        <v>625</v>
      </c>
      <c r="I244" s="204"/>
    </row>
    <row r="245" spans="1:12" ht="47.25" x14ac:dyDescent="0.25">
      <c r="A245" s="23" t="s">
        <v>1366</v>
      </c>
      <c r="B245" s="19">
        <v>903</v>
      </c>
      <c r="C245" s="8" t="s">
        <v>118</v>
      </c>
      <c r="D245" s="8" t="s">
        <v>140</v>
      </c>
      <c r="E245" s="194" t="s">
        <v>344</v>
      </c>
      <c r="F245" s="8"/>
      <c r="G245" s="21">
        <f t="shared" ref="G245:H249" si="18">G246</f>
        <v>200</v>
      </c>
      <c r="H245" s="21">
        <f t="shared" si="18"/>
        <v>500</v>
      </c>
      <c r="I245" s="204"/>
      <c r="L245" s="232"/>
    </row>
    <row r="246" spans="1:12" ht="78.75" x14ac:dyDescent="0.25">
      <c r="A246" s="41" t="s">
        <v>1348</v>
      </c>
      <c r="B246" s="19">
        <v>903</v>
      </c>
      <c r="C246" s="7" t="s">
        <v>118</v>
      </c>
      <c r="D246" s="7" t="s">
        <v>140</v>
      </c>
      <c r="E246" s="7" t="s">
        <v>359</v>
      </c>
      <c r="F246" s="7"/>
      <c r="G246" s="21">
        <f t="shared" si="18"/>
        <v>200</v>
      </c>
      <c r="H246" s="21">
        <f t="shared" si="18"/>
        <v>500</v>
      </c>
      <c r="I246" s="204"/>
    </row>
    <row r="247" spans="1:12" ht="63" x14ac:dyDescent="0.25">
      <c r="A247" s="250" t="s">
        <v>1044</v>
      </c>
      <c r="B247" s="19">
        <v>903</v>
      </c>
      <c r="C247" s="7" t="s">
        <v>118</v>
      </c>
      <c r="D247" s="7" t="s">
        <v>140</v>
      </c>
      <c r="E247" s="7" t="s">
        <v>909</v>
      </c>
      <c r="F247" s="7"/>
      <c r="G247" s="21">
        <f t="shared" si="18"/>
        <v>200</v>
      </c>
      <c r="H247" s="21">
        <f t="shared" si="18"/>
        <v>500</v>
      </c>
      <c r="I247" s="204"/>
    </row>
    <row r="248" spans="1:12" ht="31.5" x14ac:dyDescent="0.25">
      <c r="A248" s="98" t="s">
        <v>1045</v>
      </c>
      <c r="B248" s="16">
        <v>903</v>
      </c>
      <c r="C248" s="40" t="s">
        <v>118</v>
      </c>
      <c r="D248" s="40" t="s">
        <v>140</v>
      </c>
      <c r="E248" s="40" t="s">
        <v>1198</v>
      </c>
      <c r="F248" s="40"/>
      <c r="G248" s="26">
        <f t="shared" si="18"/>
        <v>200</v>
      </c>
      <c r="H248" s="26">
        <f t="shared" si="18"/>
        <v>500</v>
      </c>
      <c r="I248" s="204"/>
    </row>
    <row r="249" spans="1:12" ht="31.5" x14ac:dyDescent="0.25">
      <c r="A249" s="29" t="s">
        <v>131</v>
      </c>
      <c r="B249" s="16">
        <v>903</v>
      </c>
      <c r="C249" s="40" t="s">
        <v>118</v>
      </c>
      <c r="D249" s="40" t="s">
        <v>140</v>
      </c>
      <c r="E249" s="40" t="s">
        <v>1198</v>
      </c>
      <c r="F249" s="40" t="s">
        <v>132</v>
      </c>
      <c r="G249" s="26">
        <f t="shared" si="18"/>
        <v>200</v>
      </c>
      <c r="H249" s="26">
        <f t="shared" si="18"/>
        <v>500</v>
      </c>
      <c r="I249" s="204"/>
    </row>
    <row r="250" spans="1:12" ht="31.5" x14ac:dyDescent="0.25">
      <c r="A250" s="29" t="s">
        <v>133</v>
      </c>
      <c r="B250" s="16">
        <v>903</v>
      </c>
      <c r="C250" s="40" t="s">
        <v>118</v>
      </c>
      <c r="D250" s="40" t="s">
        <v>140</v>
      </c>
      <c r="E250" s="40" t="s">
        <v>1198</v>
      </c>
      <c r="F250" s="40" t="s">
        <v>134</v>
      </c>
      <c r="G250" s="26">
        <v>200</v>
      </c>
      <c r="H250" s="26">
        <v>500</v>
      </c>
      <c r="I250" s="204"/>
    </row>
    <row r="251" spans="1:12" ht="47.25" x14ac:dyDescent="0.25">
      <c r="A251" s="23" t="s">
        <v>1349</v>
      </c>
      <c r="B251" s="19">
        <v>903</v>
      </c>
      <c r="C251" s="24" t="s">
        <v>118</v>
      </c>
      <c r="D251" s="24" t="s">
        <v>140</v>
      </c>
      <c r="E251" s="24" t="s">
        <v>335</v>
      </c>
      <c r="F251" s="24"/>
      <c r="G251" s="21">
        <f>G252</f>
        <v>20</v>
      </c>
      <c r="H251" s="21">
        <f>H252</f>
        <v>120</v>
      </c>
      <c r="I251" s="204"/>
    </row>
    <row r="252" spans="1:12" ht="31.5" x14ac:dyDescent="0.25">
      <c r="A252" s="23" t="s">
        <v>1049</v>
      </c>
      <c r="B252" s="19">
        <v>903</v>
      </c>
      <c r="C252" s="24" t="s">
        <v>118</v>
      </c>
      <c r="D252" s="24" t="s">
        <v>140</v>
      </c>
      <c r="E252" s="24" t="s">
        <v>1050</v>
      </c>
      <c r="F252" s="24"/>
      <c r="G252" s="21">
        <f>G253+G262+G256+G259+G265</f>
        <v>20</v>
      </c>
      <c r="H252" s="21">
        <f>H253+H262+H256+H259+H265</f>
        <v>120</v>
      </c>
      <c r="I252" s="204"/>
    </row>
    <row r="253" spans="1:12" ht="31.5" x14ac:dyDescent="0.25">
      <c r="A253" s="97" t="s">
        <v>336</v>
      </c>
      <c r="B253" s="16">
        <v>903</v>
      </c>
      <c r="C253" s="20" t="s">
        <v>118</v>
      </c>
      <c r="D253" s="20" t="s">
        <v>140</v>
      </c>
      <c r="E253" s="20" t="s">
        <v>1051</v>
      </c>
      <c r="F253" s="20"/>
      <c r="G253" s="26">
        <f>'Пр.4 ведом.22'!G257</f>
        <v>0</v>
      </c>
      <c r="H253" s="26">
        <f>H254</f>
        <v>100</v>
      </c>
      <c r="I253" s="204"/>
    </row>
    <row r="254" spans="1:12" ht="31.5" x14ac:dyDescent="0.25">
      <c r="A254" s="25" t="s">
        <v>131</v>
      </c>
      <c r="B254" s="16">
        <v>903</v>
      </c>
      <c r="C254" s="20" t="s">
        <v>118</v>
      </c>
      <c r="D254" s="20" t="s">
        <v>140</v>
      </c>
      <c r="E254" s="20" t="s">
        <v>1051</v>
      </c>
      <c r="F254" s="20" t="s">
        <v>132</v>
      </c>
      <c r="G254" s="26">
        <f>'Пр.4 ведом.22'!G258</f>
        <v>0</v>
      </c>
      <c r="H254" s="26">
        <f>H255</f>
        <v>100</v>
      </c>
      <c r="I254" s="204"/>
    </row>
    <row r="255" spans="1:12" ht="31.5" x14ac:dyDescent="0.25">
      <c r="A255" s="25" t="s">
        <v>133</v>
      </c>
      <c r="B255" s="16">
        <v>903</v>
      </c>
      <c r="C255" s="20" t="s">
        <v>118</v>
      </c>
      <c r="D255" s="20" t="s">
        <v>140</v>
      </c>
      <c r="E255" s="20" t="s">
        <v>1051</v>
      </c>
      <c r="F255" s="20" t="s">
        <v>134</v>
      </c>
      <c r="G255" s="26">
        <f>'Пр.4 ведом.22'!G259</f>
        <v>0</v>
      </c>
      <c r="H255" s="26">
        <v>100</v>
      </c>
      <c r="I255" s="204"/>
    </row>
    <row r="256" spans="1:12" ht="31.5" hidden="1" x14ac:dyDescent="0.25">
      <c r="A256" s="97" t="s">
        <v>336</v>
      </c>
      <c r="B256" s="16">
        <v>906</v>
      </c>
      <c r="C256" s="20" t="s">
        <v>118</v>
      </c>
      <c r="D256" s="20" t="s">
        <v>140</v>
      </c>
      <c r="E256" s="20" t="s">
        <v>1051</v>
      </c>
      <c r="F256" s="20"/>
      <c r="G256" s="26">
        <f>G257</f>
        <v>0</v>
      </c>
      <c r="H256" s="26">
        <f>H257</f>
        <v>0</v>
      </c>
      <c r="I256" s="204"/>
    </row>
    <row r="257" spans="1:9" ht="31.5" hidden="1" x14ac:dyDescent="0.25">
      <c r="A257" s="25" t="s">
        <v>131</v>
      </c>
      <c r="B257" s="16">
        <v>906</v>
      </c>
      <c r="C257" s="20" t="s">
        <v>118</v>
      </c>
      <c r="D257" s="20" t="s">
        <v>140</v>
      </c>
      <c r="E257" s="20" t="s">
        <v>1051</v>
      </c>
      <c r="F257" s="20" t="s">
        <v>132</v>
      </c>
      <c r="G257" s="26">
        <f>G258</f>
        <v>0</v>
      </c>
      <c r="H257" s="26">
        <f>H258</f>
        <v>0</v>
      </c>
      <c r="I257" s="204"/>
    </row>
    <row r="258" spans="1:9" ht="31.5" hidden="1" x14ac:dyDescent="0.25">
      <c r="A258" s="25" t="s">
        <v>133</v>
      </c>
      <c r="B258" s="16">
        <v>906</v>
      </c>
      <c r="C258" s="20" t="s">
        <v>118</v>
      </c>
      <c r="D258" s="20" t="s">
        <v>140</v>
      </c>
      <c r="E258" s="20" t="s">
        <v>1051</v>
      </c>
      <c r="F258" s="20" t="s">
        <v>134</v>
      </c>
      <c r="G258" s="26">
        <v>0</v>
      </c>
      <c r="H258" s="26">
        <v>0</v>
      </c>
      <c r="I258" s="204"/>
    </row>
    <row r="259" spans="1:9" ht="15.75" hidden="1" x14ac:dyDescent="0.25">
      <c r="A259" s="25" t="s">
        <v>994</v>
      </c>
      <c r="B259" s="16">
        <v>903</v>
      </c>
      <c r="C259" s="20" t="s">
        <v>118</v>
      </c>
      <c r="D259" s="20" t="s">
        <v>140</v>
      </c>
      <c r="E259" s="20" t="s">
        <v>1054</v>
      </c>
      <c r="F259" s="20"/>
      <c r="G259" s="26">
        <f>'Пр.4 ведом.22'!G266</f>
        <v>0</v>
      </c>
      <c r="H259" s="26">
        <f t="shared" ref="H259:H299" si="19">G259</f>
        <v>0</v>
      </c>
      <c r="I259" s="204"/>
    </row>
    <row r="260" spans="1:9" ht="31.5" hidden="1" x14ac:dyDescent="0.25">
      <c r="A260" s="25" t="s">
        <v>131</v>
      </c>
      <c r="B260" s="16">
        <v>903</v>
      </c>
      <c r="C260" s="20" t="s">
        <v>118</v>
      </c>
      <c r="D260" s="20" t="s">
        <v>140</v>
      </c>
      <c r="E260" s="20" t="s">
        <v>1054</v>
      </c>
      <c r="F260" s="20" t="s">
        <v>132</v>
      </c>
      <c r="G260" s="26">
        <f>'Пр.4 ведом.22'!G267</f>
        <v>0</v>
      </c>
      <c r="H260" s="26">
        <f t="shared" si="19"/>
        <v>0</v>
      </c>
      <c r="I260" s="204"/>
    </row>
    <row r="261" spans="1:9" ht="31.5" hidden="1" x14ac:dyDescent="0.25">
      <c r="A261" s="25" t="s">
        <v>133</v>
      </c>
      <c r="B261" s="16">
        <v>903</v>
      </c>
      <c r="C261" s="20" t="s">
        <v>118</v>
      </c>
      <c r="D261" s="20" t="s">
        <v>140</v>
      </c>
      <c r="E261" s="20" t="s">
        <v>1054</v>
      </c>
      <c r="F261" s="20" t="s">
        <v>134</v>
      </c>
      <c r="G261" s="26">
        <f>'Пр.4 ведом.22'!G268</f>
        <v>0</v>
      </c>
      <c r="H261" s="26">
        <f t="shared" si="19"/>
        <v>0</v>
      </c>
      <c r="I261" s="204"/>
    </row>
    <row r="262" spans="1:9" s="203" customFormat="1" ht="31.5" x14ac:dyDescent="0.25">
      <c r="A262" s="25" t="s">
        <v>338</v>
      </c>
      <c r="B262" s="16">
        <v>903</v>
      </c>
      <c r="C262" s="20" t="s">
        <v>118</v>
      </c>
      <c r="D262" s="20" t="s">
        <v>140</v>
      </c>
      <c r="E262" s="20" t="s">
        <v>1052</v>
      </c>
      <c r="F262" s="20"/>
      <c r="G262" s="26">
        <f>G263</f>
        <v>20</v>
      </c>
      <c r="H262" s="26">
        <f>H263</f>
        <v>20</v>
      </c>
      <c r="I262" s="204"/>
    </row>
    <row r="263" spans="1:9" s="203" customFormat="1" ht="31.5" x14ac:dyDescent="0.25">
      <c r="A263" s="25" t="s">
        <v>131</v>
      </c>
      <c r="B263" s="16">
        <v>903</v>
      </c>
      <c r="C263" s="20" t="s">
        <v>118</v>
      </c>
      <c r="D263" s="20" t="s">
        <v>140</v>
      </c>
      <c r="E263" s="20" t="s">
        <v>1052</v>
      </c>
      <c r="F263" s="20" t="s">
        <v>132</v>
      </c>
      <c r="G263" s="26">
        <f>G264</f>
        <v>20</v>
      </c>
      <c r="H263" s="26">
        <f>H264</f>
        <v>20</v>
      </c>
      <c r="I263" s="204"/>
    </row>
    <row r="264" spans="1:9" s="203" customFormat="1" ht="31.5" x14ac:dyDescent="0.25">
      <c r="A264" s="25" t="s">
        <v>133</v>
      </c>
      <c r="B264" s="16">
        <v>903</v>
      </c>
      <c r="C264" s="20" t="s">
        <v>118</v>
      </c>
      <c r="D264" s="20" t="s">
        <v>140</v>
      </c>
      <c r="E264" s="20" t="s">
        <v>1052</v>
      </c>
      <c r="F264" s="20" t="s">
        <v>134</v>
      </c>
      <c r="G264" s="26">
        <v>20</v>
      </c>
      <c r="H264" s="26">
        <v>20</v>
      </c>
      <c r="I264" s="204"/>
    </row>
    <row r="265" spans="1:9" ht="31.5" hidden="1" x14ac:dyDescent="0.25">
      <c r="A265" s="31" t="s">
        <v>772</v>
      </c>
      <c r="B265" s="16">
        <v>903</v>
      </c>
      <c r="C265" s="20" t="s">
        <v>118</v>
      </c>
      <c r="D265" s="20" t="s">
        <v>140</v>
      </c>
      <c r="E265" s="20" t="s">
        <v>1055</v>
      </c>
      <c r="F265" s="20"/>
      <c r="G265" s="26">
        <f>G266</f>
        <v>0</v>
      </c>
      <c r="H265" s="26">
        <f>H266</f>
        <v>0</v>
      </c>
      <c r="I265" s="204"/>
    </row>
    <row r="266" spans="1:9" ht="31.5" hidden="1" x14ac:dyDescent="0.25">
      <c r="A266" s="25" t="s">
        <v>131</v>
      </c>
      <c r="B266" s="16">
        <v>903</v>
      </c>
      <c r="C266" s="20" t="s">
        <v>118</v>
      </c>
      <c r="D266" s="20" t="s">
        <v>140</v>
      </c>
      <c r="E266" s="20" t="s">
        <v>1055</v>
      </c>
      <c r="F266" s="20" t="s">
        <v>132</v>
      </c>
      <c r="G266" s="26">
        <f>G267</f>
        <v>0</v>
      </c>
      <c r="H266" s="26">
        <f>H267</f>
        <v>0</v>
      </c>
      <c r="I266" s="204"/>
    </row>
    <row r="267" spans="1:9" ht="31.5" hidden="1" x14ac:dyDescent="0.25">
      <c r="A267" s="25" t="s">
        <v>133</v>
      </c>
      <c r="B267" s="16">
        <v>903</v>
      </c>
      <c r="C267" s="20" t="s">
        <v>118</v>
      </c>
      <c r="D267" s="20" t="s">
        <v>140</v>
      </c>
      <c r="E267" s="20" t="s">
        <v>1055</v>
      </c>
      <c r="F267" s="20" t="s">
        <v>134</v>
      </c>
      <c r="G267" s="26">
        <v>0</v>
      </c>
      <c r="H267" s="26">
        <f t="shared" si="19"/>
        <v>0</v>
      </c>
      <c r="I267" s="204"/>
    </row>
    <row r="268" spans="1:9" ht="47.25" x14ac:dyDescent="0.25">
      <c r="A268" s="41" t="s">
        <v>1352</v>
      </c>
      <c r="B268" s="19">
        <v>903</v>
      </c>
      <c r="C268" s="24" t="s">
        <v>118</v>
      </c>
      <c r="D268" s="24" t="s">
        <v>140</v>
      </c>
      <c r="E268" s="24" t="s">
        <v>705</v>
      </c>
      <c r="F268" s="24"/>
      <c r="G268" s="21">
        <f>G270</f>
        <v>5</v>
      </c>
      <c r="H268" s="21">
        <f>H270</f>
        <v>5</v>
      </c>
      <c r="I268" s="204"/>
    </row>
    <row r="269" spans="1:9" ht="47.25" x14ac:dyDescent="0.25">
      <c r="A269" s="211" t="s">
        <v>846</v>
      </c>
      <c r="B269" s="19">
        <v>903</v>
      </c>
      <c r="C269" s="24" t="s">
        <v>118</v>
      </c>
      <c r="D269" s="24" t="s">
        <v>140</v>
      </c>
      <c r="E269" s="24" t="s">
        <v>852</v>
      </c>
      <c r="F269" s="24"/>
      <c r="G269" s="21">
        <f t="shared" ref="G269:H271" si="20">G270</f>
        <v>5</v>
      </c>
      <c r="H269" s="21">
        <f t="shared" si="20"/>
        <v>5</v>
      </c>
      <c r="I269" s="204"/>
    </row>
    <row r="270" spans="1:9" ht="31.5" x14ac:dyDescent="0.25">
      <c r="A270" s="98" t="s">
        <v>776</v>
      </c>
      <c r="B270" s="16">
        <v>903</v>
      </c>
      <c r="C270" s="20" t="s">
        <v>118</v>
      </c>
      <c r="D270" s="20" t="s">
        <v>140</v>
      </c>
      <c r="E270" s="20" t="s">
        <v>847</v>
      </c>
      <c r="F270" s="20"/>
      <c r="G270" s="26">
        <f t="shared" si="20"/>
        <v>5</v>
      </c>
      <c r="H270" s="26">
        <f t="shared" si="20"/>
        <v>5</v>
      </c>
      <c r="I270" s="204"/>
    </row>
    <row r="271" spans="1:9" ht="31.5" x14ac:dyDescent="0.25">
      <c r="A271" s="25" t="s">
        <v>131</v>
      </c>
      <c r="B271" s="16">
        <v>903</v>
      </c>
      <c r="C271" s="20" t="s">
        <v>118</v>
      </c>
      <c r="D271" s="20" t="s">
        <v>140</v>
      </c>
      <c r="E271" s="20" t="s">
        <v>847</v>
      </c>
      <c r="F271" s="20" t="s">
        <v>132</v>
      </c>
      <c r="G271" s="26">
        <f t="shared" si="20"/>
        <v>5</v>
      </c>
      <c r="H271" s="26">
        <f t="shared" si="20"/>
        <v>5</v>
      </c>
      <c r="I271" s="204"/>
    </row>
    <row r="272" spans="1:9" ht="31.5" x14ac:dyDescent="0.25">
      <c r="A272" s="25" t="s">
        <v>133</v>
      </c>
      <c r="B272" s="16">
        <v>903</v>
      </c>
      <c r="C272" s="20" t="s">
        <v>118</v>
      </c>
      <c r="D272" s="20" t="s">
        <v>140</v>
      </c>
      <c r="E272" s="20" t="s">
        <v>847</v>
      </c>
      <c r="F272" s="20" t="s">
        <v>134</v>
      </c>
      <c r="G272" s="26">
        <f>5</f>
        <v>5</v>
      </c>
      <c r="H272" s="26">
        <f t="shared" si="19"/>
        <v>5</v>
      </c>
      <c r="I272" s="204"/>
    </row>
    <row r="273" spans="1:9" ht="15.75" x14ac:dyDescent="0.25">
      <c r="A273" s="217" t="s">
        <v>232</v>
      </c>
      <c r="B273" s="19">
        <v>903</v>
      </c>
      <c r="C273" s="24" t="s">
        <v>150</v>
      </c>
      <c r="D273" s="20"/>
      <c r="E273" s="20"/>
      <c r="F273" s="32"/>
      <c r="G273" s="21">
        <f t="shared" ref="G273:H275" si="21">G274</f>
        <v>260</v>
      </c>
      <c r="H273" s="21">
        <f t="shared" si="21"/>
        <v>260</v>
      </c>
      <c r="I273" s="204"/>
    </row>
    <row r="274" spans="1:9" ht="31.5" x14ac:dyDescent="0.25">
      <c r="A274" s="23" t="s">
        <v>237</v>
      </c>
      <c r="B274" s="19">
        <v>903</v>
      </c>
      <c r="C274" s="24" t="s">
        <v>150</v>
      </c>
      <c r="D274" s="24" t="s">
        <v>238</v>
      </c>
      <c r="E274" s="20"/>
      <c r="F274" s="32"/>
      <c r="G274" s="21">
        <f t="shared" si="21"/>
        <v>260</v>
      </c>
      <c r="H274" s="21">
        <f t="shared" si="21"/>
        <v>260</v>
      </c>
      <c r="I274" s="204"/>
    </row>
    <row r="275" spans="1:9" ht="47.25" x14ac:dyDescent="0.25">
      <c r="A275" s="23" t="s">
        <v>1366</v>
      </c>
      <c r="B275" s="19">
        <v>903</v>
      </c>
      <c r="C275" s="24" t="s">
        <v>150</v>
      </c>
      <c r="D275" s="24" t="s">
        <v>238</v>
      </c>
      <c r="E275" s="24" t="s">
        <v>344</v>
      </c>
      <c r="F275" s="222"/>
      <c r="G275" s="21">
        <f t="shared" si="21"/>
        <v>260</v>
      </c>
      <c r="H275" s="21">
        <f t="shared" si="21"/>
        <v>260</v>
      </c>
      <c r="I275" s="204"/>
    </row>
    <row r="276" spans="1:9" ht="64.5" customHeight="1" x14ac:dyDescent="0.25">
      <c r="A276" s="23" t="s">
        <v>367</v>
      </c>
      <c r="B276" s="19">
        <v>903</v>
      </c>
      <c r="C276" s="24" t="s">
        <v>150</v>
      </c>
      <c r="D276" s="24" t="s">
        <v>238</v>
      </c>
      <c r="E276" s="24" t="s">
        <v>356</v>
      </c>
      <c r="F276" s="24"/>
      <c r="G276" s="21">
        <f>G277+G281+G285+G289</f>
        <v>260</v>
      </c>
      <c r="H276" s="21">
        <f>H277+H281+H285+H289</f>
        <v>260</v>
      </c>
      <c r="I276" s="204"/>
    </row>
    <row r="277" spans="1:9" ht="47.25" hidden="1" x14ac:dyDescent="0.25">
      <c r="A277" s="215" t="s">
        <v>1042</v>
      </c>
      <c r="B277" s="19">
        <v>903</v>
      </c>
      <c r="C277" s="24" t="s">
        <v>150</v>
      </c>
      <c r="D277" s="24" t="s">
        <v>238</v>
      </c>
      <c r="E277" s="24" t="s">
        <v>907</v>
      </c>
      <c r="F277" s="24"/>
      <c r="G277" s="21">
        <f>G278</f>
        <v>0</v>
      </c>
      <c r="H277" s="21">
        <f>H278</f>
        <v>0</v>
      </c>
      <c r="I277" s="204"/>
    </row>
    <row r="278" spans="1:9" ht="47.25" hidden="1" x14ac:dyDescent="0.25">
      <c r="A278" s="25" t="s">
        <v>375</v>
      </c>
      <c r="B278" s="16">
        <v>903</v>
      </c>
      <c r="C278" s="20" t="s">
        <v>150</v>
      </c>
      <c r="D278" s="20" t="s">
        <v>238</v>
      </c>
      <c r="E278" s="20" t="s">
        <v>1316</v>
      </c>
      <c r="F278" s="20"/>
      <c r="G278" s="26">
        <f>'Пр.4 ведом.22'!G282</f>
        <v>0</v>
      </c>
      <c r="H278" s="26">
        <f t="shared" si="19"/>
        <v>0</v>
      </c>
      <c r="I278" s="204"/>
    </row>
    <row r="279" spans="1:9" ht="31.5" hidden="1" x14ac:dyDescent="0.25">
      <c r="A279" s="25" t="s">
        <v>248</v>
      </c>
      <c r="B279" s="16">
        <v>903</v>
      </c>
      <c r="C279" s="20" t="s">
        <v>150</v>
      </c>
      <c r="D279" s="20" t="s">
        <v>238</v>
      </c>
      <c r="E279" s="20" t="s">
        <v>1316</v>
      </c>
      <c r="F279" s="20" t="s">
        <v>249</v>
      </c>
      <c r="G279" s="26">
        <f>'Пр.4 ведом.22'!G283</f>
        <v>0</v>
      </c>
      <c r="H279" s="26">
        <f t="shared" si="19"/>
        <v>0</v>
      </c>
      <c r="I279" s="204"/>
    </row>
    <row r="280" spans="1:9" ht="31.5" hidden="1" x14ac:dyDescent="0.25">
      <c r="A280" s="25" t="s">
        <v>250</v>
      </c>
      <c r="B280" s="16">
        <v>903</v>
      </c>
      <c r="C280" s="20" t="s">
        <v>150</v>
      </c>
      <c r="D280" s="20" t="s">
        <v>238</v>
      </c>
      <c r="E280" s="20" t="s">
        <v>1316</v>
      </c>
      <c r="F280" s="20" t="s">
        <v>251</v>
      </c>
      <c r="G280" s="26">
        <f>'Пр.4 ведом.22'!G284</f>
        <v>0</v>
      </c>
      <c r="H280" s="26">
        <f t="shared" si="19"/>
        <v>0</v>
      </c>
      <c r="I280" s="204"/>
    </row>
    <row r="281" spans="1:9" ht="31.5" x14ac:dyDescent="0.25">
      <c r="A281" s="23" t="s">
        <v>1041</v>
      </c>
      <c r="B281" s="19">
        <v>903</v>
      </c>
      <c r="C281" s="24" t="s">
        <v>150</v>
      </c>
      <c r="D281" s="24" t="s">
        <v>238</v>
      </c>
      <c r="E281" s="24" t="s">
        <v>1199</v>
      </c>
      <c r="F281" s="24"/>
      <c r="G281" s="21">
        <f t="shared" ref="G281:H283" si="22">G282</f>
        <v>260</v>
      </c>
      <c r="H281" s="21">
        <f t="shared" si="22"/>
        <v>260</v>
      </c>
      <c r="I281" s="204"/>
    </row>
    <row r="282" spans="1:9" ht="110.25" x14ac:dyDescent="0.25">
      <c r="A282" s="25" t="s">
        <v>1501</v>
      </c>
      <c r="B282" s="16">
        <v>903</v>
      </c>
      <c r="C282" s="20" t="s">
        <v>150</v>
      </c>
      <c r="D282" s="20" t="s">
        <v>238</v>
      </c>
      <c r="E282" s="20" t="s">
        <v>1200</v>
      </c>
      <c r="F282" s="20"/>
      <c r="G282" s="26">
        <f t="shared" si="22"/>
        <v>260</v>
      </c>
      <c r="H282" s="26">
        <f t="shared" si="22"/>
        <v>260</v>
      </c>
      <c r="I282" s="204"/>
    </row>
    <row r="283" spans="1:9" ht="31.5" x14ac:dyDescent="0.25">
      <c r="A283" s="25" t="s">
        <v>272</v>
      </c>
      <c r="B283" s="16">
        <v>903</v>
      </c>
      <c r="C283" s="20" t="s">
        <v>150</v>
      </c>
      <c r="D283" s="20" t="s">
        <v>238</v>
      </c>
      <c r="E283" s="20" t="s">
        <v>1200</v>
      </c>
      <c r="F283" s="20" t="s">
        <v>273</v>
      </c>
      <c r="G283" s="26">
        <f t="shared" si="22"/>
        <v>260</v>
      </c>
      <c r="H283" s="26">
        <f t="shared" si="22"/>
        <v>260</v>
      </c>
      <c r="I283" s="204"/>
    </row>
    <row r="284" spans="1:9" ht="63" x14ac:dyDescent="0.25">
      <c r="A284" s="25" t="s">
        <v>1089</v>
      </c>
      <c r="B284" s="16">
        <v>903</v>
      </c>
      <c r="C284" s="20" t="s">
        <v>150</v>
      </c>
      <c r="D284" s="20" t="s">
        <v>238</v>
      </c>
      <c r="E284" s="20" t="s">
        <v>1200</v>
      </c>
      <c r="F284" s="20" t="s">
        <v>372</v>
      </c>
      <c r="G284" s="26">
        <f>60+200</f>
        <v>260</v>
      </c>
      <c r="H284" s="26">
        <f t="shared" si="19"/>
        <v>260</v>
      </c>
      <c r="I284" s="204"/>
    </row>
    <row r="285" spans="1:9" ht="31.5" hidden="1" x14ac:dyDescent="0.25">
      <c r="A285" s="23" t="s">
        <v>995</v>
      </c>
      <c r="B285" s="19">
        <v>903</v>
      </c>
      <c r="C285" s="24" t="s">
        <v>150</v>
      </c>
      <c r="D285" s="24" t="s">
        <v>238</v>
      </c>
      <c r="E285" s="24" t="s">
        <v>1309</v>
      </c>
      <c r="F285" s="24"/>
      <c r="G285" s="21">
        <f>G286</f>
        <v>0</v>
      </c>
      <c r="H285" s="21">
        <f>H286</f>
        <v>0</v>
      </c>
      <c r="I285" s="204"/>
    </row>
    <row r="286" spans="1:9" ht="31.5" hidden="1" x14ac:dyDescent="0.25">
      <c r="A286" s="252" t="s">
        <v>1043</v>
      </c>
      <c r="B286" s="16">
        <v>903</v>
      </c>
      <c r="C286" s="20" t="s">
        <v>150</v>
      </c>
      <c r="D286" s="20" t="s">
        <v>238</v>
      </c>
      <c r="E286" s="20" t="s">
        <v>1310</v>
      </c>
      <c r="F286" s="20"/>
      <c r="G286" s="26">
        <f>'Пр.4 ведом.22'!G290</f>
        <v>0</v>
      </c>
      <c r="H286" s="26">
        <f t="shared" si="19"/>
        <v>0</v>
      </c>
      <c r="I286" s="204"/>
    </row>
    <row r="287" spans="1:9" ht="31.5" hidden="1" x14ac:dyDescent="0.25">
      <c r="A287" s="25" t="s">
        <v>131</v>
      </c>
      <c r="B287" s="16">
        <v>903</v>
      </c>
      <c r="C287" s="20" t="s">
        <v>150</v>
      </c>
      <c r="D287" s="20" t="s">
        <v>238</v>
      </c>
      <c r="E287" s="20" t="s">
        <v>1310</v>
      </c>
      <c r="F287" s="20" t="s">
        <v>132</v>
      </c>
      <c r="G287" s="26">
        <f>'Пр.4 ведом.22'!G291</f>
        <v>0</v>
      </c>
      <c r="H287" s="26">
        <f t="shared" si="19"/>
        <v>0</v>
      </c>
      <c r="I287" s="204"/>
    </row>
    <row r="288" spans="1:9" ht="31.5" hidden="1" x14ac:dyDescent="0.25">
      <c r="A288" s="25" t="s">
        <v>133</v>
      </c>
      <c r="B288" s="16">
        <v>903</v>
      </c>
      <c r="C288" s="20" t="s">
        <v>150</v>
      </c>
      <c r="D288" s="20" t="s">
        <v>238</v>
      </c>
      <c r="E288" s="20" t="s">
        <v>1310</v>
      </c>
      <c r="F288" s="20" t="s">
        <v>134</v>
      </c>
      <c r="G288" s="26">
        <f>'Пр.4 ведом.22'!G292</f>
        <v>0</v>
      </c>
      <c r="H288" s="26">
        <f t="shared" si="19"/>
        <v>0</v>
      </c>
      <c r="I288" s="204"/>
    </row>
    <row r="289" spans="1:9" s="203" customFormat="1" ht="31.5" hidden="1" x14ac:dyDescent="0.25">
      <c r="A289" s="212" t="s">
        <v>1102</v>
      </c>
      <c r="B289" s="19">
        <v>903</v>
      </c>
      <c r="C289" s="24" t="s">
        <v>150</v>
      </c>
      <c r="D289" s="24" t="s">
        <v>238</v>
      </c>
      <c r="E289" s="24" t="s">
        <v>1201</v>
      </c>
      <c r="F289" s="24"/>
      <c r="G289" s="21">
        <f t="shared" ref="G289:H291" si="23">G290</f>
        <v>0</v>
      </c>
      <c r="H289" s="21">
        <f t="shared" si="23"/>
        <v>0</v>
      </c>
      <c r="I289" s="204"/>
    </row>
    <row r="290" spans="1:9" s="203" customFormat="1" ht="31.5" hidden="1" x14ac:dyDescent="0.25">
      <c r="A290" s="231" t="s">
        <v>1103</v>
      </c>
      <c r="B290" s="16">
        <v>903</v>
      </c>
      <c r="C290" s="20" t="s">
        <v>150</v>
      </c>
      <c r="D290" s="20" t="s">
        <v>238</v>
      </c>
      <c r="E290" s="20" t="s">
        <v>1202</v>
      </c>
      <c r="F290" s="20"/>
      <c r="G290" s="26">
        <f t="shared" si="23"/>
        <v>0</v>
      </c>
      <c r="H290" s="26">
        <f t="shared" si="23"/>
        <v>0</v>
      </c>
      <c r="I290" s="204"/>
    </row>
    <row r="291" spans="1:9" s="203" customFormat="1" ht="31.5" hidden="1" x14ac:dyDescent="0.25">
      <c r="A291" s="25" t="s">
        <v>131</v>
      </c>
      <c r="B291" s="16">
        <v>903</v>
      </c>
      <c r="C291" s="20" t="s">
        <v>150</v>
      </c>
      <c r="D291" s="20" t="s">
        <v>238</v>
      </c>
      <c r="E291" s="20" t="s">
        <v>1202</v>
      </c>
      <c r="F291" s="20" t="s">
        <v>132</v>
      </c>
      <c r="G291" s="26">
        <f t="shared" si="23"/>
        <v>0</v>
      </c>
      <c r="H291" s="26">
        <f t="shared" si="23"/>
        <v>0</v>
      </c>
      <c r="I291" s="204"/>
    </row>
    <row r="292" spans="1:9" s="203" customFormat="1" ht="31.5" hidden="1" x14ac:dyDescent="0.25">
      <c r="A292" s="25" t="s">
        <v>133</v>
      </c>
      <c r="B292" s="16">
        <v>903</v>
      </c>
      <c r="C292" s="20" t="s">
        <v>150</v>
      </c>
      <c r="D292" s="20" t="s">
        <v>238</v>
      </c>
      <c r="E292" s="20" t="s">
        <v>1202</v>
      </c>
      <c r="F292" s="20" t="s">
        <v>134</v>
      </c>
      <c r="G292" s="26">
        <v>0</v>
      </c>
      <c r="H292" s="26">
        <v>0</v>
      </c>
      <c r="I292" s="204"/>
    </row>
    <row r="293" spans="1:9" ht="15.75" x14ac:dyDescent="0.25">
      <c r="A293" s="23" t="s">
        <v>263</v>
      </c>
      <c r="B293" s="19">
        <v>903</v>
      </c>
      <c r="C293" s="24" t="s">
        <v>264</v>
      </c>
      <c r="D293" s="20"/>
      <c r="E293" s="20"/>
      <c r="F293" s="20"/>
      <c r="G293" s="21">
        <f>G294+G337</f>
        <v>19986.610000000004</v>
      </c>
      <c r="H293" s="21">
        <f>H294+H337</f>
        <v>20065.210000000003</v>
      </c>
      <c r="I293" s="204"/>
    </row>
    <row r="294" spans="1:9" ht="15.75" x14ac:dyDescent="0.25">
      <c r="A294" s="23" t="s">
        <v>265</v>
      </c>
      <c r="B294" s="19">
        <v>903</v>
      </c>
      <c r="C294" s="24" t="s">
        <v>264</v>
      </c>
      <c r="D294" s="24" t="s">
        <v>215</v>
      </c>
      <c r="E294" s="24"/>
      <c r="F294" s="24"/>
      <c r="G294" s="21">
        <f>G295+G332+G327</f>
        <v>19226.610000000004</v>
      </c>
      <c r="H294" s="21">
        <f>H295+H332+H327</f>
        <v>19240.210000000003</v>
      </c>
      <c r="I294" s="204"/>
    </row>
    <row r="295" spans="1:9" ht="31.5" x14ac:dyDescent="0.25">
      <c r="A295" s="23" t="s">
        <v>1351</v>
      </c>
      <c r="B295" s="19">
        <v>903</v>
      </c>
      <c r="C295" s="24" t="s">
        <v>264</v>
      </c>
      <c r="D295" s="24" t="s">
        <v>215</v>
      </c>
      <c r="E295" s="24" t="s">
        <v>267</v>
      </c>
      <c r="F295" s="24"/>
      <c r="G295" s="21">
        <f>G296+G304+G313+G317</f>
        <v>18730.410000000003</v>
      </c>
      <c r="H295" s="21">
        <f>H296+H304+H313+H317</f>
        <v>18730.410000000003</v>
      </c>
      <c r="I295" s="204"/>
    </row>
    <row r="296" spans="1:9" ht="36" customHeight="1" x14ac:dyDescent="0.25">
      <c r="A296" s="23" t="s">
        <v>895</v>
      </c>
      <c r="B296" s="19">
        <v>903</v>
      </c>
      <c r="C296" s="24" t="s">
        <v>264</v>
      </c>
      <c r="D296" s="24" t="s">
        <v>215</v>
      </c>
      <c r="E296" s="24" t="s">
        <v>1203</v>
      </c>
      <c r="F296" s="24"/>
      <c r="G296" s="44">
        <f>G297</f>
        <v>15854.01</v>
      </c>
      <c r="H296" s="44">
        <f>H297</f>
        <v>15854.01</v>
      </c>
      <c r="I296" s="204"/>
    </row>
    <row r="297" spans="1:9" ht="15.75" x14ac:dyDescent="0.25">
      <c r="A297" s="25" t="s">
        <v>800</v>
      </c>
      <c r="B297" s="16">
        <v>903</v>
      </c>
      <c r="C297" s="20" t="s">
        <v>264</v>
      </c>
      <c r="D297" s="20" t="s">
        <v>215</v>
      </c>
      <c r="E297" s="20" t="s">
        <v>1204</v>
      </c>
      <c r="F297" s="20"/>
      <c r="G297" s="26">
        <f>G298+G300+G303</f>
        <v>15854.01</v>
      </c>
      <c r="H297" s="26">
        <f>H298+H300+H303</f>
        <v>15854.01</v>
      </c>
      <c r="I297" s="204"/>
    </row>
    <row r="298" spans="1:9" ht="78.75" x14ac:dyDescent="0.25">
      <c r="A298" s="25" t="s">
        <v>127</v>
      </c>
      <c r="B298" s="16">
        <v>903</v>
      </c>
      <c r="C298" s="20" t="s">
        <v>264</v>
      </c>
      <c r="D298" s="20" t="s">
        <v>215</v>
      </c>
      <c r="E298" s="20" t="s">
        <v>1204</v>
      </c>
      <c r="F298" s="20" t="s">
        <v>128</v>
      </c>
      <c r="G298" s="26">
        <f>G299</f>
        <v>14172.31</v>
      </c>
      <c r="H298" s="26">
        <f>H299</f>
        <v>14172.31</v>
      </c>
      <c r="I298" s="204"/>
    </row>
    <row r="299" spans="1:9" ht="21.2" customHeight="1" x14ac:dyDescent="0.25">
      <c r="A299" s="46" t="s">
        <v>342</v>
      </c>
      <c r="B299" s="16">
        <v>903</v>
      </c>
      <c r="C299" s="20" t="s">
        <v>264</v>
      </c>
      <c r="D299" s="20" t="s">
        <v>215</v>
      </c>
      <c r="E299" s="20" t="s">
        <v>1204</v>
      </c>
      <c r="F299" s="20" t="s">
        <v>209</v>
      </c>
      <c r="G299" s="26">
        <v>14172.31</v>
      </c>
      <c r="H299" s="26">
        <f t="shared" si="19"/>
        <v>14172.31</v>
      </c>
      <c r="I299" s="204"/>
    </row>
    <row r="300" spans="1:9" ht="31.5" x14ac:dyDescent="0.25">
      <c r="A300" s="25" t="s">
        <v>131</v>
      </c>
      <c r="B300" s="16">
        <v>903</v>
      </c>
      <c r="C300" s="20" t="s">
        <v>264</v>
      </c>
      <c r="D300" s="20" t="s">
        <v>215</v>
      </c>
      <c r="E300" s="20" t="s">
        <v>1204</v>
      </c>
      <c r="F300" s="20" t="s">
        <v>132</v>
      </c>
      <c r="G300" s="26">
        <f>G301</f>
        <v>1603.7</v>
      </c>
      <c r="H300" s="26">
        <f>H301</f>
        <v>1603.7</v>
      </c>
      <c r="I300" s="204"/>
    </row>
    <row r="301" spans="1:9" ht="31.5" x14ac:dyDescent="0.25">
      <c r="A301" s="25" t="s">
        <v>133</v>
      </c>
      <c r="B301" s="16">
        <v>903</v>
      </c>
      <c r="C301" s="20" t="s">
        <v>264</v>
      </c>
      <c r="D301" s="20" t="s">
        <v>215</v>
      </c>
      <c r="E301" s="20" t="s">
        <v>1204</v>
      </c>
      <c r="F301" s="20" t="s">
        <v>134</v>
      </c>
      <c r="G301" s="26">
        <v>1603.7</v>
      </c>
      <c r="H301" s="26">
        <f t="shared" ref="H301:H365" si="24">G301</f>
        <v>1603.7</v>
      </c>
      <c r="I301" s="204"/>
    </row>
    <row r="302" spans="1:9" ht="15.75" x14ac:dyDescent="0.25">
      <c r="A302" s="25" t="s">
        <v>135</v>
      </c>
      <c r="B302" s="16">
        <v>903</v>
      </c>
      <c r="C302" s="20" t="s">
        <v>264</v>
      </c>
      <c r="D302" s="20" t="s">
        <v>215</v>
      </c>
      <c r="E302" s="20" t="s">
        <v>1204</v>
      </c>
      <c r="F302" s="20" t="s">
        <v>145</v>
      </c>
      <c r="G302" s="26">
        <f>G303</f>
        <v>78</v>
      </c>
      <c r="H302" s="26">
        <f>H303</f>
        <v>78</v>
      </c>
      <c r="I302" s="204"/>
    </row>
    <row r="303" spans="1:9" ht="15.75" x14ac:dyDescent="0.25">
      <c r="A303" s="25" t="s">
        <v>704</v>
      </c>
      <c r="B303" s="16">
        <v>903</v>
      </c>
      <c r="C303" s="20" t="s">
        <v>264</v>
      </c>
      <c r="D303" s="20" t="s">
        <v>215</v>
      </c>
      <c r="E303" s="20" t="s">
        <v>1204</v>
      </c>
      <c r="F303" s="20" t="s">
        <v>138</v>
      </c>
      <c r="G303" s="26">
        <f>78</f>
        <v>78</v>
      </c>
      <c r="H303" s="26">
        <f t="shared" si="24"/>
        <v>78</v>
      </c>
      <c r="I303" s="204"/>
    </row>
    <row r="304" spans="1:9" ht="31.5" x14ac:dyDescent="0.25">
      <c r="A304" s="216" t="s">
        <v>1302</v>
      </c>
      <c r="B304" s="19">
        <v>903</v>
      </c>
      <c r="C304" s="24" t="s">
        <v>264</v>
      </c>
      <c r="D304" s="24" t="s">
        <v>215</v>
      </c>
      <c r="E304" s="24" t="s">
        <v>1205</v>
      </c>
      <c r="F304" s="24"/>
      <c r="G304" s="44">
        <f>G305+G308</f>
        <v>1295</v>
      </c>
      <c r="H304" s="44">
        <f>H305+H308</f>
        <v>1295</v>
      </c>
      <c r="I304" s="204"/>
    </row>
    <row r="305" spans="1:9" ht="39.200000000000003" customHeight="1" x14ac:dyDescent="0.25">
      <c r="A305" s="195" t="s">
        <v>799</v>
      </c>
      <c r="B305" s="16">
        <v>903</v>
      </c>
      <c r="C305" s="20" t="s">
        <v>264</v>
      </c>
      <c r="D305" s="20" t="s">
        <v>215</v>
      </c>
      <c r="E305" s="20" t="s">
        <v>1206</v>
      </c>
      <c r="F305" s="20"/>
      <c r="G305" s="26">
        <f t="shared" ref="G305:H306" si="25">G306</f>
        <v>45</v>
      </c>
      <c r="H305" s="26">
        <f t="shared" si="25"/>
        <v>45</v>
      </c>
      <c r="I305" s="204"/>
    </row>
    <row r="306" spans="1:9" ht="20.25" customHeight="1" x14ac:dyDescent="0.25">
      <c r="A306" s="25" t="s">
        <v>248</v>
      </c>
      <c r="B306" s="16">
        <v>903</v>
      </c>
      <c r="C306" s="20" t="s">
        <v>264</v>
      </c>
      <c r="D306" s="20" t="s">
        <v>215</v>
      </c>
      <c r="E306" s="20" t="s">
        <v>1206</v>
      </c>
      <c r="F306" s="20" t="s">
        <v>249</v>
      </c>
      <c r="G306" s="26">
        <f t="shared" si="25"/>
        <v>45</v>
      </c>
      <c r="H306" s="26">
        <f t="shared" si="25"/>
        <v>45</v>
      </c>
      <c r="I306" s="204"/>
    </row>
    <row r="307" spans="1:9" ht="15.75" x14ac:dyDescent="0.25">
      <c r="A307" s="25" t="s">
        <v>820</v>
      </c>
      <c r="B307" s="16">
        <v>903</v>
      </c>
      <c r="C307" s="20" t="s">
        <v>264</v>
      </c>
      <c r="D307" s="20" t="s">
        <v>215</v>
      </c>
      <c r="E307" s="20" t="s">
        <v>1206</v>
      </c>
      <c r="F307" s="20" t="s">
        <v>819</v>
      </c>
      <c r="G307" s="26">
        <f>45</f>
        <v>45</v>
      </c>
      <c r="H307" s="26">
        <f t="shared" si="24"/>
        <v>45</v>
      </c>
      <c r="I307" s="204"/>
    </row>
    <row r="308" spans="1:9" ht="31.5" x14ac:dyDescent="0.25">
      <c r="A308" s="31" t="s">
        <v>816</v>
      </c>
      <c r="B308" s="16">
        <v>903</v>
      </c>
      <c r="C308" s="20" t="s">
        <v>264</v>
      </c>
      <c r="D308" s="20" t="s">
        <v>215</v>
      </c>
      <c r="E308" s="20" t="s">
        <v>1207</v>
      </c>
      <c r="F308" s="20"/>
      <c r="G308" s="26">
        <f t="shared" ref="G308:H309" si="26">G309</f>
        <v>1250</v>
      </c>
      <c r="H308" s="26">
        <f t="shared" si="26"/>
        <v>1250</v>
      </c>
      <c r="I308" s="204"/>
    </row>
    <row r="309" spans="1:9" ht="78.75" x14ac:dyDescent="0.25">
      <c r="A309" s="25" t="s">
        <v>127</v>
      </c>
      <c r="B309" s="16">
        <v>903</v>
      </c>
      <c r="C309" s="20" t="s">
        <v>264</v>
      </c>
      <c r="D309" s="20" t="s">
        <v>215</v>
      </c>
      <c r="E309" s="20" t="s">
        <v>1207</v>
      </c>
      <c r="F309" s="20" t="s">
        <v>128</v>
      </c>
      <c r="G309" s="26">
        <f t="shared" si="26"/>
        <v>1250</v>
      </c>
      <c r="H309" s="26">
        <f t="shared" si="26"/>
        <v>1250</v>
      </c>
      <c r="I309" s="204"/>
    </row>
    <row r="310" spans="1:9" ht="24" customHeight="1" x14ac:dyDescent="0.25">
      <c r="A310" s="46" t="s">
        <v>342</v>
      </c>
      <c r="B310" s="16">
        <v>903</v>
      </c>
      <c r="C310" s="20" t="s">
        <v>264</v>
      </c>
      <c r="D310" s="20" t="s">
        <v>215</v>
      </c>
      <c r="E310" s="20" t="s">
        <v>1207</v>
      </c>
      <c r="F310" s="20" t="s">
        <v>209</v>
      </c>
      <c r="G310" s="26">
        <f>250+1000</f>
        <v>1250</v>
      </c>
      <c r="H310" s="26">
        <f t="shared" si="24"/>
        <v>1250</v>
      </c>
      <c r="I310" s="204"/>
    </row>
    <row r="311" spans="1:9" ht="31.5" hidden="1" x14ac:dyDescent="0.25">
      <c r="A311" s="25" t="s">
        <v>131</v>
      </c>
      <c r="B311" s="16">
        <v>903</v>
      </c>
      <c r="C311" s="20" t="s">
        <v>264</v>
      </c>
      <c r="D311" s="20" t="s">
        <v>215</v>
      </c>
      <c r="E311" s="20" t="s">
        <v>887</v>
      </c>
      <c r="F311" s="20" t="s">
        <v>132</v>
      </c>
      <c r="G311" s="26">
        <f>'Пр.4 ведом.22'!G318</f>
        <v>0</v>
      </c>
      <c r="H311" s="26">
        <f t="shared" si="24"/>
        <v>0</v>
      </c>
      <c r="I311" s="204"/>
    </row>
    <row r="312" spans="1:9" ht="31.5" hidden="1" x14ac:dyDescent="0.25">
      <c r="A312" s="25" t="s">
        <v>133</v>
      </c>
      <c r="B312" s="16">
        <v>903</v>
      </c>
      <c r="C312" s="20" t="s">
        <v>264</v>
      </c>
      <c r="D312" s="20" t="s">
        <v>215</v>
      </c>
      <c r="E312" s="20" t="s">
        <v>887</v>
      </c>
      <c r="F312" s="20" t="s">
        <v>134</v>
      </c>
      <c r="G312" s="26">
        <f>'Пр.4 ведом.22'!G319</f>
        <v>0</v>
      </c>
      <c r="H312" s="26">
        <f t="shared" si="24"/>
        <v>0</v>
      </c>
      <c r="I312" s="204"/>
    </row>
    <row r="313" spans="1:9" ht="31.5" x14ac:dyDescent="0.25">
      <c r="A313" s="23" t="s">
        <v>947</v>
      </c>
      <c r="B313" s="19">
        <v>903</v>
      </c>
      <c r="C313" s="24" t="s">
        <v>264</v>
      </c>
      <c r="D313" s="24" t="s">
        <v>215</v>
      </c>
      <c r="E313" s="24" t="s">
        <v>1208</v>
      </c>
      <c r="F313" s="24"/>
      <c r="G313" s="44">
        <f t="shared" ref="G313:H315" si="27">G314</f>
        <v>506</v>
      </c>
      <c r="H313" s="44">
        <f t="shared" si="27"/>
        <v>506</v>
      </c>
      <c r="I313" s="204"/>
    </row>
    <row r="314" spans="1:9" ht="47.25" x14ac:dyDescent="0.25">
      <c r="A314" s="25" t="s">
        <v>839</v>
      </c>
      <c r="B314" s="16">
        <v>903</v>
      </c>
      <c r="C314" s="20" t="s">
        <v>264</v>
      </c>
      <c r="D314" s="20" t="s">
        <v>215</v>
      </c>
      <c r="E314" s="20" t="s">
        <v>1209</v>
      </c>
      <c r="F314" s="20"/>
      <c r="G314" s="26">
        <f t="shared" si="27"/>
        <v>506</v>
      </c>
      <c r="H314" s="26">
        <f t="shared" si="27"/>
        <v>506</v>
      </c>
      <c r="I314" s="204"/>
    </row>
    <row r="315" spans="1:9" ht="78.75" x14ac:dyDescent="0.25">
      <c r="A315" s="25" t="s">
        <v>127</v>
      </c>
      <c r="B315" s="16">
        <v>903</v>
      </c>
      <c r="C315" s="20" t="s">
        <v>264</v>
      </c>
      <c r="D315" s="20" t="s">
        <v>215</v>
      </c>
      <c r="E315" s="20" t="s">
        <v>1209</v>
      </c>
      <c r="F315" s="20" t="s">
        <v>128</v>
      </c>
      <c r="G315" s="26">
        <f t="shared" si="27"/>
        <v>506</v>
      </c>
      <c r="H315" s="26">
        <f t="shared" si="27"/>
        <v>506</v>
      </c>
      <c r="I315" s="204"/>
    </row>
    <row r="316" spans="1:9" ht="31.5" x14ac:dyDescent="0.25">
      <c r="A316" s="25" t="s">
        <v>342</v>
      </c>
      <c r="B316" s="16">
        <v>903</v>
      </c>
      <c r="C316" s="20" t="s">
        <v>264</v>
      </c>
      <c r="D316" s="20" t="s">
        <v>215</v>
      </c>
      <c r="E316" s="20" t="s">
        <v>1209</v>
      </c>
      <c r="F316" s="20" t="s">
        <v>209</v>
      </c>
      <c r="G316" s="26">
        <v>506</v>
      </c>
      <c r="H316" s="26">
        <f t="shared" si="24"/>
        <v>506</v>
      </c>
      <c r="I316" s="204"/>
    </row>
    <row r="317" spans="1:9" ht="47.25" x14ac:dyDescent="0.25">
      <c r="A317" s="23" t="s">
        <v>900</v>
      </c>
      <c r="B317" s="19">
        <v>903</v>
      </c>
      <c r="C317" s="24" t="s">
        <v>264</v>
      </c>
      <c r="D317" s="24" t="s">
        <v>215</v>
      </c>
      <c r="E317" s="24" t="s">
        <v>1210</v>
      </c>
      <c r="F317" s="24"/>
      <c r="G317" s="44">
        <f>G321+G324+G318</f>
        <v>1075.4000000000001</v>
      </c>
      <c r="H317" s="44">
        <f>H321+H324+H318</f>
        <v>1075.4000000000001</v>
      </c>
      <c r="I317" s="204"/>
    </row>
    <row r="318" spans="1:9" s="203" customFormat="1" ht="94.5" x14ac:dyDescent="0.25">
      <c r="A318" s="31" t="s">
        <v>293</v>
      </c>
      <c r="B318" s="16">
        <v>903</v>
      </c>
      <c r="C318" s="20" t="s">
        <v>264</v>
      </c>
      <c r="D318" s="20" t="s">
        <v>215</v>
      </c>
      <c r="E318" s="20" t="s">
        <v>1403</v>
      </c>
      <c r="F318" s="20"/>
      <c r="G318" s="26">
        <f>G319</f>
        <v>671</v>
      </c>
      <c r="H318" s="26">
        <f>H319</f>
        <v>671</v>
      </c>
      <c r="I318" s="204"/>
    </row>
    <row r="319" spans="1:9" s="203" customFormat="1" ht="78.75" x14ac:dyDescent="0.25">
      <c r="A319" s="25" t="s">
        <v>127</v>
      </c>
      <c r="B319" s="16">
        <v>903</v>
      </c>
      <c r="C319" s="20" t="s">
        <v>264</v>
      </c>
      <c r="D319" s="20" t="s">
        <v>215</v>
      </c>
      <c r="E319" s="20" t="s">
        <v>1403</v>
      </c>
      <c r="F319" s="20" t="s">
        <v>128</v>
      </c>
      <c r="G319" s="26">
        <f>G320</f>
        <v>671</v>
      </c>
      <c r="H319" s="26">
        <f>H320</f>
        <v>671</v>
      </c>
      <c r="I319" s="204"/>
    </row>
    <row r="320" spans="1:9" s="203" customFormat="1" ht="31.5" x14ac:dyDescent="0.25">
      <c r="A320" s="46" t="s">
        <v>342</v>
      </c>
      <c r="B320" s="16">
        <v>903</v>
      </c>
      <c r="C320" s="20" t="s">
        <v>264</v>
      </c>
      <c r="D320" s="20" t="s">
        <v>215</v>
      </c>
      <c r="E320" s="20" t="s">
        <v>1403</v>
      </c>
      <c r="F320" s="20" t="s">
        <v>209</v>
      </c>
      <c r="G320" s="26">
        <v>671</v>
      </c>
      <c r="H320" s="26">
        <f>G320</f>
        <v>671</v>
      </c>
      <c r="I320" s="204"/>
    </row>
    <row r="321" spans="1:9" ht="63" x14ac:dyDescent="0.25">
      <c r="A321" s="31" t="s">
        <v>289</v>
      </c>
      <c r="B321" s="16">
        <v>903</v>
      </c>
      <c r="C321" s="20" t="s">
        <v>264</v>
      </c>
      <c r="D321" s="20" t="s">
        <v>215</v>
      </c>
      <c r="E321" s="20" t="s">
        <v>1211</v>
      </c>
      <c r="F321" s="20"/>
      <c r="G321" s="26">
        <f>G322</f>
        <v>106</v>
      </c>
      <c r="H321" s="26">
        <f>H322</f>
        <v>106</v>
      </c>
      <c r="I321" s="204"/>
    </row>
    <row r="322" spans="1:9" ht="78.75" x14ac:dyDescent="0.25">
      <c r="A322" s="25" t="s">
        <v>127</v>
      </c>
      <c r="B322" s="16">
        <v>903</v>
      </c>
      <c r="C322" s="20" t="s">
        <v>264</v>
      </c>
      <c r="D322" s="20" t="s">
        <v>215</v>
      </c>
      <c r="E322" s="20" t="s">
        <v>1211</v>
      </c>
      <c r="F322" s="20" t="s">
        <v>128</v>
      </c>
      <c r="G322" s="26">
        <f>G323</f>
        <v>106</v>
      </c>
      <c r="H322" s="26">
        <f>H323</f>
        <v>106</v>
      </c>
      <c r="I322" s="204"/>
    </row>
    <row r="323" spans="1:9" ht="31.5" x14ac:dyDescent="0.25">
      <c r="A323" s="46" t="s">
        <v>342</v>
      </c>
      <c r="B323" s="16">
        <v>903</v>
      </c>
      <c r="C323" s="20" t="s">
        <v>264</v>
      </c>
      <c r="D323" s="20" t="s">
        <v>215</v>
      </c>
      <c r="E323" s="20" t="s">
        <v>1211</v>
      </c>
      <c r="F323" s="20" t="s">
        <v>209</v>
      </c>
      <c r="G323" s="26">
        <v>106</v>
      </c>
      <c r="H323" s="26">
        <f t="shared" si="24"/>
        <v>106</v>
      </c>
      <c r="I323" s="204"/>
    </row>
    <row r="324" spans="1:9" ht="63" x14ac:dyDescent="0.25">
      <c r="A324" s="31" t="s">
        <v>291</v>
      </c>
      <c r="B324" s="16">
        <v>903</v>
      </c>
      <c r="C324" s="20" t="s">
        <v>264</v>
      </c>
      <c r="D324" s="20" t="s">
        <v>215</v>
      </c>
      <c r="E324" s="20" t="s">
        <v>1212</v>
      </c>
      <c r="F324" s="20"/>
      <c r="G324" s="26">
        <f>G325</f>
        <v>298.39999999999998</v>
      </c>
      <c r="H324" s="26">
        <f t="shared" si="24"/>
        <v>298.39999999999998</v>
      </c>
      <c r="I324" s="204"/>
    </row>
    <row r="325" spans="1:9" ht="78.75" x14ac:dyDescent="0.25">
      <c r="A325" s="25" t="s">
        <v>127</v>
      </c>
      <c r="B325" s="16">
        <v>903</v>
      </c>
      <c r="C325" s="20" t="s">
        <v>264</v>
      </c>
      <c r="D325" s="20" t="s">
        <v>215</v>
      </c>
      <c r="E325" s="20" t="s">
        <v>1212</v>
      </c>
      <c r="F325" s="20" t="s">
        <v>128</v>
      </c>
      <c r="G325" s="26">
        <f>G326</f>
        <v>298.39999999999998</v>
      </c>
      <c r="H325" s="26">
        <f>H326</f>
        <v>298.39999999999998</v>
      </c>
      <c r="I325" s="204"/>
    </row>
    <row r="326" spans="1:9" ht="31.5" x14ac:dyDescent="0.25">
      <c r="A326" s="46" t="s">
        <v>342</v>
      </c>
      <c r="B326" s="16">
        <v>903</v>
      </c>
      <c r="C326" s="20" t="s">
        <v>264</v>
      </c>
      <c r="D326" s="20" t="s">
        <v>215</v>
      </c>
      <c r="E326" s="20" t="s">
        <v>1212</v>
      </c>
      <c r="F326" s="20" t="s">
        <v>209</v>
      </c>
      <c r="G326" s="26">
        <f>298.4</f>
        <v>298.39999999999998</v>
      </c>
      <c r="H326" s="26">
        <f t="shared" si="24"/>
        <v>298.39999999999998</v>
      </c>
      <c r="I326" s="204"/>
    </row>
    <row r="327" spans="1:9" s="203" customFormat="1" ht="47.25" x14ac:dyDescent="0.25">
      <c r="A327" s="34" t="s">
        <v>1220</v>
      </c>
      <c r="B327" s="19">
        <v>903</v>
      </c>
      <c r="C327" s="24" t="s">
        <v>264</v>
      </c>
      <c r="D327" s="24" t="s">
        <v>215</v>
      </c>
      <c r="E327" s="24" t="s">
        <v>324</v>
      </c>
      <c r="F327" s="24"/>
      <c r="G327" s="21">
        <f>G329</f>
        <v>6</v>
      </c>
      <c r="H327" s="21">
        <f>H329</f>
        <v>0</v>
      </c>
      <c r="I327" s="204"/>
    </row>
    <row r="328" spans="1:9" s="203" customFormat="1" ht="63" x14ac:dyDescent="0.25">
      <c r="A328" s="34" t="s">
        <v>1025</v>
      </c>
      <c r="B328" s="19">
        <v>903</v>
      </c>
      <c r="C328" s="24" t="s">
        <v>264</v>
      </c>
      <c r="D328" s="24" t="s">
        <v>215</v>
      </c>
      <c r="E328" s="24" t="s">
        <v>934</v>
      </c>
      <c r="F328" s="24"/>
      <c r="G328" s="21">
        <f>G331</f>
        <v>6</v>
      </c>
      <c r="H328" s="21">
        <f>H331</f>
        <v>0</v>
      </c>
      <c r="I328" s="204"/>
    </row>
    <row r="329" spans="1:9" s="203" customFormat="1" ht="47.25" x14ac:dyDescent="0.25">
      <c r="A329" s="31" t="s">
        <v>1080</v>
      </c>
      <c r="B329" s="16">
        <v>903</v>
      </c>
      <c r="C329" s="20" t="s">
        <v>264</v>
      </c>
      <c r="D329" s="20" t="s">
        <v>215</v>
      </c>
      <c r="E329" s="20" t="s">
        <v>1026</v>
      </c>
      <c r="F329" s="20"/>
      <c r="G329" s="26">
        <f>G330</f>
        <v>6</v>
      </c>
      <c r="H329" s="26">
        <f>H330</f>
        <v>0</v>
      </c>
      <c r="I329" s="204"/>
    </row>
    <row r="330" spans="1:9" s="203" customFormat="1" ht="31.5" x14ac:dyDescent="0.25">
      <c r="A330" s="25" t="s">
        <v>131</v>
      </c>
      <c r="B330" s="16">
        <v>903</v>
      </c>
      <c r="C330" s="20" t="s">
        <v>264</v>
      </c>
      <c r="D330" s="20" t="s">
        <v>215</v>
      </c>
      <c r="E330" s="20" t="s">
        <v>1026</v>
      </c>
      <c r="F330" s="20" t="s">
        <v>132</v>
      </c>
      <c r="G330" s="26">
        <f>G331</f>
        <v>6</v>
      </c>
      <c r="H330" s="26">
        <f>H331</f>
        <v>0</v>
      </c>
      <c r="I330" s="204"/>
    </row>
    <row r="331" spans="1:9" s="203" customFormat="1" ht="31.5" x14ac:dyDescent="0.25">
      <c r="A331" s="25" t="s">
        <v>133</v>
      </c>
      <c r="B331" s="16">
        <v>903</v>
      </c>
      <c r="C331" s="20" t="s">
        <v>264</v>
      </c>
      <c r="D331" s="20" t="s">
        <v>215</v>
      </c>
      <c r="E331" s="20" t="s">
        <v>1026</v>
      </c>
      <c r="F331" s="20" t="s">
        <v>134</v>
      </c>
      <c r="G331" s="26">
        <v>6</v>
      </c>
      <c r="H331" s="26">
        <v>0</v>
      </c>
      <c r="I331" s="204"/>
    </row>
    <row r="332" spans="1:9" ht="47.25" x14ac:dyDescent="0.25">
      <c r="A332" s="41" t="s">
        <v>1352</v>
      </c>
      <c r="B332" s="19">
        <v>903</v>
      </c>
      <c r="C332" s="24" t="s">
        <v>264</v>
      </c>
      <c r="D332" s="24" t="s">
        <v>215</v>
      </c>
      <c r="E332" s="24" t="s">
        <v>705</v>
      </c>
      <c r="F332" s="24"/>
      <c r="G332" s="21">
        <f>G334</f>
        <v>490.2</v>
      </c>
      <c r="H332" s="21">
        <f>H334</f>
        <v>509.8</v>
      </c>
      <c r="I332" s="204"/>
    </row>
    <row r="333" spans="1:9" ht="47.25" x14ac:dyDescent="0.25">
      <c r="A333" s="41" t="s">
        <v>890</v>
      </c>
      <c r="B333" s="19">
        <v>903</v>
      </c>
      <c r="C333" s="24" t="s">
        <v>264</v>
      </c>
      <c r="D333" s="24" t="s">
        <v>215</v>
      </c>
      <c r="E333" s="24" t="s">
        <v>888</v>
      </c>
      <c r="F333" s="24"/>
      <c r="G333" s="21">
        <f t="shared" ref="G333:H335" si="28">G334</f>
        <v>490.2</v>
      </c>
      <c r="H333" s="21">
        <f t="shared" si="28"/>
        <v>509.8</v>
      </c>
      <c r="I333" s="204"/>
    </row>
    <row r="334" spans="1:9" ht="47.25" x14ac:dyDescent="0.25">
      <c r="A334" s="98" t="s">
        <v>1004</v>
      </c>
      <c r="B334" s="20" t="s">
        <v>627</v>
      </c>
      <c r="C334" s="20" t="s">
        <v>264</v>
      </c>
      <c r="D334" s="20" t="s">
        <v>215</v>
      </c>
      <c r="E334" s="20" t="s">
        <v>889</v>
      </c>
      <c r="F334" s="32"/>
      <c r="G334" s="26">
        <f t="shared" si="28"/>
        <v>490.2</v>
      </c>
      <c r="H334" s="26">
        <f t="shared" si="28"/>
        <v>509.8</v>
      </c>
      <c r="I334" s="204"/>
    </row>
    <row r="335" spans="1:9" ht="31.5" x14ac:dyDescent="0.25">
      <c r="A335" s="25" t="s">
        <v>131</v>
      </c>
      <c r="B335" s="16">
        <v>903</v>
      </c>
      <c r="C335" s="20" t="s">
        <v>264</v>
      </c>
      <c r="D335" s="20" t="s">
        <v>215</v>
      </c>
      <c r="E335" s="20" t="s">
        <v>889</v>
      </c>
      <c r="F335" s="32" t="s">
        <v>132</v>
      </c>
      <c r="G335" s="26">
        <f t="shared" si="28"/>
        <v>490.2</v>
      </c>
      <c r="H335" s="26">
        <f t="shared" si="28"/>
        <v>509.8</v>
      </c>
      <c r="I335" s="204"/>
    </row>
    <row r="336" spans="1:9" ht="31.5" x14ac:dyDescent="0.25">
      <c r="A336" s="25" t="s">
        <v>133</v>
      </c>
      <c r="B336" s="16">
        <v>903</v>
      </c>
      <c r="C336" s="20" t="s">
        <v>264</v>
      </c>
      <c r="D336" s="20" t="s">
        <v>215</v>
      </c>
      <c r="E336" s="20" t="s">
        <v>889</v>
      </c>
      <c r="F336" s="32" t="s">
        <v>134</v>
      </c>
      <c r="G336" s="26">
        <v>490.2</v>
      </c>
      <c r="H336" s="26">
        <v>509.8</v>
      </c>
      <c r="I336" s="204"/>
    </row>
    <row r="337" spans="1:9" ht="15.75" x14ac:dyDescent="0.25">
      <c r="A337" s="23" t="s">
        <v>466</v>
      </c>
      <c r="B337" s="19">
        <v>903</v>
      </c>
      <c r="C337" s="24" t="s">
        <v>264</v>
      </c>
      <c r="D337" s="24" t="s">
        <v>264</v>
      </c>
      <c r="E337" s="20"/>
      <c r="F337" s="20"/>
      <c r="G337" s="21">
        <f>G338</f>
        <v>760</v>
      </c>
      <c r="H337" s="21">
        <f>H338</f>
        <v>825</v>
      </c>
      <c r="I337" s="204"/>
    </row>
    <row r="338" spans="1:9" ht="47.25" x14ac:dyDescent="0.25">
      <c r="A338" s="23" t="s">
        <v>1366</v>
      </c>
      <c r="B338" s="19">
        <v>903</v>
      </c>
      <c r="C338" s="24" t="s">
        <v>264</v>
      </c>
      <c r="D338" s="24" t="s">
        <v>264</v>
      </c>
      <c r="E338" s="24" t="s">
        <v>344</v>
      </c>
      <c r="F338" s="24"/>
      <c r="G338" s="21">
        <f>G339</f>
        <v>760</v>
      </c>
      <c r="H338" s="21">
        <f>H339</f>
        <v>825</v>
      </c>
      <c r="I338" s="204"/>
    </row>
    <row r="339" spans="1:9" ht="31.5" x14ac:dyDescent="0.25">
      <c r="A339" s="23" t="s">
        <v>345</v>
      </c>
      <c r="B339" s="19">
        <v>903</v>
      </c>
      <c r="C339" s="24" t="s">
        <v>264</v>
      </c>
      <c r="D339" s="24" t="s">
        <v>264</v>
      </c>
      <c r="E339" s="24" t="s">
        <v>346</v>
      </c>
      <c r="F339" s="24"/>
      <c r="G339" s="21">
        <f>G340+G347+G353</f>
        <v>760</v>
      </c>
      <c r="H339" s="21">
        <f>H340+H347+H353</f>
        <v>825</v>
      </c>
      <c r="I339" s="204"/>
    </row>
    <row r="340" spans="1:9" ht="47.25" x14ac:dyDescent="0.25">
      <c r="A340" s="211" t="s">
        <v>1029</v>
      </c>
      <c r="B340" s="19">
        <v>903</v>
      </c>
      <c r="C340" s="24" t="s">
        <v>264</v>
      </c>
      <c r="D340" s="24" t="s">
        <v>264</v>
      </c>
      <c r="E340" s="24" t="s">
        <v>892</v>
      </c>
      <c r="F340" s="24"/>
      <c r="G340" s="21">
        <f>G341+G344</f>
        <v>280</v>
      </c>
      <c r="H340" s="21">
        <f>H341+H344</f>
        <v>280</v>
      </c>
      <c r="I340" s="204"/>
    </row>
    <row r="341" spans="1:9" ht="31.5" x14ac:dyDescent="0.25">
      <c r="A341" s="98" t="s">
        <v>1035</v>
      </c>
      <c r="B341" s="16">
        <v>903</v>
      </c>
      <c r="C341" s="20" t="s">
        <v>264</v>
      </c>
      <c r="D341" s="20" t="s">
        <v>264</v>
      </c>
      <c r="E341" s="20" t="s">
        <v>893</v>
      </c>
      <c r="F341" s="20"/>
      <c r="G341" s="26">
        <f>G342</f>
        <v>280</v>
      </c>
      <c r="H341" s="26">
        <f>H342</f>
        <v>280</v>
      </c>
      <c r="I341" s="204"/>
    </row>
    <row r="342" spans="1:9" ht="78.75" x14ac:dyDescent="0.25">
      <c r="A342" s="25" t="s">
        <v>127</v>
      </c>
      <c r="B342" s="16">
        <v>903</v>
      </c>
      <c r="C342" s="20" t="s">
        <v>264</v>
      </c>
      <c r="D342" s="20" t="s">
        <v>264</v>
      </c>
      <c r="E342" s="20" t="s">
        <v>893</v>
      </c>
      <c r="F342" s="20" t="s">
        <v>128</v>
      </c>
      <c r="G342" s="26">
        <f>G343</f>
        <v>280</v>
      </c>
      <c r="H342" s="26">
        <f>H343</f>
        <v>280</v>
      </c>
      <c r="I342" s="204"/>
    </row>
    <row r="343" spans="1:9" ht="31.5" x14ac:dyDescent="0.25">
      <c r="A343" s="25" t="s">
        <v>342</v>
      </c>
      <c r="B343" s="16">
        <v>903</v>
      </c>
      <c r="C343" s="20" t="s">
        <v>264</v>
      </c>
      <c r="D343" s="20" t="s">
        <v>264</v>
      </c>
      <c r="E343" s="20" t="s">
        <v>893</v>
      </c>
      <c r="F343" s="20" t="s">
        <v>209</v>
      </c>
      <c r="G343" s="26">
        <f>280</f>
        <v>280</v>
      </c>
      <c r="H343" s="26">
        <f t="shared" si="24"/>
        <v>280</v>
      </c>
      <c r="I343" s="204"/>
    </row>
    <row r="344" spans="1:9" ht="31.5" hidden="1" x14ac:dyDescent="0.25">
      <c r="A344" s="25" t="s">
        <v>1030</v>
      </c>
      <c r="B344" s="16">
        <v>903</v>
      </c>
      <c r="C344" s="20" t="s">
        <v>264</v>
      </c>
      <c r="D344" s="20" t="s">
        <v>264</v>
      </c>
      <c r="E344" s="20" t="s">
        <v>1046</v>
      </c>
      <c r="F344" s="20"/>
      <c r="G344" s="26">
        <f>'Пр.4 ведом.22'!G348</f>
        <v>0</v>
      </c>
      <c r="H344" s="26">
        <f t="shared" si="24"/>
        <v>0</v>
      </c>
      <c r="I344" s="204"/>
    </row>
    <row r="345" spans="1:9" ht="31.5" hidden="1" x14ac:dyDescent="0.25">
      <c r="A345" s="25" t="s">
        <v>131</v>
      </c>
      <c r="B345" s="16">
        <v>903</v>
      </c>
      <c r="C345" s="20" t="s">
        <v>264</v>
      </c>
      <c r="D345" s="20" t="s">
        <v>264</v>
      </c>
      <c r="E345" s="20" t="s">
        <v>1046</v>
      </c>
      <c r="F345" s="20" t="s">
        <v>132</v>
      </c>
      <c r="G345" s="26">
        <f>'Пр.4 ведом.22'!G349</f>
        <v>0</v>
      </c>
      <c r="H345" s="26">
        <f t="shared" si="24"/>
        <v>0</v>
      </c>
      <c r="I345" s="204"/>
    </row>
    <row r="346" spans="1:9" ht="31.5" hidden="1" x14ac:dyDescent="0.25">
      <c r="A346" s="25" t="s">
        <v>133</v>
      </c>
      <c r="B346" s="16">
        <v>903</v>
      </c>
      <c r="C346" s="20" t="s">
        <v>264</v>
      </c>
      <c r="D346" s="20" t="s">
        <v>264</v>
      </c>
      <c r="E346" s="20" t="s">
        <v>1046</v>
      </c>
      <c r="F346" s="20" t="s">
        <v>134</v>
      </c>
      <c r="G346" s="26">
        <f>'Пр.4 ведом.22'!G350</f>
        <v>0</v>
      </c>
      <c r="H346" s="26">
        <f t="shared" si="24"/>
        <v>0</v>
      </c>
      <c r="I346" s="204"/>
    </row>
    <row r="347" spans="1:9" ht="63" x14ac:dyDescent="0.25">
      <c r="A347" s="23" t="s">
        <v>1031</v>
      </c>
      <c r="B347" s="19">
        <v>903</v>
      </c>
      <c r="C347" s="24" t="s">
        <v>264</v>
      </c>
      <c r="D347" s="24" t="s">
        <v>264</v>
      </c>
      <c r="E347" s="24" t="s">
        <v>894</v>
      </c>
      <c r="F347" s="24"/>
      <c r="G347" s="21">
        <f>G348</f>
        <v>455</v>
      </c>
      <c r="H347" s="21">
        <f>H348</f>
        <v>520</v>
      </c>
      <c r="I347" s="204"/>
    </row>
    <row r="348" spans="1:9" ht="15.75" x14ac:dyDescent="0.25">
      <c r="A348" s="25" t="s">
        <v>1032</v>
      </c>
      <c r="B348" s="16">
        <v>903</v>
      </c>
      <c r="C348" s="20" t="s">
        <v>264</v>
      </c>
      <c r="D348" s="20" t="s">
        <v>264</v>
      </c>
      <c r="E348" s="20" t="s">
        <v>901</v>
      </c>
      <c r="F348" s="20"/>
      <c r="G348" s="26">
        <f>G349+G351</f>
        <v>455</v>
      </c>
      <c r="H348" s="26">
        <f>H349+H351</f>
        <v>520</v>
      </c>
      <c r="I348" s="204"/>
    </row>
    <row r="349" spans="1:9" ht="78.75" x14ac:dyDescent="0.25">
      <c r="A349" s="25" t="s">
        <v>127</v>
      </c>
      <c r="B349" s="16">
        <v>903</v>
      </c>
      <c r="C349" s="20" t="s">
        <v>264</v>
      </c>
      <c r="D349" s="20" t="s">
        <v>264</v>
      </c>
      <c r="E349" s="20" t="s">
        <v>901</v>
      </c>
      <c r="F349" s="20" t="s">
        <v>128</v>
      </c>
      <c r="G349" s="26">
        <f>G350</f>
        <v>40</v>
      </c>
      <c r="H349" s="26">
        <f>H350</f>
        <v>40</v>
      </c>
      <c r="I349" s="204"/>
    </row>
    <row r="350" spans="1:9" ht="31.5" x14ac:dyDescent="0.25">
      <c r="A350" s="25" t="s">
        <v>342</v>
      </c>
      <c r="B350" s="16">
        <v>903</v>
      </c>
      <c r="C350" s="20" t="s">
        <v>264</v>
      </c>
      <c r="D350" s="20" t="s">
        <v>264</v>
      </c>
      <c r="E350" s="20" t="s">
        <v>901</v>
      </c>
      <c r="F350" s="20" t="s">
        <v>209</v>
      </c>
      <c r="G350" s="26">
        <f>40</f>
        <v>40</v>
      </c>
      <c r="H350" s="26">
        <f t="shared" si="24"/>
        <v>40</v>
      </c>
      <c r="I350" s="204"/>
    </row>
    <row r="351" spans="1:9" ht="31.5" x14ac:dyDescent="0.25">
      <c r="A351" s="25" t="s">
        <v>131</v>
      </c>
      <c r="B351" s="16">
        <v>903</v>
      </c>
      <c r="C351" s="20" t="s">
        <v>264</v>
      </c>
      <c r="D351" s="20" t="s">
        <v>264</v>
      </c>
      <c r="E351" s="20" t="s">
        <v>901</v>
      </c>
      <c r="F351" s="20" t="s">
        <v>132</v>
      </c>
      <c r="G351" s="26">
        <f>G352</f>
        <v>415</v>
      </c>
      <c r="H351" s="26">
        <f>H352</f>
        <v>480</v>
      </c>
      <c r="I351" s="204"/>
    </row>
    <row r="352" spans="1:9" ht="31.5" x14ac:dyDescent="0.25">
      <c r="A352" s="25" t="s">
        <v>133</v>
      </c>
      <c r="B352" s="16">
        <v>903</v>
      </c>
      <c r="C352" s="20" t="s">
        <v>264</v>
      </c>
      <c r="D352" s="20" t="s">
        <v>264</v>
      </c>
      <c r="E352" s="20" t="s">
        <v>901</v>
      </c>
      <c r="F352" s="20" t="s">
        <v>134</v>
      </c>
      <c r="G352" s="26">
        <f>415</f>
        <v>415</v>
      </c>
      <c r="H352" s="26">
        <v>480</v>
      </c>
      <c r="I352" s="204"/>
    </row>
    <row r="353" spans="1:13" ht="31.5" x14ac:dyDescent="0.25">
      <c r="A353" s="23" t="s">
        <v>1037</v>
      </c>
      <c r="B353" s="19">
        <v>903</v>
      </c>
      <c r="C353" s="24" t="s">
        <v>264</v>
      </c>
      <c r="D353" s="24" t="s">
        <v>264</v>
      </c>
      <c r="E353" s="24" t="s">
        <v>1033</v>
      </c>
      <c r="F353" s="24"/>
      <c r="G353" s="21">
        <f t="shared" ref="G353:H355" si="29">G354</f>
        <v>25</v>
      </c>
      <c r="H353" s="21">
        <f t="shared" si="29"/>
        <v>25</v>
      </c>
      <c r="I353" s="204"/>
    </row>
    <row r="354" spans="1:13" ht="47.25" x14ac:dyDescent="0.25">
      <c r="A354" s="231" t="s">
        <v>1034</v>
      </c>
      <c r="B354" s="16">
        <v>903</v>
      </c>
      <c r="C354" s="20" t="s">
        <v>264</v>
      </c>
      <c r="D354" s="20" t="s">
        <v>264</v>
      </c>
      <c r="E354" s="20" t="s">
        <v>1047</v>
      </c>
      <c r="F354" s="20"/>
      <c r="G354" s="26">
        <f t="shared" si="29"/>
        <v>25</v>
      </c>
      <c r="H354" s="26">
        <f t="shared" si="29"/>
        <v>25</v>
      </c>
      <c r="I354" s="204"/>
    </row>
    <row r="355" spans="1:13" ht="31.5" x14ac:dyDescent="0.25">
      <c r="A355" s="25" t="s">
        <v>248</v>
      </c>
      <c r="B355" s="16">
        <v>903</v>
      </c>
      <c r="C355" s="20" t="s">
        <v>264</v>
      </c>
      <c r="D355" s="20" t="s">
        <v>264</v>
      </c>
      <c r="E355" s="20" t="s">
        <v>1047</v>
      </c>
      <c r="F355" s="20" t="s">
        <v>249</v>
      </c>
      <c r="G355" s="26">
        <f t="shared" si="29"/>
        <v>25</v>
      </c>
      <c r="H355" s="26">
        <f t="shared" si="29"/>
        <v>25</v>
      </c>
      <c r="I355" s="204"/>
    </row>
    <row r="356" spans="1:13" ht="31.5" x14ac:dyDescent="0.25">
      <c r="A356" s="25" t="s">
        <v>1196</v>
      </c>
      <c r="B356" s="16">
        <v>903</v>
      </c>
      <c r="C356" s="20" t="s">
        <v>264</v>
      </c>
      <c r="D356" s="20" t="s">
        <v>264</v>
      </c>
      <c r="E356" s="20" t="s">
        <v>1047</v>
      </c>
      <c r="F356" s="20" t="s">
        <v>1195</v>
      </c>
      <c r="G356" s="26">
        <f>25</f>
        <v>25</v>
      </c>
      <c r="H356" s="26">
        <f t="shared" si="24"/>
        <v>25</v>
      </c>
      <c r="I356" s="204"/>
    </row>
    <row r="357" spans="1:13" ht="15.75" x14ac:dyDescent="0.25">
      <c r="A357" s="23" t="s">
        <v>298</v>
      </c>
      <c r="B357" s="19">
        <v>903</v>
      </c>
      <c r="C357" s="24" t="s">
        <v>299</v>
      </c>
      <c r="D357" s="24"/>
      <c r="E357" s="24"/>
      <c r="F357" s="24"/>
      <c r="G357" s="21">
        <f>G358+G411</f>
        <v>76411.28</v>
      </c>
      <c r="H357" s="21">
        <f>H358+H411</f>
        <v>77665.48</v>
      </c>
      <c r="I357" s="204"/>
    </row>
    <row r="358" spans="1:13" ht="15.75" x14ac:dyDescent="0.25">
      <c r="A358" s="23" t="s">
        <v>300</v>
      </c>
      <c r="B358" s="19">
        <v>903</v>
      </c>
      <c r="C358" s="24" t="s">
        <v>299</v>
      </c>
      <c r="D358" s="24" t="s">
        <v>118</v>
      </c>
      <c r="E358" s="24"/>
      <c r="F358" s="24"/>
      <c r="G358" s="21">
        <f>G359+G406+G401</f>
        <v>57844.87999999999</v>
      </c>
      <c r="H358" s="21">
        <f>H359+H406+H401</f>
        <v>59070.079999999994</v>
      </c>
      <c r="I358" s="204"/>
    </row>
    <row r="359" spans="1:13" ht="39.200000000000003" customHeight="1" x14ac:dyDescent="0.25">
      <c r="A359" s="23" t="s">
        <v>1367</v>
      </c>
      <c r="B359" s="19">
        <v>903</v>
      </c>
      <c r="C359" s="24" t="s">
        <v>299</v>
      </c>
      <c r="D359" s="24" t="s">
        <v>118</v>
      </c>
      <c r="E359" s="24" t="s">
        <v>267</v>
      </c>
      <c r="F359" s="24"/>
      <c r="G359" s="21">
        <f>G360+G368+G374+G378+G385+G393+G389+G397</f>
        <v>56956.179999999993</v>
      </c>
      <c r="H359" s="21">
        <f>H360+H368+H374+H378+H385+H393+H389+H397</f>
        <v>58156.179999999993</v>
      </c>
      <c r="I359" s="204"/>
    </row>
    <row r="360" spans="1:13" ht="33.75" customHeight="1" x14ac:dyDescent="0.25">
      <c r="A360" s="23" t="s">
        <v>895</v>
      </c>
      <c r="B360" s="19">
        <v>903</v>
      </c>
      <c r="C360" s="24" t="s">
        <v>299</v>
      </c>
      <c r="D360" s="24" t="s">
        <v>118</v>
      </c>
      <c r="E360" s="24" t="s">
        <v>1203</v>
      </c>
      <c r="F360" s="24"/>
      <c r="G360" s="21">
        <f>G361</f>
        <v>51840.479999999996</v>
      </c>
      <c r="H360" s="21">
        <f>H361</f>
        <v>51840.479999999996</v>
      </c>
      <c r="I360" s="204"/>
    </row>
    <row r="361" spans="1:13" ht="15.75" x14ac:dyDescent="0.25">
      <c r="A361" s="25" t="s">
        <v>800</v>
      </c>
      <c r="B361" s="16">
        <v>903</v>
      </c>
      <c r="C361" s="20" t="s">
        <v>299</v>
      </c>
      <c r="D361" s="20" t="s">
        <v>118</v>
      </c>
      <c r="E361" s="20" t="s">
        <v>1204</v>
      </c>
      <c r="F361" s="20"/>
      <c r="G361" s="26">
        <f>G362+G364+G366</f>
        <v>51840.479999999996</v>
      </c>
      <c r="H361" s="26">
        <f>H362+H364+H366</f>
        <v>51840.479999999996</v>
      </c>
      <c r="I361" s="204"/>
      <c r="M361">
        <v>51840.58</v>
      </c>
    </row>
    <row r="362" spans="1:13" ht="78.75" x14ac:dyDescent="0.25">
      <c r="A362" s="25" t="s">
        <v>127</v>
      </c>
      <c r="B362" s="16">
        <v>903</v>
      </c>
      <c r="C362" s="20" t="s">
        <v>299</v>
      </c>
      <c r="D362" s="20" t="s">
        <v>118</v>
      </c>
      <c r="E362" s="20" t="s">
        <v>1204</v>
      </c>
      <c r="F362" s="20" t="s">
        <v>128</v>
      </c>
      <c r="G362" s="26">
        <f>G363</f>
        <v>43271.28</v>
      </c>
      <c r="H362" s="26">
        <f>H363</f>
        <v>43271.28</v>
      </c>
      <c r="I362" s="204"/>
    </row>
    <row r="363" spans="1:13" ht="15.75" x14ac:dyDescent="0.25">
      <c r="A363" s="25" t="s">
        <v>208</v>
      </c>
      <c r="B363" s="16">
        <v>903</v>
      </c>
      <c r="C363" s="20" t="s">
        <v>299</v>
      </c>
      <c r="D363" s="20" t="s">
        <v>118</v>
      </c>
      <c r="E363" s="20" t="s">
        <v>1204</v>
      </c>
      <c r="F363" s="20" t="s">
        <v>209</v>
      </c>
      <c r="G363" s="26">
        <v>43271.28</v>
      </c>
      <c r="H363" s="26">
        <f t="shared" si="24"/>
        <v>43271.28</v>
      </c>
      <c r="I363" s="204"/>
    </row>
    <row r="364" spans="1:13" ht="31.5" x14ac:dyDescent="0.25">
      <c r="A364" s="25" t="s">
        <v>131</v>
      </c>
      <c r="B364" s="16">
        <v>903</v>
      </c>
      <c r="C364" s="20" t="s">
        <v>299</v>
      </c>
      <c r="D364" s="20" t="s">
        <v>118</v>
      </c>
      <c r="E364" s="20" t="s">
        <v>1204</v>
      </c>
      <c r="F364" s="20" t="s">
        <v>132</v>
      </c>
      <c r="G364" s="26">
        <f>G365</f>
        <v>8506.2000000000007</v>
      </c>
      <c r="H364" s="26">
        <f>H365</f>
        <v>8506.2000000000007</v>
      </c>
      <c r="I364" s="204"/>
    </row>
    <row r="365" spans="1:13" ht="29.85" customHeight="1" x14ac:dyDescent="0.25">
      <c r="A365" s="25" t="s">
        <v>133</v>
      </c>
      <c r="B365" s="16">
        <v>903</v>
      </c>
      <c r="C365" s="20" t="s">
        <v>299</v>
      </c>
      <c r="D365" s="20" t="s">
        <v>118</v>
      </c>
      <c r="E365" s="20" t="s">
        <v>1204</v>
      </c>
      <c r="F365" s="20" t="s">
        <v>134</v>
      </c>
      <c r="G365" s="26">
        <v>8506.2000000000007</v>
      </c>
      <c r="H365" s="26">
        <f t="shared" si="24"/>
        <v>8506.2000000000007</v>
      </c>
      <c r="I365" s="204"/>
    </row>
    <row r="366" spans="1:13" ht="15.75" x14ac:dyDescent="0.25">
      <c r="A366" s="25" t="s">
        <v>135</v>
      </c>
      <c r="B366" s="16">
        <v>903</v>
      </c>
      <c r="C366" s="20" t="s">
        <v>299</v>
      </c>
      <c r="D366" s="20" t="s">
        <v>118</v>
      </c>
      <c r="E366" s="20" t="s">
        <v>1204</v>
      </c>
      <c r="F366" s="20" t="s">
        <v>145</v>
      </c>
      <c r="G366" s="26">
        <f>G367</f>
        <v>63</v>
      </c>
      <c r="H366" s="26">
        <f>H367</f>
        <v>63</v>
      </c>
      <c r="I366" s="204"/>
    </row>
    <row r="367" spans="1:13" ht="15.75" x14ac:dyDescent="0.25">
      <c r="A367" s="25" t="s">
        <v>568</v>
      </c>
      <c r="B367" s="16">
        <v>903</v>
      </c>
      <c r="C367" s="20" t="s">
        <v>299</v>
      </c>
      <c r="D367" s="20" t="s">
        <v>118</v>
      </c>
      <c r="E367" s="20" t="s">
        <v>1204</v>
      </c>
      <c r="F367" s="20" t="s">
        <v>138</v>
      </c>
      <c r="G367" s="26">
        <v>63</v>
      </c>
      <c r="H367" s="26">
        <f t="shared" ref="H367:H377" si="30">G367</f>
        <v>63</v>
      </c>
      <c r="I367" s="204"/>
    </row>
    <row r="368" spans="1:13" ht="31.5" x14ac:dyDescent="0.25">
      <c r="A368" s="217" t="s">
        <v>1303</v>
      </c>
      <c r="B368" s="19">
        <v>903</v>
      </c>
      <c r="C368" s="24" t="s">
        <v>299</v>
      </c>
      <c r="D368" s="24" t="s">
        <v>118</v>
      </c>
      <c r="E368" s="24" t="s">
        <v>1205</v>
      </c>
      <c r="F368" s="24"/>
      <c r="G368" s="21">
        <f>G369</f>
        <v>1380</v>
      </c>
      <c r="H368" s="21">
        <f>H369</f>
        <v>1380</v>
      </c>
      <c r="I368" s="204"/>
    </row>
    <row r="369" spans="1:9" ht="31.5" x14ac:dyDescent="0.25">
      <c r="A369" s="31" t="s">
        <v>816</v>
      </c>
      <c r="B369" s="16">
        <v>903</v>
      </c>
      <c r="C369" s="20" t="s">
        <v>299</v>
      </c>
      <c r="D369" s="20" t="s">
        <v>118</v>
      </c>
      <c r="E369" s="20" t="s">
        <v>1207</v>
      </c>
      <c r="F369" s="20"/>
      <c r="G369" s="26">
        <f>G370+G372</f>
        <v>1380</v>
      </c>
      <c r="H369" s="26">
        <f>H370+H372</f>
        <v>1380</v>
      </c>
      <c r="I369" s="204"/>
    </row>
    <row r="370" spans="1:9" ht="78.75" x14ac:dyDescent="0.25">
      <c r="A370" s="25" t="s">
        <v>127</v>
      </c>
      <c r="B370" s="16">
        <v>903</v>
      </c>
      <c r="C370" s="20" t="s">
        <v>299</v>
      </c>
      <c r="D370" s="20" t="s">
        <v>118</v>
      </c>
      <c r="E370" s="20" t="s">
        <v>896</v>
      </c>
      <c r="F370" s="20" t="s">
        <v>128</v>
      </c>
      <c r="G370" s="26">
        <f>G371</f>
        <v>0</v>
      </c>
      <c r="H370" s="26">
        <f>H371</f>
        <v>0</v>
      </c>
      <c r="I370" s="204"/>
    </row>
    <row r="371" spans="1:9" ht="15.75" x14ac:dyDescent="0.25">
      <c r="A371" s="25" t="s">
        <v>208</v>
      </c>
      <c r="B371" s="16">
        <v>903</v>
      </c>
      <c r="C371" s="20" t="s">
        <v>299</v>
      </c>
      <c r="D371" s="20" t="s">
        <v>118</v>
      </c>
      <c r="E371" s="20" t="s">
        <v>896</v>
      </c>
      <c r="F371" s="20" t="s">
        <v>209</v>
      </c>
      <c r="G371" s="26">
        <v>0</v>
      </c>
      <c r="H371" s="26">
        <v>0</v>
      </c>
      <c r="I371" s="204"/>
    </row>
    <row r="372" spans="1:9" ht="31.5" x14ac:dyDescent="0.25">
      <c r="A372" s="25" t="s">
        <v>131</v>
      </c>
      <c r="B372" s="16">
        <v>903</v>
      </c>
      <c r="C372" s="20" t="s">
        <v>299</v>
      </c>
      <c r="D372" s="20" t="s">
        <v>118</v>
      </c>
      <c r="E372" s="20" t="s">
        <v>1207</v>
      </c>
      <c r="F372" s="20" t="s">
        <v>132</v>
      </c>
      <c r="G372" s="26">
        <f>G373</f>
        <v>1380</v>
      </c>
      <c r="H372" s="26">
        <f>H373</f>
        <v>1380</v>
      </c>
      <c r="I372" s="204"/>
    </row>
    <row r="373" spans="1:9" ht="31.9" customHeight="1" x14ac:dyDescent="0.25">
      <c r="A373" s="25" t="s">
        <v>133</v>
      </c>
      <c r="B373" s="16">
        <v>903</v>
      </c>
      <c r="C373" s="20" t="s">
        <v>299</v>
      </c>
      <c r="D373" s="20" t="s">
        <v>118</v>
      </c>
      <c r="E373" s="20" t="s">
        <v>1207</v>
      </c>
      <c r="F373" s="20" t="s">
        <v>134</v>
      </c>
      <c r="G373" s="26">
        <f>380+1000</f>
        <v>1380</v>
      </c>
      <c r="H373" s="26">
        <f t="shared" si="30"/>
        <v>1380</v>
      </c>
      <c r="I373" s="204"/>
    </row>
    <row r="374" spans="1:9" ht="31.5" x14ac:dyDescent="0.25">
      <c r="A374" s="23" t="s">
        <v>947</v>
      </c>
      <c r="B374" s="19">
        <v>903</v>
      </c>
      <c r="C374" s="24" t="s">
        <v>299</v>
      </c>
      <c r="D374" s="24" t="s">
        <v>118</v>
      </c>
      <c r="E374" s="24" t="s">
        <v>1208</v>
      </c>
      <c r="F374" s="24"/>
      <c r="G374" s="44">
        <f t="shared" ref="G374:H376" si="31">G375</f>
        <v>875</v>
      </c>
      <c r="H374" s="44">
        <f t="shared" si="31"/>
        <v>875</v>
      </c>
      <c r="I374" s="204"/>
    </row>
    <row r="375" spans="1:9" ht="47.25" x14ac:dyDescent="0.25">
      <c r="A375" s="25" t="s">
        <v>839</v>
      </c>
      <c r="B375" s="16">
        <v>903</v>
      </c>
      <c r="C375" s="20" t="s">
        <v>299</v>
      </c>
      <c r="D375" s="20" t="s">
        <v>118</v>
      </c>
      <c r="E375" s="20" t="s">
        <v>1209</v>
      </c>
      <c r="F375" s="20"/>
      <c r="G375" s="26">
        <f t="shared" si="31"/>
        <v>875</v>
      </c>
      <c r="H375" s="26">
        <f t="shared" si="31"/>
        <v>875</v>
      </c>
      <c r="I375" s="204"/>
    </row>
    <row r="376" spans="1:9" ht="78.75" x14ac:dyDescent="0.25">
      <c r="A376" s="25" t="s">
        <v>127</v>
      </c>
      <c r="B376" s="16">
        <v>903</v>
      </c>
      <c r="C376" s="20" t="s">
        <v>299</v>
      </c>
      <c r="D376" s="20" t="s">
        <v>118</v>
      </c>
      <c r="E376" s="20" t="s">
        <v>1209</v>
      </c>
      <c r="F376" s="20" t="s">
        <v>128</v>
      </c>
      <c r="G376" s="26">
        <f t="shared" si="31"/>
        <v>875</v>
      </c>
      <c r="H376" s="26">
        <f t="shared" si="31"/>
        <v>875</v>
      </c>
      <c r="I376" s="204"/>
    </row>
    <row r="377" spans="1:9" ht="31.5" x14ac:dyDescent="0.25">
      <c r="A377" s="25" t="s">
        <v>129</v>
      </c>
      <c r="B377" s="16">
        <v>903</v>
      </c>
      <c r="C377" s="20" t="s">
        <v>299</v>
      </c>
      <c r="D377" s="20" t="s">
        <v>118</v>
      </c>
      <c r="E377" s="20" t="s">
        <v>1209</v>
      </c>
      <c r="F377" s="20" t="s">
        <v>209</v>
      </c>
      <c r="G377" s="26">
        <v>875</v>
      </c>
      <c r="H377" s="26">
        <f t="shared" si="30"/>
        <v>875</v>
      </c>
      <c r="I377" s="204"/>
    </row>
    <row r="378" spans="1:9" ht="47.25" x14ac:dyDescent="0.25">
      <c r="A378" s="218" t="s">
        <v>900</v>
      </c>
      <c r="B378" s="19">
        <v>903</v>
      </c>
      <c r="C378" s="24" t="s">
        <v>299</v>
      </c>
      <c r="D378" s="24" t="s">
        <v>118</v>
      </c>
      <c r="E378" s="24" t="s">
        <v>1210</v>
      </c>
      <c r="F378" s="24"/>
      <c r="G378" s="21">
        <f>G379+G382</f>
        <v>2442</v>
      </c>
      <c r="H378" s="21">
        <f>H379+H382</f>
        <v>2442</v>
      </c>
      <c r="I378" s="204"/>
    </row>
    <row r="379" spans="1:9" s="203" customFormat="1" ht="94.5" x14ac:dyDescent="0.25">
      <c r="A379" s="31" t="s">
        <v>293</v>
      </c>
      <c r="B379" s="16">
        <v>903</v>
      </c>
      <c r="C379" s="20" t="s">
        <v>299</v>
      </c>
      <c r="D379" s="20" t="s">
        <v>118</v>
      </c>
      <c r="E379" s="20" t="s">
        <v>1403</v>
      </c>
      <c r="F379" s="20"/>
      <c r="G379" s="26">
        <f t="shared" ref="G379:H380" si="32">G380</f>
        <v>2100.6</v>
      </c>
      <c r="H379" s="26">
        <f t="shared" si="32"/>
        <v>2100.6</v>
      </c>
      <c r="I379" s="204"/>
    </row>
    <row r="380" spans="1:9" s="203" customFormat="1" ht="78.75" x14ac:dyDescent="0.25">
      <c r="A380" s="25" t="s">
        <v>127</v>
      </c>
      <c r="B380" s="16">
        <v>903</v>
      </c>
      <c r="C380" s="20" t="s">
        <v>299</v>
      </c>
      <c r="D380" s="20" t="s">
        <v>118</v>
      </c>
      <c r="E380" s="20" t="s">
        <v>1403</v>
      </c>
      <c r="F380" s="20" t="s">
        <v>128</v>
      </c>
      <c r="G380" s="26">
        <f t="shared" si="32"/>
        <v>2100.6</v>
      </c>
      <c r="H380" s="26">
        <f t="shared" si="32"/>
        <v>2100.6</v>
      </c>
      <c r="I380" s="204"/>
    </row>
    <row r="381" spans="1:9" s="203" customFormat="1" ht="15.75" x14ac:dyDescent="0.25">
      <c r="A381" s="25" t="s">
        <v>208</v>
      </c>
      <c r="B381" s="16">
        <v>903</v>
      </c>
      <c r="C381" s="20" t="s">
        <v>299</v>
      </c>
      <c r="D381" s="20" t="s">
        <v>118</v>
      </c>
      <c r="E381" s="20" t="s">
        <v>1403</v>
      </c>
      <c r="F381" s="20" t="s">
        <v>209</v>
      </c>
      <c r="G381" s="26">
        <v>2100.6</v>
      </c>
      <c r="H381" s="26">
        <f>G381</f>
        <v>2100.6</v>
      </c>
      <c r="I381" s="204"/>
    </row>
    <row r="382" spans="1:9" s="203" customFormat="1" ht="78.75" x14ac:dyDescent="0.25">
      <c r="A382" s="25" t="s">
        <v>331</v>
      </c>
      <c r="B382" s="16">
        <v>903</v>
      </c>
      <c r="C382" s="20" t="s">
        <v>299</v>
      </c>
      <c r="D382" s="20" t="s">
        <v>118</v>
      </c>
      <c r="E382" s="20" t="s">
        <v>1291</v>
      </c>
      <c r="F382" s="20"/>
      <c r="G382" s="26">
        <f>G383</f>
        <v>341.4</v>
      </c>
      <c r="H382" s="26">
        <f>H383</f>
        <v>341.4</v>
      </c>
      <c r="I382" s="204"/>
    </row>
    <row r="383" spans="1:9" s="203" customFormat="1" ht="78.75" x14ac:dyDescent="0.25">
      <c r="A383" s="25" t="s">
        <v>127</v>
      </c>
      <c r="B383" s="16">
        <v>903</v>
      </c>
      <c r="C383" s="20" t="s">
        <v>299</v>
      </c>
      <c r="D383" s="20" t="s">
        <v>118</v>
      </c>
      <c r="E383" s="20" t="s">
        <v>1291</v>
      </c>
      <c r="F383" s="20" t="s">
        <v>128</v>
      </c>
      <c r="G383" s="26">
        <f>G384</f>
        <v>341.4</v>
      </c>
      <c r="H383" s="26">
        <f>H384</f>
        <v>341.4</v>
      </c>
      <c r="I383" s="204"/>
    </row>
    <row r="384" spans="1:9" s="203" customFormat="1" ht="15.75" x14ac:dyDescent="0.25">
      <c r="A384" s="25" t="s">
        <v>208</v>
      </c>
      <c r="B384" s="16">
        <v>903</v>
      </c>
      <c r="C384" s="20" t="s">
        <v>299</v>
      </c>
      <c r="D384" s="20" t="s">
        <v>118</v>
      </c>
      <c r="E384" s="20" t="s">
        <v>1291</v>
      </c>
      <c r="F384" s="20" t="s">
        <v>209</v>
      </c>
      <c r="G384" s="26">
        <v>341.4</v>
      </c>
      <c r="H384" s="26">
        <f>G384</f>
        <v>341.4</v>
      </c>
      <c r="I384" s="204"/>
    </row>
    <row r="385" spans="1:9" s="203" customFormat="1" ht="31.5" x14ac:dyDescent="0.25">
      <c r="A385" s="23" t="s">
        <v>902</v>
      </c>
      <c r="B385" s="19">
        <v>903</v>
      </c>
      <c r="C385" s="24" t="s">
        <v>299</v>
      </c>
      <c r="D385" s="24" t="s">
        <v>118</v>
      </c>
      <c r="E385" s="24" t="s">
        <v>1215</v>
      </c>
      <c r="F385" s="24"/>
      <c r="G385" s="21">
        <f t="shared" ref="G385:H387" si="33">G386</f>
        <v>50</v>
      </c>
      <c r="H385" s="21">
        <f t="shared" si="33"/>
        <v>50</v>
      </c>
      <c r="I385" s="204"/>
    </row>
    <row r="386" spans="1:9" s="203" customFormat="1" ht="31.5" x14ac:dyDescent="0.25">
      <c r="A386" s="25" t="s">
        <v>821</v>
      </c>
      <c r="B386" s="16">
        <v>903</v>
      </c>
      <c r="C386" s="20" t="s">
        <v>299</v>
      </c>
      <c r="D386" s="20" t="s">
        <v>118</v>
      </c>
      <c r="E386" s="20" t="s">
        <v>1216</v>
      </c>
      <c r="F386" s="20"/>
      <c r="G386" s="26">
        <f t="shared" si="33"/>
        <v>50</v>
      </c>
      <c r="H386" s="26">
        <f t="shared" si="33"/>
        <v>50</v>
      </c>
      <c r="I386" s="204"/>
    </row>
    <row r="387" spans="1:9" s="203" customFormat="1" ht="31.5" x14ac:dyDescent="0.25">
      <c r="A387" s="25" t="s">
        <v>131</v>
      </c>
      <c r="B387" s="16">
        <v>903</v>
      </c>
      <c r="C387" s="20" t="s">
        <v>299</v>
      </c>
      <c r="D387" s="20" t="s">
        <v>118</v>
      </c>
      <c r="E387" s="20" t="s">
        <v>1216</v>
      </c>
      <c r="F387" s="20" t="s">
        <v>132</v>
      </c>
      <c r="G387" s="26">
        <f t="shared" si="33"/>
        <v>50</v>
      </c>
      <c r="H387" s="26">
        <f t="shared" si="33"/>
        <v>50</v>
      </c>
      <c r="I387" s="204"/>
    </row>
    <row r="388" spans="1:9" s="203" customFormat="1" ht="31.5" x14ac:dyDescent="0.25">
      <c r="A388" s="25" t="s">
        <v>133</v>
      </c>
      <c r="B388" s="16">
        <v>903</v>
      </c>
      <c r="C388" s="20" t="s">
        <v>299</v>
      </c>
      <c r="D388" s="20" t="s">
        <v>118</v>
      </c>
      <c r="E388" s="20" t="s">
        <v>1216</v>
      </c>
      <c r="F388" s="20" t="s">
        <v>134</v>
      </c>
      <c r="G388" s="26">
        <v>50</v>
      </c>
      <c r="H388" s="26">
        <v>50</v>
      </c>
      <c r="I388" s="204"/>
    </row>
    <row r="389" spans="1:9" s="203" customFormat="1" ht="31.5" x14ac:dyDescent="0.25">
      <c r="A389" s="23" t="s">
        <v>1010</v>
      </c>
      <c r="B389" s="19">
        <v>903</v>
      </c>
      <c r="C389" s="24" t="s">
        <v>299</v>
      </c>
      <c r="D389" s="24" t="s">
        <v>118</v>
      </c>
      <c r="E389" s="24" t="s">
        <v>1217</v>
      </c>
      <c r="F389" s="24"/>
      <c r="G389" s="21">
        <f t="shared" ref="G389:H391" si="34">G390</f>
        <v>68.7</v>
      </c>
      <c r="H389" s="21">
        <f t="shared" si="34"/>
        <v>68.7</v>
      </c>
      <c r="I389" s="204"/>
    </row>
    <row r="390" spans="1:9" s="203" customFormat="1" ht="31.5" x14ac:dyDescent="0.25">
      <c r="A390" s="25" t="s">
        <v>1484</v>
      </c>
      <c r="B390" s="16">
        <v>903</v>
      </c>
      <c r="C390" s="20" t="s">
        <v>299</v>
      </c>
      <c r="D390" s="20" t="s">
        <v>118</v>
      </c>
      <c r="E390" s="20" t="s">
        <v>1218</v>
      </c>
      <c r="F390" s="20"/>
      <c r="G390" s="26">
        <f t="shared" si="34"/>
        <v>68.7</v>
      </c>
      <c r="H390" s="26">
        <f t="shared" si="34"/>
        <v>68.7</v>
      </c>
      <c r="I390" s="204"/>
    </row>
    <row r="391" spans="1:9" s="203" customFormat="1" ht="31.5" x14ac:dyDescent="0.25">
      <c r="A391" s="25" t="s">
        <v>131</v>
      </c>
      <c r="B391" s="16">
        <v>903</v>
      </c>
      <c r="C391" s="20" t="s">
        <v>299</v>
      </c>
      <c r="D391" s="20" t="s">
        <v>118</v>
      </c>
      <c r="E391" s="20" t="s">
        <v>1218</v>
      </c>
      <c r="F391" s="20" t="s">
        <v>132</v>
      </c>
      <c r="G391" s="26">
        <f t="shared" si="34"/>
        <v>68.7</v>
      </c>
      <c r="H391" s="26">
        <f t="shared" si="34"/>
        <v>68.7</v>
      </c>
      <c r="I391" s="204"/>
    </row>
    <row r="392" spans="1:9" s="203" customFormat="1" ht="31.5" x14ac:dyDescent="0.25">
      <c r="A392" s="25" t="s">
        <v>133</v>
      </c>
      <c r="B392" s="16">
        <v>903</v>
      </c>
      <c r="C392" s="20" t="s">
        <v>299</v>
      </c>
      <c r="D392" s="20" t="s">
        <v>118</v>
      </c>
      <c r="E392" s="20" t="s">
        <v>1218</v>
      </c>
      <c r="F392" s="20" t="s">
        <v>134</v>
      </c>
      <c r="G392" s="26">
        <f>3.5+65.2</f>
        <v>68.7</v>
      </c>
      <c r="H392" s="26">
        <f t="shared" ref="H392" si="35">G392</f>
        <v>68.7</v>
      </c>
      <c r="I392" s="204"/>
    </row>
    <row r="393" spans="1:9" s="203" customFormat="1" ht="31.5" x14ac:dyDescent="0.25">
      <c r="A393" s="211" t="s">
        <v>1179</v>
      </c>
      <c r="B393" s="19">
        <v>903</v>
      </c>
      <c r="C393" s="24" t="s">
        <v>299</v>
      </c>
      <c r="D393" s="24" t="s">
        <v>118</v>
      </c>
      <c r="E393" s="24" t="s">
        <v>1213</v>
      </c>
      <c r="F393" s="24"/>
      <c r="G393" s="21">
        <f t="shared" ref="G393:H395" si="36">G394</f>
        <v>300</v>
      </c>
      <c r="H393" s="21">
        <f t="shared" si="36"/>
        <v>1500</v>
      </c>
      <c r="I393" s="204"/>
    </row>
    <row r="394" spans="1:9" s="203" customFormat="1" ht="15.75" x14ac:dyDescent="0.25">
      <c r="A394" s="98" t="s">
        <v>1186</v>
      </c>
      <c r="B394" s="16">
        <v>903</v>
      </c>
      <c r="C394" s="20" t="s">
        <v>299</v>
      </c>
      <c r="D394" s="20" t="s">
        <v>118</v>
      </c>
      <c r="E394" s="20" t="s">
        <v>1214</v>
      </c>
      <c r="F394" s="20"/>
      <c r="G394" s="26">
        <f t="shared" si="36"/>
        <v>300</v>
      </c>
      <c r="H394" s="26">
        <f t="shared" si="36"/>
        <v>1500</v>
      </c>
      <c r="I394" s="204"/>
    </row>
    <row r="395" spans="1:9" s="203" customFormat="1" ht="31.5" x14ac:dyDescent="0.25">
      <c r="A395" s="25" t="s">
        <v>131</v>
      </c>
      <c r="B395" s="16">
        <v>903</v>
      </c>
      <c r="C395" s="20" t="s">
        <v>299</v>
      </c>
      <c r="D395" s="20" t="s">
        <v>118</v>
      </c>
      <c r="E395" s="20" t="s">
        <v>1214</v>
      </c>
      <c r="F395" s="20" t="s">
        <v>132</v>
      </c>
      <c r="G395" s="26">
        <f>G396</f>
        <v>300</v>
      </c>
      <c r="H395" s="26">
        <f t="shared" si="36"/>
        <v>1500</v>
      </c>
      <c r="I395" s="204"/>
    </row>
    <row r="396" spans="1:9" s="203" customFormat="1" ht="31.5" x14ac:dyDescent="0.25">
      <c r="A396" s="25" t="s">
        <v>133</v>
      </c>
      <c r="B396" s="16">
        <v>903</v>
      </c>
      <c r="C396" s="20" t="s">
        <v>299</v>
      </c>
      <c r="D396" s="20" t="s">
        <v>118</v>
      </c>
      <c r="E396" s="20" t="s">
        <v>1214</v>
      </c>
      <c r="F396" s="20" t="s">
        <v>134</v>
      </c>
      <c r="G396" s="26">
        <v>300</v>
      </c>
      <c r="H396" s="26">
        <v>1500</v>
      </c>
      <c r="I396" s="204"/>
    </row>
    <row r="397" spans="1:9" s="203" customFormat="1" ht="31.5" hidden="1" x14ac:dyDescent="0.25">
      <c r="A397" s="354" t="s">
        <v>1332</v>
      </c>
      <c r="B397" s="19">
        <v>903</v>
      </c>
      <c r="C397" s="24" t="s">
        <v>299</v>
      </c>
      <c r="D397" s="24" t="s">
        <v>118</v>
      </c>
      <c r="E397" s="24"/>
      <c r="F397" s="24"/>
      <c r="G397" s="21">
        <f t="shared" ref="G397:H399" si="37">G398</f>
        <v>0</v>
      </c>
      <c r="H397" s="21">
        <f t="shared" si="37"/>
        <v>0</v>
      </c>
      <c r="I397" s="204"/>
    </row>
    <row r="398" spans="1:9" s="203" customFormat="1" ht="15.75" hidden="1" x14ac:dyDescent="0.25">
      <c r="A398" s="25"/>
      <c r="B398" s="16">
        <v>903</v>
      </c>
      <c r="C398" s="20" t="s">
        <v>299</v>
      </c>
      <c r="D398" s="20" t="s">
        <v>118</v>
      </c>
      <c r="E398" s="20"/>
      <c r="F398" s="20"/>
      <c r="G398" s="26">
        <f t="shared" si="37"/>
        <v>0</v>
      </c>
      <c r="H398" s="26">
        <f t="shared" si="37"/>
        <v>0</v>
      </c>
      <c r="I398" s="204"/>
    </row>
    <row r="399" spans="1:9" s="203" customFormat="1" ht="31.5" hidden="1" x14ac:dyDescent="0.25">
      <c r="A399" s="25" t="s">
        <v>131</v>
      </c>
      <c r="B399" s="16">
        <v>903</v>
      </c>
      <c r="C399" s="20" t="s">
        <v>299</v>
      </c>
      <c r="D399" s="20" t="s">
        <v>118</v>
      </c>
      <c r="E399" s="20"/>
      <c r="F399" s="20" t="s">
        <v>132</v>
      </c>
      <c r="G399" s="26">
        <f t="shared" si="37"/>
        <v>0</v>
      </c>
      <c r="H399" s="26">
        <f t="shared" si="37"/>
        <v>0</v>
      </c>
      <c r="I399" s="204"/>
    </row>
    <row r="400" spans="1:9" s="203" customFormat="1" ht="31.5" hidden="1" x14ac:dyDescent="0.25">
      <c r="A400" s="25" t="s">
        <v>133</v>
      </c>
      <c r="B400" s="16">
        <v>903</v>
      </c>
      <c r="C400" s="20" t="s">
        <v>299</v>
      </c>
      <c r="D400" s="20" t="s">
        <v>118</v>
      </c>
      <c r="E400" s="20"/>
      <c r="F400" s="20" t="s">
        <v>134</v>
      </c>
      <c r="G400" s="26">
        <v>0</v>
      </c>
      <c r="H400" s="26">
        <v>0</v>
      </c>
      <c r="I400" s="204"/>
    </row>
    <row r="401" spans="1:9" ht="63" x14ac:dyDescent="0.25">
      <c r="A401" s="34" t="s">
        <v>781</v>
      </c>
      <c r="B401" s="19">
        <v>903</v>
      </c>
      <c r="C401" s="24" t="s">
        <v>299</v>
      </c>
      <c r="D401" s="24" t="s">
        <v>118</v>
      </c>
      <c r="E401" s="24" t="s">
        <v>324</v>
      </c>
      <c r="F401" s="24"/>
      <c r="G401" s="21">
        <f>G403</f>
        <v>10</v>
      </c>
      <c r="H401" s="21">
        <f>H403</f>
        <v>0</v>
      </c>
      <c r="I401" s="204"/>
    </row>
    <row r="402" spans="1:9" ht="63" x14ac:dyDescent="0.25">
      <c r="A402" s="34" t="s">
        <v>1025</v>
      </c>
      <c r="B402" s="19">
        <v>903</v>
      </c>
      <c r="C402" s="24" t="s">
        <v>299</v>
      </c>
      <c r="D402" s="24" t="s">
        <v>118</v>
      </c>
      <c r="E402" s="24" t="s">
        <v>934</v>
      </c>
      <c r="F402" s="24"/>
      <c r="G402" s="21">
        <f>G405</f>
        <v>10</v>
      </c>
      <c r="H402" s="21">
        <f>H405</f>
        <v>0</v>
      </c>
      <c r="I402" s="204"/>
    </row>
    <row r="403" spans="1:9" ht="47.25" x14ac:dyDescent="0.25">
      <c r="A403" s="31" t="s">
        <v>1080</v>
      </c>
      <c r="B403" s="16">
        <v>903</v>
      </c>
      <c r="C403" s="20" t="s">
        <v>299</v>
      </c>
      <c r="D403" s="20" t="s">
        <v>118</v>
      </c>
      <c r="E403" s="20" t="s">
        <v>1026</v>
      </c>
      <c r="F403" s="20"/>
      <c r="G403" s="26">
        <f>G404</f>
        <v>10</v>
      </c>
      <c r="H403" s="26">
        <f>H404</f>
        <v>0</v>
      </c>
      <c r="I403" s="204"/>
    </row>
    <row r="404" spans="1:9" ht="31.5" x14ac:dyDescent="0.25">
      <c r="A404" s="25" t="s">
        <v>131</v>
      </c>
      <c r="B404" s="16">
        <v>903</v>
      </c>
      <c r="C404" s="20" t="s">
        <v>299</v>
      </c>
      <c r="D404" s="20" t="s">
        <v>118</v>
      </c>
      <c r="E404" s="20" t="s">
        <v>1026</v>
      </c>
      <c r="F404" s="20" t="s">
        <v>132</v>
      </c>
      <c r="G404" s="26">
        <f>G405</f>
        <v>10</v>
      </c>
      <c r="H404" s="26">
        <f>H405</f>
        <v>0</v>
      </c>
      <c r="I404" s="204"/>
    </row>
    <row r="405" spans="1:9" ht="31.5" x14ac:dyDescent="0.25">
      <c r="A405" s="25" t="s">
        <v>133</v>
      </c>
      <c r="B405" s="16">
        <v>903</v>
      </c>
      <c r="C405" s="20" t="s">
        <v>299</v>
      </c>
      <c r="D405" s="20" t="s">
        <v>118</v>
      </c>
      <c r="E405" s="20" t="s">
        <v>1026</v>
      </c>
      <c r="F405" s="20" t="s">
        <v>134</v>
      </c>
      <c r="G405" s="26">
        <v>10</v>
      </c>
      <c r="H405" s="26">
        <v>0</v>
      </c>
      <c r="I405" s="204"/>
    </row>
    <row r="406" spans="1:9" ht="47.25" x14ac:dyDescent="0.25">
      <c r="A406" s="41" t="s">
        <v>1350</v>
      </c>
      <c r="B406" s="19">
        <v>903</v>
      </c>
      <c r="C406" s="24" t="s">
        <v>299</v>
      </c>
      <c r="D406" s="24" t="s">
        <v>118</v>
      </c>
      <c r="E406" s="24" t="s">
        <v>705</v>
      </c>
      <c r="F406" s="222"/>
      <c r="G406" s="21">
        <f t="shared" ref="G406:H409" si="38">G407</f>
        <v>878.7</v>
      </c>
      <c r="H406" s="21">
        <f t="shared" si="38"/>
        <v>913.9</v>
      </c>
      <c r="I406" s="204"/>
    </row>
    <row r="407" spans="1:9" ht="47.25" x14ac:dyDescent="0.25">
      <c r="A407" s="41" t="s">
        <v>890</v>
      </c>
      <c r="B407" s="19">
        <v>903</v>
      </c>
      <c r="C407" s="24" t="s">
        <v>299</v>
      </c>
      <c r="D407" s="24" t="s">
        <v>118</v>
      </c>
      <c r="E407" s="24" t="s">
        <v>888</v>
      </c>
      <c r="F407" s="222"/>
      <c r="G407" s="21">
        <f t="shared" si="38"/>
        <v>878.7</v>
      </c>
      <c r="H407" s="21">
        <f t="shared" si="38"/>
        <v>913.9</v>
      </c>
      <c r="I407" s="204"/>
    </row>
    <row r="408" spans="1:9" ht="41.25" customHeight="1" x14ac:dyDescent="0.25">
      <c r="A408" s="98" t="s">
        <v>1022</v>
      </c>
      <c r="B408" s="16">
        <v>903</v>
      </c>
      <c r="C408" s="20" t="s">
        <v>299</v>
      </c>
      <c r="D408" s="20" t="s">
        <v>118</v>
      </c>
      <c r="E408" s="20" t="s">
        <v>889</v>
      </c>
      <c r="F408" s="32"/>
      <c r="G408" s="26">
        <f t="shared" si="38"/>
        <v>878.7</v>
      </c>
      <c r="H408" s="26">
        <f t="shared" si="38"/>
        <v>913.9</v>
      </c>
      <c r="I408" s="204"/>
    </row>
    <row r="409" spans="1:9" ht="31.5" x14ac:dyDescent="0.25">
      <c r="A409" s="25" t="s">
        <v>131</v>
      </c>
      <c r="B409" s="16">
        <v>903</v>
      </c>
      <c r="C409" s="20" t="s">
        <v>299</v>
      </c>
      <c r="D409" s="20" t="s">
        <v>118</v>
      </c>
      <c r="E409" s="20" t="s">
        <v>889</v>
      </c>
      <c r="F409" s="32" t="s">
        <v>132</v>
      </c>
      <c r="G409" s="26">
        <f t="shared" si="38"/>
        <v>878.7</v>
      </c>
      <c r="H409" s="26">
        <f t="shared" si="38"/>
        <v>913.9</v>
      </c>
      <c r="I409" s="204"/>
    </row>
    <row r="410" spans="1:9" ht="31.5" x14ac:dyDescent="0.25">
      <c r="A410" s="25" t="s">
        <v>133</v>
      </c>
      <c r="B410" s="16">
        <v>903</v>
      </c>
      <c r="C410" s="20" t="s">
        <v>299</v>
      </c>
      <c r="D410" s="20" t="s">
        <v>118</v>
      </c>
      <c r="E410" s="20" t="s">
        <v>889</v>
      </c>
      <c r="F410" s="32" t="s">
        <v>134</v>
      </c>
      <c r="G410" s="26">
        <v>878.7</v>
      </c>
      <c r="H410" s="26">
        <v>913.9</v>
      </c>
      <c r="I410" s="204"/>
    </row>
    <row r="411" spans="1:9" ht="31.5" x14ac:dyDescent="0.25">
      <c r="A411" s="23" t="s">
        <v>333</v>
      </c>
      <c r="B411" s="19">
        <v>903</v>
      </c>
      <c r="C411" s="24" t="s">
        <v>299</v>
      </c>
      <c r="D411" s="24" t="s">
        <v>150</v>
      </c>
      <c r="E411" s="24"/>
      <c r="F411" s="24"/>
      <c r="G411" s="21">
        <f>G412+G422+G434+G440</f>
        <v>18566.400000000001</v>
      </c>
      <c r="H411" s="21">
        <f>H412+H422+H434+H440</f>
        <v>18595.400000000001</v>
      </c>
      <c r="I411" s="204"/>
    </row>
    <row r="412" spans="1:9" ht="31.5" x14ac:dyDescent="0.25">
      <c r="A412" s="23" t="s">
        <v>917</v>
      </c>
      <c r="B412" s="19">
        <v>903</v>
      </c>
      <c r="C412" s="24" t="s">
        <v>299</v>
      </c>
      <c r="D412" s="24" t="s">
        <v>150</v>
      </c>
      <c r="E412" s="24" t="s">
        <v>858</v>
      </c>
      <c r="F412" s="24"/>
      <c r="G412" s="21">
        <f>G413</f>
        <v>7291.6</v>
      </c>
      <c r="H412" s="21">
        <f>H413</f>
        <v>7291.6</v>
      </c>
      <c r="I412" s="204"/>
    </row>
    <row r="413" spans="1:9" ht="15.75" x14ac:dyDescent="0.25">
      <c r="A413" s="23" t="s">
        <v>918</v>
      </c>
      <c r="B413" s="19">
        <v>903</v>
      </c>
      <c r="C413" s="24" t="s">
        <v>299</v>
      </c>
      <c r="D413" s="24" t="s">
        <v>150</v>
      </c>
      <c r="E413" s="24" t="s">
        <v>859</v>
      </c>
      <c r="F413" s="24"/>
      <c r="G413" s="21">
        <f>G414+G419</f>
        <v>7291.6</v>
      </c>
      <c r="H413" s="21">
        <f>H414+H419</f>
        <v>7291.6</v>
      </c>
      <c r="I413" s="204"/>
    </row>
    <row r="414" spans="1:9" ht="31.5" x14ac:dyDescent="0.25">
      <c r="A414" s="25" t="s">
        <v>897</v>
      </c>
      <c r="B414" s="16">
        <v>903</v>
      </c>
      <c r="C414" s="20" t="s">
        <v>299</v>
      </c>
      <c r="D414" s="20" t="s">
        <v>150</v>
      </c>
      <c r="E414" s="20" t="s">
        <v>860</v>
      </c>
      <c r="F414" s="20"/>
      <c r="G414" s="26">
        <f>G415</f>
        <v>7015.6</v>
      </c>
      <c r="H414" s="26">
        <f>H415</f>
        <v>7015.6</v>
      </c>
      <c r="I414" s="204"/>
    </row>
    <row r="415" spans="1:9" ht="78.75" x14ac:dyDescent="0.25">
      <c r="A415" s="25" t="s">
        <v>127</v>
      </c>
      <c r="B415" s="16">
        <v>903</v>
      </c>
      <c r="C415" s="20" t="s">
        <v>299</v>
      </c>
      <c r="D415" s="20" t="s">
        <v>150</v>
      </c>
      <c r="E415" s="20" t="s">
        <v>860</v>
      </c>
      <c r="F415" s="20" t="s">
        <v>128</v>
      </c>
      <c r="G415" s="26">
        <f>G416</f>
        <v>7015.6</v>
      </c>
      <c r="H415" s="26">
        <f>H416</f>
        <v>7015.6</v>
      </c>
      <c r="I415" s="204"/>
    </row>
    <row r="416" spans="1:9" ht="31.5" x14ac:dyDescent="0.25">
      <c r="A416" s="25" t="s">
        <v>129</v>
      </c>
      <c r="B416" s="16">
        <v>903</v>
      </c>
      <c r="C416" s="20" t="s">
        <v>299</v>
      </c>
      <c r="D416" s="20" t="s">
        <v>150</v>
      </c>
      <c r="E416" s="20" t="s">
        <v>860</v>
      </c>
      <c r="F416" s="20" t="s">
        <v>130</v>
      </c>
      <c r="G416" s="26">
        <v>7015.6</v>
      </c>
      <c r="H416" s="26">
        <f t="shared" ref="H416:H499" si="39">G416</f>
        <v>7015.6</v>
      </c>
      <c r="I416" s="204"/>
    </row>
    <row r="417" spans="1:9" ht="31.5" hidden="1" x14ac:dyDescent="0.25">
      <c r="A417" s="25" t="s">
        <v>131</v>
      </c>
      <c r="B417" s="16">
        <v>903</v>
      </c>
      <c r="C417" s="20" t="s">
        <v>299</v>
      </c>
      <c r="D417" s="20" t="s">
        <v>150</v>
      </c>
      <c r="E417" s="20" t="s">
        <v>860</v>
      </c>
      <c r="F417" s="20" t="s">
        <v>132</v>
      </c>
      <c r="G417" s="26">
        <f>'Пр.4 ведом.22'!G438</f>
        <v>0</v>
      </c>
      <c r="H417" s="26">
        <f t="shared" si="39"/>
        <v>0</v>
      </c>
      <c r="I417" s="204"/>
    </row>
    <row r="418" spans="1:9" ht="31.5" hidden="1" x14ac:dyDescent="0.25">
      <c r="A418" s="25" t="s">
        <v>133</v>
      </c>
      <c r="B418" s="16">
        <v>903</v>
      </c>
      <c r="C418" s="20" t="s">
        <v>299</v>
      </c>
      <c r="D418" s="20" t="s">
        <v>150</v>
      </c>
      <c r="E418" s="20" t="s">
        <v>860</v>
      </c>
      <c r="F418" s="20" t="s">
        <v>134</v>
      </c>
      <c r="G418" s="26">
        <f>'Пр.4 ведом.22'!G439</f>
        <v>0</v>
      </c>
      <c r="H418" s="26">
        <f t="shared" si="39"/>
        <v>0</v>
      </c>
      <c r="I418" s="204"/>
    </row>
    <row r="419" spans="1:9" ht="47.25" x14ac:dyDescent="0.25">
      <c r="A419" s="25" t="s">
        <v>839</v>
      </c>
      <c r="B419" s="16">
        <v>903</v>
      </c>
      <c r="C419" s="20" t="s">
        <v>299</v>
      </c>
      <c r="D419" s="20" t="s">
        <v>150</v>
      </c>
      <c r="E419" s="20" t="s">
        <v>862</v>
      </c>
      <c r="F419" s="20"/>
      <c r="G419" s="26">
        <f>G420</f>
        <v>276</v>
      </c>
      <c r="H419" s="26">
        <f>H420</f>
        <v>276</v>
      </c>
      <c r="I419" s="204"/>
    </row>
    <row r="420" spans="1:9" ht="78.75" x14ac:dyDescent="0.25">
      <c r="A420" s="25" t="s">
        <v>127</v>
      </c>
      <c r="B420" s="16">
        <v>903</v>
      </c>
      <c r="C420" s="20" t="s">
        <v>299</v>
      </c>
      <c r="D420" s="20" t="s">
        <v>150</v>
      </c>
      <c r="E420" s="20" t="s">
        <v>862</v>
      </c>
      <c r="F420" s="20" t="s">
        <v>128</v>
      </c>
      <c r="G420" s="26">
        <f>G421</f>
        <v>276</v>
      </c>
      <c r="H420" s="26">
        <f>H421</f>
        <v>276</v>
      </c>
      <c r="I420" s="204"/>
    </row>
    <row r="421" spans="1:9" ht="31.5" x14ac:dyDescent="0.25">
      <c r="A421" s="25" t="s">
        <v>129</v>
      </c>
      <c r="B421" s="16">
        <v>903</v>
      </c>
      <c r="C421" s="20" t="s">
        <v>299</v>
      </c>
      <c r="D421" s="20" t="s">
        <v>150</v>
      </c>
      <c r="E421" s="20" t="s">
        <v>862</v>
      </c>
      <c r="F421" s="20" t="s">
        <v>130</v>
      </c>
      <c r="G421" s="26">
        <v>276</v>
      </c>
      <c r="H421" s="26">
        <f t="shared" si="39"/>
        <v>276</v>
      </c>
      <c r="I421" s="204"/>
    </row>
    <row r="422" spans="1:9" ht="15.75" x14ac:dyDescent="0.25">
      <c r="A422" s="23" t="s">
        <v>926</v>
      </c>
      <c r="B422" s="19">
        <v>903</v>
      </c>
      <c r="C422" s="24" t="s">
        <v>299</v>
      </c>
      <c r="D422" s="24" t="s">
        <v>150</v>
      </c>
      <c r="E422" s="24" t="s">
        <v>866</v>
      </c>
      <c r="F422" s="24"/>
      <c r="G422" s="21">
        <f>G423</f>
        <v>11014.8</v>
      </c>
      <c r="H422" s="21">
        <f>H423</f>
        <v>11014.8</v>
      </c>
      <c r="I422" s="204"/>
    </row>
    <row r="423" spans="1:9" ht="31.5" x14ac:dyDescent="0.25">
      <c r="A423" s="23" t="s">
        <v>929</v>
      </c>
      <c r="B423" s="19">
        <v>903</v>
      </c>
      <c r="C423" s="24" t="s">
        <v>299</v>
      </c>
      <c r="D423" s="24" t="s">
        <v>150</v>
      </c>
      <c r="E423" s="24" t="s">
        <v>914</v>
      </c>
      <c r="F423" s="24"/>
      <c r="G423" s="21">
        <f>G424+G431</f>
        <v>11014.8</v>
      </c>
      <c r="H423" s="21">
        <f>H424+H431</f>
        <v>11014.8</v>
      </c>
      <c r="I423" s="204"/>
    </row>
    <row r="424" spans="1:9" ht="31.5" x14ac:dyDescent="0.25">
      <c r="A424" s="25" t="s">
        <v>903</v>
      </c>
      <c r="B424" s="16">
        <v>903</v>
      </c>
      <c r="C424" s="20" t="s">
        <v>299</v>
      </c>
      <c r="D424" s="20" t="s">
        <v>150</v>
      </c>
      <c r="E424" s="20" t="s">
        <v>915</v>
      </c>
      <c r="F424" s="20"/>
      <c r="G424" s="26">
        <f>G425+G427+G429</f>
        <v>10804.8</v>
      </c>
      <c r="H424" s="26">
        <f>H425+H427+H429</f>
        <v>10804.8</v>
      </c>
      <c r="I424" s="204"/>
    </row>
    <row r="425" spans="1:9" ht="78.75" x14ac:dyDescent="0.25">
      <c r="A425" s="25" t="s">
        <v>127</v>
      </c>
      <c r="B425" s="16">
        <v>903</v>
      </c>
      <c r="C425" s="20" t="s">
        <v>299</v>
      </c>
      <c r="D425" s="20" t="s">
        <v>150</v>
      </c>
      <c r="E425" s="20" t="s">
        <v>915</v>
      </c>
      <c r="F425" s="20" t="s">
        <v>128</v>
      </c>
      <c r="G425" s="26">
        <f>G426</f>
        <v>8853.7999999999993</v>
      </c>
      <c r="H425" s="26">
        <f>H426</f>
        <v>8853.7999999999993</v>
      </c>
      <c r="I425" s="204"/>
    </row>
    <row r="426" spans="1:9" ht="24.75" customHeight="1" x14ac:dyDescent="0.25">
      <c r="A426" s="25" t="s">
        <v>342</v>
      </c>
      <c r="B426" s="16">
        <v>903</v>
      </c>
      <c r="C426" s="20" t="s">
        <v>299</v>
      </c>
      <c r="D426" s="20" t="s">
        <v>150</v>
      </c>
      <c r="E426" s="20" t="s">
        <v>915</v>
      </c>
      <c r="F426" s="20" t="s">
        <v>209</v>
      </c>
      <c r="G426" s="26">
        <v>8853.7999999999993</v>
      </c>
      <c r="H426" s="26">
        <f t="shared" si="39"/>
        <v>8853.7999999999993</v>
      </c>
      <c r="I426" s="204"/>
    </row>
    <row r="427" spans="1:9" ht="31.5" x14ac:dyDescent="0.25">
      <c r="A427" s="25" t="s">
        <v>131</v>
      </c>
      <c r="B427" s="16">
        <v>903</v>
      </c>
      <c r="C427" s="20" t="s">
        <v>299</v>
      </c>
      <c r="D427" s="20" t="s">
        <v>150</v>
      </c>
      <c r="E427" s="20" t="s">
        <v>915</v>
      </c>
      <c r="F427" s="20" t="s">
        <v>132</v>
      </c>
      <c r="G427" s="26">
        <f>G428</f>
        <v>1937</v>
      </c>
      <c r="H427" s="26">
        <f>H428</f>
        <v>1937</v>
      </c>
      <c r="I427" s="204"/>
    </row>
    <row r="428" spans="1:9" ht="31.5" x14ac:dyDescent="0.25">
      <c r="A428" s="25" t="s">
        <v>133</v>
      </c>
      <c r="B428" s="16">
        <v>903</v>
      </c>
      <c r="C428" s="20" t="s">
        <v>299</v>
      </c>
      <c r="D428" s="20" t="s">
        <v>150</v>
      </c>
      <c r="E428" s="20" t="s">
        <v>915</v>
      </c>
      <c r="F428" s="20" t="s">
        <v>134</v>
      </c>
      <c r="G428" s="26">
        <f>1937</f>
        <v>1937</v>
      </c>
      <c r="H428" s="26">
        <f t="shared" si="39"/>
        <v>1937</v>
      </c>
      <c r="I428" s="204"/>
    </row>
    <row r="429" spans="1:9" ht="15.75" x14ac:dyDescent="0.25">
      <c r="A429" s="25" t="s">
        <v>135</v>
      </c>
      <c r="B429" s="16">
        <v>903</v>
      </c>
      <c r="C429" s="20" t="s">
        <v>299</v>
      </c>
      <c r="D429" s="20" t="s">
        <v>150</v>
      </c>
      <c r="E429" s="20" t="s">
        <v>915</v>
      </c>
      <c r="F429" s="20" t="s">
        <v>145</v>
      </c>
      <c r="G429" s="26">
        <f>G430</f>
        <v>14</v>
      </c>
      <c r="H429" s="26">
        <f>H430</f>
        <v>14</v>
      </c>
      <c r="I429" s="204"/>
    </row>
    <row r="430" spans="1:9" ht="15.75" x14ac:dyDescent="0.25">
      <c r="A430" s="25" t="s">
        <v>568</v>
      </c>
      <c r="B430" s="16">
        <v>903</v>
      </c>
      <c r="C430" s="20" t="s">
        <v>299</v>
      </c>
      <c r="D430" s="20" t="s">
        <v>150</v>
      </c>
      <c r="E430" s="20" t="s">
        <v>915</v>
      </c>
      <c r="F430" s="20" t="s">
        <v>138</v>
      </c>
      <c r="G430" s="26">
        <f>14</f>
        <v>14</v>
      </c>
      <c r="H430" s="26">
        <f t="shared" si="39"/>
        <v>14</v>
      </c>
      <c r="I430" s="204"/>
    </row>
    <row r="431" spans="1:9" ht="47.25" x14ac:dyDescent="0.25">
      <c r="A431" s="25" t="s">
        <v>839</v>
      </c>
      <c r="B431" s="16">
        <v>903</v>
      </c>
      <c r="C431" s="20" t="s">
        <v>299</v>
      </c>
      <c r="D431" s="20" t="s">
        <v>150</v>
      </c>
      <c r="E431" s="20" t="s">
        <v>916</v>
      </c>
      <c r="F431" s="20"/>
      <c r="G431" s="26">
        <f>G432</f>
        <v>210</v>
      </c>
      <c r="H431" s="26">
        <f>H432</f>
        <v>210</v>
      </c>
      <c r="I431" s="204"/>
    </row>
    <row r="432" spans="1:9" ht="78.75" x14ac:dyDescent="0.25">
      <c r="A432" s="25" t="s">
        <v>127</v>
      </c>
      <c r="B432" s="16">
        <v>903</v>
      </c>
      <c r="C432" s="20" t="s">
        <v>299</v>
      </c>
      <c r="D432" s="20" t="s">
        <v>150</v>
      </c>
      <c r="E432" s="20" t="s">
        <v>916</v>
      </c>
      <c r="F432" s="20" t="s">
        <v>128</v>
      </c>
      <c r="G432" s="26">
        <f>G433</f>
        <v>210</v>
      </c>
      <c r="H432" s="26">
        <f>H433</f>
        <v>210</v>
      </c>
      <c r="I432" s="204"/>
    </row>
    <row r="433" spans="1:9" ht="25.5" customHeight="1" x14ac:dyDescent="0.25">
      <c r="A433" s="25" t="s">
        <v>342</v>
      </c>
      <c r="B433" s="16">
        <v>903</v>
      </c>
      <c r="C433" s="20" t="s">
        <v>299</v>
      </c>
      <c r="D433" s="20" t="s">
        <v>150</v>
      </c>
      <c r="E433" s="20" t="s">
        <v>916</v>
      </c>
      <c r="F433" s="20" t="s">
        <v>209</v>
      </c>
      <c r="G433" s="26">
        <f>210</f>
        <v>210</v>
      </c>
      <c r="H433" s="26">
        <f t="shared" si="39"/>
        <v>210</v>
      </c>
      <c r="I433" s="204"/>
    </row>
    <row r="434" spans="1:9" ht="47.25" x14ac:dyDescent="0.25">
      <c r="A434" s="23" t="s">
        <v>1366</v>
      </c>
      <c r="B434" s="19">
        <v>903</v>
      </c>
      <c r="C434" s="24" t="s">
        <v>299</v>
      </c>
      <c r="D434" s="24" t="s">
        <v>150</v>
      </c>
      <c r="E434" s="24" t="s">
        <v>344</v>
      </c>
      <c r="F434" s="24"/>
      <c r="G434" s="21">
        <f>G435</f>
        <v>260</v>
      </c>
      <c r="H434" s="21">
        <f>H435</f>
        <v>285</v>
      </c>
      <c r="I434" s="204"/>
    </row>
    <row r="435" spans="1:9" ht="33.950000000000003" customHeight="1" x14ac:dyDescent="0.25">
      <c r="A435" s="23" t="s">
        <v>1353</v>
      </c>
      <c r="B435" s="19">
        <v>903</v>
      </c>
      <c r="C435" s="24" t="s">
        <v>299</v>
      </c>
      <c r="D435" s="24" t="s">
        <v>150</v>
      </c>
      <c r="E435" s="24" t="s">
        <v>362</v>
      </c>
      <c r="F435" s="24"/>
      <c r="G435" s="21">
        <f t="shared" ref="G435:H436" si="40">G436</f>
        <v>260</v>
      </c>
      <c r="H435" s="21">
        <f t="shared" si="40"/>
        <v>285</v>
      </c>
      <c r="I435" s="204"/>
    </row>
    <row r="436" spans="1:9" ht="31.5" x14ac:dyDescent="0.25">
      <c r="A436" s="23" t="s">
        <v>997</v>
      </c>
      <c r="B436" s="19">
        <v>903</v>
      </c>
      <c r="C436" s="24" t="s">
        <v>299</v>
      </c>
      <c r="D436" s="24" t="s">
        <v>150</v>
      </c>
      <c r="E436" s="24" t="s">
        <v>1221</v>
      </c>
      <c r="F436" s="24"/>
      <c r="G436" s="21">
        <f t="shared" si="40"/>
        <v>260</v>
      </c>
      <c r="H436" s="21">
        <f t="shared" si="40"/>
        <v>285</v>
      </c>
      <c r="I436" s="204"/>
    </row>
    <row r="437" spans="1:9" ht="31.5" x14ac:dyDescent="0.25">
      <c r="A437" s="25" t="s">
        <v>996</v>
      </c>
      <c r="B437" s="16">
        <v>903</v>
      </c>
      <c r="C437" s="20" t="s">
        <v>299</v>
      </c>
      <c r="D437" s="20" t="s">
        <v>150</v>
      </c>
      <c r="E437" s="20" t="s">
        <v>1222</v>
      </c>
      <c r="F437" s="20"/>
      <c r="G437" s="26">
        <f>G438</f>
        <v>260</v>
      </c>
      <c r="H437" s="26">
        <f>H438</f>
        <v>285</v>
      </c>
      <c r="I437" s="204"/>
    </row>
    <row r="438" spans="1:9" ht="31.5" x14ac:dyDescent="0.25">
      <c r="A438" s="25" t="s">
        <v>131</v>
      </c>
      <c r="B438" s="16">
        <v>903</v>
      </c>
      <c r="C438" s="20" t="s">
        <v>299</v>
      </c>
      <c r="D438" s="20" t="s">
        <v>150</v>
      </c>
      <c r="E438" s="20" t="s">
        <v>1222</v>
      </c>
      <c r="F438" s="20" t="s">
        <v>132</v>
      </c>
      <c r="G438" s="26">
        <f>G439</f>
        <v>260</v>
      </c>
      <c r="H438" s="26">
        <f>H439</f>
        <v>285</v>
      </c>
      <c r="I438" s="204"/>
    </row>
    <row r="439" spans="1:9" ht="37.35" customHeight="1" x14ac:dyDescent="0.25">
      <c r="A439" s="25" t="s">
        <v>133</v>
      </c>
      <c r="B439" s="16">
        <v>903</v>
      </c>
      <c r="C439" s="20" t="s">
        <v>299</v>
      </c>
      <c r="D439" s="20" t="s">
        <v>150</v>
      </c>
      <c r="E439" s="20" t="s">
        <v>1222</v>
      </c>
      <c r="F439" s="20" t="s">
        <v>134</v>
      </c>
      <c r="G439" s="26">
        <f>260</f>
        <v>260</v>
      </c>
      <c r="H439" s="26">
        <v>285</v>
      </c>
      <c r="I439" s="204"/>
    </row>
    <row r="440" spans="1:9" s="203" customFormat="1" ht="51" customHeight="1" x14ac:dyDescent="0.25">
      <c r="A440" s="34" t="s">
        <v>1434</v>
      </c>
      <c r="B440" s="19">
        <v>903</v>
      </c>
      <c r="C440" s="24" t="s">
        <v>299</v>
      </c>
      <c r="D440" s="24" t="s">
        <v>150</v>
      </c>
      <c r="E440" s="24" t="s">
        <v>324</v>
      </c>
      <c r="F440" s="24"/>
      <c r="G440" s="21">
        <f>G442</f>
        <v>0</v>
      </c>
      <c r="H440" s="21">
        <f>H441</f>
        <v>4</v>
      </c>
      <c r="I440" s="204"/>
    </row>
    <row r="441" spans="1:9" s="203" customFormat="1" ht="59.1" customHeight="1" x14ac:dyDescent="0.25">
      <c r="A441" s="34" t="s">
        <v>1025</v>
      </c>
      <c r="B441" s="19">
        <v>903</v>
      </c>
      <c r="C441" s="24" t="s">
        <v>299</v>
      </c>
      <c r="D441" s="24" t="s">
        <v>150</v>
      </c>
      <c r="E441" s="24" t="s">
        <v>934</v>
      </c>
      <c r="F441" s="24"/>
      <c r="G441" s="21">
        <f>G444</f>
        <v>0</v>
      </c>
      <c r="H441" s="21">
        <f>H442</f>
        <v>4</v>
      </c>
      <c r="I441" s="204"/>
    </row>
    <row r="442" spans="1:9" s="203" customFormat="1" ht="53.1" customHeight="1" x14ac:dyDescent="0.25">
      <c r="A442" s="31" t="s">
        <v>1080</v>
      </c>
      <c r="B442" s="16">
        <v>903</v>
      </c>
      <c r="C442" s="20" t="s">
        <v>299</v>
      </c>
      <c r="D442" s="20" t="s">
        <v>150</v>
      </c>
      <c r="E442" s="20" t="s">
        <v>1026</v>
      </c>
      <c r="F442" s="20"/>
      <c r="G442" s="26">
        <f>G443</f>
        <v>0</v>
      </c>
      <c r="H442" s="26">
        <f>H443</f>
        <v>4</v>
      </c>
      <c r="I442" s="204"/>
    </row>
    <row r="443" spans="1:9" s="203" customFormat="1" ht="37.35" customHeight="1" x14ac:dyDescent="0.25">
      <c r="A443" s="25" t="s">
        <v>131</v>
      </c>
      <c r="B443" s="16">
        <v>903</v>
      </c>
      <c r="C443" s="20" t="s">
        <v>299</v>
      </c>
      <c r="D443" s="20" t="s">
        <v>150</v>
      </c>
      <c r="E443" s="20" t="s">
        <v>1026</v>
      </c>
      <c r="F443" s="20" t="s">
        <v>132</v>
      </c>
      <c r="G443" s="26">
        <f>G444</f>
        <v>0</v>
      </c>
      <c r="H443" s="26">
        <f>H444</f>
        <v>4</v>
      </c>
      <c r="I443" s="204"/>
    </row>
    <row r="444" spans="1:9" s="203" customFormat="1" ht="37.35" customHeight="1" x14ac:dyDescent="0.25">
      <c r="A444" s="25" t="s">
        <v>133</v>
      </c>
      <c r="B444" s="16">
        <v>903</v>
      </c>
      <c r="C444" s="20" t="s">
        <v>299</v>
      </c>
      <c r="D444" s="20" t="s">
        <v>150</v>
      </c>
      <c r="E444" s="20" t="s">
        <v>1026</v>
      </c>
      <c r="F444" s="20" t="s">
        <v>134</v>
      </c>
      <c r="G444" s="26">
        <v>0</v>
      </c>
      <c r="H444" s="26">
        <v>4</v>
      </c>
      <c r="I444" s="204"/>
    </row>
    <row r="445" spans="1:9" ht="15.75" x14ac:dyDescent="0.25">
      <c r="A445" s="23" t="s">
        <v>243</v>
      </c>
      <c r="B445" s="19">
        <v>903</v>
      </c>
      <c r="C445" s="24" t="s">
        <v>244</v>
      </c>
      <c r="D445" s="24"/>
      <c r="E445" s="24"/>
      <c r="F445" s="24"/>
      <c r="G445" s="21">
        <f>G446</f>
        <v>2001.6100000000001</v>
      </c>
      <c r="H445" s="21">
        <f>H446</f>
        <v>2026.1100000000001</v>
      </c>
      <c r="I445" s="204"/>
    </row>
    <row r="446" spans="1:9" ht="15.75" x14ac:dyDescent="0.25">
      <c r="A446" s="23" t="s">
        <v>252</v>
      </c>
      <c r="B446" s="19">
        <v>903</v>
      </c>
      <c r="C446" s="24" t="s">
        <v>244</v>
      </c>
      <c r="D446" s="24" t="s">
        <v>215</v>
      </c>
      <c r="E446" s="24"/>
      <c r="F446" s="24"/>
      <c r="G446" s="21">
        <f>G447</f>
        <v>2001.6100000000001</v>
      </c>
      <c r="H446" s="21">
        <f>H447</f>
        <v>2026.1100000000001</v>
      </c>
      <c r="I446" s="204"/>
    </row>
    <row r="447" spans="1:9" ht="47.25" x14ac:dyDescent="0.25">
      <c r="A447" s="23" t="s">
        <v>1366</v>
      </c>
      <c r="B447" s="19">
        <v>903</v>
      </c>
      <c r="C447" s="24" t="s">
        <v>244</v>
      </c>
      <c r="D447" s="24" t="s">
        <v>215</v>
      </c>
      <c r="E447" s="24" t="s">
        <v>344</v>
      </c>
      <c r="F447" s="24"/>
      <c r="G447" s="21">
        <f>G448+G453</f>
        <v>2001.6100000000001</v>
      </c>
      <c r="H447" s="21">
        <f>H448+H453</f>
        <v>2026.1100000000001</v>
      </c>
      <c r="I447" s="204"/>
    </row>
    <row r="448" spans="1:9" ht="31.5" x14ac:dyDescent="0.25">
      <c r="A448" s="23" t="s">
        <v>352</v>
      </c>
      <c r="B448" s="19">
        <v>903</v>
      </c>
      <c r="C448" s="24" t="s">
        <v>244</v>
      </c>
      <c r="D448" s="24" t="s">
        <v>215</v>
      </c>
      <c r="E448" s="24" t="s">
        <v>353</v>
      </c>
      <c r="F448" s="24"/>
      <c r="G448" s="21">
        <f t="shared" ref="G448:H451" si="41">G449</f>
        <v>294.61</v>
      </c>
      <c r="H448" s="21">
        <f t="shared" si="41"/>
        <v>289.11</v>
      </c>
      <c r="I448" s="204"/>
    </row>
    <row r="449" spans="1:13" ht="31.5" x14ac:dyDescent="0.25">
      <c r="A449" s="23" t="s">
        <v>905</v>
      </c>
      <c r="B449" s="19">
        <v>903</v>
      </c>
      <c r="C449" s="24" t="s">
        <v>244</v>
      </c>
      <c r="D449" s="24" t="s">
        <v>215</v>
      </c>
      <c r="E449" s="24" t="s">
        <v>904</v>
      </c>
      <c r="F449" s="24"/>
      <c r="G449" s="21">
        <f t="shared" si="41"/>
        <v>294.61</v>
      </c>
      <c r="H449" s="21">
        <f t="shared" si="41"/>
        <v>289.11</v>
      </c>
      <c r="I449" s="204"/>
    </row>
    <row r="450" spans="1:13" ht="31.5" x14ac:dyDescent="0.25">
      <c r="A450" s="25" t="s">
        <v>824</v>
      </c>
      <c r="B450" s="16">
        <v>903</v>
      </c>
      <c r="C450" s="20" t="s">
        <v>244</v>
      </c>
      <c r="D450" s="20" t="s">
        <v>215</v>
      </c>
      <c r="E450" s="20" t="s">
        <v>906</v>
      </c>
      <c r="F450" s="20"/>
      <c r="G450" s="26">
        <f t="shared" si="41"/>
        <v>294.61</v>
      </c>
      <c r="H450" s="26">
        <f t="shared" si="41"/>
        <v>289.11</v>
      </c>
      <c r="I450" s="204"/>
    </row>
    <row r="451" spans="1:13" ht="21.2" customHeight="1" x14ac:dyDescent="0.25">
      <c r="A451" s="25" t="s">
        <v>248</v>
      </c>
      <c r="B451" s="16">
        <v>903</v>
      </c>
      <c r="C451" s="20" t="s">
        <v>244</v>
      </c>
      <c r="D451" s="20" t="s">
        <v>215</v>
      </c>
      <c r="E451" s="20" t="s">
        <v>906</v>
      </c>
      <c r="F451" s="20" t="s">
        <v>249</v>
      </c>
      <c r="G451" s="26">
        <f>G452</f>
        <v>294.61</v>
      </c>
      <c r="H451" s="26">
        <f t="shared" si="41"/>
        <v>289.11</v>
      </c>
      <c r="I451" s="204"/>
    </row>
    <row r="452" spans="1:13" ht="31.5" x14ac:dyDescent="0.25">
      <c r="A452" s="25" t="s">
        <v>250</v>
      </c>
      <c r="B452" s="16">
        <v>903</v>
      </c>
      <c r="C452" s="20" t="s">
        <v>244</v>
      </c>
      <c r="D452" s="20" t="s">
        <v>215</v>
      </c>
      <c r="E452" s="20" t="s">
        <v>906</v>
      </c>
      <c r="F452" s="20" t="s">
        <v>251</v>
      </c>
      <c r="G452" s="26">
        <f>267.8+26.81</f>
        <v>294.61</v>
      </c>
      <c r="H452" s="26">
        <f>262.8+26.31</f>
        <v>289.11</v>
      </c>
      <c r="I452" s="204"/>
      <c r="L452">
        <v>26.81</v>
      </c>
      <c r="M452">
        <v>26.31</v>
      </c>
    </row>
    <row r="453" spans="1:13" ht="31.5" x14ac:dyDescent="0.25">
      <c r="A453" s="23" t="s">
        <v>355</v>
      </c>
      <c r="B453" s="19">
        <v>903</v>
      </c>
      <c r="C453" s="19">
        <v>10</v>
      </c>
      <c r="D453" s="24" t="s">
        <v>215</v>
      </c>
      <c r="E453" s="24" t="s">
        <v>362</v>
      </c>
      <c r="F453" s="24"/>
      <c r="G453" s="21">
        <f>G455+G458+G464</f>
        <v>1707</v>
      </c>
      <c r="H453" s="21">
        <f>H455+H458+H464</f>
        <v>1737</v>
      </c>
      <c r="I453" s="204"/>
    </row>
    <row r="454" spans="1:13" ht="31.5" x14ac:dyDescent="0.25">
      <c r="A454" s="23" t="s">
        <v>1038</v>
      </c>
      <c r="B454" s="19">
        <v>903</v>
      </c>
      <c r="C454" s="19">
        <v>10</v>
      </c>
      <c r="D454" s="24" t="s">
        <v>215</v>
      </c>
      <c r="E454" s="24" t="s">
        <v>913</v>
      </c>
      <c r="F454" s="24"/>
      <c r="G454" s="21">
        <f t="shared" ref="G454:H456" si="42">G455</f>
        <v>630</v>
      </c>
      <c r="H454" s="21">
        <f t="shared" si="42"/>
        <v>630</v>
      </c>
      <c r="I454" s="204"/>
    </row>
    <row r="455" spans="1:13" ht="47.25" x14ac:dyDescent="0.25">
      <c r="A455" s="98" t="s">
        <v>1039</v>
      </c>
      <c r="B455" s="16">
        <v>903</v>
      </c>
      <c r="C455" s="20" t="s">
        <v>244</v>
      </c>
      <c r="D455" s="20" t="s">
        <v>215</v>
      </c>
      <c r="E455" s="20" t="s">
        <v>1224</v>
      </c>
      <c r="F455" s="20"/>
      <c r="G455" s="26">
        <f t="shared" si="42"/>
        <v>630</v>
      </c>
      <c r="H455" s="26">
        <f t="shared" si="42"/>
        <v>630</v>
      </c>
      <c r="I455" s="204"/>
    </row>
    <row r="456" spans="1:13" ht="22.7" customHeight="1" x14ac:dyDescent="0.25">
      <c r="A456" s="25" t="s">
        <v>248</v>
      </c>
      <c r="B456" s="16">
        <v>903</v>
      </c>
      <c r="C456" s="20" t="s">
        <v>244</v>
      </c>
      <c r="D456" s="20" t="s">
        <v>215</v>
      </c>
      <c r="E456" s="20" t="s">
        <v>1224</v>
      </c>
      <c r="F456" s="20" t="s">
        <v>249</v>
      </c>
      <c r="G456" s="26">
        <f t="shared" si="42"/>
        <v>630</v>
      </c>
      <c r="H456" s="26">
        <f t="shared" si="42"/>
        <v>630</v>
      </c>
      <c r="I456" s="204"/>
    </row>
    <row r="457" spans="1:13" ht="31.5" x14ac:dyDescent="0.25">
      <c r="A457" s="25" t="s">
        <v>348</v>
      </c>
      <c r="B457" s="16">
        <v>903</v>
      </c>
      <c r="C457" s="20" t="s">
        <v>244</v>
      </c>
      <c r="D457" s="20" t="s">
        <v>215</v>
      </c>
      <c r="E457" s="20" t="s">
        <v>1224</v>
      </c>
      <c r="F457" s="20" t="s">
        <v>349</v>
      </c>
      <c r="G457" s="26">
        <v>630</v>
      </c>
      <c r="H457" s="26">
        <f t="shared" si="39"/>
        <v>630</v>
      </c>
      <c r="I457" s="204"/>
    </row>
    <row r="458" spans="1:13" ht="31.5" x14ac:dyDescent="0.25">
      <c r="A458" s="23" t="s">
        <v>1228</v>
      </c>
      <c r="B458" s="19">
        <v>903</v>
      </c>
      <c r="C458" s="19">
        <v>10</v>
      </c>
      <c r="D458" s="24" t="s">
        <v>215</v>
      </c>
      <c r="E458" s="24" t="s">
        <v>1226</v>
      </c>
      <c r="F458" s="24"/>
      <c r="G458" s="21">
        <f>G459+G462</f>
        <v>657</v>
      </c>
      <c r="H458" s="21">
        <f>H459+H462</f>
        <v>657</v>
      </c>
      <c r="I458" s="204"/>
    </row>
    <row r="459" spans="1:13" ht="31.5" x14ac:dyDescent="0.25">
      <c r="A459" s="25" t="s">
        <v>1225</v>
      </c>
      <c r="B459" s="16">
        <v>903</v>
      </c>
      <c r="C459" s="20" t="s">
        <v>244</v>
      </c>
      <c r="D459" s="20" t="s">
        <v>215</v>
      </c>
      <c r="E459" s="20" t="s">
        <v>1227</v>
      </c>
      <c r="F459" s="20"/>
      <c r="G459" s="26">
        <f>G460</f>
        <v>400</v>
      </c>
      <c r="H459" s="26">
        <f>H460</f>
        <v>400</v>
      </c>
      <c r="I459" s="204"/>
    </row>
    <row r="460" spans="1:13" ht="31.5" x14ac:dyDescent="0.25">
      <c r="A460" s="25" t="s">
        <v>131</v>
      </c>
      <c r="B460" s="16">
        <v>903</v>
      </c>
      <c r="C460" s="20" t="s">
        <v>244</v>
      </c>
      <c r="D460" s="20" t="s">
        <v>215</v>
      </c>
      <c r="E460" s="20" t="s">
        <v>1227</v>
      </c>
      <c r="F460" s="20" t="s">
        <v>132</v>
      </c>
      <c r="G460" s="26">
        <f>G461</f>
        <v>400</v>
      </c>
      <c r="H460" s="26">
        <f>H461</f>
        <v>400</v>
      </c>
      <c r="I460" s="204"/>
    </row>
    <row r="461" spans="1:13" ht="31.5" x14ac:dyDescent="0.25">
      <c r="A461" s="25" t="s">
        <v>133</v>
      </c>
      <c r="B461" s="16">
        <v>903</v>
      </c>
      <c r="C461" s="20" t="s">
        <v>244</v>
      </c>
      <c r="D461" s="20" t="s">
        <v>215</v>
      </c>
      <c r="E461" s="20" t="s">
        <v>1227</v>
      </c>
      <c r="F461" s="20" t="s">
        <v>134</v>
      </c>
      <c r="G461" s="26">
        <v>400</v>
      </c>
      <c r="H461" s="26">
        <f t="shared" si="39"/>
        <v>400</v>
      </c>
      <c r="I461" s="204"/>
    </row>
    <row r="462" spans="1:13" s="203" customFormat="1" ht="31.5" x14ac:dyDescent="0.25">
      <c r="A462" s="25" t="s">
        <v>248</v>
      </c>
      <c r="B462" s="16">
        <v>903</v>
      </c>
      <c r="C462" s="20" t="s">
        <v>244</v>
      </c>
      <c r="D462" s="20" t="s">
        <v>215</v>
      </c>
      <c r="E462" s="20" t="s">
        <v>1227</v>
      </c>
      <c r="F462" s="20" t="s">
        <v>249</v>
      </c>
      <c r="G462" s="26">
        <f>G463</f>
        <v>257</v>
      </c>
      <c r="H462" s="26">
        <f>H463</f>
        <v>257</v>
      </c>
      <c r="I462" s="204"/>
    </row>
    <row r="463" spans="1:13" s="203" customFormat="1" ht="31.5" x14ac:dyDescent="0.25">
      <c r="A463" s="25" t="s">
        <v>348</v>
      </c>
      <c r="B463" s="16">
        <v>903</v>
      </c>
      <c r="C463" s="20" t="s">
        <v>244</v>
      </c>
      <c r="D463" s="20" t="s">
        <v>215</v>
      </c>
      <c r="E463" s="20" t="s">
        <v>1227</v>
      </c>
      <c r="F463" s="20" t="s">
        <v>349</v>
      </c>
      <c r="G463" s="26">
        <v>257</v>
      </c>
      <c r="H463" s="26">
        <f t="shared" si="39"/>
        <v>257</v>
      </c>
      <c r="I463" s="204"/>
    </row>
    <row r="464" spans="1:13" ht="31.5" x14ac:dyDescent="0.25">
      <c r="A464" s="23" t="s">
        <v>997</v>
      </c>
      <c r="B464" s="19">
        <v>903</v>
      </c>
      <c r="C464" s="19">
        <v>10</v>
      </c>
      <c r="D464" s="24" t="s">
        <v>215</v>
      </c>
      <c r="E464" s="24" t="s">
        <v>1221</v>
      </c>
      <c r="F464" s="24"/>
      <c r="G464" s="21">
        <f>G465</f>
        <v>420</v>
      </c>
      <c r="H464" s="21">
        <f t="shared" ref="H464:H466" si="43">H465</f>
        <v>450</v>
      </c>
      <c r="I464" s="204"/>
    </row>
    <row r="465" spans="1:9" ht="15.75" x14ac:dyDescent="0.25">
      <c r="A465" s="25" t="s">
        <v>1036</v>
      </c>
      <c r="B465" s="16">
        <v>903</v>
      </c>
      <c r="C465" s="20" t="s">
        <v>244</v>
      </c>
      <c r="D465" s="20" t="s">
        <v>215</v>
      </c>
      <c r="E465" s="20" t="s">
        <v>1223</v>
      </c>
      <c r="F465" s="20"/>
      <c r="G465" s="26">
        <f>G466</f>
        <v>420</v>
      </c>
      <c r="H465" s="26">
        <f t="shared" si="43"/>
        <v>450</v>
      </c>
      <c r="I465" s="204"/>
    </row>
    <row r="466" spans="1:9" ht="17.45" customHeight="1" x14ac:dyDescent="0.25">
      <c r="A466" s="25" t="s">
        <v>248</v>
      </c>
      <c r="B466" s="16">
        <v>903</v>
      </c>
      <c r="C466" s="20" t="s">
        <v>244</v>
      </c>
      <c r="D466" s="20" t="s">
        <v>215</v>
      </c>
      <c r="E466" s="20" t="s">
        <v>1223</v>
      </c>
      <c r="F466" s="20" t="s">
        <v>249</v>
      </c>
      <c r="G466" s="26">
        <f>G467</f>
        <v>420</v>
      </c>
      <c r="H466" s="26">
        <f t="shared" si="43"/>
        <v>450</v>
      </c>
      <c r="I466" s="204"/>
    </row>
    <row r="467" spans="1:9" ht="31.5" x14ac:dyDescent="0.25">
      <c r="A467" s="25" t="s">
        <v>348</v>
      </c>
      <c r="B467" s="16">
        <v>903</v>
      </c>
      <c r="C467" s="20" t="s">
        <v>244</v>
      </c>
      <c r="D467" s="20" t="s">
        <v>215</v>
      </c>
      <c r="E467" s="20" t="s">
        <v>1223</v>
      </c>
      <c r="F467" s="20" t="s">
        <v>349</v>
      </c>
      <c r="G467" s="26">
        <v>420</v>
      </c>
      <c r="H467" s="26">
        <v>450</v>
      </c>
      <c r="I467" s="204"/>
    </row>
    <row r="468" spans="1:9" s="203" customFormat="1" ht="15.75" x14ac:dyDescent="0.25">
      <c r="A468" s="23" t="s">
        <v>582</v>
      </c>
      <c r="B468" s="19">
        <v>903</v>
      </c>
      <c r="C468" s="24" t="s">
        <v>238</v>
      </c>
      <c r="D468" s="20"/>
      <c r="E468" s="20"/>
      <c r="F468" s="20"/>
      <c r="G468" s="21">
        <f>G469</f>
        <v>5873.2</v>
      </c>
      <c r="H468" s="21">
        <f>H469</f>
        <v>5876.2</v>
      </c>
      <c r="I468" s="204"/>
    </row>
    <row r="469" spans="1:9" s="203" customFormat="1" ht="15.75" x14ac:dyDescent="0.25">
      <c r="A469" s="23" t="s">
        <v>583</v>
      </c>
      <c r="B469" s="19">
        <v>903</v>
      </c>
      <c r="C469" s="24" t="s">
        <v>238</v>
      </c>
      <c r="D469" s="24" t="s">
        <v>213</v>
      </c>
      <c r="E469" s="24"/>
      <c r="F469" s="24"/>
      <c r="G469" s="21">
        <f>G470+G483</f>
        <v>5873.2</v>
      </c>
      <c r="H469" s="21">
        <f>H470+H483</f>
        <v>5876.2</v>
      </c>
      <c r="I469" s="204"/>
    </row>
    <row r="470" spans="1:9" s="203" customFormat="1" ht="31.5" x14ac:dyDescent="0.25">
      <c r="A470" s="23" t="s">
        <v>1351</v>
      </c>
      <c r="B470" s="19">
        <v>903</v>
      </c>
      <c r="C470" s="24" t="s">
        <v>238</v>
      </c>
      <c r="D470" s="24" t="s">
        <v>213</v>
      </c>
      <c r="E470" s="24" t="s">
        <v>267</v>
      </c>
      <c r="F470" s="24"/>
      <c r="G470" s="21">
        <f>G471+G479</f>
        <v>5798.3</v>
      </c>
      <c r="H470" s="21">
        <f>H471+H479</f>
        <v>5798.3</v>
      </c>
      <c r="I470" s="204"/>
    </row>
    <row r="471" spans="1:9" s="203" customFormat="1" ht="31.5" x14ac:dyDescent="0.25">
      <c r="A471" s="23" t="s">
        <v>1300</v>
      </c>
      <c r="B471" s="19">
        <v>903</v>
      </c>
      <c r="C471" s="24" t="s">
        <v>238</v>
      </c>
      <c r="D471" s="24" t="s">
        <v>213</v>
      </c>
      <c r="E471" s="24" t="s">
        <v>1203</v>
      </c>
      <c r="F471" s="24"/>
      <c r="G471" s="21">
        <f>G472</f>
        <v>5522.3</v>
      </c>
      <c r="H471" s="21">
        <f>H472</f>
        <v>5522.3</v>
      </c>
      <c r="I471" s="204"/>
    </row>
    <row r="472" spans="1:9" s="203" customFormat="1" ht="15.75" x14ac:dyDescent="0.25">
      <c r="A472" s="25" t="s">
        <v>801</v>
      </c>
      <c r="B472" s="16">
        <v>903</v>
      </c>
      <c r="C472" s="20" t="s">
        <v>238</v>
      </c>
      <c r="D472" s="20" t="s">
        <v>213</v>
      </c>
      <c r="E472" s="20" t="s">
        <v>1204</v>
      </c>
      <c r="F472" s="20"/>
      <c r="G472" s="26">
        <f>G473+G475+G477</f>
        <v>5522.3</v>
      </c>
      <c r="H472" s="26">
        <f>H473+H475+H477</f>
        <v>5522.3</v>
      </c>
      <c r="I472" s="204"/>
    </row>
    <row r="473" spans="1:9" s="203" customFormat="1" ht="78.75" x14ac:dyDescent="0.25">
      <c r="A473" s="25" t="s">
        <v>127</v>
      </c>
      <c r="B473" s="16">
        <v>903</v>
      </c>
      <c r="C473" s="20" t="s">
        <v>238</v>
      </c>
      <c r="D473" s="20" t="s">
        <v>213</v>
      </c>
      <c r="E473" s="20" t="s">
        <v>1204</v>
      </c>
      <c r="F473" s="20" t="s">
        <v>128</v>
      </c>
      <c r="G473" s="26">
        <f>G474</f>
        <v>4897.2</v>
      </c>
      <c r="H473" s="26">
        <f>H474</f>
        <v>4897.2</v>
      </c>
      <c r="I473" s="204"/>
    </row>
    <row r="474" spans="1:9" s="203" customFormat="1" ht="15.75" x14ac:dyDescent="0.25">
      <c r="A474" s="25" t="s">
        <v>208</v>
      </c>
      <c r="B474" s="16">
        <v>903</v>
      </c>
      <c r="C474" s="20" t="s">
        <v>238</v>
      </c>
      <c r="D474" s="20" t="s">
        <v>213</v>
      </c>
      <c r="E474" s="20" t="s">
        <v>1204</v>
      </c>
      <c r="F474" s="20" t="s">
        <v>209</v>
      </c>
      <c r="G474" s="27">
        <v>4897.2</v>
      </c>
      <c r="H474" s="27">
        <f>G474</f>
        <v>4897.2</v>
      </c>
      <c r="I474" s="204"/>
    </row>
    <row r="475" spans="1:9" s="203" customFormat="1" ht="31.5" x14ac:dyDescent="0.25">
      <c r="A475" s="25" t="s">
        <v>131</v>
      </c>
      <c r="B475" s="16">
        <v>903</v>
      </c>
      <c r="C475" s="20" t="s">
        <v>238</v>
      </c>
      <c r="D475" s="20" t="s">
        <v>213</v>
      </c>
      <c r="E475" s="20" t="s">
        <v>1204</v>
      </c>
      <c r="F475" s="20" t="s">
        <v>132</v>
      </c>
      <c r="G475" s="26">
        <f>G476</f>
        <v>595.1</v>
      </c>
      <c r="H475" s="26">
        <f>H476</f>
        <v>595.1</v>
      </c>
      <c r="I475" s="204"/>
    </row>
    <row r="476" spans="1:9" s="203" customFormat="1" ht="33.4" customHeight="1" x14ac:dyDescent="0.25">
      <c r="A476" s="25" t="s">
        <v>133</v>
      </c>
      <c r="B476" s="16">
        <v>903</v>
      </c>
      <c r="C476" s="20" t="s">
        <v>238</v>
      </c>
      <c r="D476" s="20" t="s">
        <v>213</v>
      </c>
      <c r="E476" s="20" t="s">
        <v>1204</v>
      </c>
      <c r="F476" s="20" t="s">
        <v>134</v>
      </c>
      <c r="G476" s="27">
        <v>595.1</v>
      </c>
      <c r="H476" s="27">
        <f>G476</f>
        <v>595.1</v>
      </c>
      <c r="I476" s="204"/>
    </row>
    <row r="477" spans="1:9" s="203" customFormat="1" ht="15.75" x14ac:dyDescent="0.25">
      <c r="A477" s="25" t="s">
        <v>135</v>
      </c>
      <c r="B477" s="16">
        <v>903</v>
      </c>
      <c r="C477" s="20" t="s">
        <v>238</v>
      </c>
      <c r="D477" s="20" t="s">
        <v>213</v>
      </c>
      <c r="E477" s="20" t="s">
        <v>1204</v>
      </c>
      <c r="F477" s="20" t="s">
        <v>145</v>
      </c>
      <c r="G477" s="26">
        <f>G478</f>
        <v>30</v>
      </c>
      <c r="H477" s="26">
        <f>H478</f>
        <v>30</v>
      </c>
      <c r="I477" s="204"/>
    </row>
    <row r="478" spans="1:9" s="203" customFormat="1" ht="15.75" x14ac:dyDescent="0.25">
      <c r="A478" s="25" t="s">
        <v>568</v>
      </c>
      <c r="B478" s="16">
        <v>903</v>
      </c>
      <c r="C478" s="20" t="s">
        <v>238</v>
      </c>
      <c r="D478" s="20" t="s">
        <v>213</v>
      </c>
      <c r="E478" s="20" t="s">
        <v>1204</v>
      </c>
      <c r="F478" s="20" t="s">
        <v>138</v>
      </c>
      <c r="G478" s="26">
        <v>30</v>
      </c>
      <c r="H478" s="26">
        <f>G478</f>
        <v>30</v>
      </c>
      <c r="I478" s="204"/>
    </row>
    <row r="479" spans="1:9" s="203" customFormat="1" ht="31.5" x14ac:dyDescent="0.25">
      <c r="A479" s="23" t="s">
        <v>947</v>
      </c>
      <c r="B479" s="19">
        <v>903</v>
      </c>
      <c r="C479" s="24" t="s">
        <v>238</v>
      </c>
      <c r="D479" s="24" t="s">
        <v>213</v>
      </c>
      <c r="E479" s="24" t="s">
        <v>1208</v>
      </c>
      <c r="F479" s="24"/>
      <c r="G479" s="21">
        <f t="shared" ref="G479:H481" si="44">G480</f>
        <v>276</v>
      </c>
      <c r="H479" s="21">
        <f t="shared" si="44"/>
        <v>276</v>
      </c>
      <c r="I479" s="204"/>
    </row>
    <row r="480" spans="1:9" s="203" customFormat="1" ht="47.25" x14ac:dyDescent="0.25">
      <c r="A480" s="25" t="s">
        <v>839</v>
      </c>
      <c r="B480" s="16">
        <v>903</v>
      </c>
      <c r="C480" s="20" t="s">
        <v>238</v>
      </c>
      <c r="D480" s="20" t="s">
        <v>213</v>
      </c>
      <c r="E480" s="20" t="s">
        <v>1209</v>
      </c>
      <c r="F480" s="20"/>
      <c r="G480" s="26">
        <f t="shared" si="44"/>
        <v>276</v>
      </c>
      <c r="H480" s="26">
        <f t="shared" si="44"/>
        <v>276</v>
      </c>
      <c r="I480" s="204"/>
    </row>
    <row r="481" spans="1:9" s="203" customFormat="1" ht="78.75" x14ac:dyDescent="0.25">
      <c r="A481" s="25" t="s">
        <v>127</v>
      </c>
      <c r="B481" s="16">
        <v>903</v>
      </c>
      <c r="C481" s="20" t="s">
        <v>238</v>
      </c>
      <c r="D481" s="20" t="s">
        <v>213</v>
      </c>
      <c r="E481" s="20" t="s">
        <v>1209</v>
      </c>
      <c r="F481" s="20" t="s">
        <v>128</v>
      </c>
      <c r="G481" s="26">
        <f t="shared" si="44"/>
        <v>276</v>
      </c>
      <c r="H481" s="26">
        <f t="shared" si="44"/>
        <v>276</v>
      </c>
      <c r="I481" s="204"/>
    </row>
    <row r="482" spans="1:9" s="203" customFormat="1" ht="15.75" x14ac:dyDescent="0.25">
      <c r="A482" s="25" t="s">
        <v>208</v>
      </c>
      <c r="B482" s="16">
        <v>903</v>
      </c>
      <c r="C482" s="20" t="s">
        <v>238</v>
      </c>
      <c r="D482" s="20" t="s">
        <v>213</v>
      </c>
      <c r="E482" s="20" t="s">
        <v>1209</v>
      </c>
      <c r="F482" s="20" t="s">
        <v>209</v>
      </c>
      <c r="G482" s="26">
        <v>276</v>
      </c>
      <c r="H482" s="26">
        <f>G482</f>
        <v>276</v>
      </c>
      <c r="I482" s="204"/>
    </row>
    <row r="483" spans="1:9" s="203" customFormat="1" ht="47.25" x14ac:dyDescent="0.25">
      <c r="A483" s="41" t="s">
        <v>1352</v>
      </c>
      <c r="B483" s="19">
        <v>903</v>
      </c>
      <c r="C483" s="24" t="s">
        <v>238</v>
      </c>
      <c r="D483" s="24" t="s">
        <v>213</v>
      </c>
      <c r="E483" s="24" t="s">
        <v>705</v>
      </c>
      <c r="F483" s="222"/>
      <c r="G483" s="21">
        <f>G485</f>
        <v>74.900000000000006</v>
      </c>
      <c r="H483" s="21">
        <f>H485</f>
        <v>77.900000000000006</v>
      </c>
      <c r="I483" s="204"/>
    </row>
    <row r="484" spans="1:9" s="203" customFormat="1" ht="47.25" x14ac:dyDescent="0.25">
      <c r="A484" s="41" t="s">
        <v>890</v>
      </c>
      <c r="B484" s="19">
        <v>903</v>
      </c>
      <c r="C484" s="24" t="s">
        <v>238</v>
      </c>
      <c r="D484" s="24" t="s">
        <v>213</v>
      </c>
      <c r="E484" s="24" t="s">
        <v>888</v>
      </c>
      <c r="F484" s="222"/>
      <c r="G484" s="21">
        <f t="shared" ref="G484:H486" si="45">G485</f>
        <v>74.900000000000006</v>
      </c>
      <c r="H484" s="21">
        <f t="shared" si="45"/>
        <v>77.900000000000006</v>
      </c>
      <c r="I484" s="204"/>
    </row>
    <row r="485" spans="1:9" s="203" customFormat="1" ht="29.25" customHeight="1" x14ac:dyDescent="0.25">
      <c r="A485" s="98" t="s">
        <v>1004</v>
      </c>
      <c r="B485" s="16">
        <v>903</v>
      </c>
      <c r="C485" s="20" t="s">
        <v>238</v>
      </c>
      <c r="D485" s="20" t="s">
        <v>213</v>
      </c>
      <c r="E485" s="20" t="s">
        <v>889</v>
      </c>
      <c r="F485" s="32"/>
      <c r="G485" s="26">
        <f t="shared" si="45"/>
        <v>74.900000000000006</v>
      </c>
      <c r="H485" s="26">
        <f t="shared" si="45"/>
        <v>77.900000000000006</v>
      </c>
      <c r="I485" s="204"/>
    </row>
    <row r="486" spans="1:9" s="203" customFormat="1" ht="31.5" x14ac:dyDescent="0.25">
      <c r="A486" s="25" t="s">
        <v>131</v>
      </c>
      <c r="B486" s="16">
        <v>903</v>
      </c>
      <c r="C486" s="20" t="s">
        <v>238</v>
      </c>
      <c r="D486" s="20" t="s">
        <v>213</v>
      </c>
      <c r="E486" s="20" t="s">
        <v>889</v>
      </c>
      <c r="F486" s="32" t="s">
        <v>132</v>
      </c>
      <c r="G486" s="26">
        <f t="shared" si="45"/>
        <v>74.900000000000006</v>
      </c>
      <c r="H486" s="26">
        <f t="shared" si="45"/>
        <v>77.900000000000006</v>
      </c>
      <c r="I486" s="204"/>
    </row>
    <row r="487" spans="1:9" s="203" customFormat="1" ht="30.6" customHeight="1" x14ac:dyDescent="0.25">
      <c r="A487" s="25" t="s">
        <v>133</v>
      </c>
      <c r="B487" s="16">
        <v>903</v>
      </c>
      <c r="C487" s="20" t="s">
        <v>238</v>
      </c>
      <c r="D487" s="20" t="s">
        <v>213</v>
      </c>
      <c r="E487" s="20" t="s">
        <v>889</v>
      </c>
      <c r="F487" s="32" t="s">
        <v>134</v>
      </c>
      <c r="G487" s="26">
        <v>74.900000000000006</v>
      </c>
      <c r="H487" s="26">
        <v>77.900000000000006</v>
      </c>
      <c r="I487" s="204"/>
    </row>
    <row r="488" spans="1:9" ht="47.25" x14ac:dyDescent="0.25">
      <c r="A488" s="19" t="s">
        <v>387</v>
      </c>
      <c r="B488" s="19">
        <v>905</v>
      </c>
      <c r="C488" s="20"/>
      <c r="D488" s="20"/>
      <c r="E488" s="20"/>
      <c r="F488" s="20"/>
      <c r="G488" s="21">
        <f>G489+G521+G531</f>
        <v>20108.5</v>
      </c>
      <c r="H488" s="21">
        <f>H489+H521+H531</f>
        <v>28442.600000000002</v>
      </c>
      <c r="I488" s="204"/>
    </row>
    <row r="489" spans="1:9" ht="15.75" x14ac:dyDescent="0.25">
      <c r="A489" s="23" t="s">
        <v>117</v>
      </c>
      <c r="B489" s="19">
        <v>905</v>
      </c>
      <c r="C489" s="24" t="s">
        <v>118</v>
      </c>
      <c r="D489" s="20"/>
      <c r="E489" s="20"/>
      <c r="F489" s="20"/>
      <c r="G489" s="21">
        <f>G490+G507</f>
        <v>17369</v>
      </c>
      <c r="H489" s="21">
        <f>H490+H507</f>
        <v>17369</v>
      </c>
      <c r="I489" s="204"/>
    </row>
    <row r="490" spans="1:9" ht="63" x14ac:dyDescent="0.25">
      <c r="A490" s="23" t="s">
        <v>149</v>
      </c>
      <c r="B490" s="19">
        <v>905</v>
      </c>
      <c r="C490" s="24" t="s">
        <v>118</v>
      </c>
      <c r="D490" s="24" t="s">
        <v>150</v>
      </c>
      <c r="E490" s="24"/>
      <c r="F490" s="24"/>
      <c r="G490" s="21">
        <f>G491</f>
        <v>12166.9</v>
      </c>
      <c r="H490" s="21">
        <f>H491</f>
        <v>12166.9</v>
      </c>
      <c r="I490" s="204"/>
    </row>
    <row r="491" spans="1:9" ht="31.5" x14ac:dyDescent="0.25">
      <c r="A491" s="23" t="s">
        <v>917</v>
      </c>
      <c r="B491" s="19">
        <v>905</v>
      </c>
      <c r="C491" s="24" t="s">
        <v>118</v>
      </c>
      <c r="D491" s="24" t="s">
        <v>150</v>
      </c>
      <c r="E491" s="24" t="s">
        <v>858</v>
      </c>
      <c r="F491" s="24"/>
      <c r="G491" s="21">
        <f>G492+G503</f>
        <v>12166.9</v>
      </c>
      <c r="H491" s="21">
        <f>H492+H503</f>
        <v>12166.9</v>
      </c>
      <c r="I491" s="204"/>
    </row>
    <row r="492" spans="1:9" ht="15.75" x14ac:dyDescent="0.25">
      <c r="A492" s="23" t="s">
        <v>918</v>
      </c>
      <c r="B492" s="19">
        <v>905</v>
      </c>
      <c r="C492" s="24" t="s">
        <v>118</v>
      </c>
      <c r="D492" s="24" t="s">
        <v>150</v>
      </c>
      <c r="E492" s="24" t="s">
        <v>859</v>
      </c>
      <c r="F492" s="24"/>
      <c r="G492" s="21">
        <f>G493+G500</f>
        <v>12144.6</v>
      </c>
      <c r="H492" s="21">
        <f>H493+H500</f>
        <v>12144.6</v>
      </c>
      <c r="I492" s="204"/>
    </row>
    <row r="493" spans="1:9" ht="31.5" x14ac:dyDescent="0.25">
      <c r="A493" s="25" t="s">
        <v>897</v>
      </c>
      <c r="B493" s="16">
        <v>905</v>
      </c>
      <c r="C493" s="20" t="s">
        <v>118</v>
      </c>
      <c r="D493" s="20" t="s">
        <v>150</v>
      </c>
      <c r="E493" s="20" t="s">
        <v>860</v>
      </c>
      <c r="F493" s="20"/>
      <c r="G493" s="26">
        <f>G494+G496+G498</f>
        <v>11682.6</v>
      </c>
      <c r="H493" s="26">
        <f>H494+H496+H498</f>
        <v>11682.6</v>
      </c>
      <c r="I493" s="204"/>
    </row>
    <row r="494" spans="1:9" ht="78.75" x14ac:dyDescent="0.25">
      <c r="A494" s="25" t="s">
        <v>127</v>
      </c>
      <c r="B494" s="16">
        <v>905</v>
      </c>
      <c r="C494" s="20" t="s">
        <v>118</v>
      </c>
      <c r="D494" s="20" t="s">
        <v>150</v>
      </c>
      <c r="E494" s="20" t="s">
        <v>860</v>
      </c>
      <c r="F494" s="20" t="s">
        <v>128</v>
      </c>
      <c r="G494" s="26">
        <f>G495</f>
        <v>11111.6</v>
      </c>
      <c r="H494" s="26">
        <f>H495</f>
        <v>11111.6</v>
      </c>
      <c r="I494" s="204"/>
    </row>
    <row r="495" spans="1:9" ht="31.5" x14ac:dyDescent="0.25">
      <c r="A495" s="25" t="s">
        <v>129</v>
      </c>
      <c r="B495" s="16">
        <v>905</v>
      </c>
      <c r="C495" s="20" t="s">
        <v>118</v>
      </c>
      <c r="D495" s="20" t="s">
        <v>150</v>
      </c>
      <c r="E495" s="20" t="s">
        <v>860</v>
      </c>
      <c r="F495" s="20" t="s">
        <v>130</v>
      </c>
      <c r="G495" s="26">
        <v>11111.6</v>
      </c>
      <c r="H495" s="26">
        <f t="shared" si="39"/>
        <v>11111.6</v>
      </c>
      <c r="I495" s="204"/>
    </row>
    <row r="496" spans="1:9" ht="31.5" x14ac:dyDescent="0.25">
      <c r="A496" s="25" t="s">
        <v>131</v>
      </c>
      <c r="B496" s="16">
        <v>905</v>
      </c>
      <c r="C496" s="20" t="s">
        <v>118</v>
      </c>
      <c r="D496" s="20" t="s">
        <v>150</v>
      </c>
      <c r="E496" s="20" t="s">
        <v>860</v>
      </c>
      <c r="F496" s="20" t="s">
        <v>132</v>
      </c>
      <c r="G496" s="26">
        <f>G497</f>
        <v>440</v>
      </c>
      <c r="H496" s="26">
        <f>H497</f>
        <v>440</v>
      </c>
      <c r="I496" s="204"/>
    </row>
    <row r="497" spans="1:9" ht="31.5" x14ac:dyDescent="0.25">
      <c r="A497" s="25" t="s">
        <v>133</v>
      </c>
      <c r="B497" s="16">
        <v>905</v>
      </c>
      <c r="C497" s="20" t="s">
        <v>118</v>
      </c>
      <c r="D497" s="20" t="s">
        <v>150</v>
      </c>
      <c r="E497" s="20" t="s">
        <v>860</v>
      </c>
      <c r="F497" s="20" t="s">
        <v>134</v>
      </c>
      <c r="G497" s="26">
        <f>440</f>
        <v>440</v>
      </c>
      <c r="H497" s="26">
        <f t="shared" si="39"/>
        <v>440</v>
      </c>
      <c r="I497" s="204"/>
    </row>
    <row r="498" spans="1:9" ht="15.75" x14ac:dyDescent="0.25">
      <c r="A498" s="25" t="s">
        <v>135</v>
      </c>
      <c r="B498" s="16">
        <v>905</v>
      </c>
      <c r="C498" s="20" t="s">
        <v>118</v>
      </c>
      <c r="D498" s="20" t="s">
        <v>150</v>
      </c>
      <c r="E498" s="20" t="s">
        <v>860</v>
      </c>
      <c r="F498" s="20" t="s">
        <v>145</v>
      </c>
      <c r="G498" s="26">
        <f>G499</f>
        <v>131</v>
      </c>
      <c r="H498" s="26">
        <f>H499</f>
        <v>131</v>
      </c>
      <c r="I498" s="204"/>
    </row>
    <row r="499" spans="1:9" ht="15.75" x14ac:dyDescent="0.25">
      <c r="A499" s="25" t="s">
        <v>568</v>
      </c>
      <c r="B499" s="16">
        <v>905</v>
      </c>
      <c r="C499" s="20" t="s">
        <v>118</v>
      </c>
      <c r="D499" s="20" t="s">
        <v>150</v>
      </c>
      <c r="E499" s="20" t="s">
        <v>860</v>
      </c>
      <c r="F499" s="20" t="s">
        <v>138</v>
      </c>
      <c r="G499" s="26">
        <f>131</f>
        <v>131</v>
      </c>
      <c r="H499" s="26">
        <f t="shared" si="39"/>
        <v>131</v>
      </c>
      <c r="I499" s="204"/>
    </row>
    <row r="500" spans="1:9" ht="47.25" x14ac:dyDescent="0.25">
      <c r="A500" s="25" t="s">
        <v>839</v>
      </c>
      <c r="B500" s="16">
        <v>905</v>
      </c>
      <c r="C500" s="20" t="s">
        <v>118</v>
      </c>
      <c r="D500" s="20" t="s">
        <v>150</v>
      </c>
      <c r="E500" s="20" t="s">
        <v>862</v>
      </c>
      <c r="F500" s="20"/>
      <c r="G500" s="26">
        <f>G501</f>
        <v>462</v>
      </c>
      <c r="H500" s="26">
        <f>H501</f>
        <v>462</v>
      </c>
      <c r="I500" s="204"/>
    </row>
    <row r="501" spans="1:9" ht="78.75" x14ac:dyDescent="0.25">
      <c r="A501" s="25" t="s">
        <v>127</v>
      </c>
      <c r="B501" s="16">
        <v>905</v>
      </c>
      <c r="C501" s="20" t="s">
        <v>118</v>
      </c>
      <c r="D501" s="20" t="s">
        <v>150</v>
      </c>
      <c r="E501" s="20" t="s">
        <v>862</v>
      </c>
      <c r="F501" s="20" t="s">
        <v>128</v>
      </c>
      <c r="G501" s="26">
        <f>G502</f>
        <v>462</v>
      </c>
      <c r="H501" s="26">
        <f>H502</f>
        <v>462</v>
      </c>
      <c r="I501" s="204"/>
    </row>
    <row r="502" spans="1:9" ht="31.5" x14ac:dyDescent="0.25">
      <c r="A502" s="25" t="s">
        <v>129</v>
      </c>
      <c r="B502" s="16">
        <v>905</v>
      </c>
      <c r="C502" s="20" t="s">
        <v>118</v>
      </c>
      <c r="D502" s="20" t="s">
        <v>150</v>
      </c>
      <c r="E502" s="20" t="s">
        <v>862</v>
      </c>
      <c r="F502" s="20" t="s">
        <v>130</v>
      </c>
      <c r="G502" s="26">
        <v>462</v>
      </c>
      <c r="H502" s="26">
        <f t="shared" ref="H502:H569" si="46">G502</f>
        <v>462</v>
      </c>
      <c r="I502" s="204"/>
    </row>
    <row r="503" spans="1:9" s="203" customFormat="1" ht="31.5" x14ac:dyDescent="0.25">
      <c r="A503" s="23" t="s">
        <v>885</v>
      </c>
      <c r="B503" s="19">
        <v>905</v>
      </c>
      <c r="C503" s="24" t="s">
        <v>118</v>
      </c>
      <c r="D503" s="24" t="s">
        <v>150</v>
      </c>
      <c r="E503" s="24" t="s">
        <v>863</v>
      </c>
      <c r="F503" s="24"/>
      <c r="G503" s="21">
        <f t="shared" ref="G503:H505" si="47">G504</f>
        <v>22.3</v>
      </c>
      <c r="H503" s="21">
        <f t="shared" si="47"/>
        <v>22.3</v>
      </c>
      <c r="I503" s="204"/>
    </row>
    <row r="504" spans="1:9" s="203" customFormat="1" ht="94.5" x14ac:dyDescent="0.25">
      <c r="A504" s="31" t="s">
        <v>1169</v>
      </c>
      <c r="B504" s="16">
        <v>905</v>
      </c>
      <c r="C504" s="20" t="s">
        <v>118</v>
      </c>
      <c r="D504" s="20" t="s">
        <v>150</v>
      </c>
      <c r="E504" s="20" t="s">
        <v>1168</v>
      </c>
      <c r="F504" s="20"/>
      <c r="G504" s="26">
        <f t="shared" si="47"/>
        <v>22.3</v>
      </c>
      <c r="H504" s="26">
        <f t="shared" si="47"/>
        <v>22.3</v>
      </c>
      <c r="I504" s="204"/>
    </row>
    <row r="505" spans="1:9" s="203" customFormat="1" ht="78.75" x14ac:dyDescent="0.25">
      <c r="A505" s="25" t="s">
        <v>127</v>
      </c>
      <c r="B505" s="16">
        <v>905</v>
      </c>
      <c r="C505" s="20" t="s">
        <v>118</v>
      </c>
      <c r="D505" s="20" t="s">
        <v>150</v>
      </c>
      <c r="E505" s="20" t="s">
        <v>1168</v>
      </c>
      <c r="F505" s="20" t="s">
        <v>128</v>
      </c>
      <c r="G505" s="26">
        <f>G506</f>
        <v>22.3</v>
      </c>
      <c r="H505" s="26">
        <f t="shared" si="47"/>
        <v>22.3</v>
      </c>
      <c r="I505" s="204"/>
    </row>
    <row r="506" spans="1:9" s="203" customFormat="1" ht="31.5" x14ac:dyDescent="0.25">
      <c r="A506" s="25" t="s">
        <v>129</v>
      </c>
      <c r="B506" s="16">
        <v>905</v>
      </c>
      <c r="C506" s="20" t="s">
        <v>118</v>
      </c>
      <c r="D506" s="20" t="s">
        <v>150</v>
      </c>
      <c r="E506" s="20" t="s">
        <v>1168</v>
      </c>
      <c r="F506" s="20" t="s">
        <v>130</v>
      </c>
      <c r="G506" s="26">
        <v>22.3</v>
      </c>
      <c r="H506" s="26">
        <v>22.3</v>
      </c>
      <c r="I506" s="204"/>
    </row>
    <row r="507" spans="1:9" ht="15.75" x14ac:dyDescent="0.25">
      <c r="A507" s="23" t="s">
        <v>139</v>
      </c>
      <c r="B507" s="19">
        <v>905</v>
      </c>
      <c r="C507" s="24" t="s">
        <v>118</v>
      </c>
      <c r="D507" s="24" t="s">
        <v>140</v>
      </c>
      <c r="E507" s="24"/>
      <c r="F507" s="24"/>
      <c r="G507" s="21">
        <f>G508+G516</f>
        <v>5202.1000000000004</v>
      </c>
      <c r="H507" s="21">
        <f>H508+H516</f>
        <v>5202.1000000000004</v>
      </c>
      <c r="I507" s="204"/>
    </row>
    <row r="508" spans="1:9" ht="15.75" x14ac:dyDescent="0.25">
      <c r="A508" s="23" t="s">
        <v>141</v>
      </c>
      <c r="B508" s="19">
        <v>905</v>
      </c>
      <c r="C508" s="24" t="s">
        <v>118</v>
      </c>
      <c r="D508" s="24" t="s">
        <v>140</v>
      </c>
      <c r="E508" s="24" t="s">
        <v>866</v>
      </c>
      <c r="F508" s="24"/>
      <c r="G508" s="21">
        <f>G509</f>
        <v>5202.1000000000004</v>
      </c>
      <c r="H508" s="21">
        <f>H509</f>
        <v>5202.1000000000004</v>
      </c>
      <c r="I508" s="204"/>
    </row>
    <row r="509" spans="1:9" ht="31.5" x14ac:dyDescent="0.25">
      <c r="A509" s="23" t="s">
        <v>870</v>
      </c>
      <c r="B509" s="19">
        <v>905</v>
      </c>
      <c r="C509" s="24" t="s">
        <v>118</v>
      </c>
      <c r="D509" s="24" t="s">
        <v>140</v>
      </c>
      <c r="E509" s="24" t="s">
        <v>865</v>
      </c>
      <c r="F509" s="24"/>
      <c r="G509" s="21">
        <f>G510+G513</f>
        <v>5202.1000000000004</v>
      </c>
      <c r="H509" s="21">
        <f>H510+H513</f>
        <v>5202.1000000000004</v>
      </c>
      <c r="I509" s="204"/>
    </row>
    <row r="510" spans="1:9" ht="47.25" x14ac:dyDescent="0.25">
      <c r="A510" s="25" t="s">
        <v>388</v>
      </c>
      <c r="B510" s="16">
        <v>905</v>
      </c>
      <c r="C510" s="20" t="s">
        <v>118</v>
      </c>
      <c r="D510" s="20" t="s">
        <v>140</v>
      </c>
      <c r="E510" s="20" t="s">
        <v>1011</v>
      </c>
      <c r="F510" s="20"/>
      <c r="G510" s="26">
        <f>G511</f>
        <v>5202.1000000000004</v>
      </c>
      <c r="H510" s="26">
        <f>H511</f>
        <v>5202.1000000000004</v>
      </c>
      <c r="I510" s="204"/>
    </row>
    <row r="511" spans="1:9" ht="31.5" x14ac:dyDescent="0.25">
      <c r="A511" s="25" t="s">
        <v>131</v>
      </c>
      <c r="B511" s="16">
        <v>905</v>
      </c>
      <c r="C511" s="20" t="s">
        <v>118</v>
      </c>
      <c r="D511" s="20" t="s">
        <v>140</v>
      </c>
      <c r="E511" s="20" t="s">
        <v>1011</v>
      </c>
      <c r="F511" s="20" t="s">
        <v>132</v>
      </c>
      <c r="G511" s="26">
        <f>G512</f>
        <v>5202.1000000000004</v>
      </c>
      <c r="H511" s="26">
        <f>H512</f>
        <v>5202.1000000000004</v>
      </c>
      <c r="I511" s="204"/>
    </row>
    <row r="512" spans="1:9" ht="35.450000000000003" customHeight="1" x14ac:dyDescent="0.25">
      <c r="A512" s="25" t="s">
        <v>133</v>
      </c>
      <c r="B512" s="16">
        <v>905</v>
      </c>
      <c r="C512" s="20" t="s">
        <v>118</v>
      </c>
      <c r="D512" s="20" t="s">
        <v>140</v>
      </c>
      <c r="E512" s="20" t="s">
        <v>1011</v>
      </c>
      <c r="F512" s="20" t="s">
        <v>134</v>
      </c>
      <c r="G512" s="26">
        <v>5202.1000000000004</v>
      </c>
      <c r="H512" s="26">
        <f t="shared" si="46"/>
        <v>5202.1000000000004</v>
      </c>
      <c r="I512" s="204"/>
    </row>
    <row r="513" spans="1:9" ht="31.5" hidden="1" x14ac:dyDescent="0.25">
      <c r="A513" s="25" t="s">
        <v>931</v>
      </c>
      <c r="B513" s="16">
        <v>905</v>
      </c>
      <c r="C513" s="20" t="s">
        <v>118</v>
      </c>
      <c r="D513" s="20" t="s">
        <v>140</v>
      </c>
      <c r="E513" s="20" t="s">
        <v>1012</v>
      </c>
      <c r="F513" s="20"/>
      <c r="G513" s="26">
        <f>'Пр.4 ведом.22'!G561</f>
        <v>0</v>
      </c>
      <c r="H513" s="26">
        <f t="shared" si="46"/>
        <v>0</v>
      </c>
      <c r="I513" s="204"/>
    </row>
    <row r="514" spans="1:9" ht="31.5" hidden="1" x14ac:dyDescent="0.25">
      <c r="A514" s="25" t="s">
        <v>131</v>
      </c>
      <c r="B514" s="16">
        <v>905</v>
      </c>
      <c r="C514" s="20" t="s">
        <v>118</v>
      </c>
      <c r="D514" s="20" t="s">
        <v>140</v>
      </c>
      <c r="E514" s="20" t="s">
        <v>1012</v>
      </c>
      <c r="F514" s="20" t="s">
        <v>132</v>
      </c>
      <c r="G514" s="26">
        <f>'Пр.4 ведом.22'!G562</f>
        <v>0</v>
      </c>
      <c r="H514" s="26">
        <f t="shared" si="46"/>
        <v>0</v>
      </c>
      <c r="I514" s="204"/>
    </row>
    <row r="515" spans="1:9" ht="31.5" hidden="1" x14ac:dyDescent="0.25">
      <c r="A515" s="25" t="s">
        <v>133</v>
      </c>
      <c r="B515" s="16">
        <v>905</v>
      </c>
      <c r="C515" s="20" t="s">
        <v>118</v>
      </c>
      <c r="D515" s="20" t="s">
        <v>140</v>
      </c>
      <c r="E515" s="20" t="s">
        <v>1012</v>
      </c>
      <c r="F515" s="20" t="s">
        <v>134</v>
      </c>
      <c r="G515" s="26">
        <f>'Пр.4 ведом.22'!G563</f>
        <v>0</v>
      </c>
      <c r="H515" s="26">
        <f t="shared" si="46"/>
        <v>0</v>
      </c>
      <c r="I515" s="204"/>
    </row>
    <row r="516" spans="1:9" ht="63" hidden="1" x14ac:dyDescent="0.25">
      <c r="A516" s="23" t="s">
        <v>1177</v>
      </c>
      <c r="B516" s="19">
        <v>905</v>
      </c>
      <c r="C516" s="24" t="s">
        <v>118</v>
      </c>
      <c r="D516" s="24" t="s">
        <v>140</v>
      </c>
      <c r="E516" s="24" t="s">
        <v>782</v>
      </c>
      <c r="F516" s="24"/>
      <c r="G516" s="21">
        <f t="shared" ref="G516:H519" si="48">G517</f>
        <v>0</v>
      </c>
      <c r="H516" s="21">
        <f t="shared" si="48"/>
        <v>0</v>
      </c>
      <c r="I516" s="204"/>
    </row>
    <row r="517" spans="1:9" ht="31.5" hidden="1" x14ac:dyDescent="0.25">
      <c r="A517" s="23" t="s">
        <v>930</v>
      </c>
      <c r="B517" s="19">
        <v>905</v>
      </c>
      <c r="C517" s="24" t="s">
        <v>118</v>
      </c>
      <c r="D517" s="24" t="s">
        <v>140</v>
      </c>
      <c r="E517" s="24" t="s">
        <v>1020</v>
      </c>
      <c r="F517" s="24"/>
      <c r="G517" s="21">
        <f t="shared" si="48"/>
        <v>0</v>
      </c>
      <c r="H517" s="21">
        <f t="shared" si="48"/>
        <v>0</v>
      </c>
      <c r="I517" s="204"/>
    </row>
    <row r="518" spans="1:9" ht="31.5" hidden="1" x14ac:dyDescent="0.25">
      <c r="A518" s="25" t="s">
        <v>790</v>
      </c>
      <c r="B518" s="16">
        <v>905</v>
      </c>
      <c r="C518" s="20" t="s">
        <v>118</v>
      </c>
      <c r="D518" s="20" t="s">
        <v>140</v>
      </c>
      <c r="E518" s="20" t="s">
        <v>1021</v>
      </c>
      <c r="F518" s="20"/>
      <c r="G518" s="26">
        <f t="shared" si="48"/>
        <v>0</v>
      </c>
      <c r="H518" s="26">
        <f t="shared" si="48"/>
        <v>0</v>
      </c>
      <c r="I518" s="204"/>
    </row>
    <row r="519" spans="1:9" ht="31.5" hidden="1" x14ac:dyDescent="0.25">
      <c r="A519" s="25" t="s">
        <v>131</v>
      </c>
      <c r="B519" s="16">
        <v>905</v>
      </c>
      <c r="C519" s="20" t="s">
        <v>118</v>
      </c>
      <c r="D519" s="20" t="s">
        <v>140</v>
      </c>
      <c r="E519" s="20" t="s">
        <v>1021</v>
      </c>
      <c r="F519" s="20" t="s">
        <v>132</v>
      </c>
      <c r="G519" s="26">
        <f t="shared" si="48"/>
        <v>0</v>
      </c>
      <c r="H519" s="26">
        <f t="shared" si="48"/>
        <v>0</v>
      </c>
      <c r="I519" s="204"/>
    </row>
    <row r="520" spans="1:9" ht="31.5" hidden="1" x14ac:dyDescent="0.25">
      <c r="A520" s="25" t="s">
        <v>133</v>
      </c>
      <c r="B520" s="16">
        <v>905</v>
      </c>
      <c r="C520" s="20" t="s">
        <v>118</v>
      </c>
      <c r="D520" s="20" t="s">
        <v>140</v>
      </c>
      <c r="E520" s="20" t="s">
        <v>1021</v>
      </c>
      <c r="F520" s="20" t="s">
        <v>134</v>
      </c>
      <c r="G520" s="26">
        <v>0</v>
      </c>
      <c r="H520" s="26">
        <v>0</v>
      </c>
      <c r="I520" s="204"/>
    </row>
    <row r="521" spans="1:9" ht="15.75" x14ac:dyDescent="0.25">
      <c r="A521" s="41" t="s">
        <v>390</v>
      </c>
      <c r="B521" s="19">
        <v>905</v>
      </c>
      <c r="C521" s="24" t="s">
        <v>234</v>
      </c>
      <c r="D521" s="24"/>
      <c r="E521" s="24"/>
      <c r="F521" s="24"/>
      <c r="G521" s="21">
        <f t="shared" ref="G521:H523" si="49">G522</f>
        <v>270.39999999999998</v>
      </c>
      <c r="H521" s="21">
        <f t="shared" si="49"/>
        <v>270.39999999999998</v>
      </c>
      <c r="I521" s="204"/>
    </row>
    <row r="522" spans="1:9" ht="15.75" x14ac:dyDescent="0.25">
      <c r="A522" s="41" t="s">
        <v>391</v>
      </c>
      <c r="B522" s="19">
        <v>905</v>
      </c>
      <c r="C522" s="24" t="s">
        <v>234</v>
      </c>
      <c r="D522" s="24" t="s">
        <v>118</v>
      </c>
      <c r="E522" s="24"/>
      <c r="F522" s="24"/>
      <c r="G522" s="21">
        <f t="shared" si="49"/>
        <v>270.39999999999998</v>
      </c>
      <c r="H522" s="21">
        <f t="shared" si="49"/>
        <v>270.39999999999998</v>
      </c>
      <c r="I522" s="204"/>
    </row>
    <row r="523" spans="1:9" ht="15.75" x14ac:dyDescent="0.25">
      <c r="A523" s="23" t="s">
        <v>141</v>
      </c>
      <c r="B523" s="19">
        <v>905</v>
      </c>
      <c r="C523" s="24" t="s">
        <v>234</v>
      </c>
      <c r="D523" s="24" t="s">
        <v>118</v>
      </c>
      <c r="E523" s="24" t="s">
        <v>866</v>
      </c>
      <c r="F523" s="24"/>
      <c r="G523" s="21">
        <f t="shared" si="49"/>
        <v>270.39999999999998</v>
      </c>
      <c r="H523" s="21">
        <f t="shared" si="49"/>
        <v>270.39999999999998</v>
      </c>
      <c r="I523" s="204"/>
    </row>
    <row r="524" spans="1:9" ht="31.5" x14ac:dyDescent="0.25">
      <c r="A524" s="23" t="s">
        <v>870</v>
      </c>
      <c r="B524" s="19">
        <v>905</v>
      </c>
      <c r="C524" s="24" t="s">
        <v>234</v>
      </c>
      <c r="D524" s="24" t="s">
        <v>118</v>
      </c>
      <c r="E524" s="24" t="s">
        <v>865</v>
      </c>
      <c r="F524" s="24"/>
      <c r="G524" s="21">
        <f>G525+G528</f>
        <v>270.39999999999998</v>
      </c>
      <c r="H524" s="21">
        <f>H525+H528</f>
        <v>270.39999999999998</v>
      </c>
      <c r="I524" s="204"/>
    </row>
    <row r="525" spans="1:9" ht="31.5" x14ac:dyDescent="0.25">
      <c r="A525" s="29" t="s">
        <v>398</v>
      </c>
      <c r="B525" s="16">
        <v>905</v>
      </c>
      <c r="C525" s="20" t="s">
        <v>234</v>
      </c>
      <c r="D525" s="20" t="s">
        <v>118</v>
      </c>
      <c r="E525" s="20" t="s">
        <v>961</v>
      </c>
      <c r="F525" s="20"/>
      <c r="G525" s="26">
        <f>G526</f>
        <v>270.39999999999998</v>
      </c>
      <c r="H525" s="26">
        <f>H526</f>
        <v>270.39999999999998</v>
      </c>
      <c r="I525" s="204"/>
    </row>
    <row r="526" spans="1:9" ht="31.5" x14ac:dyDescent="0.25">
      <c r="A526" s="25" t="s">
        <v>131</v>
      </c>
      <c r="B526" s="16">
        <v>905</v>
      </c>
      <c r="C526" s="20" t="s">
        <v>234</v>
      </c>
      <c r="D526" s="20" t="s">
        <v>118</v>
      </c>
      <c r="E526" s="20" t="s">
        <v>961</v>
      </c>
      <c r="F526" s="20" t="s">
        <v>132</v>
      </c>
      <c r="G526" s="26">
        <f>G527</f>
        <v>270.39999999999998</v>
      </c>
      <c r="H526" s="26">
        <f>H527</f>
        <v>270.39999999999998</v>
      </c>
      <c r="I526" s="204"/>
    </row>
    <row r="527" spans="1:9" ht="31.5" x14ac:dyDescent="0.25">
      <c r="A527" s="25" t="s">
        <v>133</v>
      </c>
      <c r="B527" s="16">
        <v>905</v>
      </c>
      <c r="C527" s="20" t="s">
        <v>234</v>
      </c>
      <c r="D527" s="20" t="s">
        <v>118</v>
      </c>
      <c r="E527" s="20" t="s">
        <v>961</v>
      </c>
      <c r="F527" s="20" t="s">
        <v>134</v>
      </c>
      <c r="G527" s="26">
        <f>270.4</f>
        <v>270.39999999999998</v>
      </c>
      <c r="H527" s="26">
        <f t="shared" si="46"/>
        <v>270.39999999999998</v>
      </c>
      <c r="I527" s="204"/>
    </row>
    <row r="528" spans="1:9" ht="31.5" hidden="1" x14ac:dyDescent="0.25">
      <c r="A528" s="29" t="s">
        <v>932</v>
      </c>
      <c r="B528" s="16">
        <v>905</v>
      </c>
      <c r="C528" s="20" t="s">
        <v>234</v>
      </c>
      <c r="D528" s="20" t="s">
        <v>118</v>
      </c>
      <c r="E528" s="20" t="s">
        <v>962</v>
      </c>
      <c r="F528" s="20"/>
      <c r="G528" s="26">
        <f>G529</f>
        <v>0</v>
      </c>
      <c r="H528" s="26">
        <f>H529</f>
        <v>0</v>
      </c>
      <c r="I528" s="204"/>
    </row>
    <row r="529" spans="1:15" ht="31.5" hidden="1" x14ac:dyDescent="0.25">
      <c r="A529" s="25" t="s">
        <v>131</v>
      </c>
      <c r="B529" s="16">
        <v>905</v>
      </c>
      <c r="C529" s="20" t="s">
        <v>234</v>
      </c>
      <c r="D529" s="20" t="s">
        <v>118</v>
      </c>
      <c r="E529" s="20" t="s">
        <v>962</v>
      </c>
      <c r="F529" s="20" t="s">
        <v>132</v>
      </c>
      <c r="G529" s="26">
        <f>G530</f>
        <v>0</v>
      </c>
      <c r="H529" s="26">
        <f>H530</f>
        <v>0</v>
      </c>
      <c r="I529" s="204"/>
    </row>
    <row r="530" spans="1:15" ht="31.5" hidden="1" x14ac:dyDescent="0.25">
      <c r="A530" s="25" t="s">
        <v>133</v>
      </c>
      <c r="B530" s="16">
        <v>905</v>
      </c>
      <c r="C530" s="20" t="s">
        <v>234</v>
      </c>
      <c r="D530" s="20" t="s">
        <v>118</v>
      </c>
      <c r="E530" s="20" t="s">
        <v>962</v>
      </c>
      <c r="F530" s="20" t="s">
        <v>134</v>
      </c>
      <c r="G530" s="26">
        <v>0</v>
      </c>
      <c r="H530" s="26">
        <v>0</v>
      </c>
      <c r="I530" s="204"/>
    </row>
    <row r="531" spans="1:15" s="203" customFormat="1" ht="15.75" x14ac:dyDescent="0.25">
      <c r="A531" s="23" t="s">
        <v>243</v>
      </c>
      <c r="B531" s="19">
        <v>905</v>
      </c>
      <c r="C531" s="24" t="s">
        <v>244</v>
      </c>
      <c r="D531" s="20"/>
      <c r="E531" s="20"/>
      <c r="F531" s="20"/>
      <c r="G531" s="21">
        <f t="shared" ref="G531:H535" si="50">G532</f>
        <v>2469.1</v>
      </c>
      <c r="H531" s="21">
        <f t="shared" si="50"/>
        <v>10803.2</v>
      </c>
      <c r="I531" s="204"/>
    </row>
    <row r="532" spans="1:15" s="203" customFormat="1" ht="15.75" x14ac:dyDescent="0.25">
      <c r="A532" s="23" t="s">
        <v>400</v>
      </c>
      <c r="B532" s="19">
        <v>905</v>
      </c>
      <c r="C532" s="24" t="s">
        <v>244</v>
      </c>
      <c r="D532" s="24" t="s">
        <v>150</v>
      </c>
      <c r="E532" s="20"/>
      <c r="F532" s="20"/>
      <c r="G532" s="21">
        <f t="shared" si="50"/>
        <v>2469.1</v>
      </c>
      <c r="H532" s="21">
        <f t="shared" si="50"/>
        <v>10803.2</v>
      </c>
      <c r="I532" s="204"/>
    </row>
    <row r="533" spans="1:15" s="203" customFormat="1" ht="31.5" x14ac:dyDescent="0.25">
      <c r="A533" s="23" t="s">
        <v>885</v>
      </c>
      <c r="B533" s="19">
        <v>905</v>
      </c>
      <c r="C533" s="24" t="s">
        <v>244</v>
      </c>
      <c r="D533" s="24" t="s">
        <v>150</v>
      </c>
      <c r="E533" s="24" t="s">
        <v>863</v>
      </c>
      <c r="F533" s="20"/>
      <c r="G533" s="21">
        <f t="shared" si="50"/>
        <v>2469.1</v>
      </c>
      <c r="H533" s="21">
        <f t="shared" si="50"/>
        <v>10803.2</v>
      </c>
      <c r="I533" s="204"/>
    </row>
    <row r="534" spans="1:15" s="203" customFormat="1" ht="47.25" x14ac:dyDescent="0.25">
      <c r="A534" s="25" t="s">
        <v>1171</v>
      </c>
      <c r="B534" s="16">
        <v>905</v>
      </c>
      <c r="C534" s="20" t="s">
        <v>244</v>
      </c>
      <c r="D534" s="20" t="s">
        <v>150</v>
      </c>
      <c r="E534" s="20" t="s">
        <v>1170</v>
      </c>
      <c r="F534" s="20"/>
      <c r="G534" s="26">
        <f t="shared" si="50"/>
        <v>2469.1</v>
      </c>
      <c r="H534" s="26">
        <f t="shared" si="50"/>
        <v>10803.2</v>
      </c>
      <c r="I534" s="204"/>
    </row>
    <row r="535" spans="1:15" s="203" customFormat="1" ht="31.5" x14ac:dyDescent="0.25">
      <c r="A535" s="25" t="s">
        <v>131</v>
      </c>
      <c r="B535" s="16">
        <v>905</v>
      </c>
      <c r="C535" s="20" t="s">
        <v>244</v>
      </c>
      <c r="D535" s="20" t="s">
        <v>150</v>
      </c>
      <c r="E535" s="20" t="s">
        <v>1170</v>
      </c>
      <c r="F535" s="20" t="s">
        <v>132</v>
      </c>
      <c r="G535" s="26">
        <f t="shared" si="50"/>
        <v>2469.1</v>
      </c>
      <c r="H535" s="26">
        <f t="shared" si="50"/>
        <v>10803.2</v>
      </c>
      <c r="I535" s="204"/>
    </row>
    <row r="536" spans="1:15" s="203" customFormat="1" ht="32.65" customHeight="1" x14ac:dyDescent="0.25">
      <c r="A536" s="25" t="s">
        <v>133</v>
      </c>
      <c r="B536" s="16">
        <v>905</v>
      </c>
      <c r="C536" s="20" t="s">
        <v>244</v>
      </c>
      <c r="D536" s="20" t="s">
        <v>150</v>
      </c>
      <c r="E536" s="20" t="s">
        <v>1170</v>
      </c>
      <c r="F536" s="20" t="s">
        <v>134</v>
      </c>
      <c r="G536" s="26">
        <v>2469.1</v>
      </c>
      <c r="H536" s="26">
        <v>10803.2</v>
      </c>
      <c r="I536" s="204"/>
    </row>
    <row r="537" spans="1:15" ht="31.5" x14ac:dyDescent="0.25">
      <c r="A537" s="19" t="s">
        <v>403</v>
      </c>
      <c r="B537" s="19">
        <v>906</v>
      </c>
      <c r="C537" s="24"/>
      <c r="D537" s="24"/>
      <c r="E537" s="24"/>
      <c r="F537" s="24"/>
      <c r="G537" s="21">
        <f>G548+G538</f>
        <v>346220.19999999995</v>
      </c>
      <c r="H537" s="21">
        <f>H548+H538</f>
        <v>369274.95</v>
      </c>
      <c r="I537" s="204"/>
      <c r="M537" s="22"/>
      <c r="O537" s="232"/>
    </row>
    <row r="538" spans="1:15" ht="15.75" hidden="1" x14ac:dyDescent="0.25">
      <c r="A538" s="23" t="s">
        <v>117</v>
      </c>
      <c r="B538" s="19">
        <v>906</v>
      </c>
      <c r="C538" s="24" t="s">
        <v>118</v>
      </c>
      <c r="D538" s="24"/>
      <c r="E538" s="24"/>
      <c r="F538" s="24"/>
      <c r="G538" s="21">
        <f t="shared" ref="G538:H541" si="51">G539</f>
        <v>0</v>
      </c>
      <c r="H538" s="21">
        <f t="shared" si="51"/>
        <v>0</v>
      </c>
      <c r="I538" s="204"/>
    </row>
    <row r="539" spans="1:15" ht="15.75" hidden="1" x14ac:dyDescent="0.25">
      <c r="A539" s="34" t="s">
        <v>139</v>
      </c>
      <c r="B539" s="19">
        <v>906</v>
      </c>
      <c r="C539" s="24" t="s">
        <v>118</v>
      </c>
      <c r="D539" s="24" t="s">
        <v>140</v>
      </c>
      <c r="E539" s="24"/>
      <c r="F539" s="24"/>
      <c r="G539" s="21">
        <f t="shared" si="51"/>
        <v>0</v>
      </c>
      <c r="H539" s="21">
        <f t="shared" si="51"/>
        <v>0</v>
      </c>
      <c r="I539" s="204"/>
    </row>
    <row r="540" spans="1:15" ht="47.25" hidden="1" x14ac:dyDescent="0.25">
      <c r="A540" s="23" t="s">
        <v>1355</v>
      </c>
      <c r="B540" s="19">
        <v>906</v>
      </c>
      <c r="C540" s="24" t="s">
        <v>118</v>
      </c>
      <c r="D540" s="24" t="s">
        <v>140</v>
      </c>
      <c r="E540" s="24" t="s">
        <v>335</v>
      </c>
      <c r="F540" s="24"/>
      <c r="G540" s="21">
        <f t="shared" si="51"/>
        <v>0</v>
      </c>
      <c r="H540" s="21">
        <f t="shared" si="51"/>
        <v>0</v>
      </c>
      <c r="I540" s="204"/>
    </row>
    <row r="541" spans="1:15" ht="31.5" hidden="1" x14ac:dyDescent="0.25">
      <c r="A541" s="213" t="s">
        <v>1049</v>
      </c>
      <c r="B541" s="19">
        <v>906</v>
      </c>
      <c r="C541" s="24" t="s">
        <v>118</v>
      </c>
      <c r="D541" s="24" t="s">
        <v>140</v>
      </c>
      <c r="E541" s="24" t="s">
        <v>1050</v>
      </c>
      <c r="F541" s="24"/>
      <c r="G541" s="21">
        <f t="shared" si="51"/>
        <v>0</v>
      </c>
      <c r="H541" s="21">
        <f t="shared" si="51"/>
        <v>0</v>
      </c>
      <c r="I541" s="204"/>
    </row>
    <row r="542" spans="1:15" ht="31.5" hidden="1" x14ac:dyDescent="0.25">
      <c r="A542" s="97" t="s">
        <v>336</v>
      </c>
      <c r="B542" s="16">
        <v>906</v>
      </c>
      <c r="C542" s="20" t="s">
        <v>118</v>
      </c>
      <c r="D542" s="20" t="s">
        <v>140</v>
      </c>
      <c r="E542" s="20" t="s">
        <v>1051</v>
      </c>
      <c r="F542" s="20"/>
      <c r="G542" s="26">
        <f>G543</f>
        <v>0</v>
      </c>
      <c r="H542" s="26">
        <f>H543</f>
        <v>0</v>
      </c>
      <c r="I542" s="204"/>
    </row>
    <row r="543" spans="1:15" ht="31.5" hidden="1" x14ac:dyDescent="0.25">
      <c r="A543" s="25" t="s">
        <v>131</v>
      </c>
      <c r="B543" s="16">
        <v>906</v>
      </c>
      <c r="C543" s="20" t="s">
        <v>118</v>
      </c>
      <c r="D543" s="20" t="s">
        <v>140</v>
      </c>
      <c r="E543" s="20" t="s">
        <v>1051</v>
      </c>
      <c r="F543" s="20" t="s">
        <v>132</v>
      </c>
      <c r="G543" s="26">
        <f>G544</f>
        <v>0</v>
      </c>
      <c r="H543" s="26">
        <f>H544</f>
        <v>0</v>
      </c>
      <c r="I543" s="204"/>
    </row>
    <row r="544" spans="1:15" ht="31.5" hidden="1" x14ac:dyDescent="0.25">
      <c r="A544" s="25" t="s">
        <v>133</v>
      </c>
      <c r="B544" s="16">
        <v>906</v>
      </c>
      <c r="C544" s="20" t="s">
        <v>118</v>
      </c>
      <c r="D544" s="20" t="s">
        <v>140</v>
      </c>
      <c r="E544" s="20" t="s">
        <v>1051</v>
      </c>
      <c r="F544" s="20" t="s">
        <v>134</v>
      </c>
      <c r="G544" s="26">
        <v>0</v>
      </c>
      <c r="H544" s="26">
        <v>0</v>
      </c>
      <c r="I544" s="204"/>
    </row>
    <row r="545" spans="1:9" ht="16.350000000000001" hidden="1" customHeight="1" x14ac:dyDescent="0.25">
      <c r="A545" s="31" t="s">
        <v>773</v>
      </c>
      <c r="B545" s="16">
        <v>906</v>
      </c>
      <c r="C545" s="20" t="s">
        <v>118</v>
      </c>
      <c r="D545" s="20" t="s">
        <v>140</v>
      </c>
      <c r="E545" s="20" t="s">
        <v>1073</v>
      </c>
      <c r="F545" s="20"/>
      <c r="G545" s="26" t="e">
        <f>'Пр.4 ведом.22'!#REF!</f>
        <v>#REF!</v>
      </c>
      <c r="H545" s="26" t="e">
        <f t="shared" si="46"/>
        <v>#REF!</v>
      </c>
      <c r="I545" s="204"/>
    </row>
    <row r="546" spans="1:9" ht="31.5" hidden="1" x14ac:dyDescent="0.25">
      <c r="A546" s="25" t="s">
        <v>131</v>
      </c>
      <c r="B546" s="16">
        <v>906</v>
      </c>
      <c r="C546" s="20" t="s">
        <v>118</v>
      </c>
      <c r="D546" s="20" t="s">
        <v>140</v>
      </c>
      <c r="E546" s="20" t="s">
        <v>1073</v>
      </c>
      <c r="F546" s="20" t="s">
        <v>132</v>
      </c>
      <c r="G546" s="26" t="e">
        <f>'Пр.4 ведом.22'!#REF!</f>
        <v>#REF!</v>
      </c>
      <c r="H546" s="26" t="e">
        <f t="shared" si="46"/>
        <v>#REF!</v>
      </c>
      <c r="I546" s="204"/>
    </row>
    <row r="547" spans="1:9" ht="31.5" hidden="1" x14ac:dyDescent="0.25">
      <c r="A547" s="25" t="s">
        <v>133</v>
      </c>
      <c r="B547" s="16">
        <v>906</v>
      </c>
      <c r="C547" s="20" t="s">
        <v>118</v>
      </c>
      <c r="D547" s="20" t="s">
        <v>140</v>
      </c>
      <c r="E547" s="20" t="s">
        <v>1073</v>
      </c>
      <c r="F547" s="20" t="s">
        <v>134</v>
      </c>
      <c r="G547" s="26" t="e">
        <f>'Пр.4 ведом.22'!#REF!</f>
        <v>#REF!</v>
      </c>
      <c r="H547" s="26" t="e">
        <f t="shared" si="46"/>
        <v>#REF!</v>
      </c>
      <c r="I547" s="204"/>
    </row>
    <row r="548" spans="1:9" ht="15.75" x14ac:dyDescent="0.25">
      <c r="A548" s="23" t="s">
        <v>263</v>
      </c>
      <c r="B548" s="19">
        <v>906</v>
      </c>
      <c r="C548" s="24" t="s">
        <v>264</v>
      </c>
      <c r="D548" s="24"/>
      <c r="E548" s="24"/>
      <c r="F548" s="24"/>
      <c r="G548" s="21">
        <f>G549+G609+G720+G729+G691</f>
        <v>346220.19999999995</v>
      </c>
      <c r="H548" s="21">
        <f>H549+H609+H720+H729+H691</f>
        <v>369274.95</v>
      </c>
      <c r="I548" s="204"/>
    </row>
    <row r="549" spans="1:9" ht="15.75" x14ac:dyDescent="0.25">
      <c r="A549" s="23" t="s">
        <v>404</v>
      </c>
      <c r="B549" s="19">
        <v>906</v>
      </c>
      <c r="C549" s="24" t="s">
        <v>264</v>
      </c>
      <c r="D549" s="24" t="s">
        <v>118</v>
      </c>
      <c r="E549" s="24"/>
      <c r="F549" s="24"/>
      <c r="G549" s="21">
        <f>G550+G599+G604</f>
        <v>102250.3</v>
      </c>
      <c r="H549" s="21">
        <f>H550+H599+H604</f>
        <v>105829.20000000001</v>
      </c>
      <c r="I549" s="204"/>
    </row>
    <row r="550" spans="1:9" ht="31.9" customHeight="1" x14ac:dyDescent="0.25">
      <c r="A550" s="23" t="s">
        <v>1358</v>
      </c>
      <c r="B550" s="19">
        <v>906</v>
      </c>
      <c r="C550" s="24" t="s">
        <v>264</v>
      </c>
      <c r="D550" s="24" t="s">
        <v>118</v>
      </c>
      <c r="E550" s="24" t="s">
        <v>406</v>
      </c>
      <c r="F550" s="24"/>
      <c r="G550" s="21">
        <f>G551+G555+G568+G578+G588+G592</f>
        <v>101599.40000000001</v>
      </c>
      <c r="H550" s="21">
        <f>H551+H555+H568+H578+H588+H592</f>
        <v>105210.40000000001</v>
      </c>
      <c r="I550" s="204"/>
    </row>
    <row r="551" spans="1:9" ht="31.5" x14ac:dyDescent="0.25">
      <c r="A551" s="23" t="s">
        <v>937</v>
      </c>
      <c r="B551" s="19">
        <v>906</v>
      </c>
      <c r="C551" s="24" t="s">
        <v>264</v>
      </c>
      <c r="D551" s="24" t="s">
        <v>118</v>
      </c>
      <c r="E551" s="24" t="s">
        <v>1230</v>
      </c>
      <c r="F551" s="24"/>
      <c r="G551" s="21">
        <f t="shared" ref="G551:H553" si="52">G552</f>
        <v>14795.6</v>
      </c>
      <c r="H551" s="21">
        <f t="shared" si="52"/>
        <v>14795.6</v>
      </c>
      <c r="I551" s="204"/>
    </row>
    <row r="552" spans="1:9" ht="43.5" customHeight="1" x14ac:dyDescent="0.25">
      <c r="A552" s="25" t="s">
        <v>1229</v>
      </c>
      <c r="B552" s="16">
        <v>906</v>
      </c>
      <c r="C552" s="20" t="s">
        <v>264</v>
      </c>
      <c r="D552" s="20" t="s">
        <v>118</v>
      </c>
      <c r="E552" s="20" t="s">
        <v>1231</v>
      </c>
      <c r="F552" s="20"/>
      <c r="G552" s="26">
        <f t="shared" si="52"/>
        <v>14795.6</v>
      </c>
      <c r="H552" s="26">
        <f t="shared" si="52"/>
        <v>14795.6</v>
      </c>
      <c r="I552" s="204"/>
    </row>
    <row r="553" spans="1:9" ht="31.5" x14ac:dyDescent="0.25">
      <c r="A553" s="25" t="s">
        <v>272</v>
      </c>
      <c r="B553" s="16">
        <v>906</v>
      </c>
      <c r="C553" s="20" t="s">
        <v>264</v>
      </c>
      <c r="D553" s="20" t="s">
        <v>118</v>
      </c>
      <c r="E553" s="20" t="s">
        <v>1231</v>
      </c>
      <c r="F553" s="20" t="s">
        <v>273</v>
      </c>
      <c r="G553" s="26">
        <f t="shared" si="52"/>
        <v>14795.6</v>
      </c>
      <c r="H553" s="26">
        <f t="shared" si="52"/>
        <v>14795.6</v>
      </c>
      <c r="I553" s="204"/>
    </row>
    <row r="554" spans="1:9" ht="15.75" x14ac:dyDescent="0.25">
      <c r="A554" s="25" t="s">
        <v>274</v>
      </c>
      <c r="B554" s="16">
        <v>906</v>
      </c>
      <c r="C554" s="20" t="s">
        <v>264</v>
      </c>
      <c r="D554" s="20" t="s">
        <v>118</v>
      </c>
      <c r="E554" s="20" t="s">
        <v>1231</v>
      </c>
      <c r="F554" s="20" t="s">
        <v>275</v>
      </c>
      <c r="G554" s="26">
        <v>14795.6</v>
      </c>
      <c r="H554" s="26">
        <f t="shared" si="46"/>
        <v>14795.6</v>
      </c>
      <c r="I554" s="204"/>
    </row>
    <row r="555" spans="1:9" ht="47.25" x14ac:dyDescent="0.25">
      <c r="A555" s="23" t="s">
        <v>900</v>
      </c>
      <c r="B555" s="19">
        <v>906</v>
      </c>
      <c r="C555" s="24" t="s">
        <v>264</v>
      </c>
      <c r="D555" s="24" t="s">
        <v>118</v>
      </c>
      <c r="E555" s="24" t="s">
        <v>1232</v>
      </c>
      <c r="F555" s="24"/>
      <c r="G555" s="44">
        <f>G559+G562+G565+G556</f>
        <v>75561.5</v>
      </c>
      <c r="H555" s="44">
        <f>H559+H562+H565+H556</f>
        <v>79924.100000000006</v>
      </c>
      <c r="I555" s="204"/>
    </row>
    <row r="556" spans="1:9" s="203" customFormat="1" ht="94.5" x14ac:dyDescent="0.25">
      <c r="A556" s="31" t="s">
        <v>293</v>
      </c>
      <c r="B556" s="16">
        <v>906</v>
      </c>
      <c r="C556" s="20" t="s">
        <v>264</v>
      </c>
      <c r="D556" s="20" t="s">
        <v>118</v>
      </c>
      <c r="E556" s="20" t="s">
        <v>1390</v>
      </c>
      <c r="F556" s="20"/>
      <c r="G556" s="26">
        <f>G557</f>
        <v>3230</v>
      </c>
      <c r="H556" s="26">
        <f>H557</f>
        <v>3230</v>
      </c>
      <c r="I556" s="204"/>
    </row>
    <row r="557" spans="1:9" s="203" customFormat="1" ht="31.5" x14ac:dyDescent="0.25">
      <c r="A557" s="25" t="s">
        <v>272</v>
      </c>
      <c r="B557" s="16">
        <v>906</v>
      </c>
      <c r="C557" s="20" t="s">
        <v>264</v>
      </c>
      <c r="D557" s="20" t="s">
        <v>118</v>
      </c>
      <c r="E557" s="20" t="s">
        <v>1390</v>
      </c>
      <c r="F557" s="20" t="s">
        <v>273</v>
      </c>
      <c r="G557" s="26">
        <f>G558</f>
        <v>3230</v>
      </c>
      <c r="H557" s="26">
        <f>H558</f>
        <v>3230</v>
      </c>
      <c r="I557" s="204"/>
    </row>
    <row r="558" spans="1:9" s="203" customFormat="1" ht="15.75" x14ac:dyDescent="0.25">
      <c r="A558" s="25" t="s">
        <v>274</v>
      </c>
      <c r="B558" s="16">
        <v>906</v>
      </c>
      <c r="C558" s="20" t="s">
        <v>264</v>
      </c>
      <c r="D558" s="20" t="s">
        <v>118</v>
      </c>
      <c r="E558" s="20" t="s">
        <v>1390</v>
      </c>
      <c r="F558" s="20" t="s">
        <v>275</v>
      </c>
      <c r="G558" s="26">
        <v>3230</v>
      </c>
      <c r="H558" s="26">
        <f>G558</f>
        <v>3230</v>
      </c>
      <c r="I558" s="204"/>
    </row>
    <row r="559" spans="1:9" ht="66.75" customHeight="1" x14ac:dyDescent="0.25">
      <c r="A559" s="31" t="s">
        <v>289</v>
      </c>
      <c r="B559" s="16">
        <v>906</v>
      </c>
      <c r="C559" s="20" t="s">
        <v>264</v>
      </c>
      <c r="D559" s="20" t="s">
        <v>118</v>
      </c>
      <c r="E559" s="20" t="s">
        <v>1233</v>
      </c>
      <c r="F559" s="20"/>
      <c r="G559" s="26">
        <f>G560</f>
        <v>589</v>
      </c>
      <c r="H559" s="26">
        <f>H560</f>
        <v>589</v>
      </c>
      <c r="I559" s="204"/>
    </row>
    <row r="560" spans="1:9" ht="31.5" x14ac:dyDescent="0.25">
      <c r="A560" s="25" t="s">
        <v>272</v>
      </c>
      <c r="B560" s="16">
        <v>906</v>
      </c>
      <c r="C560" s="20" t="s">
        <v>264</v>
      </c>
      <c r="D560" s="20" t="s">
        <v>118</v>
      </c>
      <c r="E560" s="20" t="s">
        <v>1233</v>
      </c>
      <c r="F560" s="20" t="s">
        <v>273</v>
      </c>
      <c r="G560" s="26">
        <f>G561</f>
        <v>589</v>
      </c>
      <c r="H560" s="26">
        <f>H561</f>
        <v>589</v>
      </c>
      <c r="I560" s="204"/>
    </row>
    <row r="561" spans="1:9" ht="15.75" x14ac:dyDescent="0.25">
      <c r="A561" s="25" t="s">
        <v>274</v>
      </c>
      <c r="B561" s="16">
        <v>906</v>
      </c>
      <c r="C561" s="20" t="s">
        <v>264</v>
      </c>
      <c r="D561" s="20" t="s">
        <v>118</v>
      </c>
      <c r="E561" s="20" t="s">
        <v>1233</v>
      </c>
      <c r="F561" s="20" t="s">
        <v>275</v>
      </c>
      <c r="G561" s="26">
        <v>589</v>
      </c>
      <c r="H561" s="26">
        <f t="shared" si="46"/>
        <v>589</v>
      </c>
      <c r="I561" s="204"/>
    </row>
    <row r="562" spans="1:9" ht="63" x14ac:dyDescent="0.25">
      <c r="A562" s="31" t="s">
        <v>291</v>
      </c>
      <c r="B562" s="16">
        <v>906</v>
      </c>
      <c r="C562" s="20" t="s">
        <v>264</v>
      </c>
      <c r="D562" s="20" t="s">
        <v>118</v>
      </c>
      <c r="E562" s="20" t="s">
        <v>1234</v>
      </c>
      <c r="F562" s="20"/>
      <c r="G562" s="26">
        <f>G563</f>
        <v>1629.3</v>
      </c>
      <c r="H562" s="26">
        <f>H563</f>
        <v>1629.3</v>
      </c>
      <c r="I562" s="204"/>
    </row>
    <row r="563" spans="1:9" ht="31.5" x14ac:dyDescent="0.25">
      <c r="A563" s="25" t="s">
        <v>272</v>
      </c>
      <c r="B563" s="16">
        <v>906</v>
      </c>
      <c r="C563" s="20" t="s">
        <v>264</v>
      </c>
      <c r="D563" s="20" t="s">
        <v>118</v>
      </c>
      <c r="E563" s="20" t="s">
        <v>1234</v>
      </c>
      <c r="F563" s="20" t="s">
        <v>273</v>
      </c>
      <c r="G563" s="26">
        <f>G564</f>
        <v>1629.3</v>
      </c>
      <c r="H563" s="26">
        <f>H564</f>
        <v>1629.3</v>
      </c>
      <c r="I563" s="204"/>
    </row>
    <row r="564" spans="1:9" ht="15.75" x14ac:dyDescent="0.25">
      <c r="A564" s="25" t="s">
        <v>274</v>
      </c>
      <c r="B564" s="16">
        <v>906</v>
      </c>
      <c r="C564" s="20" t="s">
        <v>264</v>
      </c>
      <c r="D564" s="20" t="s">
        <v>118</v>
      </c>
      <c r="E564" s="20" t="s">
        <v>1234</v>
      </c>
      <c r="F564" s="20" t="s">
        <v>275</v>
      </c>
      <c r="G564" s="26">
        <f>1629.3</f>
        <v>1629.3</v>
      </c>
      <c r="H564" s="26">
        <f t="shared" si="46"/>
        <v>1629.3</v>
      </c>
      <c r="I564" s="204"/>
    </row>
    <row r="565" spans="1:9" ht="94.5" x14ac:dyDescent="0.25">
      <c r="A565" s="31" t="s">
        <v>421</v>
      </c>
      <c r="B565" s="16">
        <v>906</v>
      </c>
      <c r="C565" s="20" t="s">
        <v>264</v>
      </c>
      <c r="D565" s="20" t="s">
        <v>118</v>
      </c>
      <c r="E565" s="20" t="s">
        <v>1235</v>
      </c>
      <c r="F565" s="20"/>
      <c r="G565" s="26">
        <f>G566</f>
        <v>70113.2</v>
      </c>
      <c r="H565" s="26">
        <f>H566</f>
        <v>74475.8</v>
      </c>
      <c r="I565" s="204"/>
    </row>
    <row r="566" spans="1:9" ht="31.5" x14ac:dyDescent="0.25">
      <c r="A566" s="25" t="s">
        <v>272</v>
      </c>
      <c r="B566" s="16">
        <v>906</v>
      </c>
      <c r="C566" s="20" t="s">
        <v>264</v>
      </c>
      <c r="D566" s="20" t="s">
        <v>118</v>
      </c>
      <c r="E566" s="20" t="s">
        <v>1235</v>
      </c>
      <c r="F566" s="20" t="s">
        <v>273</v>
      </c>
      <c r="G566" s="26">
        <f>G567</f>
        <v>70113.2</v>
      </c>
      <c r="H566" s="26">
        <f>H567</f>
        <v>74475.8</v>
      </c>
      <c r="I566" s="204"/>
    </row>
    <row r="567" spans="1:9" ht="15.75" x14ac:dyDescent="0.25">
      <c r="A567" s="25" t="s">
        <v>274</v>
      </c>
      <c r="B567" s="16">
        <v>906</v>
      </c>
      <c r="C567" s="20" t="s">
        <v>264</v>
      </c>
      <c r="D567" s="20" t="s">
        <v>118</v>
      </c>
      <c r="E567" s="20" t="s">
        <v>1235</v>
      </c>
      <c r="F567" s="20" t="s">
        <v>275</v>
      </c>
      <c r="G567" s="26">
        <v>70113.2</v>
      </c>
      <c r="H567" s="26">
        <v>74475.8</v>
      </c>
      <c r="I567" s="204"/>
    </row>
    <row r="568" spans="1:9" ht="31.5" x14ac:dyDescent="0.25">
      <c r="A568" s="23" t="s">
        <v>1292</v>
      </c>
      <c r="B568" s="19">
        <v>906</v>
      </c>
      <c r="C568" s="24" t="s">
        <v>264</v>
      </c>
      <c r="D568" s="24" t="s">
        <v>118</v>
      </c>
      <c r="E568" s="24" t="s">
        <v>1237</v>
      </c>
      <c r="F568" s="24"/>
      <c r="G568" s="21">
        <f>G569+G572+G575</f>
        <v>4430</v>
      </c>
      <c r="H568" s="21">
        <f>H569+H572+H575</f>
        <v>4430</v>
      </c>
      <c r="I568" s="204"/>
    </row>
    <row r="569" spans="1:9" ht="31.5" hidden="1" x14ac:dyDescent="0.25">
      <c r="A569" s="25" t="s">
        <v>278</v>
      </c>
      <c r="B569" s="16">
        <v>906</v>
      </c>
      <c r="C569" s="20" t="s">
        <v>264</v>
      </c>
      <c r="D569" s="20" t="s">
        <v>118</v>
      </c>
      <c r="E569" s="20" t="s">
        <v>1318</v>
      </c>
      <c r="F569" s="20"/>
      <c r="G569" s="26">
        <f>'Пр.4 ведом.22'!G608</f>
        <v>0</v>
      </c>
      <c r="H569" s="26">
        <f t="shared" si="46"/>
        <v>0</v>
      </c>
      <c r="I569" s="204"/>
    </row>
    <row r="570" spans="1:9" ht="31.5" hidden="1" x14ac:dyDescent="0.25">
      <c r="A570" s="25" t="s">
        <v>272</v>
      </c>
      <c r="B570" s="16">
        <v>906</v>
      </c>
      <c r="C570" s="20" t="s">
        <v>264</v>
      </c>
      <c r="D570" s="20" t="s">
        <v>118</v>
      </c>
      <c r="E570" s="20" t="s">
        <v>1318</v>
      </c>
      <c r="F570" s="20" t="s">
        <v>273</v>
      </c>
      <c r="G570" s="26">
        <f>'Пр.4 ведом.22'!G609</f>
        <v>0</v>
      </c>
      <c r="H570" s="26">
        <f t="shared" ref="H570:H630" si="53">G570</f>
        <v>0</v>
      </c>
      <c r="I570" s="204"/>
    </row>
    <row r="571" spans="1:9" ht="15.75" hidden="1" x14ac:dyDescent="0.25">
      <c r="A571" s="25" t="s">
        <v>274</v>
      </c>
      <c r="B571" s="16">
        <v>906</v>
      </c>
      <c r="C571" s="20" t="s">
        <v>264</v>
      </c>
      <c r="D571" s="20" t="s">
        <v>118</v>
      </c>
      <c r="E571" s="20" t="s">
        <v>1318</v>
      </c>
      <c r="F571" s="20" t="s">
        <v>275</v>
      </c>
      <c r="G571" s="26">
        <f>'Пр.4 ведом.22'!G610</f>
        <v>0</v>
      </c>
      <c r="H571" s="26">
        <f t="shared" si="53"/>
        <v>0</v>
      </c>
      <c r="I571" s="204"/>
    </row>
    <row r="572" spans="1:9" ht="31.5" hidden="1" x14ac:dyDescent="0.25">
      <c r="A572" s="25" t="s">
        <v>280</v>
      </c>
      <c r="B572" s="16">
        <v>906</v>
      </c>
      <c r="C572" s="20" t="s">
        <v>264</v>
      </c>
      <c r="D572" s="20" t="s">
        <v>118</v>
      </c>
      <c r="E572" s="20" t="s">
        <v>1319</v>
      </c>
      <c r="F572" s="20"/>
      <c r="G572" s="26">
        <f>'Пр.4 ведом.22'!G611</f>
        <v>0</v>
      </c>
      <c r="H572" s="26">
        <f t="shared" si="53"/>
        <v>0</v>
      </c>
      <c r="I572" s="204"/>
    </row>
    <row r="573" spans="1:9" ht="31.5" hidden="1" x14ac:dyDescent="0.25">
      <c r="A573" s="25" t="s">
        <v>272</v>
      </c>
      <c r="B573" s="16">
        <v>906</v>
      </c>
      <c r="C573" s="20" t="s">
        <v>264</v>
      </c>
      <c r="D573" s="20" t="s">
        <v>118</v>
      </c>
      <c r="E573" s="20" t="s">
        <v>1319</v>
      </c>
      <c r="F573" s="20" t="s">
        <v>273</v>
      </c>
      <c r="G573" s="26">
        <f>'Пр.4 ведом.22'!G612</f>
        <v>0</v>
      </c>
      <c r="H573" s="26">
        <f t="shared" si="53"/>
        <v>0</v>
      </c>
      <c r="I573" s="204"/>
    </row>
    <row r="574" spans="1:9" ht="15.75" hidden="1" x14ac:dyDescent="0.25">
      <c r="A574" s="25" t="s">
        <v>274</v>
      </c>
      <c r="B574" s="16">
        <v>906</v>
      </c>
      <c r="C574" s="20" t="s">
        <v>264</v>
      </c>
      <c r="D574" s="20" t="s">
        <v>118</v>
      </c>
      <c r="E574" s="20" t="s">
        <v>1319</v>
      </c>
      <c r="F574" s="20" t="s">
        <v>275</v>
      </c>
      <c r="G574" s="26">
        <f>'Пр.4 ведом.22'!G613</f>
        <v>0</v>
      </c>
      <c r="H574" s="26">
        <f t="shared" si="53"/>
        <v>0</v>
      </c>
      <c r="I574" s="204"/>
    </row>
    <row r="575" spans="1:9" ht="31.5" x14ac:dyDescent="0.25">
      <c r="A575" s="29" t="s">
        <v>415</v>
      </c>
      <c r="B575" s="16">
        <v>906</v>
      </c>
      <c r="C575" s="20" t="s">
        <v>264</v>
      </c>
      <c r="D575" s="20" t="s">
        <v>118</v>
      </c>
      <c r="E575" s="20" t="s">
        <v>1238</v>
      </c>
      <c r="F575" s="20"/>
      <c r="G575" s="26">
        <f>G576</f>
        <v>4430</v>
      </c>
      <c r="H575" s="26">
        <f>H576</f>
        <v>4430</v>
      </c>
      <c r="I575" s="204"/>
    </row>
    <row r="576" spans="1:9" ht="31.5" x14ac:dyDescent="0.25">
      <c r="A576" s="25" t="s">
        <v>272</v>
      </c>
      <c r="B576" s="16">
        <v>906</v>
      </c>
      <c r="C576" s="20" t="s">
        <v>264</v>
      </c>
      <c r="D576" s="20" t="s">
        <v>118</v>
      </c>
      <c r="E576" s="20" t="s">
        <v>1238</v>
      </c>
      <c r="F576" s="20" t="s">
        <v>273</v>
      </c>
      <c r="G576" s="26">
        <f>G577</f>
        <v>4430</v>
      </c>
      <c r="H576" s="26">
        <f>H577</f>
        <v>4430</v>
      </c>
      <c r="I576" s="204"/>
    </row>
    <row r="577" spans="1:9" ht="15.75" x14ac:dyDescent="0.25">
      <c r="A577" s="25" t="s">
        <v>274</v>
      </c>
      <c r="B577" s="16">
        <v>906</v>
      </c>
      <c r="C577" s="20" t="s">
        <v>264</v>
      </c>
      <c r="D577" s="20" t="s">
        <v>118</v>
      </c>
      <c r="E577" s="20" t="s">
        <v>1238</v>
      </c>
      <c r="F577" s="20" t="s">
        <v>275</v>
      </c>
      <c r="G577" s="26">
        <f>4430</f>
        <v>4430</v>
      </c>
      <c r="H577" s="26">
        <f t="shared" si="53"/>
        <v>4430</v>
      </c>
      <c r="I577" s="204"/>
    </row>
    <row r="578" spans="1:9" ht="31.5" x14ac:dyDescent="0.25">
      <c r="A578" s="219" t="s">
        <v>948</v>
      </c>
      <c r="B578" s="19">
        <v>906</v>
      </c>
      <c r="C578" s="24" t="s">
        <v>264</v>
      </c>
      <c r="D578" s="24" t="s">
        <v>118</v>
      </c>
      <c r="E578" s="24" t="s">
        <v>1240</v>
      </c>
      <c r="F578" s="24"/>
      <c r="G578" s="44">
        <f>G579+G582+G585</f>
        <v>4848</v>
      </c>
      <c r="H578" s="44">
        <f>H579+H582+H585</f>
        <v>4848</v>
      </c>
      <c r="I578" s="204"/>
    </row>
    <row r="579" spans="1:9" ht="31.5" hidden="1" x14ac:dyDescent="0.25">
      <c r="A579" s="25" t="s">
        <v>284</v>
      </c>
      <c r="B579" s="16">
        <v>906</v>
      </c>
      <c r="C579" s="20" t="s">
        <v>264</v>
      </c>
      <c r="D579" s="20" t="s">
        <v>118</v>
      </c>
      <c r="E579" s="20" t="s">
        <v>1258</v>
      </c>
      <c r="F579" s="20"/>
      <c r="G579" s="26">
        <f>'Пр.4 ведом.22'!G618</f>
        <v>0</v>
      </c>
      <c r="H579" s="26">
        <f t="shared" si="53"/>
        <v>0</v>
      </c>
      <c r="I579" s="204"/>
    </row>
    <row r="580" spans="1:9" ht="31.5" hidden="1" x14ac:dyDescent="0.25">
      <c r="A580" s="25" t="s">
        <v>272</v>
      </c>
      <c r="B580" s="16">
        <v>906</v>
      </c>
      <c r="C580" s="20" t="s">
        <v>264</v>
      </c>
      <c r="D580" s="20" t="s">
        <v>118</v>
      </c>
      <c r="E580" s="20" t="s">
        <v>1258</v>
      </c>
      <c r="F580" s="20" t="s">
        <v>273</v>
      </c>
      <c r="G580" s="26">
        <f>'Пр.4 ведом.22'!G619</f>
        <v>0</v>
      </c>
      <c r="H580" s="26">
        <f t="shared" si="53"/>
        <v>0</v>
      </c>
      <c r="I580" s="204"/>
    </row>
    <row r="581" spans="1:9" ht="15.75" hidden="1" x14ac:dyDescent="0.25">
      <c r="A581" s="25" t="s">
        <v>274</v>
      </c>
      <c r="B581" s="16">
        <v>906</v>
      </c>
      <c r="C581" s="20" t="s">
        <v>264</v>
      </c>
      <c r="D581" s="20" t="s">
        <v>118</v>
      </c>
      <c r="E581" s="20" t="s">
        <v>1258</v>
      </c>
      <c r="F581" s="20" t="s">
        <v>275</v>
      </c>
      <c r="G581" s="26">
        <f>'Пр.4 ведом.22'!G620</f>
        <v>0</v>
      </c>
      <c r="H581" s="26">
        <f t="shared" si="53"/>
        <v>0</v>
      </c>
      <c r="I581" s="204"/>
    </row>
    <row r="582" spans="1:9" ht="31.5" x14ac:dyDescent="0.25">
      <c r="A582" s="60" t="s">
        <v>764</v>
      </c>
      <c r="B582" s="16">
        <v>906</v>
      </c>
      <c r="C582" s="20" t="s">
        <v>264</v>
      </c>
      <c r="D582" s="20" t="s">
        <v>118</v>
      </c>
      <c r="E582" s="20" t="s">
        <v>1241</v>
      </c>
      <c r="F582" s="20"/>
      <c r="G582" s="26">
        <f>G583</f>
        <v>3088</v>
      </c>
      <c r="H582" s="26">
        <f>H583</f>
        <v>3088</v>
      </c>
      <c r="I582" s="204"/>
    </row>
    <row r="583" spans="1:9" ht="31.5" x14ac:dyDescent="0.25">
      <c r="A583" s="29" t="s">
        <v>272</v>
      </c>
      <c r="B583" s="16">
        <v>906</v>
      </c>
      <c r="C583" s="20" t="s">
        <v>264</v>
      </c>
      <c r="D583" s="20" t="s">
        <v>118</v>
      </c>
      <c r="E583" s="20" t="s">
        <v>1241</v>
      </c>
      <c r="F583" s="20" t="s">
        <v>273</v>
      </c>
      <c r="G583" s="26">
        <f>G584</f>
        <v>3088</v>
      </c>
      <c r="H583" s="26">
        <f>H584</f>
        <v>3088</v>
      </c>
      <c r="I583" s="204"/>
    </row>
    <row r="584" spans="1:9" ht="15.75" x14ac:dyDescent="0.25">
      <c r="A584" s="182" t="s">
        <v>274</v>
      </c>
      <c r="B584" s="16">
        <v>906</v>
      </c>
      <c r="C584" s="20" t="s">
        <v>264</v>
      </c>
      <c r="D584" s="20" t="s">
        <v>118</v>
      </c>
      <c r="E584" s="20" t="s">
        <v>1241</v>
      </c>
      <c r="F584" s="20" t="s">
        <v>275</v>
      </c>
      <c r="G584" s="26">
        <v>3088</v>
      </c>
      <c r="H584" s="26">
        <f t="shared" si="53"/>
        <v>3088</v>
      </c>
      <c r="I584" s="204"/>
    </row>
    <row r="585" spans="1:9" ht="47.25" x14ac:dyDescent="0.25">
      <c r="A585" s="60" t="s">
        <v>765</v>
      </c>
      <c r="B585" s="16">
        <v>906</v>
      </c>
      <c r="C585" s="20" t="s">
        <v>264</v>
      </c>
      <c r="D585" s="20" t="s">
        <v>118</v>
      </c>
      <c r="E585" s="20" t="s">
        <v>1242</v>
      </c>
      <c r="F585" s="20"/>
      <c r="G585" s="26">
        <f>G586</f>
        <v>1760</v>
      </c>
      <c r="H585" s="26">
        <f>H586</f>
        <v>1760</v>
      </c>
      <c r="I585" s="204"/>
    </row>
    <row r="586" spans="1:9" ht="31.5" x14ac:dyDescent="0.25">
      <c r="A586" s="29" t="s">
        <v>272</v>
      </c>
      <c r="B586" s="16">
        <v>906</v>
      </c>
      <c r="C586" s="20" t="s">
        <v>264</v>
      </c>
      <c r="D586" s="20" t="s">
        <v>118</v>
      </c>
      <c r="E586" s="20" t="s">
        <v>1242</v>
      </c>
      <c r="F586" s="20" t="s">
        <v>273</v>
      </c>
      <c r="G586" s="26">
        <f>G587</f>
        <v>1760</v>
      </c>
      <c r="H586" s="26">
        <f>H587</f>
        <v>1760</v>
      </c>
      <c r="I586" s="204"/>
    </row>
    <row r="587" spans="1:9" ht="15.75" x14ac:dyDescent="0.25">
      <c r="A587" s="182" t="s">
        <v>274</v>
      </c>
      <c r="B587" s="16">
        <v>906</v>
      </c>
      <c r="C587" s="20" t="s">
        <v>264</v>
      </c>
      <c r="D587" s="20" t="s">
        <v>118</v>
      </c>
      <c r="E587" s="20" t="s">
        <v>1242</v>
      </c>
      <c r="F587" s="20" t="s">
        <v>275</v>
      </c>
      <c r="G587" s="26">
        <f>1760</f>
        <v>1760</v>
      </c>
      <c r="H587" s="26">
        <f t="shared" si="53"/>
        <v>1760</v>
      </c>
      <c r="I587" s="204"/>
    </row>
    <row r="588" spans="1:9" ht="63" x14ac:dyDescent="0.25">
      <c r="A588" s="23" t="s">
        <v>933</v>
      </c>
      <c r="B588" s="19">
        <v>906</v>
      </c>
      <c r="C588" s="24" t="s">
        <v>264</v>
      </c>
      <c r="D588" s="24" t="s">
        <v>118</v>
      </c>
      <c r="E588" s="24" t="s">
        <v>1243</v>
      </c>
      <c r="F588" s="24"/>
      <c r="G588" s="21">
        <f t="shared" ref="G588:H590" si="54">G589</f>
        <v>297.70000000000005</v>
      </c>
      <c r="H588" s="21">
        <f t="shared" si="54"/>
        <v>297.70000000000005</v>
      </c>
      <c r="I588" s="204"/>
    </row>
    <row r="589" spans="1:9" ht="115.5" customHeight="1" x14ac:dyDescent="0.25">
      <c r="A589" s="25" t="s">
        <v>1506</v>
      </c>
      <c r="B589" s="16">
        <v>906</v>
      </c>
      <c r="C589" s="20" t="s">
        <v>264</v>
      </c>
      <c r="D589" s="20" t="s">
        <v>118</v>
      </c>
      <c r="E589" s="20" t="s">
        <v>1244</v>
      </c>
      <c r="F589" s="20"/>
      <c r="G589" s="26">
        <f t="shared" si="54"/>
        <v>297.70000000000005</v>
      </c>
      <c r="H589" s="26">
        <f t="shared" si="54"/>
        <v>297.70000000000005</v>
      </c>
      <c r="I589" s="204"/>
    </row>
    <row r="590" spans="1:9" ht="31.5" x14ac:dyDescent="0.25">
      <c r="A590" s="29" t="s">
        <v>272</v>
      </c>
      <c r="B590" s="16">
        <v>906</v>
      </c>
      <c r="C590" s="20" t="s">
        <v>264</v>
      </c>
      <c r="D590" s="20" t="s">
        <v>118</v>
      </c>
      <c r="E590" s="20" t="s">
        <v>1244</v>
      </c>
      <c r="F590" s="20" t="s">
        <v>273</v>
      </c>
      <c r="G590" s="26">
        <f t="shared" si="54"/>
        <v>297.70000000000005</v>
      </c>
      <c r="H590" s="26">
        <f t="shared" si="54"/>
        <v>297.70000000000005</v>
      </c>
      <c r="I590" s="204"/>
    </row>
    <row r="591" spans="1:9" ht="15.75" x14ac:dyDescent="0.25">
      <c r="A591" s="182" t="s">
        <v>274</v>
      </c>
      <c r="B591" s="16">
        <v>906</v>
      </c>
      <c r="C591" s="20" t="s">
        <v>264</v>
      </c>
      <c r="D591" s="20" t="s">
        <v>118</v>
      </c>
      <c r="E591" s="20" t="s">
        <v>1244</v>
      </c>
      <c r="F591" s="20" t="s">
        <v>275</v>
      </c>
      <c r="G591" s="26">
        <f>124.4+173.3</f>
        <v>297.70000000000005</v>
      </c>
      <c r="H591" s="26">
        <f t="shared" si="53"/>
        <v>297.70000000000005</v>
      </c>
      <c r="I591" s="204"/>
    </row>
    <row r="592" spans="1:9" s="203" customFormat="1" ht="94.5" x14ac:dyDescent="0.25">
      <c r="A592" s="23" t="s">
        <v>1166</v>
      </c>
      <c r="B592" s="19">
        <v>906</v>
      </c>
      <c r="C592" s="24" t="s">
        <v>264</v>
      </c>
      <c r="D592" s="24" t="s">
        <v>118</v>
      </c>
      <c r="E592" s="24" t="s">
        <v>1246</v>
      </c>
      <c r="F592" s="24"/>
      <c r="G592" s="21">
        <f>G593+G596</f>
        <v>1666.6</v>
      </c>
      <c r="H592" s="21">
        <f>H593+H596</f>
        <v>915</v>
      </c>
      <c r="I592" s="204"/>
    </row>
    <row r="593" spans="1:9" s="203" customFormat="1" ht="94.5" hidden="1" x14ac:dyDescent="0.25">
      <c r="A593" s="149" t="s">
        <v>1185</v>
      </c>
      <c r="B593" s="16">
        <v>906</v>
      </c>
      <c r="C593" s="20" t="s">
        <v>264</v>
      </c>
      <c r="D593" s="20" t="s">
        <v>118</v>
      </c>
      <c r="E593" s="20" t="s">
        <v>1247</v>
      </c>
      <c r="F593" s="20"/>
      <c r="G593" s="26">
        <f>G594</f>
        <v>0</v>
      </c>
      <c r="H593" s="26">
        <f>H594</f>
        <v>0</v>
      </c>
      <c r="I593" s="204"/>
    </row>
    <row r="594" spans="1:9" s="203" customFormat="1" ht="31.5" hidden="1" x14ac:dyDescent="0.25">
      <c r="A594" s="25" t="s">
        <v>272</v>
      </c>
      <c r="B594" s="16">
        <v>906</v>
      </c>
      <c r="C594" s="20" t="s">
        <v>264</v>
      </c>
      <c r="D594" s="20" t="s">
        <v>118</v>
      </c>
      <c r="E594" s="20" t="s">
        <v>1247</v>
      </c>
      <c r="F594" s="20" t="s">
        <v>273</v>
      </c>
      <c r="G594" s="26">
        <f>G595</f>
        <v>0</v>
      </c>
      <c r="H594" s="26">
        <f>H595</f>
        <v>0</v>
      </c>
      <c r="I594" s="204"/>
    </row>
    <row r="595" spans="1:9" s="203" customFormat="1" ht="15.75" hidden="1" x14ac:dyDescent="0.25">
      <c r="A595" s="25" t="s">
        <v>274</v>
      </c>
      <c r="B595" s="16">
        <v>906</v>
      </c>
      <c r="C595" s="20" t="s">
        <v>264</v>
      </c>
      <c r="D595" s="20" t="s">
        <v>118</v>
      </c>
      <c r="E595" s="20" t="s">
        <v>1247</v>
      </c>
      <c r="F595" s="20" t="s">
        <v>275</v>
      </c>
      <c r="G595" s="26">
        <v>0</v>
      </c>
      <c r="H595" s="26">
        <v>0</v>
      </c>
      <c r="I595" s="204"/>
    </row>
    <row r="596" spans="1:9" s="203" customFormat="1" ht="96.4" customHeight="1" x14ac:dyDescent="0.25">
      <c r="A596" s="149" t="s">
        <v>1493</v>
      </c>
      <c r="B596" s="16">
        <v>906</v>
      </c>
      <c r="C596" s="20" t="s">
        <v>264</v>
      </c>
      <c r="D596" s="20" t="s">
        <v>118</v>
      </c>
      <c r="E596" s="20" t="s">
        <v>1247</v>
      </c>
      <c r="F596" s="20"/>
      <c r="G596" s="26">
        <f>G597</f>
        <v>1666.6</v>
      </c>
      <c r="H596" s="26">
        <f>H597</f>
        <v>915</v>
      </c>
      <c r="I596" s="204"/>
    </row>
    <row r="597" spans="1:9" s="203" customFormat="1" ht="31.5" x14ac:dyDescent="0.25">
      <c r="A597" s="25" t="s">
        <v>272</v>
      </c>
      <c r="B597" s="16">
        <v>906</v>
      </c>
      <c r="C597" s="20" t="s">
        <v>264</v>
      </c>
      <c r="D597" s="20" t="s">
        <v>118</v>
      </c>
      <c r="E597" s="20" t="s">
        <v>1247</v>
      </c>
      <c r="F597" s="20" t="s">
        <v>273</v>
      </c>
      <c r="G597" s="26">
        <f>G598</f>
        <v>1666.6</v>
      </c>
      <c r="H597" s="26">
        <f>H598</f>
        <v>915</v>
      </c>
      <c r="I597" s="204"/>
    </row>
    <row r="598" spans="1:9" s="203" customFormat="1" ht="15.75" x14ac:dyDescent="0.25">
      <c r="A598" s="25" t="s">
        <v>274</v>
      </c>
      <c r="B598" s="16">
        <v>906</v>
      </c>
      <c r="C598" s="20" t="s">
        <v>264</v>
      </c>
      <c r="D598" s="20" t="s">
        <v>118</v>
      </c>
      <c r="E598" s="20" t="s">
        <v>1247</v>
      </c>
      <c r="F598" s="20" t="s">
        <v>275</v>
      </c>
      <c r="G598" s="26">
        <f>1666.6</f>
        <v>1666.6</v>
      </c>
      <c r="H598" s="26">
        <v>915</v>
      </c>
      <c r="I598" s="204"/>
    </row>
    <row r="599" spans="1:9" s="203" customFormat="1" ht="47.25" x14ac:dyDescent="0.25">
      <c r="A599" s="34" t="s">
        <v>1357</v>
      </c>
      <c r="B599" s="19">
        <v>906</v>
      </c>
      <c r="C599" s="24" t="s">
        <v>264</v>
      </c>
      <c r="D599" s="24" t="s">
        <v>118</v>
      </c>
      <c r="E599" s="24" t="s">
        <v>324</v>
      </c>
      <c r="F599" s="24"/>
      <c r="G599" s="21">
        <f t="shared" ref="G599:H602" si="55">G600</f>
        <v>80</v>
      </c>
      <c r="H599" s="21">
        <f t="shared" si="55"/>
        <v>25</v>
      </c>
      <c r="I599" s="204"/>
    </row>
    <row r="600" spans="1:9" s="203" customFormat="1" ht="63" x14ac:dyDescent="0.25">
      <c r="A600" s="34" t="s">
        <v>1009</v>
      </c>
      <c r="B600" s="19">
        <v>906</v>
      </c>
      <c r="C600" s="24" t="s">
        <v>264</v>
      </c>
      <c r="D600" s="24" t="s">
        <v>118</v>
      </c>
      <c r="E600" s="24" t="s">
        <v>934</v>
      </c>
      <c r="F600" s="24"/>
      <c r="G600" s="21">
        <f t="shared" si="55"/>
        <v>80</v>
      </c>
      <c r="H600" s="21">
        <f t="shared" si="55"/>
        <v>25</v>
      </c>
      <c r="I600" s="204"/>
    </row>
    <row r="601" spans="1:9" s="203" customFormat="1" ht="47.25" x14ac:dyDescent="0.25">
      <c r="A601" s="31" t="s">
        <v>1081</v>
      </c>
      <c r="B601" s="16">
        <v>906</v>
      </c>
      <c r="C601" s="20" t="s">
        <v>264</v>
      </c>
      <c r="D601" s="20" t="s">
        <v>118</v>
      </c>
      <c r="E601" s="20" t="s">
        <v>935</v>
      </c>
      <c r="F601" s="20"/>
      <c r="G601" s="26">
        <f t="shared" si="55"/>
        <v>80</v>
      </c>
      <c r="H601" s="26">
        <f t="shared" si="55"/>
        <v>25</v>
      </c>
      <c r="I601" s="204"/>
    </row>
    <row r="602" spans="1:9" s="203" customFormat="1" ht="31.5" x14ac:dyDescent="0.25">
      <c r="A602" s="31" t="s">
        <v>272</v>
      </c>
      <c r="B602" s="16">
        <v>906</v>
      </c>
      <c r="C602" s="20" t="s">
        <v>264</v>
      </c>
      <c r="D602" s="20" t="s">
        <v>118</v>
      </c>
      <c r="E602" s="20" t="s">
        <v>935</v>
      </c>
      <c r="F602" s="20" t="s">
        <v>273</v>
      </c>
      <c r="G602" s="26">
        <f t="shared" si="55"/>
        <v>80</v>
      </c>
      <c r="H602" s="26">
        <f t="shared" si="55"/>
        <v>25</v>
      </c>
      <c r="I602" s="204"/>
    </row>
    <row r="603" spans="1:9" s="203" customFormat="1" ht="15.75" x14ac:dyDescent="0.25">
      <c r="A603" s="31" t="s">
        <v>274</v>
      </c>
      <c r="B603" s="16">
        <v>906</v>
      </c>
      <c r="C603" s="20" t="s">
        <v>264</v>
      </c>
      <c r="D603" s="20" t="s">
        <v>118</v>
      </c>
      <c r="E603" s="20" t="s">
        <v>935</v>
      </c>
      <c r="F603" s="20" t="s">
        <v>275</v>
      </c>
      <c r="G603" s="26">
        <v>80</v>
      </c>
      <c r="H603" s="26">
        <v>25</v>
      </c>
      <c r="I603" s="204"/>
    </row>
    <row r="604" spans="1:9" ht="47.25" x14ac:dyDescent="0.25">
      <c r="A604" s="41" t="s">
        <v>1352</v>
      </c>
      <c r="B604" s="19">
        <v>906</v>
      </c>
      <c r="C604" s="24" t="s">
        <v>264</v>
      </c>
      <c r="D604" s="24" t="s">
        <v>118</v>
      </c>
      <c r="E604" s="24" t="s">
        <v>705</v>
      </c>
      <c r="F604" s="222"/>
      <c r="G604" s="21">
        <f>G606</f>
        <v>570.9</v>
      </c>
      <c r="H604" s="21">
        <f>H606</f>
        <v>593.79999999999995</v>
      </c>
      <c r="I604" s="204"/>
    </row>
    <row r="605" spans="1:9" ht="47.25" x14ac:dyDescent="0.25">
      <c r="A605" s="41" t="s">
        <v>890</v>
      </c>
      <c r="B605" s="19">
        <v>906</v>
      </c>
      <c r="C605" s="24" t="s">
        <v>264</v>
      </c>
      <c r="D605" s="24" t="s">
        <v>118</v>
      </c>
      <c r="E605" s="24" t="s">
        <v>888</v>
      </c>
      <c r="F605" s="222"/>
      <c r="G605" s="21">
        <f t="shared" ref="G605:H607" si="56">G606</f>
        <v>570.9</v>
      </c>
      <c r="H605" s="21">
        <f t="shared" si="56"/>
        <v>593.79999999999995</v>
      </c>
      <c r="I605" s="204"/>
    </row>
    <row r="606" spans="1:9" ht="47.25" x14ac:dyDescent="0.25">
      <c r="A606" s="98" t="s">
        <v>780</v>
      </c>
      <c r="B606" s="16">
        <v>906</v>
      </c>
      <c r="C606" s="20" t="s">
        <v>264</v>
      </c>
      <c r="D606" s="20" t="s">
        <v>118</v>
      </c>
      <c r="E606" s="20" t="s">
        <v>936</v>
      </c>
      <c r="F606" s="32"/>
      <c r="G606" s="26">
        <f t="shared" si="56"/>
        <v>570.9</v>
      </c>
      <c r="H606" s="26">
        <f t="shared" si="56"/>
        <v>593.79999999999995</v>
      </c>
      <c r="I606" s="204"/>
    </row>
    <row r="607" spans="1:9" ht="31.5" x14ac:dyDescent="0.25">
      <c r="A607" s="29" t="s">
        <v>272</v>
      </c>
      <c r="B607" s="16">
        <v>906</v>
      </c>
      <c r="C607" s="20" t="s">
        <v>264</v>
      </c>
      <c r="D607" s="20" t="s">
        <v>118</v>
      </c>
      <c r="E607" s="20" t="s">
        <v>936</v>
      </c>
      <c r="F607" s="32" t="s">
        <v>273</v>
      </c>
      <c r="G607" s="26">
        <f t="shared" si="56"/>
        <v>570.9</v>
      </c>
      <c r="H607" s="26">
        <f t="shared" si="56"/>
        <v>593.79999999999995</v>
      </c>
      <c r="I607" s="204"/>
    </row>
    <row r="608" spans="1:9" ht="15.75" x14ac:dyDescent="0.25">
      <c r="A608" s="182" t="s">
        <v>274</v>
      </c>
      <c r="B608" s="16">
        <v>906</v>
      </c>
      <c r="C608" s="20" t="s">
        <v>264</v>
      </c>
      <c r="D608" s="20" t="s">
        <v>118</v>
      </c>
      <c r="E608" s="20" t="s">
        <v>936</v>
      </c>
      <c r="F608" s="32" t="s">
        <v>275</v>
      </c>
      <c r="G608" s="26">
        <v>570.9</v>
      </c>
      <c r="H608" s="26">
        <v>593.79999999999995</v>
      </c>
      <c r="I608" s="204"/>
    </row>
    <row r="609" spans="1:13" ht="15.75" x14ac:dyDescent="0.25">
      <c r="A609" s="23" t="s">
        <v>425</v>
      </c>
      <c r="B609" s="19">
        <v>906</v>
      </c>
      <c r="C609" s="24" t="s">
        <v>264</v>
      </c>
      <c r="D609" s="24" t="s">
        <v>213</v>
      </c>
      <c r="E609" s="24"/>
      <c r="F609" s="24"/>
      <c r="G609" s="21">
        <f>G610+G686+G681</f>
        <v>177341.49999999997</v>
      </c>
      <c r="H609" s="21">
        <f>H610+H686+H681</f>
        <v>196805.15000000002</v>
      </c>
      <c r="I609" s="204"/>
      <c r="M609" s="232"/>
    </row>
    <row r="610" spans="1:13" ht="31.5" x14ac:dyDescent="0.25">
      <c r="A610" s="23" t="s">
        <v>1356</v>
      </c>
      <c r="B610" s="19">
        <v>906</v>
      </c>
      <c r="C610" s="24" t="s">
        <v>264</v>
      </c>
      <c r="D610" s="24" t="s">
        <v>213</v>
      </c>
      <c r="E610" s="24" t="s">
        <v>406</v>
      </c>
      <c r="F610" s="24"/>
      <c r="G610" s="21">
        <f>G611+G615+G634+G647+G654+G658+G662+G673+G669+G677</f>
        <v>176410.99999999997</v>
      </c>
      <c r="H610" s="21">
        <f>H611+H615+H634+H647+H654+H658+H662+H673+H669+H677</f>
        <v>195829.85000000003</v>
      </c>
      <c r="I610" s="204"/>
    </row>
    <row r="611" spans="1:13" ht="31.5" x14ac:dyDescent="0.25">
      <c r="A611" s="23" t="s">
        <v>937</v>
      </c>
      <c r="B611" s="19">
        <v>906</v>
      </c>
      <c r="C611" s="24" t="s">
        <v>264</v>
      </c>
      <c r="D611" s="24" t="s">
        <v>213</v>
      </c>
      <c r="E611" s="24" t="s">
        <v>1230</v>
      </c>
      <c r="F611" s="24"/>
      <c r="G611" s="21">
        <f t="shared" ref="G611:H613" si="57">G612</f>
        <v>28690.799999999999</v>
      </c>
      <c r="H611" s="21">
        <f t="shared" si="57"/>
        <v>28690.799999999999</v>
      </c>
      <c r="I611" s="204"/>
    </row>
    <row r="612" spans="1:13" ht="47.25" x14ac:dyDescent="0.25">
      <c r="A612" s="25" t="s">
        <v>427</v>
      </c>
      <c r="B612" s="16">
        <v>906</v>
      </c>
      <c r="C612" s="20" t="s">
        <v>264</v>
      </c>
      <c r="D612" s="20" t="s">
        <v>213</v>
      </c>
      <c r="E612" s="20" t="s">
        <v>1249</v>
      </c>
      <c r="F612" s="20"/>
      <c r="G612" s="26">
        <f t="shared" si="57"/>
        <v>28690.799999999999</v>
      </c>
      <c r="H612" s="26">
        <f t="shared" si="57"/>
        <v>28690.799999999999</v>
      </c>
      <c r="I612" s="204"/>
    </row>
    <row r="613" spans="1:13" ht="31.5" x14ac:dyDescent="0.25">
      <c r="A613" s="25" t="s">
        <v>272</v>
      </c>
      <c r="B613" s="16">
        <v>906</v>
      </c>
      <c r="C613" s="20" t="s">
        <v>264</v>
      </c>
      <c r="D613" s="20" t="s">
        <v>213</v>
      </c>
      <c r="E613" s="20" t="s">
        <v>1249</v>
      </c>
      <c r="F613" s="20" t="s">
        <v>273</v>
      </c>
      <c r="G613" s="26">
        <f t="shared" si="57"/>
        <v>28690.799999999999</v>
      </c>
      <c r="H613" s="26">
        <f t="shared" si="57"/>
        <v>28690.799999999999</v>
      </c>
      <c r="I613" s="204"/>
    </row>
    <row r="614" spans="1:13" ht="15.75" x14ac:dyDescent="0.25">
      <c r="A614" s="25" t="s">
        <v>274</v>
      </c>
      <c r="B614" s="16">
        <v>906</v>
      </c>
      <c r="C614" s="20" t="s">
        <v>264</v>
      </c>
      <c r="D614" s="20" t="s">
        <v>213</v>
      </c>
      <c r="E614" s="20" t="s">
        <v>1249</v>
      </c>
      <c r="F614" s="20" t="s">
        <v>275</v>
      </c>
      <c r="G614" s="26">
        <v>28690.799999999999</v>
      </c>
      <c r="H614" s="26">
        <f t="shared" si="53"/>
        <v>28690.799999999999</v>
      </c>
      <c r="I614" s="204"/>
    </row>
    <row r="615" spans="1:13" ht="47.25" x14ac:dyDescent="0.25">
      <c r="A615" s="23" t="s">
        <v>900</v>
      </c>
      <c r="B615" s="19">
        <v>906</v>
      </c>
      <c r="C615" s="24" t="s">
        <v>264</v>
      </c>
      <c r="D615" s="24" t="s">
        <v>213</v>
      </c>
      <c r="E615" s="24" t="s">
        <v>1232</v>
      </c>
      <c r="F615" s="24"/>
      <c r="G615" s="44">
        <f>G622+G625+G628+G631+G619+G616</f>
        <v>131370.9</v>
      </c>
      <c r="H615" s="44">
        <f>H622+H625+H628+H631+H619+H616</f>
        <v>150534.80000000002</v>
      </c>
      <c r="I615" s="204"/>
      <c r="L615" s="232"/>
    </row>
    <row r="616" spans="1:13" s="203" customFormat="1" ht="63" x14ac:dyDescent="0.25">
      <c r="A616" s="25" t="s">
        <v>1392</v>
      </c>
      <c r="B616" s="16">
        <v>906</v>
      </c>
      <c r="C616" s="20" t="s">
        <v>264</v>
      </c>
      <c r="D616" s="20" t="s">
        <v>213</v>
      </c>
      <c r="E616" s="20" t="s">
        <v>1393</v>
      </c>
      <c r="F616" s="20"/>
      <c r="G616" s="27">
        <f>G617</f>
        <v>7226.1</v>
      </c>
      <c r="H616" s="27">
        <f>H617</f>
        <v>7226.1</v>
      </c>
      <c r="I616" s="204"/>
    </row>
    <row r="617" spans="1:13" s="203" customFormat="1" ht="31.5" x14ac:dyDescent="0.25">
      <c r="A617" s="25" t="s">
        <v>272</v>
      </c>
      <c r="B617" s="16">
        <v>906</v>
      </c>
      <c r="C617" s="20" t="s">
        <v>264</v>
      </c>
      <c r="D617" s="20" t="s">
        <v>213</v>
      </c>
      <c r="E617" s="20" t="s">
        <v>1393</v>
      </c>
      <c r="F617" s="20" t="s">
        <v>273</v>
      </c>
      <c r="G617" s="27">
        <f>G618</f>
        <v>7226.1</v>
      </c>
      <c r="H617" s="27">
        <f>H618</f>
        <v>7226.1</v>
      </c>
      <c r="I617" s="204"/>
    </row>
    <row r="618" spans="1:13" s="203" customFormat="1" ht="15.75" x14ac:dyDescent="0.25">
      <c r="A618" s="25" t="s">
        <v>274</v>
      </c>
      <c r="B618" s="16">
        <v>906</v>
      </c>
      <c r="C618" s="20" t="s">
        <v>264</v>
      </c>
      <c r="D618" s="20" t="s">
        <v>213</v>
      </c>
      <c r="E618" s="20" t="s">
        <v>1393</v>
      </c>
      <c r="F618" s="20" t="s">
        <v>275</v>
      </c>
      <c r="G618" s="27">
        <v>7226.1</v>
      </c>
      <c r="H618" s="27">
        <v>7226.1</v>
      </c>
      <c r="I618" s="204"/>
    </row>
    <row r="619" spans="1:13" s="203" customFormat="1" ht="94.5" x14ac:dyDescent="0.25">
      <c r="A619" s="31" t="s">
        <v>464</v>
      </c>
      <c r="B619" s="16">
        <v>906</v>
      </c>
      <c r="C619" s="20" t="s">
        <v>264</v>
      </c>
      <c r="D619" s="20" t="s">
        <v>213</v>
      </c>
      <c r="E619" s="20" t="s">
        <v>1390</v>
      </c>
      <c r="F619" s="20"/>
      <c r="G619" s="26">
        <f>G620</f>
        <v>4610</v>
      </c>
      <c r="H619" s="26">
        <f>H620</f>
        <v>4610</v>
      </c>
      <c r="I619" s="204"/>
    </row>
    <row r="620" spans="1:13" s="203" customFormat="1" ht="31.5" x14ac:dyDescent="0.25">
      <c r="A620" s="25" t="s">
        <v>272</v>
      </c>
      <c r="B620" s="16">
        <v>906</v>
      </c>
      <c r="C620" s="20" t="s">
        <v>264</v>
      </c>
      <c r="D620" s="20" t="s">
        <v>213</v>
      </c>
      <c r="E620" s="20" t="s">
        <v>1390</v>
      </c>
      <c r="F620" s="20" t="s">
        <v>273</v>
      </c>
      <c r="G620" s="26">
        <f>G621</f>
        <v>4610</v>
      </c>
      <c r="H620" s="26">
        <f>H621</f>
        <v>4610</v>
      </c>
      <c r="I620" s="204"/>
    </row>
    <row r="621" spans="1:13" s="203" customFormat="1" ht="15.75" x14ac:dyDescent="0.25">
      <c r="A621" s="25" t="s">
        <v>274</v>
      </c>
      <c r="B621" s="16">
        <v>906</v>
      </c>
      <c r="C621" s="20" t="s">
        <v>264</v>
      </c>
      <c r="D621" s="20" t="s">
        <v>213</v>
      </c>
      <c r="E621" s="20" t="s">
        <v>1390</v>
      </c>
      <c r="F621" s="20" t="s">
        <v>275</v>
      </c>
      <c r="G621" s="26">
        <v>4610</v>
      </c>
      <c r="H621" s="26">
        <f>G621</f>
        <v>4610</v>
      </c>
      <c r="I621" s="204"/>
    </row>
    <row r="622" spans="1:13" ht="78.75" x14ac:dyDescent="0.25">
      <c r="A622" s="31" t="s">
        <v>460</v>
      </c>
      <c r="B622" s="16">
        <v>906</v>
      </c>
      <c r="C622" s="20" t="s">
        <v>264</v>
      </c>
      <c r="D622" s="20" t="s">
        <v>213</v>
      </c>
      <c r="E622" s="20" t="s">
        <v>1250</v>
      </c>
      <c r="F622" s="20"/>
      <c r="G622" s="26">
        <f>G623</f>
        <v>115047.8</v>
      </c>
      <c r="H622" s="26">
        <f>H623</f>
        <v>134211.70000000001</v>
      </c>
      <c r="I622" s="204"/>
    </row>
    <row r="623" spans="1:13" ht="31.5" x14ac:dyDescent="0.25">
      <c r="A623" s="25" t="s">
        <v>272</v>
      </c>
      <c r="B623" s="16">
        <v>906</v>
      </c>
      <c r="C623" s="20" t="s">
        <v>264</v>
      </c>
      <c r="D623" s="20" t="s">
        <v>213</v>
      </c>
      <c r="E623" s="20" t="s">
        <v>1250</v>
      </c>
      <c r="F623" s="20" t="s">
        <v>273</v>
      </c>
      <c r="G623" s="26">
        <f>G624</f>
        <v>115047.8</v>
      </c>
      <c r="H623" s="26">
        <f>H624</f>
        <v>134211.70000000001</v>
      </c>
      <c r="I623" s="204"/>
    </row>
    <row r="624" spans="1:13" ht="15.75" x14ac:dyDescent="0.25">
      <c r="A624" s="25" t="s">
        <v>274</v>
      </c>
      <c r="B624" s="16">
        <v>906</v>
      </c>
      <c r="C624" s="20" t="s">
        <v>264</v>
      </c>
      <c r="D624" s="20" t="s">
        <v>213</v>
      </c>
      <c r="E624" s="20" t="s">
        <v>1250</v>
      </c>
      <c r="F624" s="20" t="s">
        <v>275</v>
      </c>
      <c r="G624" s="26">
        <v>115047.8</v>
      </c>
      <c r="H624" s="26">
        <v>134211.70000000001</v>
      </c>
      <c r="I624" s="204"/>
    </row>
    <row r="625" spans="1:9" ht="63" x14ac:dyDescent="0.25">
      <c r="A625" s="31" t="s">
        <v>289</v>
      </c>
      <c r="B625" s="16">
        <v>906</v>
      </c>
      <c r="C625" s="20" t="s">
        <v>264</v>
      </c>
      <c r="D625" s="20" t="s">
        <v>213</v>
      </c>
      <c r="E625" s="20" t="s">
        <v>1233</v>
      </c>
      <c r="F625" s="20"/>
      <c r="G625" s="26">
        <f>G626</f>
        <v>1311</v>
      </c>
      <c r="H625" s="26">
        <f>H626</f>
        <v>1311</v>
      </c>
      <c r="I625" s="204"/>
    </row>
    <row r="626" spans="1:9" ht="31.5" x14ac:dyDescent="0.25">
      <c r="A626" s="25" t="s">
        <v>272</v>
      </c>
      <c r="B626" s="16">
        <v>906</v>
      </c>
      <c r="C626" s="20" t="s">
        <v>264</v>
      </c>
      <c r="D626" s="20" t="s">
        <v>213</v>
      </c>
      <c r="E626" s="20" t="s">
        <v>1233</v>
      </c>
      <c r="F626" s="20" t="s">
        <v>273</v>
      </c>
      <c r="G626" s="26">
        <f>G627</f>
        <v>1311</v>
      </c>
      <c r="H626" s="26">
        <f>H627</f>
        <v>1311</v>
      </c>
      <c r="I626" s="204"/>
    </row>
    <row r="627" spans="1:9" ht="15.75" x14ac:dyDescent="0.25">
      <c r="A627" s="25" t="s">
        <v>274</v>
      </c>
      <c r="B627" s="16">
        <v>906</v>
      </c>
      <c r="C627" s="20" t="s">
        <v>264</v>
      </c>
      <c r="D627" s="20" t="s">
        <v>213</v>
      </c>
      <c r="E627" s="20" t="s">
        <v>1233</v>
      </c>
      <c r="F627" s="20" t="s">
        <v>275</v>
      </c>
      <c r="G627" s="26">
        <v>1311</v>
      </c>
      <c r="H627" s="26">
        <f t="shared" si="53"/>
        <v>1311</v>
      </c>
      <c r="I627" s="204"/>
    </row>
    <row r="628" spans="1:9" ht="63" x14ac:dyDescent="0.25">
      <c r="A628" s="31" t="s">
        <v>291</v>
      </c>
      <c r="B628" s="16">
        <v>906</v>
      </c>
      <c r="C628" s="20" t="s">
        <v>264</v>
      </c>
      <c r="D628" s="20" t="s">
        <v>213</v>
      </c>
      <c r="E628" s="20" t="s">
        <v>1234</v>
      </c>
      <c r="F628" s="20"/>
      <c r="G628" s="26">
        <f>G629</f>
        <v>2266.6999999999998</v>
      </c>
      <c r="H628" s="26">
        <f>H629</f>
        <v>2266.6999999999998</v>
      </c>
      <c r="I628" s="204"/>
    </row>
    <row r="629" spans="1:9" ht="31.5" x14ac:dyDescent="0.25">
      <c r="A629" s="25" t="s">
        <v>272</v>
      </c>
      <c r="B629" s="16">
        <v>906</v>
      </c>
      <c r="C629" s="20" t="s">
        <v>264</v>
      </c>
      <c r="D629" s="20" t="s">
        <v>213</v>
      </c>
      <c r="E629" s="20" t="s">
        <v>1234</v>
      </c>
      <c r="F629" s="20" t="s">
        <v>273</v>
      </c>
      <c r="G629" s="26">
        <f>G630</f>
        <v>2266.6999999999998</v>
      </c>
      <c r="H629" s="26">
        <f>H630</f>
        <v>2266.6999999999998</v>
      </c>
      <c r="I629" s="204"/>
    </row>
    <row r="630" spans="1:9" ht="15.75" x14ac:dyDescent="0.25">
      <c r="A630" s="25" t="s">
        <v>274</v>
      </c>
      <c r="B630" s="16">
        <v>906</v>
      </c>
      <c r="C630" s="20" t="s">
        <v>264</v>
      </c>
      <c r="D630" s="20" t="s">
        <v>213</v>
      </c>
      <c r="E630" s="20" t="s">
        <v>1234</v>
      </c>
      <c r="F630" s="20" t="s">
        <v>275</v>
      </c>
      <c r="G630" s="26">
        <f>2266.7</f>
        <v>2266.6999999999998</v>
      </c>
      <c r="H630" s="26">
        <f t="shared" si="53"/>
        <v>2266.6999999999998</v>
      </c>
      <c r="I630" s="204"/>
    </row>
    <row r="631" spans="1:9" ht="47.25" x14ac:dyDescent="0.25">
      <c r="A631" s="31" t="s">
        <v>462</v>
      </c>
      <c r="B631" s="16">
        <v>906</v>
      </c>
      <c r="C631" s="20" t="s">
        <v>264</v>
      </c>
      <c r="D631" s="20" t="s">
        <v>213</v>
      </c>
      <c r="E631" s="20" t="s">
        <v>1251</v>
      </c>
      <c r="F631" s="20"/>
      <c r="G631" s="26">
        <f>G632</f>
        <v>909.3</v>
      </c>
      <c r="H631" s="26">
        <f>H632</f>
        <v>909.3</v>
      </c>
      <c r="I631" s="204"/>
    </row>
    <row r="632" spans="1:9" ht="31.5" x14ac:dyDescent="0.25">
      <c r="A632" s="25" t="s">
        <v>272</v>
      </c>
      <c r="B632" s="16">
        <v>906</v>
      </c>
      <c r="C632" s="20" t="s">
        <v>264</v>
      </c>
      <c r="D632" s="20" t="s">
        <v>213</v>
      </c>
      <c r="E632" s="20" t="s">
        <v>1251</v>
      </c>
      <c r="F632" s="20" t="s">
        <v>273</v>
      </c>
      <c r="G632" s="26">
        <f>G633</f>
        <v>909.3</v>
      </c>
      <c r="H632" s="26">
        <f>H633</f>
        <v>909.3</v>
      </c>
      <c r="I632" s="204"/>
    </row>
    <row r="633" spans="1:9" ht="15.75" x14ac:dyDescent="0.25">
      <c r="A633" s="25" t="s">
        <v>274</v>
      </c>
      <c r="B633" s="16">
        <v>906</v>
      </c>
      <c r="C633" s="20" t="s">
        <v>264</v>
      </c>
      <c r="D633" s="20" t="s">
        <v>213</v>
      </c>
      <c r="E633" s="20" t="s">
        <v>1251</v>
      </c>
      <c r="F633" s="20" t="s">
        <v>275</v>
      </c>
      <c r="G633" s="26">
        <v>909.3</v>
      </c>
      <c r="H633" s="26">
        <v>909.3</v>
      </c>
      <c r="I633" s="204"/>
    </row>
    <row r="634" spans="1:9" ht="31.5" x14ac:dyDescent="0.25">
      <c r="A634" s="23" t="s">
        <v>1252</v>
      </c>
      <c r="B634" s="255">
        <v>906</v>
      </c>
      <c r="C634" s="24" t="s">
        <v>264</v>
      </c>
      <c r="D634" s="24" t="s">
        <v>213</v>
      </c>
      <c r="E634" s="24" t="s">
        <v>1237</v>
      </c>
      <c r="F634" s="24"/>
      <c r="G634" s="21">
        <f>G635+G638+G641+G644</f>
        <v>224</v>
      </c>
      <c r="H634" s="21">
        <f>H635+H638+H641+H644</f>
        <v>224</v>
      </c>
      <c r="I634" s="204"/>
    </row>
    <row r="635" spans="1:9" ht="31.5" hidden="1" x14ac:dyDescent="0.25">
      <c r="A635" s="25" t="s">
        <v>440</v>
      </c>
      <c r="B635" s="37">
        <v>906</v>
      </c>
      <c r="C635" s="20" t="s">
        <v>264</v>
      </c>
      <c r="D635" s="20" t="s">
        <v>213</v>
      </c>
      <c r="E635" s="20" t="s">
        <v>1317</v>
      </c>
      <c r="F635" s="20"/>
      <c r="G635" s="26">
        <f>'Пр.4 ведом.22'!G676</f>
        <v>0</v>
      </c>
      <c r="H635" s="26">
        <f t="shared" ref="H635:H706" si="58">G635</f>
        <v>0</v>
      </c>
      <c r="I635" s="204"/>
    </row>
    <row r="636" spans="1:9" ht="31.5" hidden="1" x14ac:dyDescent="0.25">
      <c r="A636" s="25" t="s">
        <v>272</v>
      </c>
      <c r="B636" s="37">
        <v>906</v>
      </c>
      <c r="C636" s="20" t="s">
        <v>264</v>
      </c>
      <c r="D636" s="20" t="s">
        <v>213</v>
      </c>
      <c r="E636" s="20" t="s">
        <v>1317</v>
      </c>
      <c r="F636" s="20" t="s">
        <v>273</v>
      </c>
      <c r="G636" s="26">
        <f>'Пр.4 ведом.22'!G677</f>
        <v>0</v>
      </c>
      <c r="H636" s="26">
        <f t="shared" si="58"/>
        <v>0</v>
      </c>
      <c r="I636" s="204"/>
    </row>
    <row r="637" spans="1:9" ht="15.75" hidden="1" x14ac:dyDescent="0.25">
      <c r="A637" s="25" t="s">
        <v>274</v>
      </c>
      <c r="B637" s="37">
        <v>906</v>
      </c>
      <c r="C637" s="20" t="s">
        <v>264</v>
      </c>
      <c r="D637" s="20" t="s">
        <v>213</v>
      </c>
      <c r="E637" s="20" t="s">
        <v>1317</v>
      </c>
      <c r="F637" s="20" t="s">
        <v>275</v>
      </c>
      <c r="G637" s="26">
        <f>'Пр.4 ведом.22'!G678</f>
        <v>0</v>
      </c>
      <c r="H637" s="26">
        <f t="shared" si="58"/>
        <v>0</v>
      </c>
      <c r="I637" s="204"/>
    </row>
    <row r="638" spans="1:9" ht="31.5" hidden="1" x14ac:dyDescent="0.25">
      <c r="A638" s="25" t="s">
        <v>278</v>
      </c>
      <c r="B638" s="37">
        <v>906</v>
      </c>
      <c r="C638" s="20" t="s">
        <v>264</v>
      </c>
      <c r="D638" s="20" t="s">
        <v>213</v>
      </c>
      <c r="E638" s="20" t="s">
        <v>1318</v>
      </c>
      <c r="F638" s="20"/>
      <c r="G638" s="26">
        <f>'Пр.4 ведом.22'!G679</f>
        <v>0</v>
      </c>
      <c r="H638" s="26">
        <f t="shared" si="58"/>
        <v>0</v>
      </c>
      <c r="I638" s="204"/>
    </row>
    <row r="639" spans="1:9" ht="31.5" hidden="1" x14ac:dyDescent="0.25">
      <c r="A639" s="25" t="s">
        <v>272</v>
      </c>
      <c r="B639" s="37">
        <v>906</v>
      </c>
      <c r="C639" s="20" t="s">
        <v>264</v>
      </c>
      <c r="D639" s="20" t="s">
        <v>213</v>
      </c>
      <c r="E639" s="20" t="s">
        <v>1318</v>
      </c>
      <c r="F639" s="20" t="s">
        <v>273</v>
      </c>
      <c r="G639" s="26">
        <f>'Пр.4 ведом.22'!G680</f>
        <v>0</v>
      </c>
      <c r="H639" s="26">
        <f t="shared" si="58"/>
        <v>0</v>
      </c>
      <c r="I639" s="204"/>
    </row>
    <row r="640" spans="1:9" ht="15.75" hidden="1" x14ac:dyDescent="0.25">
      <c r="A640" s="25" t="s">
        <v>274</v>
      </c>
      <c r="B640" s="37">
        <v>906</v>
      </c>
      <c r="C640" s="20" t="s">
        <v>264</v>
      </c>
      <c r="D640" s="20" t="s">
        <v>213</v>
      </c>
      <c r="E640" s="20" t="s">
        <v>1318</v>
      </c>
      <c r="F640" s="20" t="s">
        <v>275</v>
      </c>
      <c r="G640" s="26">
        <f>'Пр.4 ведом.22'!G681</f>
        <v>0</v>
      </c>
      <c r="H640" s="26">
        <f t="shared" si="58"/>
        <v>0</v>
      </c>
      <c r="I640" s="204"/>
    </row>
    <row r="641" spans="1:9" ht="31.5" hidden="1" x14ac:dyDescent="0.25">
      <c r="A641" s="25" t="s">
        <v>280</v>
      </c>
      <c r="B641" s="37">
        <v>906</v>
      </c>
      <c r="C641" s="20" t="s">
        <v>264</v>
      </c>
      <c r="D641" s="20" t="s">
        <v>213</v>
      </c>
      <c r="E641" s="20" t="s">
        <v>1319</v>
      </c>
      <c r="F641" s="20"/>
      <c r="G641" s="26">
        <f>'Пр.4 ведом.22'!G682</f>
        <v>0</v>
      </c>
      <c r="H641" s="26">
        <f t="shared" si="58"/>
        <v>0</v>
      </c>
      <c r="I641" s="204"/>
    </row>
    <row r="642" spans="1:9" ht="31.5" hidden="1" x14ac:dyDescent="0.25">
      <c r="A642" s="25" t="s">
        <v>272</v>
      </c>
      <c r="B642" s="37">
        <v>906</v>
      </c>
      <c r="C642" s="20" t="s">
        <v>264</v>
      </c>
      <c r="D642" s="20" t="s">
        <v>213</v>
      </c>
      <c r="E642" s="20" t="s">
        <v>1319</v>
      </c>
      <c r="F642" s="20" t="s">
        <v>273</v>
      </c>
      <c r="G642" s="26">
        <f>'Пр.4 ведом.22'!G683</f>
        <v>0</v>
      </c>
      <c r="H642" s="26">
        <f t="shared" si="58"/>
        <v>0</v>
      </c>
      <c r="I642" s="204"/>
    </row>
    <row r="643" spans="1:9" ht="15.75" hidden="1" x14ac:dyDescent="0.25">
      <c r="A643" s="25" t="s">
        <v>274</v>
      </c>
      <c r="B643" s="37">
        <v>906</v>
      </c>
      <c r="C643" s="20" t="s">
        <v>264</v>
      </c>
      <c r="D643" s="20" t="s">
        <v>213</v>
      </c>
      <c r="E643" s="20" t="s">
        <v>1319</v>
      </c>
      <c r="F643" s="20" t="s">
        <v>275</v>
      </c>
      <c r="G643" s="26">
        <f>'Пр.4 ведом.22'!G684</f>
        <v>0</v>
      </c>
      <c r="H643" s="26">
        <f t="shared" si="58"/>
        <v>0</v>
      </c>
      <c r="I643" s="204"/>
    </row>
    <row r="644" spans="1:9" ht="31.5" x14ac:dyDescent="0.25">
      <c r="A644" s="25" t="s">
        <v>282</v>
      </c>
      <c r="B644" s="37">
        <v>906</v>
      </c>
      <c r="C644" s="20" t="s">
        <v>264</v>
      </c>
      <c r="D644" s="20" t="s">
        <v>213</v>
      </c>
      <c r="E644" s="20" t="s">
        <v>1253</v>
      </c>
      <c r="F644" s="20"/>
      <c r="G644" s="26">
        <f>G645</f>
        <v>224</v>
      </c>
      <c r="H644" s="26">
        <f>H645</f>
        <v>224</v>
      </c>
      <c r="I644" s="204"/>
    </row>
    <row r="645" spans="1:9" ht="31.5" x14ac:dyDescent="0.25">
      <c r="A645" s="25" t="s">
        <v>272</v>
      </c>
      <c r="B645" s="37">
        <v>906</v>
      </c>
      <c r="C645" s="20" t="s">
        <v>264</v>
      </c>
      <c r="D645" s="20" t="s">
        <v>213</v>
      </c>
      <c r="E645" s="20" t="s">
        <v>1253</v>
      </c>
      <c r="F645" s="20" t="s">
        <v>273</v>
      </c>
      <c r="G645" s="26">
        <f>G646</f>
        <v>224</v>
      </c>
      <c r="H645" s="26">
        <f>H646</f>
        <v>224</v>
      </c>
      <c r="I645" s="204"/>
    </row>
    <row r="646" spans="1:9" ht="15.75" x14ac:dyDescent="0.25">
      <c r="A646" s="25" t="s">
        <v>274</v>
      </c>
      <c r="B646" s="37">
        <v>906</v>
      </c>
      <c r="C646" s="20" t="s">
        <v>264</v>
      </c>
      <c r="D646" s="20" t="s">
        <v>213</v>
      </c>
      <c r="E646" s="20" t="s">
        <v>1253</v>
      </c>
      <c r="F646" s="20" t="s">
        <v>275</v>
      </c>
      <c r="G646" s="26">
        <f>224</f>
        <v>224</v>
      </c>
      <c r="H646" s="26">
        <f t="shared" si="58"/>
        <v>224</v>
      </c>
      <c r="I646" s="204"/>
    </row>
    <row r="647" spans="1:9" s="203" customFormat="1" ht="31.5" x14ac:dyDescent="0.25">
      <c r="A647" s="219" t="s">
        <v>948</v>
      </c>
      <c r="B647" s="19">
        <v>906</v>
      </c>
      <c r="C647" s="24" t="s">
        <v>264</v>
      </c>
      <c r="D647" s="24" t="s">
        <v>213</v>
      </c>
      <c r="E647" s="24" t="s">
        <v>1240</v>
      </c>
      <c r="F647" s="24"/>
      <c r="G647" s="44">
        <f>G648+G651</f>
        <v>2888</v>
      </c>
      <c r="H647" s="44">
        <f>H648+H651</f>
        <v>2888</v>
      </c>
      <c r="I647" s="204"/>
    </row>
    <row r="648" spans="1:9" s="203" customFormat="1" ht="31.5" hidden="1" x14ac:dyDescent="0.25">
      <c r="A648" s="25" t="s">
        <v>791</v>
      </c>
      <c r="B648" s="16">
        <v>906</v>
      </c>
      <c r="C648" s="20" t="s">
        <v>264</v>
      </c>
      <c r="D648" s="20" t="s">
        <v>213</v>
      </c>
      <c r="E648" s="20" t="s">
        <v>1258</v>
      </c>
      <c r="F648" s="20"/>
      <c r="G648" s="26">
        <f>'Пр.4 ведом.22'!G689</f>
        <v>0</v>
      </c>
      <c r="H648" s="26">
        <f>G648</f>
        <v>0</v>
      </c>
      <c r="I648" s="204"/>
    </row>
    <row r="649" spans="1:9" s="203" customFormat="1" ht="31.5" hidden="1" x14ac:dyDescent="0.25">
      <c r="A649" s="25" t="s">
        <v>272</v>
      </c>
      <c r="B649" s="16">
        <v>906</v>
      </c>
      <c r="C649" s="20" t="s">
        <v>264</v>
      </c>
      <c r="D649" s="20" t="s">
        <v>213</v>
      </c>
      <c r="E649" s="20" t="s">
        <v>1258</v>
      </c>
      <c r="F649" s="20" t="s">
        <v>273</v>
      </c>
      <c r="G649" s="26">
        <f>'Пр.4 ведом.22'!G690</f>
        <v>0</v>
      </c>
      <c r="H649" s="26">
        <f>G649</f>
        <v>0</v>
      </c>
      <c r="I649" s="204"/>
    </row>
    <row r="650" spans="1:9" s="203" customFormat="1" ht="15.75" hidden="1" x14ac:dyDescent="0.25">
      <c r="A650" s="25" t="s">
        <v>274</v>
      </c>
      <c r="B650" s="16">
        <v>906</v>
      </c>
      <c r="C650" s="20" t="s">
        <v>264</v>
      </c>
      <c r="D650" s="20" t="s">
        <v>213</v>
      </c>
      <c r="E650" s="20" t="s">
        <v>1258</v>
      </c>
      <c r="F650" s="20" t="s">
        <v>275</v>
      </c>
      <c r="G650" s="26">
        <f>'Пр.4 ведом.22'!G691</f>
        <v>0</v>
      </c>
      <c r="H650" s="26">
        <f>G650</f>
        <v>0</v>
      </c>
      <c r="I650" s="204"/>
    </row>
    <row r="651" spans="1:9" s="203" customFormat="1" ht="31.5" x14ac:dyDescent="0.25">
      <c r="A651" s="60" t="s">
        <v>764</v>
      </c>
      <c r="B651" s="16">
        <v>906</v>
      </c>
      <c r="C651" s="20" t="s">
        <v>264</v>
      </c>
      <c r="D651" s="20" t="s">
        <v>213</v>
      </c>
      <c r="E651" s="20" t="s">
        <v>1241</v>
      </c>
      <c r="F651" s="20"/>
      <c r="G651" s="26">
        <f>G652</f>
        <v>2888</v>
      </c>
      <c r="H651" s="26">
        <f>H652</f>
        <v>2888</v>
      </c>
      <c r="I651" s="204"/>
    </row>
    <row r="652" spans="1:9" s="203" customFormat="1" ht="31.5" x14ac:dyDescent="0.25">
      <c r="A652" s="29" t="s">
        <v>272</v>
      </c>
      <c r="B652" s="16">
        <v>906</v>
      </c>
      <c r="C652" s="20" t="s">
        <v>264</v>
      </c>
      <c r="D652" s="20" t="s">
        <v>213</v>
      </c>
      <c r="E652" s="20" t="s">
        <v>1241</v>
      </c>
      <c r="F652" s="20" t="s">
        <v>273</v>
      </c>
      <c r="G652" s="26">
        <f>G653</f>
        <v>2888</v>
      </c>
      <c r="H652" s="26">
        <f>H653</f>
        <v>2888</v>
      </c>
      <c r="I652" s="204"/>
    </row>
    <row r="653" spans="1:9" s="203" customFormat="1" ht="15.75" x14ac:dyDescent="0.25">
      <c r="A653" s="182" t="s">
        <v>274</v>
      </c>
      <c r="B653" s="16">
        <v>906</v>
      </c>
      <c r="C653" s="20" t="s">
        <v>264</v>
      </c>
      <c r="D653" s="20" t="s">
        <v>213</v>
      </c>
      <c r="E653" s="20" t="s">
        <v>1241</v>
      </c>
      <c r="F653" s="20" t="s">
        <v>275</v>
      </c>
      <c r="G653" s="26">
        <v>2888</v>
      </c>
      <c r="H653" s="26">
        <f>G653</f>
        <v>2888</v>
      </c>
      <c r="I653" s="204"/>
    </row>
    <row r="654" spans="1:9" ht="31.5" x14ac:dyDescent="0.25">
      <c r="A654" s="23" t="s">
        <v>938</v>
      </c>
      <c r="B654" s="255">
        <v>906</v>
      </c>
      <c r="C654" s="24" t="s">
        <v>264</v>
      </c>
      <c r="D654" s="24" t="s">
        <v>213</v>
      </c>
      <c r="E654" s="24" t="s">
        <v>1254</v>
      </c>
      <c r="F654" s="24"/>
      <c r="G654" s="21">
        <f t="shared" ref="G654:H656" si="59">G655</f>
        <v>3931.8</v>
      </c>
      <c r="H654" s="21">
        <f t="shared" si="59"/>
        <v>3865.2</v>
      </c>
      <c r="I654" s="204"/>
    </row>
    <row r="655" spans="1:9" ht="49.7" customHeight="1" x14ac:dyDescent="0.25">
      <c r="A655" s="29" t="s">
        <v>602</v>
      </c>
      <c r="B655" s="37">
        <v>906</v>
      </c>
      <c r="C655" s="20" t="s">
        <v>264</v>
      </c>
      <c r="D655" s="20" t="s">
        <v>213</v>
      </c>
      <c r="E655" s="20" t="s">
        <v>1255</v>
      </c>
      <c r="F655" s="20"/>
      <c r="G655" s="26">
        <f t="shared" si="59"/>
        <v>3931.8</v>
      </c>
      <c r="H655" s="26">
        <f t="shared" si="59"/>
        <v>3865.2</v>
      </c>
      <c r="I655" s="204"/>
    </row>
    <row r="656" spans="1:9" ht="31.5" x14ac:dyDescent="0.25">
      <c r="A656" s="25" t="s">
        <v>272</v>
      </c>
      <c r="B656" s="37">
        <v>906</v>
      </c>
      <c r="C656" s="20" t="s">
        <v>264</v>
      </c>
      <c r="D656" s="20" t="s">
        <v>213</v>
      </c>
      <c r="E656" s="20" t="s">
        <v>1255</v>
      </c>
      <c r="F656" s="20" t="s">
        <v>273</v>
      </c>
      <c r="G656" s="26">
        <f t="shared" si="59"/>
        <v>3931.8</v>
      </c>
      <c r="H656" s="26">
        <f t="shared" si="59"/>
        <v>3865.2</v>
      </c>
      <c r="I656" s="204"/>
    </row>
    <row r="657" spans="1:15" ht="15.75" x14ac:dyDescent="0.25">
      <c r="A657" s="25" t="s">
        <v>274</v>
      </c>
      <c r="B657" s="37">
        <v>906</v>
      </c>
      <c r="C657" s="20" t="s">
        <v>264</v>
      </c>
      <c r="D657" s="20" t="s">
        <v>213</v>
      </c>
      <c r="E657" s="20" t="s">
        <v>1255</v>
      </c>
      <c r="F657" s="20" t="s">
        <v>275</v>
      </c>
      <c r="G657" s="26">
        <v>3931.8</v>
      </c>
      <c r="H657" s="26">
        <v>3865.2</v>
      </c>
      <c r="I657" s="204"/>
    </row>
    <row r="658" spans="1:15" ht="31.5" x14ac:dyDescent="0.25">
      <c r="A658" s="23" t="s">
        <v>939</v>
      </c>
      <c r="B658" s="255">
        <v>906</v>
      </c>
      <c r="C658" s="24" t="s">
        <v>264</v>
      </c>
      <c r="D658" s="24" t="s">
        <v>213</v>
      </c>
      <c r="E658" s="24" t="s">
        <v>1256</v>
      </c>
      <c r="F658" s="24"/>
      <c r="G658" s="44">
        <f t="shared" ref="G658:H660" si="60">G659</f>
        <v>1384.6</v>
      </c>
      <c r="H658" s="44">
        <f t="shared" si="60"/>
        <v>1384.6</v>
      </c>
      <c r="I658" s="204"/>
    </row>
    <row r="659" spans="1:15" ht="47.25" x14ac:dyDescent="0.25">
      <c r="A659" s="25" t="s">
        <v>438</v>
      </c>
      <c r="B659" s="37">
        <v>906</v>
      </c>
      <c r="C659" s="20" t="s">
        <v>264</v>
      </c>
      <c r="D659" s="20" t="s">
        <v>213</v>
      </c>
      <c r="E659" s="20" t="s">
        <v>1257</v>
      </c>
      <c r="F659" s="20"/>
      <c r="G659" s="26">
        <f t="shared" si="60"/>
        <v>1384.6</v>
      </c>
      <c r="H659" s="26">
        <f t="shared" si="60"/>
        <v>1384.6</v>
      </c>
      <c r="I659" s="204"/>
    </row>
    <row r="660" spans="1:15" ht="31.5" x14ac:dyDescent="0.25">
      <c r="A660" s="25" t="s">
        <v>272</v>
      </c>
      <c r="B660" s="37">
        <v>906</v>
      </c>
      <c r="C660" s="20" t="s">
        <v>264</v>
      </c>
      <c r="D660" s="20" t="s">
        <v>213</v>
      </c>
      <c r="E660" s="20" t="s">
        <v>1257</v>
      </c>
      <c r="F660" s="20" t="s">
        <v>273</v>
      </c>
      <c r="G660" s="26">
        <f t="shared" si="60"/>
        <v>1384.6</v>
      </c>
      <c r="H660" s="26">
        <f t="shared" si="60"/>
        <v>1384.6</v>
      </c>
      <c r="I660" s="204"/>
    </row>
    <row r="661" spans="1:15" ht="15.75" x14ac:dyDescent="0.25">
      <c r="A661" s="25" t="s">
        <v>274</v>
      </c>
      <c r="B661" s="37">
        <v>906</v>
      </c>
      <c r="C661" s="20" t="s">
        <v>264</v>
      </c>
      <c r="D661" s="20" t="s">
        <v>213</v>
      </c>
      <c r="E661" s="20" t="s">
        <v>1257</v>
      </c>
      <c r="F661" s="20" t="s">
        <v>275</v>
      </c>
      <c r="G661" s="26">
        <v>1384.6</v>
      </c>
      <c r="H661" s="26">
        <v>1384.6</v>
      </c>
      <c r="I661" s="204"/>
    </row>
    <row r="662" spans="1:15" ht="31.5" x14ac:dyDescent="0.25">
      <c r="A662" s="217" t="s">
        <v>940</v>
      </c>
      <c r="B662" s="19">
        <v>906</v>
      </c>
      <c r="C662" s="24" t="s">
        <v>264</v>
      </c>
      <c r="D662" s="24" t="s">
        <v>213</v>
      </c>
      <c r="E662" s="24" t="s">
        <v>1259</v>
      </c>
      <c r="F662" s="24"/>
      <c r="G662" s="21">
        <f>G663+G666</f>
        <v>755.8</v>
      </c>
      <c r="H662" s="21">
        <f>H663+H666</f>
        <v>759</v>
      </c>
      <c r="I662" s="204"/>
    </row>
    <row r="663" spans="1:15" ht="50.25" customHeight="1" x14ac:dyDescent="0.25">
      <c r="A663" s="182" t="s">
        <v>828</v>
      </c>
      <c r="B663" s="16">
        <v>906</v>
      </c>
      <c r="C663" s="20" t="s">
        <v>264</v>
      </c>
      <c r="D663" s="20" t="s">
        <v>213</v>
      </c>
      <c r="E663" s="20" t="s">
        <v>1425</v>
      </c>
      <c r="F663" s="20"/>
      <c r="G663" s="26">
        <f>G664</f>
        <v>755.8</v>
      </c>
      <c r="H663" s="26">
        <f t="shared" ref="H663:H664" si="61">H664</f>
        <v>759</v>
      </c>
      <c r="I663" s="204"/>
    </row>
    <row r="664" spans="1:15" ht="31.5" x14ac:dyDescent="0.25">
      <c r="A664" s="31" t="s">
        <v>272</v>
      </c>
      <c r="B664" s="16">
        <v>906</v>
      </c>
      <c r="C664" s="20" t="s">
        <v>264</v>
      </c>
      <c r="D664" s="20" t="s">
        <v>213</v>
      </c>
      <c r="E664" s="20" t="s">
        <v>1425</v>
      </c>
      <c r="F664" s="20" t="s">
        <v>273</v>
      </c>
      <c r="G664" s="26">
        <f>G665</f>
        <v>755.8</v>
      </c>
      <c r="H664" s="26">
        <f t="shared" si="61"/>
        <v>759</v>
      </c>
      <c r="I664" s="204"/>
    </row>
    <row r="665" spans="1:15" ht="15.75" x14ac:dyDescent="0.25">
      <c r="A665" s="31" t="s">
        <v>274</v>
      </c>
      <c r="B665" s="16">
        <v>906</v>
      </c>
      <c r="C665" s="20" t="s">
        <v>264</v>
      </c>
      <c r="D665" s="20" t="s">
        <v>213</v>
      </c>
      <c r="E665" s="20" t="s">
        <v>1425</v>
      </c>
      <c r="F665" s="20" t="s">
        <v>275</v>
      </c>
      <c r="G665" s="26">
        <v>755.8</v>
      </c>
      <c r="H665" s="26">
        <v>759</v>
      </c>
      <c r="I665" s="204"/>
    </row>
    <row r="666" spans="1:15" s="203" customFormat="1" ht="31.5" hidden="1" x14ac:dyDescent="0.25">
      <c r="A666" s="353" t="s">
        <v>1424</v>
      </c>
      <c r="B666" s="16">
        <v>906</v>
      </c>
      <c r="C666" s="20" t="s">
        <v>264</v>
      </c>
      <c r="D666" s="20" t="s">
        <v>213</v>
      </c>
      <c r="E666" s="20" t="s">
        <v>1426</v>
      </c>
      <c r="F666" s="20"/>
      <c r="G666" s="26">
        <f>G667</f>
        <v>0</v>
      </c>
      <c r="H666" s="26">
        <f>H667</f>
        <v>0</v>
      </c>
      <c r="I666" s="204"/>
    </row>
    <row r="667" spans="1:15" s="203" customFormat="1" ht="31.5" hidden="1" x14ac:dyDescent="0.25">
      <c r="A667" s="31" t="s">
        <v>272</v>
      </c>
      <c r="B667" s="16">
        <v>906</v>
      </c>
      <c r="C667" s="20" t="s">
        <v>264</v>
      </c>
      <c r="D667" s="20" t="s">
        <v>213</v>
      </c>
      <c r="E667" s="20" t="s">
        <v>1426</v>
      </c>
      <c r="F667" s="20" t="s">
        <v>273</v>
      </c>
      <c r="G667" s="26">
        <f>G668</f>
        <v>0</v>
      </c>
      <c r="H667" s="26">
        <f>H668</f>
        <v>0</v>
      </c>
      <c r="I667" s="204"/>
    </row>
    <row r="668" spans="1:15" s="203" customFormat="1" ht="15.75" hidden="1" x14ac:dyDescent="0.25">
      <c r="A668" s="31" t="s">
        <v>274</v>
      </c>
      <c r="B668" s="16">
        <v>906</v>
      </c>
      <c r="C668" s="20" t="s">
        <v>264</v>
      </c>
      <c r="D668" s="20" t="s">
        <v>213</v>
      </c>
      <c r="E668" s="20" t="s">
        <v>1426</v>
      </c>
      <c r="F668" s="20" t="s">
        <v>275</v>
      </c>
      <c r="G668" s="26">
        <v>0</v>
      </c>
      <c r="H668" s="26">
        <v>0</v>
      </c>
      <c r="I668" s="204"/>
    </row>
    <row r="669" spans="1:15" s="203" customFormat="1" ht="31.5" x14ac:dyDescent="0.25">
      <c r="A669" s="304" t="s">
        <v>1405</v>
      </c>
      <c r="B669" s="19">
        <v>906</v>
      </c>
      <c r="C669" s="24" t="s">
        <v>264</v>
      </c>
      <c r="D669" s="24" t="s">
        <v>213</v>
      </c>
      <c r="E669" s="24" t="s">
        <v>1404</v>
      </c>
      <c r="F669" s="24"/>
      <c r="G669" s="21">
        <f t="shared" ref="G669:H671" si="62">G670</f>
        <v>5415.6500000000005</v>
      </c>
      <c r="H669" s="21">
        <f t="shared" si="62"/>
        <v>5142.4500000000007</v>
      </c>
      <c r="I669" s="204"/>
    </row>
    <row r="670" spans="1:15" s="203" customFormat="1" ht="63" x14ac:dyDescent="0.25">
      <c r="A670" s="303" t="s">
        <v>1391</v>
      </c>
      <c r="B670" s="16">
        <v>906</v>
      </c>
      <c r="C670" s="20" t="s">
        <v>264</v>
      </c>
      <c r="D670" s="20" t="s">
        <v>213</v>
      </c>
      <c r="E670" s="20" t="s">
        <v>1449</v>
      </c>
      <c r="F670" s="20"/>
      <c r="G670" s="26">
        <f t="shared" si="62"/>
        <v>5415.6500000000005</v>
      </c>
      <c r="H670" s="26">
        <f t="shared" si="62"/>
        <v>5142.4500000000007</v>
      </c>
      <c r="I670" s="204"/>
    </row>
    <row r="671" spans="1:15" s="203" customFormat="1" ht="37.35" customHeight="1" x14ac:dyDescent="0.25">
      <c r="A671" s="31" t="s">
        <v>272</v>
      </c>
      <c r="B671" s="16">
        <v>906</v>
      </c>
      <c r="C671" s="20" t="s">
        <v>264</v>
      </c>
      <c r="D671" s="20" t="s">
        <v>213</v>
      </c>
      <c r="E671" s="20" t="s">
        <v>1449</v>
      </c>
      <c r="F671" s="20" t="s">
        <v>273</v>
      </c>
      <c r="G671" s="26">
        <f t="shared" si="62"/>
        <v>5415.6500000000005</v>
      </c>
      <c r="H671" s="26">
        <f t="shared" si="62"/>
        <v>5142.4500000000007</v>
      </c>
      <c r="I671" s="204"/>
    </row>
    <row r="672" spans="1:15" s="203" customFormat="1" ht="15.75" x14ac:dyDescent="0.25">
      <c r="A672" s="31" t="s">
        <v>274</v>
      </c>
      <c r="B672" s="16">
        <v>906</v>
      </c>
      <c r="C672" s="20" t="s">
        <v>264</v>
      </c>
      <c r="D672" s="20" t="s">
        <v>213</v>
      </c>
      <c r="E672" s="20" t="s">
        <v>1449</v>
      </c>
      <c r="F672" s="20" t="s">
        <v>275</v>
      </c>
      <c r="G672" s="26">
        <f>5193.6+222.05</f>
        <v>5415.6500000000005</v>
      </c>
      <c r="H672" s="26">
        <f>4931.6+210.85</f>
        <v>5142.4500000000007</v>
      </c>
      <c r="I672" s="204"/>
      <c r="L672" s="204"/>
      <c r="M672" s="204"/>
      <c r="N672" s="204"/>
      <c r="O672" s="204"/>
    </row>
    <row r="673" spans="1:15" s="203" customFormat="1" ht="47.25" hidden="1" x14ac:dyDescent="0.25">
      <c r="A673" s="217" t="s">
        <v>1172</v>
      </c>
      <c r="B673" s="19">
        <v>906</v>
      </c>
      <c r="C673" s="24" t="s">
        <v>264</v>
      </c>
      <c r="D673" s="24" t="s">
        <v>213</v>
      </c>
      <c r="E673" s="24" t="s">
        <v>1320</v>
      </c>
      <c r="F673" s="24"/>
      <c r="G673" s="21">
        <f t="shared" ref="G673:H677" si="63">G674</f>
        <v>0</v>
      </c>
      <c r="H673" s="21">
        <f t="shared" si="63"/>
        <v>0</v>
      </c>
      <c r="I673" s="204"/>
    </row>
    <row r="674" spans="1:15" s="203" customFormat="1" ht="47.25" hidden="1" x14ac:dyDescent="0.25">
      <c r="A674" s="182" t="s">
        <v>1180</v>
      </c>
      <c r="B674" s="16">
        <v>906</v>
      </c>
      <c r="C674" s="20" t="s">
        <v>264</v>
      </c>
      <c r="D674" s="20" t="s">
        <v>213</v>
      </c>
      <c r="E674" s="20" t="s">
        <v>1321</v>
      </c>
      <c r="F674" s="20"/>
      <c r="G674" s="26">
        <f t="shared" si="63"/>
        <v>0</v>
      </c>
      <c r="H674" s="26">
        <f t="shared" si="63"/>
        <v>0</v>
      </c>
      <c r="I674" s="204"/>
    </row>
    <row r="675" spans="1:15" s="203" customFormat="1" ht="31.5" hidden="1" x14ac:dyDescent="0.25">
      <c r="A675" s="31" t="s">
        <v>272</v>
      </c>
      <c r="B675" s="16">
        <v>906</v>
      </c>
      <c r="C675" s="20" t="s">
        <v>264</v>
      </c>
      <c r="D675" s="20" t="s">
        <v>213</v>
      </c>
      <c r="E675" s="20" t="s">
        <v>1321</v>
      </c>
      <c r="F675" s="20" t="s">
        <v>273</v>
      </c>
      <c r="G675" s="26">
        <f t="shared" si="63"/>
        <v>0</v>
      </c>
      <c r="H675" s="26">
        <f t="shared" si="63"/>
        <v>0</v>
      </c>
      <c r="I675" s="204"/>
    </row>
    <row r="676" spans="1:15" s="203" customFormat="1" ht="15.75" hidden="1" x14ac:dyDescent="0.25">
      <c r="A676" s="31" t="s">
        <v>274</v>
      </c>
      <c r="B676" s="16">
        <v>906</v>
      </c>
      <c r="C676" s="20" t="s">
        <v>264</v>
      </c>
      <c r="D676" s="20" t="s">
        <v>213</v>
      </c>
      <c r="E676" s="20" t="s">
        <v>1321</v>
      </c>
      <c r="F676" s="20" t="s">
        <v>275</v>
      </c>
      <c r="G676" s="26">
        <v>0</v>
      </c>
      <c r="H676" s="26">
        <f>G676</f>
        <v>0</v>
      </c>
      <c r="I676" s="204"/>
    </row>
    <row r="677" spans="1:15" s="203" customFormat="1" ht="31.5" x14ac:dyDescent="0.25">
      <c r="A677" s="34" t="s">
        <v>1472</v>
      </c>
      <c r="B677" s="19">
        <v>906</v>
      </c>
      <c r="C677" s="24" t="s">
        <v>264</v>
      </c>
      <c r="D677" s="24" t="s">
        <v>213</v>
      </c>
      <c r="E677" s="24" t="s">
        <v>1470</v>
      </c>
      <c r="F677" s="24"/>
      <c r="G677" s="21">
        <f t="shared" si="63"/>
        <v>1749.4499999999998</v>
      </c>
      <c r="H677" s="21">
        <f t="shared" si="63"/>
        <v>2341</v>
      </c>
      <c r="I677" s="204"/>
    </row>
    <row r="678" spans="1:15" s="203" customFormat="1" ht="54" customHeight="1" x14ac:dyDescent="0.25">
      <c r="A678" s="406" t="s">
        <v>1521</v>
      </c>
      <c r="B678" s="16">
        <v>906</v>
      </c>
      <c r="C678" s="20" t="s">
        <v>264</v>
      </c>
      <c r="D678" s="20" t="s">
        <v>213</v>
      </c>
      <c r="E678" s="20" t="s">
        <v>1471</v>
      </c>
      <c r="F678" s="20"/>
      <c r="G678" s="26">
        <f>G679</f>
        <v>1749.4499999999998</v>
      </c>
      <c r="H678" s="26">
        <f>H679</f>
        <v>2341</v>
      </c>
      <c r="I678" s="204"/>
    </row>
    <row r="679" spans="1:15" s="203" customFormat="1" ht="31.5" x14ac:dyDescent="0.25">
      <c r="A679" s="31" t="s">
        <v>272</v>
      </c>
      <c r="B679" s="16">
        <v>906</v>
      </c>
      <c r="C679" s="20" t="s">
        <v>264</v>
      </c>
      <c r="D679" s="20" t="s">
        <v>213</v>
      </c>
      <c r="E679" s="20" t="s">
        <v>1471</v>
      </c>
      <c r="F679" s="20" t="s">
        <v>273</v>
      </c>
      <c r="G679" s="26">
        <f>G680</f>
        <v>1749.4499999999998</v>
      </c>
      <c r="H679" s="26">
        <f>H680</f>
        <v>2341</v>
      </c>
      <c r="I679" s="204"/>
    </row>
    <row r="680" spans="1:15" s="203" customFormat="1" ht="15.75" x14ac:dyDescent="0.25">
      <c r="A680" s="31" t="s">
        <v>274</v>
      </c>
      <c r="B680" s="16">
        <v>906</v>
      </c>
      <c r="C680" s="20" t="s">
        <v>264</v>
      </c>
      <c r="D680" s="20" t="s">
        <v>213</v>
      </c>
      <c r="E680" s="20" t="s">
        <v>1471</v>
      </c>
      <c r="F680" s="20" t="s">
        <v>275</v>
      </c>
      <c r="G680" s="26">
        <f>1644.1+33.6+71.75</f>
        <v>1749.4499999999998</v>
      </c>
      <c r="H680" s="26">
        <f>2200+45+96</f>
        <v>2341</v>
      </c>
      <c r="I680" s="204"/>
      <c r="L680" s="204"/>
      <c r="M680" s="204"/>
      <c r="N680" s="204"/>
      <c r="O680" s="204"/>
    </row>
    <row r="681" spans="1:15" ht="47.25" x14ac:dyDescent="0.25">
      <c r="A681" s="34" t="s">
        <v>1357</v>
      </c>
      <c r="B681" s="19">
        <v>906</v>
      </c>
      <c r="C681" s="24" t="s">
        <v>264</v>
      </c>
      <c r="D681" s="24" t="s">
        <v>213</v>
      </c>
      <c r="E681" s="24" t="s">
        <v>324</v>
      </c>
      <c r="F681" s="24"/>
      <c r="G681" s="21">
        <f t="shared" ref="G681:H684" si="64">G682</f>
        <v>60</v>
      </c>
      <c r="H681" s="21">
        <f t="shared" si="64"/>
        <v>70</v>
      </c>
      <c r="I681" s="204"/>
    </row>
    <row r="682" spans="1:15" ht="63" x14ac:dyDescent="0.25">
      <c r="A682" s="34" t="s">
        <v>1024</v>
      </c>
      <c r="B682" s="19">
        <v>906</v>
      </c>
      <c r="C682" s="24" t="s">
        <v>264</v>
      </c>
      <c r="D682" s="24" t="s">
        <v>213</v>
      </c>
      <c r="E682" s="24" t="s">
        <v>934</v>
      </c>
      <c r="F682" s="24"/>
      <c r="G682" s="21">
        <f t="shared" si="64"/>
        <v>60</v>
      </c>
      <c r="H682" s="21">
        <f t="shared" si="64"/>
        <v>70</v>
      </c>
      <c r="I682" s="204"/>
    </row>
    <row r="683" spans="1:15" ht="47.25" x14ac:dyDescent="0.25">
      <c r="A683" s="31" t="s">
        <v>1081</v>
      </c>
      <c r="B683" s="16">
        <v>906</v>
      </c>
      <c r="C683" s="20" t="s">
        <v>264</v>
      </c>
      <c r="D683" s="20" t="s">
        <v>213</v>
      </c>
      <c r="E683" s="20" t="s">
        <v>935</v>
      </c>
      <c r="F683" s="20"/>
      <c r="G683" s="26">
        <f t="shared" si="64"/>
        <v>60</v>
      </c>
      <c r="H683" s="26">
        <f t="shared" si="64"/>
        <v>70</v>
      </c>
      <c r="I683" s="204"/>
    </row>
    <row r="684" spans="1:15" ht="31.5" x14ac:dyDescent="0.25">
      <c r="A684" s="31" t="s">
        <v>272</v>
      </c>
      <c r="B684" s="16">
        <v>906</v>
      </c>
      <c r="C684" s="20" t="s">
        <v>264</v>
      </c>
      <c r="D684" s="20" t="s">
        <v>213</v>
      </c>
      <c r="E684" s="20" t="s">
        <v>935</v>
      </c>
      <c r="F684" s="20" t="s">
        <v>273</v>
      </c>
      <c r="G684" s="26">
        <f t="shared" si="64"/>
        <v>60</v>
      </c>
      <c r="H684" s="26">
        <f t="shared" si="64"/>
        <v>70</v>
      </c>
      <c r="I684" s="204"/>
    </row>
    <row r="685" spans="1:15" ht="15.75" x14ac:dyDescent="0.25">
      <c r="A685" s="31" t="s">
        <v>274</v>
      </c>
      <c r="B685" s="16">
        <v>906</v>
      </c>
      <c r="C685" s="20" t="s">
        <v>264</v>
      </c>
      <c r="D685" s="20" t="s">
        <v>213</v>
      </c>
      <c r="E685" s="20" t="s">
        <v>935</v>
      </c>
      <c r="F685" s="20" t="s">
        <v>275</v>
      </c>
      <c r="G685" s="26">
        <v>60</v>
      </c>
      <c r="H685" s="26">
        <v>70</v>
      </c>
      <c r="I685" s="204"/>
    </row>
    <row r="686" spans="1:15" ht="47.25" x14ac:dyDescent="0.25">
      <c r="A686" s="41" t="s">
        <v>1352</v>
      </c>
      <c r="B686" s="19">
        <v>906</v>
      </c>
      <c r="C686" s="24" t="s">
        <v>264</v>
      </c>
      <c r="D686" s="24" t="s">
        <v>213</v>
      </c>
      <c r="E686" s="24" t="s">
        <v>705</v>
      </c>
      <c r="F686" s="222"/>
      <c r="G686" s="21">
        <f t="shared" ref="G686:H689" si="65">G687</f>
        <v>870.5</v>
      </c>
      <c r="H686" s="21">
        <f t="shared" si="65"/>
        <v>905.3</v>
      </c>
      <c r="I686" s="204"/>
    </row>
    <row r="687" spans="1:15" ht="47.25" x14ac:dyDescent="0.25">
      <c r="A687" s="41" t="s">
        <v>890</v>
      </c>
      <c r="B687" s="19">
        <v>906</v>
      </c>
      <c r="C687" s="24" t="s">
        <v>264</v>
      </c>
      <c r="D687" s="24" t="s">
        <v>213</v>
      </c>
      <c r="E687" s="24" t="s">
        <v>888</v>
      </c>
      <c r="F687" s="222"/>
      <c r="G687" s="21">
        <f t="shared" si="65"/>
        <v>870.5</v>
      </c>
      <c r="H687" s="21">
        <f t="shared" si="65"/>
        <v>905.3</v>
      </c>
      <c r="I687" s="204"/>
    </row>
    <row r="688" spans="1:15" ht="47.25" x14ac:dyDescent="0.25">
      <c r="A688" s="98" t="s">
        <v>780</v>
      </c>
      <c r="B688" s="16">
        <v>906</v>
      </c>
      <c r="C688" s="20" t="s">
        <v>264</v>
      </c>
      <c r="D688" s="20" t="s">
        <v>213</v>
      </c>
      <c r="E688" s="20" t="s">
        <v>936</v>
      </c>
      <c r="F688" s="32"/>
      <c r="G688" s="26">
        <f t="shared" si="65"/>
        <v>870.5</v>
      </c>
      <c r="H688" s="26">
        <f t="shared" si="65"/>
        <v>905.3</v>
      </c>
      <c r="I688" s="204"/>
    </row>
    <row r="689" spans="1:9" ht="31.5" x14ac:dyDescent="0.25">
      <c r="A689" s="29" t="s">
        <v>272</v>
      </c>
      <c r="B689" s="16">
        <v>906</v>
      </c>
      <c r="C689" s="20" t="s">
        <v>264</v>
      </c>
      <c r="D689" s="20" t="s">
        <v>213</v>
      </c>
      <c r="E689" s="20" t="s">
        <v>936</v>
      </c>
      <c r="F689" s="32" t="s">
        <v>273</v>
      </c>
      <c r="G689" s="26">
        <f t="shared" si="65"/>
        <v>870.5</v>
      </c>
      <c r="H689" s="26">
        <f t="shared" si="65"/>
        <v>905.3</v>
      </c>
      <c r="I689" s="204"/>
    </row>
    <row r="690" spans="1:9" ht="15.75" x14ac:dyDescent="0.25">
      <c r="A690" s="182" t="s">
        <v>274</v>
      </c>
      <c r="B690" s="16">
        <v>906</v>
      </c>
      <c r="C690" s="20" t="s">
        <v>264</v>
      </c>
      <c r="D690" s="20" t="s">
        <v>213</v>
      </c>
      <c r="E690" s="20" t="s">
        <v>936</v>
      </c>
      <c r="F690" s="32" t="s">
        <v>275</v>
      </c>
      <c r="G690" s="26">
        <v>870.5</v>
      </c>
      <c r="H690" s="26">
        <v>905.3</v>
      </c>
      <c r="I690" s="204"/>
    </row>
    <row r="691" spans="1:9" ht="15.75" x14ac:dyDescent="0.25">
      <c r="A691" s="23" t="s">
        <v>265</v>
      </c>
      <c r="B691" s="19">
        <v>906</v>
      </c>
      <c r="C691" s="24" t="s">
        <v>264</v>
      </c>
      <c r="D691" s="24" t="s">
        <v>215</v>
      </c>
      <c r="E691" s="24"/>
      <c r="F691" s="24"/>
      <c r="G691" s="44">
        <f>G692+G715</f>
        <v>41051.5</v>
      </c>
      <c r="H691" s="44">
        <f>H692+H715</f>
        <v>41063.700000000004</v>
      </c>
      <c r="I691" s="204"/>
    </row>
    <row r="692" spans="1:9" ht="39.75" customHeight="1" x14ac:dyDescent="0.25">
      <c r="A692" s="23" t="s">
        <v>1358</v>
      </c>
      <c r="B692" s="19">
        <v>906</v>
      </c>
      <c r="C692" s="24" t="s">
        <v>264</v>
      </c>
      <c r="D692" s="24" t="s">
        <v>215</v>
      </c>
      <c r="E692" s="24" t="s">
        <v>406</v>
      </c>
      <c r="F692" s="24"/>
      <c r="G692" s="44">
        <f>G693+G697+G711</f>
        <v>40748.800000000003</v>
      </c>
      <c r="H692" s="44">
        <f>H693+H697+H711</f>
        <v>40748.800000000003</v>
      </c>
      <c r="I692" s="204"/>
    </row>
    <row r="693" spans="1:9" ht="31.5" x14ac:dyDescent="0.25">
      <c r="A693" s="23" t="s">
        <v>937</v>
      </c>
      <c r="B693" s="19">
        <v>906</v>
      </c>
      <c r="C693" s="24" t="s">
        <v>264</v>
      </c>
      <c r="D693" s="24" t="s">
        <v>215</v>
      </c>
      <c r="E693" s="24" t="s">
        <v>1230</v>
      </c>
      <c r="F693" s="24"/>
      <c r="G693" s="44">
        <f t="shared" ref="G693:H695" si="66">G694</f>
        <v>37056.300000000003</v>
      </c>
      <c r="H693" s="44">
        <f t="shared" si="66"/>
        <v>37056.300000000003</v>
      </c>
      <c r="I693" s="204"/>
    </row>
    <row r="694" spans="1:9" ht="47.25" x14ac:dyDescent="0.25">
      <c r="A694" s="25" t="s">
        <v>270</v>
      </c>
      <c r="B694" s="16">
        <v>906</v>
      </c>
      <c r="C694" s="20" t="s">
        <v>264</v>
      </c>
      <c r="D694" s="20" t="s">
        <v>215</v>
      </c>
      <c r="E694" s="20" t="s">
        <v>1260</v>
      </c>
      <c r="F694" s="20"/>
      <c r="G694" s="26">
        <f t="shared" si="66"/>
        <v>37056.300000000003</v>
      </c>
      <c r="H694" s="26">
        <f t="shared" si="66"/>
        <v>37056.300000000003</v>
      </c>
      <c r="I694" s="204"/>
    </row>
    <row r="695" spans="1:9" ht="31.5" x14ac:dyDescent="0.25">
      <c r="A695" s="25" t="s">
        <v>272</v>
      </c>
      <c r="B695" s="16">
        <v>906</v>
      </c>
      <c r="C695" s="20" t="s">
        <v>264</v>
      </c>
      <c r="D695" s="20" t="s">
        <v>215</v>
      </c>
      <c r="E695" s="20" t="s">
        <v>1260</v>
      </c>
      <c r="F695" s="20" t="s">
        <v>273</v>
      </c>
      <c r="G695" s="26">
        <f t="shared" si="66"/>
        <v>37056.300000000003</v>
      </c>
      <c r="H695" s="26">
        <f t="shared" si="66"/>
        <v>37056.300000000003</v>
      </c>
      <c r="I695" s="204"/>
    </row>
    <row r="696" spans="1:9" ht="15.75" x14ac:dyDescent="0.25">
      <c r="A696" s="25" t="s">
        <v>274</v>
      </c>
      <c r="B696" s="16">
        <v>906</v>
      </c>
      <c r="C696" s="20" t="s">
        <v>264</v>
      </c>
      <c r="D696" s="20" t="s">
        <v>215</v>
      </c>
      <c r="E696" s="20" t="s">
        <v>1260</v>
      </c>
      <c r="F696" s="20" t="s">
        <v>275</v>
      </c>
      <c r="G696" s="26">
        <v>37056.300000000003</v>
      </c>
      <c r="H696" s="26">
        <f t="shared" si="58"/>
        <v>37056.300000000003</v>
      </c>
      <c r="I696" s="204"/>
    </row>
    <row r="697" spans="1:9" ht="47.25" x14ac:dyDescent="0.25">
      <c r="A697" s="23" t="s">
        <v>900</v>
      </c>
      <c r="B697" s="19">
        <v>906</v>
      </c>
      <c r="C697" s="24" t="s">
        <v>264</v>
      </c>
      <c r="D697" s="24" t="s">
        <v>215</v>
      </c>
      <c r="E697" s="24" t="s">
        <v>1232</v>
      </c>
      <c r="F697" s="24"/>
      <c r="G697" s="44">
        <f>G701+G704+G698</f>
        <v>2128.5</v>
      </c>
      <c r="H697" s="44">
        <f>H701+H704+H698</f>
        <v>2128.5</v>
      </c>
      <c r="I697" s="204"/>
    </row>
    <row r="698" spans="1:9" s="203" customFormat="1" ht="94.5" x14ac:dyDescent="0.25">
      <c r="A698" s="31" t="s">
        <v>293</v>
      </c>
      <c r="B698" s="16">
        <v>906</v>
      </c>
      <c r="C698" s="20" t="s">
        <v>264</v>
      </c>
      <c r="D698" s="20" t="s">
        <v>215</v>
      </c>
      <c r="E698" s="20" t="s">
        <v>1390</v>
      </c>
      <c r="F698" s="20"/>
      <c r="G698" s="26">
        <f>G699</f>
        <v>1400</v>
      </c>
      <c r="H698" s="26">
        <f>H699</f>
        <v>1400</v>
      </c>
      <c r="I698" s="204"/>
    </row>
    <row r="699" spans="1:9" s="203" customFormat="1" ht="31.5" x14ac:dyDescent="0.25">
      <c r="A699" s="25" t="s">
        <v>272</v>
      </c>
      <c r="B699" s="16">
        <v>906</v>
      </c>
      <c r="C699" s="20" t="s">
        <v>264</v>
      </c>
      <c r="D699" s="20" t="s">
        <v>215</v>
      </c>
      <c r="E699" s="20" t="s">
        <v>1390</v>
      </c>
      <c r="F699" s="20" t="s">
        <v>273</v>
      </c>
      <c r="G699" s="26">
        <f>G700</f>
        <v>1400</v>
      </c>
      <c r="H699" s="26">
        <f>H700</f>
        <v>1400</v>
      </c>
      <c r="I699" s="204"/>
    </row>
    <row r="700" spans="1:9" s="203" customFormat="1" ht="15.75" x14ac:dyDescent="0.25">
      <c r="A700" s="25" t="s">
        <v>274</v>
      </c>
      <c r="B700" s="16">
        <v>906</v>
      </c>
      <c r="C700" s="20" t="s">
        <v>264</v>
      </c>
      <c r="D700" s="20" t="s">
        <v>215</v>
      </c>
      <c r="E700" s="20" t="s">
        <v>1390</v>
      </c>
      <c r="F700" s="20" t="s">
        <v>275</v>
      </c>
      <c r="G700" s="26">
        <v>1400</v>
      </c>
      <c r="H700" s="26">
        <f>G700</f>
        <v>1400</v>
      </c>
      <c r="I700" s="204"/>
    </row>
    <row r="701" spans="1:9" ht="63" x14ac:dyDescent="0.25">
      <c r="A701" s="31" t="s">
        <v>289</v>
      </c>
      <c r="B701" s="16">
        <v>906</v>
      </c>
      <c r="C701" s="20" t="s">
        <v>264</v>
      </c>
      <c r="D701" s="20" t="s">
        <v>215</v>
      </c>
      <c r="E701" s="20" t="s">
        <v>1233</v>
      </c>
      <c r="F701" s="20"/>
      <c r="G701" s="26">
        <f>G702</f>
        <v>179</v>
      </c>
      <c r="H701" s="26">
        <f>H702</f>
        <v>179</v>
      </c>
      <c r="I701" s="204"/>
    </row>
    <row r="702" spans="1:9" ht="31.5" x14ac:dyDescent="0.25">
      <c r="A702" s="25" t="s">
        <v>272</v>
      </c>
      <c r="B702" s="16">
        <v>906</v>
      </c>
      <c r="C702" s="20" t="s">
        <v>264</v>
      </c>
      <c r="D702" s="20" t="s">
        <v>215</v>
      </c>
      <c r="E702" s="20" t="s">
        <v>1233</v>
      </c>
      <c r="F702" s="20" t="s">
        <v>273</v>
      </c>
      <c r="G702" s="26">
        <f>G703</f>
        <v>179</v>
      </c>
      <c r="H702" s="26">
        <f>H703</f>
        <v>179</v>
      </c>
      <c r="I702" s="204"/>
    </row>
    <row r="703" spans="1:9" ht="15.75" x14ac:dyDescent="0.25">
      <c r="A703" s="25" t="s">
        <v>274</v>
      </c>
      <c r="B703" s="16">
        <v>906</v>
      </c>
      <c r="C703" s="20" t="s">
        <v>264</v>
      </c>
      <c r="D703" s="20" t="s">
        <v>215</v>
      </c>
      <c r="E703" s="20" t="s">
        <v>1233</v>
      </c>
      <c r="F703" s="20" t="s">
        <v>275</v>
      </c>
      <c r="G703" s="26">
        <v>179</v>
      </c>
      <c r="H703" s="26">
        <f t="shared" si="58"/>
        <v>179</v>
      </c>
      <c r="I703" s="204"/>
    </row>
    <row r="704" spans="1:9" ht="63" x14ac:dyDescent="0.25">
      <c r="A704" s="31" t="s">
        <v>291</v>
      </c>
      <c r="B704" s="16">
        <v>906</v>
      </c>
      <c r="C704" s="20" t="s">
        <v>264</v>
      </c>
      <c r="D704" s="20" t="s">
        <v>215</v>
      </c>
      <c r="E704" s="20" t="s">
        <v>1234</v>
      </c>
      <c r="F704" s="20"/>
      <c r="G704" s="26">
        <f>G705</f>
        <v>549.5</v>
      </c>
      <c r="H704" s="26">
        <f>H705</f>
        <v>549.5</v>
      </c>
      <c r="I704" s="204"/>
    </row>
    <row r="705" spans="1:9" ht="31.5" x14ac:dyDescent="0.25">
      <c r="A705" s="25" t="s">
        <v>272</v>
      </c>
      <c r="B705" s="16">
        <v>906</v>
      </c>
      <c r="C705" s="20" t="s">
        <v>264</v>
      </c>
      <c r="D705" s="20" t="s">
        <v>215</v>
      </c>
      <c r="E705" s="20" t="s">
        <v>1234</v>
      </c>
      <c r="F705" s="20" t="s">
        <v>273</v>
      </c>
      <c r="G705" s="26">
        <f>G706</f>
        <v>549.5</v>
      </c>
      <c r="H705" s="26">
        <f>H706</f>
        <v>549.5</v>
      </c>
      <c r="I705" s="204"/>
    </row>
    <row r="706" spans="1:9" ht="15.75" x14ac:dyDescent="0.25">
      <c r="A706" s="25" t="s">
        <v>274</v>
      </c>
      <c r="B706" s="16">
        <v>906</v>
      </c>
      <c r="C706" s="20" t="s">
        <v>264</v>
      </c>
      <c r="D706" s="20" t="s">
        <v>215</v>
      </c>
      <c r="E706" s="20" t="s">
        <v>1234</v>
      </c>
      <c r="F706" s="20" t="s">
        <v>275</v>
      </c>
      <c r="G706" s="26">
        <f>549.5</f>
        <v>549.5</v>
      </c>
      <c r="H706" s="26">
        <f t="shared" si="58"/>
        <v>549.5</v>
      </c>
      <c r="I706" s="204"/>
    </row>
    <row r="707" spans="1:9" ht="31.5" hidden="1" x14ac:dyDescent="0.25">
      <c r="A707" s="23" t="s">
        <v>941</v>
      </c>
      <c r="B707" s="19">
        <v>906</v>
      </c>
      <c r="C707" s="24" t="s">
        <v>264</v>
      </c>
      <c r="D707" s="24" t="s">
        <v>215</v>
      </c>
      <c r="E707" s="24" t="s">
        <v>1057</v>
      </c>
      <c r="F707" s="24"/>
      <c r="G707" s="44">
        <f>G708</f>
        <v>0</v>
      </c>
      <c r="H707" s="44">
        <f>H708</f>
        <v>0</v>
      </c>
      <c r="I707" s="204"/>
    </row>
    <row r="708" spans="1:9" ht="31.5" hidden="1" x14ac:dyDescent="0.25">
      <c r="A708" s="45" t="s">
        <v>766</v>
      </c>
      <c r="B708" s="16">
        <v>906</v>
      </c>
      <c r="C708" s="20" t="s">
        <v>264</v>
      </c>
      <c r="D708" s="20" t="s">
        <v>215</v>
      </c>
      <c r="E708" s="20" t="s">
        <v>1058</v>
      </c>
      <c r="F708" s="20"/>
      <c r="G708" s="26">
        <f>'Пр.4 ведом.22'!G762</f>
        <v>0</v>
      </c>
      <c r="H708" s="26">
        <f t="shared" ref="H708:H770" si="67">G708</f>
        <v>0</v>
      </c>
      <c r="I708" s="204"/>
    </row>
    <row r="709" spans="1:9" ht="31.5" hidden="1" x14ac:dyDescent="0.25">
      <c r="A709" s="31" t="s">
        <v>272</v>
      </c>
      <c r="B709" s="16">
        <v>906</v>
      </c>
      <c r="C709" s="20" t="s">
        <v>264</v>
      </c>
      <c r="D709" s="20" t="s">
        <v>215</v>
      </c>
      <c r="E709" s="20" t="s">
        <v>1058</v>
      </c>
      <c r="F709" s="20" t="s">
        <v>273</v>
      </c>
      <c r="G709" s="26">
        <f>'Пр.4 ведом.22'!G763</f>
        <v>0</v>
      </c>
      <c r="H709" s="26">
        <f t="shared" si="67"/>
        <v>0</v>
      </c>
      <c r="I709" s="204"/>
    </row>
    <row r="710" spans="1:9" ht="15.75" hidden="1" x14ac:dyDescent="0.25">
      <c r="A710" s="31" t="s">
        <v>274</v>
      </c>
      <c r="B710" s="16">
        <v>906</v>
      </c>
      <c r="C710" s="20" t="s">
        <v>264</v>
      </c>
      <c r="D710" s="20" t="s">
        <v>215</v>
      </c>
      <c r="E710" s="20" t="s">
        <v>1058</v>
      </c>
      <c r="F710" s="20" t="s">
        <v>275</v>
      </c>
      <c r="G710" s="26">
        <f>'Пр.4 ведом.22'!G764</f>
        <v>0</v>
      </c>
      <c r="H710" s="26">
        <f t="shared" si="67"/>
        <v>0</v>
      </c>
      <c r="I710" s="204"/>
    </row>
    <row r="711" spans="1:9" ht="31.5" x14ac:dyDescent="0.25">
      <c r="A711" s="219" t="s">
        <v>948</v>
      </c>
      <c r="B711" s="19">
        <v>906</v>
      </c>
      <c r="C711" s="24" t="s">
        <v>264</v>
      </c>
      <c r="D711" s="24" t="s">
        <v>215</v>
      </c>
      <c r="E711" s="24" t="s">
        <v>1240</v>
      </c>
      <c r="F711" s="24"/>
      <c r="G711" s="44">
        <f t="shared" ref="G711:H713" si="68">G712</f>
        <v>1564</v>
      </c>
      <c r="H711" s="44">
        <f t="shared" si="68"/>
        <v>1564</v>
      </c>
      <c r="I711" s="204"/>
    </row>
    <row r="712" spans="1:9" ht="31.5" x14ac:dyDescent="0.25">
      <c r="A712" s="45" t="s">
        <v>764</v>
      </c>
      <c r="B712" s="16">
        <v>906</v>
      </c>
      <c r="C712" s="20" t="s">
        <v>264</v>
      </c>
      <c r="D712" s="20" t="s">
        <v>215</v>
      </c>
      <c r="E712" s="20" t="s">
        <v>1241</v>
      </c>
      <c r="F712" s="20"/>
      <c r="G712" s="26">
        <f t="shared" si="68"/>
        <v>1564</v>
      </c>
      <c r="H712" s="26">
        <f t="shared" si="68"/>
        <v>1564</v>
      </c>
      <c r="I712" s="204"/>
    </row>
    <row r="713" spans="1:9" ht="31.5" x14ac:dyDescent="0.25">
      <c r="A713" s="25" t="s">
        <v>272</v>
      </c>
      <c r="B713" s="16">
        <v>906</v>
      </c>
      <c r="C713" s="20" t="s">
        <v>264</v>
      </c>
      <c r="D713" s="20" t="s">
        <v>215</v>
      </c>
      <c r="E713" s="20" t="s">
        <v>1241</v>
      </c>
      <c r="F713" s="20" t="s">
        <v>273</v>
      </c>
      <c r="G713" s="26">
        <f t="shared" si="68"/>
        <v>1564</v>
      </c>
      <c r="H713" s="26">
        <f t="shared" si="68"/>
        <v>1564</v>
      </c>
      <c r="I713" s="204"/>
    </row>
    <row r="714" spans="1:9" ht="15.75" x14ac:dyDescent="0.25">
      <c r="A714" s="31" t="s">
        <v>274</v>
      </c>
      <c r="B714" s="16">
        <v>906</v>
      </c>
      <c r="C714" s="20" t="s">
        <v>264</v>
      </c>
      <c r="D714" s="20" t="s">
        <v>215</v>
      </c>
      <c r="E714" s="20" t="s">
        <v>1241</v>
      </c>
      <c r="F714" s="20" t="s">
        <v>275</v>
      </c>
      <c r="G714" s="26">
        <v>1564</v>
      </c>
      <c r="H714" s="26">
        <v>1564</v>
      </c>
      <c r="I714" s="204"/>
    </row>
    <row r="715" spans="1:9" ht="47.25" x14ac:dyDescent="0.25">
      <c r="A715" s="41" t="s">
        <v>1350</v>
      </c>
      <c r="B715" s="19">
        <v>906</v>
      </c>
      <c r="C715" s="24" t="s">
        <v>264</v>
      </c>
      <c r="D715" s="24" t="s">
        <v>215</v>
      </c>
      <c r="E715" s="24" t="s">
        <v>705</v>
      </c>
      <c r="F715" s="222"/>
      <c r="G715" s="44">
        <f>G717</f>
        <v>302.7</v>
      </c>
      <c r="H715" s="44">
        <f>H717</f>
        <v>314.89999999999998</v>
      </c>
      <c r="I715" s="204"/>
    </row>
    <row r="716" spans="1:9" ht="47.25" x14ac:dyDescent="0.25">
      <c r="A716" s="41" t="s">
        <v>890</v>
      </c>
      <c r="B716" s="19">
        <v>906</v>
      </c>
      <c r="C716" s="24" t="s">
        <v>264</v>
      </c>
      <c r="D716" s="24" t="s">
        <v>942</v>
      </c>
      <c r="E716" s="24" t="s">
        <v>888</v>
      </c>
      <c r="F716" s="222"/>
      <c r="G716" s="44">
        <f t="shared" ref="G716:H718" si="69">G717</f>
        <v>302.7</v>
      </c>
      <c r="H716" s="44">
        <f t="shared" si="69"/>
        <v>314.89999999999998</v>
      </c>
      <c r="I716" s="204"/>
    </row>
    <row r="717" spans="1:9" ht="47.25" x14ac:dyDescent="0.25">
      <c r="A717" s="98" t="s">
        <v>780</v>
      </c>
      <c r="B717" s="16">
        <v>906</v>
      </c>
      <c r="C717" s="20" t="s">
        <v>264</v>
      </c>
      <c r="D717" s="20" t="s">
        <v>215</v>
      </c>
      <c r="E717" s="20" t="s">
        <v>936</v>
      </c>
      <c r="F717" s="32"/>
      <c r="G717" s="26">
        <f t="shared" si="69"/>
        <v>302.7</v>
      </c>
      <c r="H717" s="26">
        <f t="shared" si="69"/>
        <v>314.89999999999998</v>
      </c>
      <c r="I717" s="204"/>
    </row>
    <row r="718" spans="1:9" ht="31.5" x14ac:dyDescent="0.25">
      <c r="A718" s="29" t="s">
        <v>272</v>
      </c>
      <c r="B718" s="16">
        <v>906</v>
      </c>
      <c r="C718" s="20" t="s">
        <v>264</v>
      </c>
      <c r="D718" s="20" t="s">
        <v>215</v>
      </c>
      <c r="E718" s="20" t="s">
        <v>936</v>
      </c>
      <c r="F718" s="32" t="s">
        <v>273</v>
      </c>
      <c r="G718" s="26">
        <f t="shared" si="69"/>
        <v>302.7</v>
      </c>
      <c r="H718" s="26">
        <f t="shared" si="69"/>
        <v>314.89999999999998</v>
      </c>
      <c r="I718" s="204"/>
    </row>
    <row r="719" spans="1:9" ht="15.75" x14ac:dyDescent="0.25">
      <c r="A719" s="182" t="s">
        <v>274</v>
      </c>
      <c r="B719" s="16">
        <v>906</v>
      </c>
      <c r="C719" s="20" t="s">
        <v>264</v>
      </c>
      <c r="D719" s="20" t="s">
        <v>215</v>
      </c>
      <c r="E719" s="20" t="s">
        <v>936</v>
      </c>
      <c r="F719" s="32" t="s">
        <v>275</v>
      </c>
      <c r="G719" s="26">
        <v>302.7</v>
      </c>
      <c r="H719" s="26">
        <v>314.89999999999998</v>
      </c>
      <c r="I719" s="204"/>
    </row>
    <row r="720" spans="1:9" ht="15.75" x14ac:dyDescent="0.25">
      <c r="A720" s="23" t="s">
        <v>466</v>
      </c>
      <c r="B720" s="19">
        <v>906</v>
      </c>
      <c r="C720" s="24" t="s">
        <v>264</v>
      </c>
      <c r="D720" s="24" t="s">
        <v>264</v>
      </c>
      <c r="E720" s="24"/>
      <c r="F720" s="24"/>
      <c r="G720" s="21">
        <f>G721</f>
        <v>5745.1</v>
      </c>
      <c r="H720" s="21">
        <f>H721</f>
        <v>5745.1</v>
      </c>
      <c r="I720" s="204"/>
    </row>
    <row r="721" spans="1:9" ht="31.5" x14ac:dyDescent="0.25">
      <c r="A721" s="23" t="s">
        <v>1358</v>
      </c>
      <c r="B721" s="19">
        <v>906</v>
      </c>
      <c r="C721" s="24" t="s">
        <v>264</v>
      </c>
      <c r="D721" s="24" t="s">
        <v>264</v>
      </c>
      <c r="E721" s="24" t="s">
        <v>406</v>
      </c>
      <c r="F721" s="24"/>
      <c r="G721" s="21">
        <f>G722</f>
        <v>5745.1</v>
      </c>
      <c r="H721" s="21">
        <f>H722</f>
        <v>5745.1</v>
      </c>
      <c r="I721" s="204"/>
    </row>
    <row r="722" spans="1:9" ht="31.5" x14ac:dyDescent="0.25">
      <c r="A722" s="23" t="s">
        <v>943</v>
      </c>
      <c r="B722" s="19">
        <v>906</v>
      </c>
      <c r="C722" s="24" t="s">
        <v>264</v>
      </c>
      <c r="D722" s="24" t="s">
        <v>264</v>
      </c>
      <c r="E722" s="24" t="s">
        <v>1239</v>
      </c>
      <c r="F722" s="24"/>
      <c r="G722" s="21">
        <f>G723+G726</f>
        <v>5745.1</v>
      </c>
      <c r="H722" s="21">
        <f>H723+H726</f>
        <v>5745.1</v>
      </c>
      <c r="I722" s="204"/>
    </row>
    <row r="723" spans="1:9" ht="31.5" x14ac:dyDescent="0.25">
      <c r="A723" s="31" t="s">
        <v>1059</v>
      </c>
      <c r="B723" s="16">
        <v>906</v>
      </c>
      <c r="C723" s="20" t="s">
        <v>264</v>
      </c>
      <c r="D723" s="20" t="s">
        <v>264</v>
      </c>
      <c r="E723" s="20" t="s">
        <v>1261</v>
      </c>
      <c r="F723" s="20"/>
      <c r="G723" s="26">
        <f>G724</f>
        <v>5745.1</v>
      </c>
      <c r="H723" s="26">
        <f>H724</f>
        <v>5745.1</v>
      </c>
      <c r="I723" s="204"/>
    </row>
    <row r="724" spans="1:9" ht="31.5" x14ac:dyDescent="0.25">
      <c r="A724" s="25" t="s">
        <v>272</v>
      </c>
      <c r="B724" s="16">
        <v>906</v>
      </c>
      <c r="C724" s="20" t="s">
        <v>264</v>
      </c>
      <c r="D724" s="20" t="s">
        <v>264</v>
      </c>
      <c r="E724" s="20" t="s">
        <v>1261</v>
      </c>
      <c r="F724" s="20" t="s">
        <v>273</v>
      </c>
      <c r="G724" s="26">
        <f>G725</f>
        <v>5745.1</v>
      </c>
      <c r="H724" s="26">
        <f>H725</f>
        <v>5745.1</v>
      </c>
      <c r="I724" s="204"/>
    </row>
    <row r="725" spans="1:9" ht="15.75" x14ac:dyDescent="0.25">
      <c r="A725" s="25" t="s">
        <v>274</v>
      </c>
      <c r="B725" s="16">
        <v>906</v>
      </c>
      <c r="C725" s="20" t="s">
        <v>264</v>
      </c>
      <c r="D725" s="20" t="s">
        <v>264</v>
      </c>
      <c r="E725" s="20" t="s">
        <v>1261</v>
      </c>
      <c r="F725" s="20" t="s">
        <v>275</v>
      </c>
      <c r="G725" s="26">
        <v>5745.1</v>
      </c>
      <c r="H725" s="26">
        <v>5745.1</v>
      </c>
      <c r="I725" s="204"/>
    </row>
    <row r="726" spans="1:9" ht="31.5" hidden="1" x14ac:dyDescent="0.25">
      <c r="A726" s="31" t="s">
        <v>1182</v>
      </c>
      <c r="B726" s="16">
        <v>906</v>
      </c>
      <c r="C726" s="20" t="s">
        <v>264</v>
      </c>
      <c r="D726" s="20" t="s">
        <v>264</v>
      </c>
      <c r="E726" s="20" t="s">
        <v>1262</v>
      </c>
      <c r="F726" s="20"/>
      <c r="G726" s="26">
        <f>G727</f>
        <v>0</v>
      </c>
      <c r="H726" s="26">
        <f>H727</f>
        <v>0</v>
      </c>
      <c r="I726" s="204"/>
    </row>
    <row r="727" spans="1:9" ht="31.5" hidden="1" x14ac:dyDescent="0.25">
      <c r="A727" s="25" t="s">
        <v>272</v>
      </c>
      <c r="B727" s="16">
        <v>906</v>
      </c>
      <c r="C727" s="20" t="s">
        <v>264</v>
      </c>
      <c r="D727" s="20" t="s">
        <v>264</v>
      </c>
      <c r="E727" s="20" t="s">
        <v>1262</v>
      </c>
      <c r="F727" s="20" t="s">
        <v>273</v>
      </c>
      <c r="G727" s="26">
        <f>G728</f>
        <v>0</v>
      </c>
      <c r="H727" s="26">
        <f>H728</f>
        <v>0</v>
      </c>
      <c r="I727" s="204"/>
    </row>
    <row r="728" spans="1:9" ht="15.75" hidden="1" x14ac:dyDescent="0.25">
      <c r="A728" s="25" t="s">
        <v>274</v>
      </c>
      <c r="B728" s="16">
        <v>906</v>
      </c>
      <c r="C728" s="20" t="s">
        <v>264</v>
      </c>
      <c r="D728" s="20" t="s">
        <v>264</v>
      </c>
      <c r="E728" s="20" t="s">
        <v>1262</v>
      </c>
      <c r="F728" s="20" t="s">
        <v>275</v>
      </c>
      <c r="G728" s="26">
        <v>0</v>
      </c>
      <c r="H728" s="26">
        <v>0</v>
      </c>
      <c r="I728" s="204"/>
    </row>
    <row r="729" spans="1:9" ht="15.75" x14ac:dyDescent="0.25">
      <c r="A729" s="23" t="s">
        <v>295</v>
      </c>
      <c r="B729" s="19">
        <v>906</v>
      </c>
      <c r="C729" s="24" t="s">
        <v>264</v>
      </c>
      <c r="D729" s="24" t="s">
        <v>219</v>
      </c>
      <c r="E729" s="24"/>
      <c r="F729" s="24"/>
      <c r="G729" s="21">
        <f>G730+G740</f>
        <v>19831.8</v>
      </c>
      <c r="H729" s="21">
        <f>H730+H740</f>
        <v>19831.8</v>
      </c>
      <c r="I729" s="204"/>
    </row>
    <row r="730" spans="1:9" ht="44.1" customHeight="1" x14ac:dyDescent="0.25">
      <c r="A730" s="23" t="s">
        <v>917</v>
      </c>
      <c r="B730" s="19">
        <v>906</v>
      </c>
      <c r="C730" s="24" t="s">
        <v>264</v>
      </c>
      <c r="D730" s="24" t="s">
        <v>219</v>
      </c>
      <c r="E730" s="24" t="s">
        <v>858</v>
      </c>
      <c r="F730" s="24"/>
      <c r="G730" s="21">
        <f>G731</f>
        <v>6048.7</v>
      </c>
      <c r="H730" s="21">
        <f>H731</f>
        <v>6048.7</v>
      </c>
      <c r="I730" s="204"/>
    </row>
    <row r="731" spans="1:9" ht="15.75" x14ac:dyDescent="0.25">
      <c r="A731" s="23" t="s">
        <v>918</v>
      </c>
      <c r="B731" s="19">
        <v>906</v>
      </c>
      <c r="C731" s="24" t="s">
        <v>264</v>
      </c>
      <c r="D731" s="24" t="s">
        <v>219</v>
      </c>
      <c r="E731" s="24" t="s">
        <v>859</v>
      </c>
      <c r="F731" s="24"/>
      <c r="G731" s="21">
        <f>G732+G737</f>
        <v>6048.7</v>
      </c>
      <c r="H731" s="21">
        <f>H732+H737</f>
        <v>6048.7</v>
      </c>
      <c r="I731" s="204"/>
    </row>
    <row r="732" spans="1:9" ht="31.5" x14ac:dyDescent="0.25">
      <c r="A732" s="25" t="s">
        <v>897</v>
      </c>
      <c r="B732" s="16">
        <v>906</v>
      </c>
      <c r="C732" s="20" t="s">
        <v>264</v>
      </c>
      <c r="D732" s="20" t="s">
        <v>219</v>
      </c>
      <c r="E732" s="20" t="s">
        <v>860</v>
      </c>
      <c r="F732" s="20"/>
      <c r="G732" s="26">
        <f>G733+G735</f>
        <v>5922.7</v>
      </c>
      <c r="H732" s="26">
        <f>H733+H735</f>
        <v>5922.7</v>
      </c>
      <c r="I732" s="204"/>
    </row>
    <row r="733" spans="1:9" ht="78.75" x14ac:dyDescent="0.25">
      <c r="A733" s="25" t="s">
        <v>127</v>
      </c>
      <c r="B733" s="16">
        <v>906</v>
      </c>
      <c r="C733" s="20" t="s">
        <v>264</v>
      </c>
      <c r="D733" s="20" t="s">
        <v>219</v>
      </c>
      <c r="E733" s="20" t="s">
        <v>860</v>
      </c>
      <c r="F733" s="20" t="s">
        <v>128</v>
      </c>
      <c r="G733" s="26">
        <f>G734</f>
        <v>5710.7</v>
      </c>
      <c r="H733" s="26">
        <f>H734</f>
        <v>5710.7</v>
      </c>
      <c r="I733" s="204"/>
    </row>
    <row r="734" spans="1:9" ht="31.5" x14ac:dyDescent="0.25">
      <c r="A734" s="25" t="s">
        <v>129</v>
      </c>
      <c r="B734" s="16">
        <v>906</v>
      </c>
      <c r="C734" s="20" t="s">
        <v>264</v>
      </c>
      <c r="D734" s="20" t="s">
        <v>219</v>
      </c>
      <c r="E734" s="20" t="s">
        <v>860</v>
      </c>
      <c r="F734" s="20" t="s">
        <v>130</v>
      </c>
      <c r="G734" s="26">
        <v>5710.7</v>
      </c>
      <c r="H734" s="26">
        <f t="shared" si="67"/>
        <v>5710.7</v>
      </c>
      <c r="I734" s="204"/>
    </row>
    <row r="735" spans="1:9" ht="31.5" x14ac:dyDescent="0.25">
      <c r="A735" s="25" t="s">
        <v>131</v>
      </c>
      <c r="B735" s="16">
        <v>906</v>
      </c>
      <c r="C735" s="20" t="s">
        <v>264</v>
      </c>
      <c r="D735" s="20" t="s">
        <v>219</v>
      </c>
      <c r="E735" s="20" t="s">
        <v>860</v>
      </c>
      <c r="F735" s="20" t="s">
        <v>132</v>
      </c>
      <c r="G735" s="26">
        <f>G736</f>
        <v>212</v>
      </c>
      <c r="H735" s="26">
        <f>H736</f>
        <v>212</v>
      </c>
      <c r="I735" s="204"/>
    </row>
    <row r="736" spans="1:9" ht="31.5" x14ac:dyDescent="0.25">
      <c r="A736" s="25" t="s">
        <v>133</v>
      </c>
      <c r="B736" s="16">
        <v>906</v>
      </c>
      <c r="C736" s="20" t="s">
        <v>264</v>
      </c>
      <c r="D736" s="20" t="s">
        <v>219</v>
      </c>
      <c r="E736" s="20" t="s">
        <v>860</v>
      </c>
      <c r="F736" s="20" t="s">
        <v>134</v>
      </c>
      <c r="G736" s="26">
        <f>212</f>
        <v>212</v>
      </c>
      <c r="H736" s="26">
        <f t="shared" si="67"/>
        <v>212</v>
      </c>
      <c r="I736" s="204"/>
    </row>
    <row r="737" spans="1:9" ht="47.25" x14ac:dyDescent="0.25">
      <c r="A737" s="25" t="s">
        <v>839</v>
      </c>
      <c r="B737" s="16">
        <v>906</v>
      </c>
      <c r="C737" s="20" t="s">
        <v>264</v>
      </c>
      <c r="D737" s="20" t="s">
        <v>219</v>
      </c>
      <c r="E737" s="20" t="s">
        <v>862</v>
      </c>
      <c r="F737" s="20"/>
      <c r="G737" s="26">
        <f>G738</f>
        <v>126</v>
      </c>
      <c r="H737" s="26">
        <f>H738</f>
        <v>126</v>
      </c>
      <c r="I737" s="204"/>
    </row>
    <row r="738" spans="1:9" ht="78.75" x14ac:dyDescent="0.25">
      <c r="A738" s="25" t="s">
        <v>127</v>
      </c>
      <c r="B738" s="16">
        <v>906</v>
      </c>
      <c r="C738" s="20" t="s">
        <v>264</v>
      </c>
      <c r="D738" s="20" t="s">
        <v>219</v>
      </c>
      <c r="E738" s="20" t="s">
        <v>862</v>
      </c>
      <c r="F738" s="20" t="s">
        <v>128</v>
      </c>
      <c r="G738" s="26">
        <f>G739</f>
        <v>126</v>
      </c>
      <c r="H738" s="26">
        <f>H739</f>
        <v>126</v>
      </c>
      <c r="I738" s="204"/>
    </row>
    <row r="739" spans="1:9" ht="31.5" x14ac:dyDescent="0.25">
      <c r="A739" s="25" t="s">
        <v>129</v>
      </c>
      <c r="B739" s="16">
        <v>906</v>
      </c>
      <c r="C739" s="20" t="s">
        <v>264</v>
      </c>
      <c r="D739" s="20" t="s">
        <v>219</v>
      </c>
      <c r="E739" s="20" t="s">
        <v>862</v>
      </c>
      <c r="F739" s="20" t="s">
        <v>130</v>
      </c>
      <c r="G739" s="26">
        <f>126</f>
        <v>126</v>
      </c>
      <c r="H739" s="26">
        <f t="shared" si="67"/>
        <v>126</v>
      </c>
      <c r="I739" s="204"/>
    </row>
    <row r="740" spans="1:9" ht="15.75" x14ac:dyDescent="0.25">
      <c r="A740" s="23" t="s">
        <v>141</v>
      </c>
      <c r="B740" s="19">
        <v>906</v>
      </c>
      <c r="C740" s="24" t="s">
        <v>264</v>
      </c>
      <c r="D740" s="24" t="s">
        <v>219</v>
      </c>
      <c r="E740" s="24" t="s">
        <v>866</v>
      </c>
      <c r="F740" s="24"/>
      <c r="G740" s="21">
        <f>G741+G745</f>
        <v>13783.1</v>
      </c>
      <c r="H740" s="21">
        <f>H741+H745</f>
        <v>13783.1</v>
      </c>
      <c r="I740" s="204"/>
    </row>
    <row r="741" spans="1:9" ht="31.5" x14ac:dyDescent="0.25">
      <c r="A741" s="23" t="s">
        <v>870</v>
      </c>
      <c r="B741" s="19">
        <v>906</v>
      </c>
      <c r="C741" s="24" t="s">
        <v>264</v>
      </c>
      <c r="D741" s="24" t="s">
        <v>219</v>
      </c>
      <c r="E741" s="24" t="s">
        <v>865</v>
      </c>
      <c r="F741" s="24"/>
      <c r="G741" s="21">
        <f t="shared" ref="G741:H743" si="70">G742</f>
        <v>300</v>
      </c>
      <c r="H741" s="21">
        <f t="shared" si="70"/>
        <v>300</v>
      </c>
      <c r="I741" s="204"/>
    </row>
    <row r="742" spans="1:9" ht="15.75" x14ac:dyDescent="0.25">
      <c r="A742" s="25" t="s">
        <v>478</v>
      </c>
      <c r="B742" s="16">
        <v>906</v>
      </c>
      <c r="C742" s="20" t="s">
        <v>264</v>
      </c>
      <c r="D742" s="20" t="s">
        <v>219</v>
      </c>
      <c r="E742" s="20" t="s">
        <v>944</v>
      </c>
      <c r="F742" s="20"/>
      <c r="G742" s="26">
        <f t="shared" si="70"/>
        <v>300</v>
      </c>
      <c r="H742" s="26">
        <f t="shared" si="70"/>
        <v>300</v>
      </c>
      <c r="I742" s="204"/>
    </row>
    <row r="743" spans="1:9" ht="31.5" x14ac:dyDescent="0.25">
      <c r="A743" s="25" t="s">
        <v>131</v>
      </c>
      <c r="B743" s="16">
        <v>906</v>
      </c>
      <c r="C743" s="20" t="s">
        <v>264</v>
      </c>
      <c r="D743" s="20" t="s">
        <v>219</v>
      </c>
      <c r="E743" s="20" t="s">
        <v>944</v>
      </c>
      <c r="F743" s="20" t="s">
        <v>132</v>
      </c>
      <c r="G743" s="26">
        <f t="shared" si="70"/>
        <v>300</v>
      </c>
      <c r="H743" s="26">
        <f t="shared" si="70"/>
        <v>300</v>
      </c>
      <c r="I743" s="204"/>
    </row>
    <row r="744" spans="1:9" ht="33.950000000000003" customHeight="1" x14ac:dyDescent="0.25">
      <c r="A744" s="25" t="s">
        <v>133</v>
      </c>
      <c r="B744" s="16">
        <v>906</v>
      </c>
      <c r="C744" s="20" t="s">
        <v>264</v>
      </c>
      <c r="D744" s="20" t="s">
        <v>219</v>
      </c>
      <c r="E744" s="20" t="s">
        <v>944</v>
      </c>
      <c r="F744" s="20" t="s">
        <v>134</v>
      </c>
      <c r="G744" s="26">
        <v>300</v>
      </c>
      <c r="H744" s="26">
        <f t="shared" si="67"/>
        <v>300</v>
      </c>
      <c r="I744" s="204"/>
    </row>
    <row r="745" spans="1:9" ht="31.5" x14ac:dyDescent="0.25">
      <c r="A745" s="23" t="s">
        <v>929</v>
      </c>
      <c r="B745" s="19">
        <v>906</v>
      </c>
      <c r="C745" s="24" t="s">
        <v>264</v>
      </c>
      <c r="D745" s="24" t="s">
        <v>219</v>
      </c>
      <c r="E745" s="24" t="s">
        <v>914</v>
      </c>
      <c r="F745" s="24"/>
      <c r="G745" s="21">
        <f>G746+G753</f>
        <v>13483.1</v>
      </c>
      <c r="H745" s="21">
        <f>H746+H753</f>
        <v>13483.1</v>
      </c>
      <c r="I745" s="204"/>
    </row>
    <row r="746" spans="1:9" ht="31.5" x14ac:dyDescent="0.25">
      <c r="A746" s="25" t="s">
        <v>1083</v>
      </c>
      <c r="B746" s="16">
        <v>906</v>
      </c>
      <c r="C746" s="20" t="s">
        <v>264</v>
      </c>
      <c r="D746" s="20" t="s">
        <v>219</v>
      </c>
      <c r="E746" s="20" t="s">
        <v>915</v>
      </c>
      <c r="F746" s="20"/>
      <c r="G746" s="26">
        <f>G747+G749+G751</f>
        <v>12977.1</v>
      </c>
      <c r="H746" s="26">
        <f>H747+H749+H751</f>
        <v>12977.1</v>
      </c>
      <c r="I746" s="204"/>
    </row>
    <row r="747" spans="1:9" ht="78.75" x14ac:dyDescent="0.25">
      <c r="A747" s="25" t="s">
        <v>127</v>
      </c>
      <c r="B747" s="16">
        <v>906</v>
      </c>
      <c r="C747" s="20" t="s">
        <v>264</v>
      </c>
      <c r="D747" s="20" t="s">
        <v>219</v>
      </c>
      <c r="E747" s="20" t="s">
        <v>915</v>
      </c>
      <c r="F747" s="20" t="s">
        <v>128</v>
      </c>
      <c r="G747" s="26">
        <f>G748</f>
        <v>11885.1</v>
      </c>
      <c r="H747" s="26">
        <f t="shared" si="67"/>
        <v>11885.1</v>
      </c>
      <c r="I747" s="204"/>
    </row>
    <row r="748" spans="1:9" ht="31.5" x14ac:dyDescent="0.25">
      <c r="A748" s="25" t="s">
        <v>342</v>
      </c>
      <c r="B748" s="16">
        <v>906</v>
      </c>
      <c r="C748" s="20" t="s">
        <v>264</v>
      </c>
      <c r="D748" s="20" t="s">
        <v>219</v>
      </c>
      <c r="E748" s="20" t="s">
        <v>915</v>
      </c>
      <c r="F748" s="20" t="s">
        <v>209</v>
      </c>
      <c r="G748" s="26">
        <v>11885.1</v>
      </c>
      <c r="H748" s="26">
        <f t="shared" si="67"/>
        <v>11885.1</v>
      </c>
      <c r="I748" s="204"/>
    </row>
    <row r="749" spans="1:9" ht="31.5" x14ac:dyDescent="0.25">
      <c r="A749" s="25" t="s">
        <v>131</v>
      </c>
      <c r="B749" s="16">
        <v>906</v>
      </c>
      <c r="C749" s="20" t="s">
        <v>264</v>
      </c>
      <c r="D749" s="20" t="s">
        <v>219</v>
      </c>
      <c r="E749" s="20" t="s">
        <v>915</v>
      </c>
      <c r="F749" s="20" t="s">
        <v>132</v>
      </c>
      <c r="G749" s="26">
        <f>G750</f>
        <v>1077</v>
      </c>
      <c r="H749" s="26">
        <f t="shared" si="67"/>
        <v>1077</v>
      </c>
      <c r="I749" s="204"/>
    </row>
    <row r="750" spans="1:9" ht="31.5" x14ac:dyDescent="0.25">
      <c r="A750" s="25" t="s">
        <v>133</v>
      </c>
      <c r="B750" s="16">
        <v>906</v>
      </c>
      <c r="C750" s="20" t="s">
        <v>264</v>
      </c>
      <c r="D750" s="20" t="s">
        <v>219</v>
      </c>
      <c r="E750" s="20" t="s">
        <v>915</v>
      </c>
      <c r="F750" s="20" t="s">
        <v>134</v>
      </c>
      <c r="G750" s="26">
        <f>1077</f>
        <v>1077</v>
      </c>
      <c r="H750" s="26">
        <f t="shared" si="67"/>
        <v>1077</v>
      </c>
      <c r="I750" s="204"/>
    </row>
    <row r="751" spans="1:9" ht="15.75" x14ac:dyDescent="0.25">
      <c r="A751" s="25" t="s">
        <v>135</v>
      </c>
      <c r="B751" s="16">
        <v>906</v>
      </c>
      <c r="C751" s="20" t="s">
        <v>264</v>
      </c>
      <c r="D751" s="20" t="s">
        <v>219</v>
      </c>
      <c r="E751" s="20" t="s">
        <v>915</v>
      </c>
      <c r="F751" s="20" t="s">
        <v>145</v>
      </c>
      <c r="G751" s="26">
        <f>G752</f>
        <v>15</v>
      </c>
      <c r="H751" s="26">
        <f t="shared" si="67"/>
        <v>15</v>
      </c>
      <c r="I751" s="204"/>
    </row>
    <row r="752" spans="1:9" ht="15.75" x14ac:dyDescent="0.25">
      <c r="A752" s="25" t="s">
        <v>568</v>
      </c>
      <c r="B752" s="16">
        <v>906</v>
      </c>
      <c r="C752" s="20" t="s">
        <v>264</v>
      </c>
      <c r="D752" s="20" t="s">
        <v>219</v>
      </c>
      <c r="E752" s="20" t="s">
        <v>915</v>
      </c>
      <c r="F752" s="20" t="s">
        <v>138</v>
      </c>
      <c r="G752" s="26">
        <f>15</f>
        <v>15</v>
      </c>
      <c r="H752" s="26">
        <f t="shared" si="67"/>
        <v>15</v>
      </c>
      <c r="I752" s="204"/>
    </row>
    <row r="753" spans="1:9" ht="47.25" x14ac:dyDescent="0.25">
      <c r="A753" s="25" t="s">
        <v>839</v>
      </c>
      <c r="B753" s="16">
        <v>906</v>
      </c>
      <c r="C753" s="20" t="s">
        <v>264</v>
      </c>
      <c r="D753" s="20" t="s">
        <v>219</v>
      </c>
      <c r="E753" s="20" t="s">
        <v>916</v>
      </c>
      <c r="F753" s="20"/>
      <c r="G753" s="26">
        <f>G754</f>
        <v>506</v>
      </c>
      <c r="H753" s="26">
        <f>H754</f>
        <v>506</v>
      </c>
      <c r="I753" s="204"/>
    </row>
    <row r="754" spans="1:9" ht="78.75" x14ac:dyDescent="0.25">
      <c r="A754" s="25" t="s">
        <v>127</v>
      </c>
      <c r="B754" s="16">
        <v>906</v>
      </c>
      <c r="C754" s="20" t="s">
        <v>264</v>
      </c>
      <c r="D754" s="20" t="s">
        <v>219</v>
      </c>
      <c r="E754" s="20" t="s">
        <v>916</v>
      </c>
      <c r="F754" s="20" t="s">
        <v>128</v>
      </c>
      <c r="G754" s="26">
        <f>G755</f>
        <v>506</v>
      </c>
      <c r="H754" s="26">
        <f>H755</f>
        <v>506</v>
      </c>
      <c r="I754" s="204"/>
    </row>
    <row r="755" spans="1:9" ht="31.5" x14ac:dyDescent="0.25">
      <c r="A755" s="25" t="s">
        <v>342</v>
      </c>
      <c r="B755" s="16">
        <v>906</v>
      </c>
      <c r="C755" s="20" t="s">
        <v>264</v>
      </c>
      <c r="D755" s="20" t="s">
        <v>219</v>
      </c>
      <c r="E755" s="20" t="s">
        <v>916</v>
      </c>
      <c r="F755" s="20" t="s">
        <v>209</v>
      </c>
      <c r="G755" s="26">
        <v>506</v>
      </c>
      <c r="H755" s="26">
        <v>506</v>
      </c>
      <c r="I755" s="204"/>
    </row>
    <row r="756" spans="1:9" ht="31.5" x14ac:dyDescent="0.25">
      <c r="A756" s="19" t="s">
        <v>1368</v>
      </c>
      <c r="B756" s="19">
        <v>907</v>
      </c>
      <c r="C756" s="20"/>
      <c r="D756" s="20"/>
      <c r="E756" s="20"/>
      <c r="F756" s="20"/>
      <c r="G756" s="21">
        <f>G764+G757</f>
        <v>64081.399999999994</v>
      </c>
      <c r="H756" s="21">
        <f>H764+H757</f>
        <v>64012.600000000006</v>
      </c>
      <c r="I756" s="204"/>
    </row>
    <row r="757" spans="1:9" s="203" customFormat="1" ht="15.75" x14ac:dyDescent="0.25">
      <c r="A757" s="23" t="s">
        <v>117</v>
      </c>
      <c r="B757" s="19">
        <v>907</v>
      </c>
      <c r="C757" s="24" t="s">
        <v>118</v>
      </c>
      <c r="D757" s="24"/>
      <c r="E757" s="24"/>
      <c r="F757" s="24"/>
      <c r="G757" s="21">
        <f t="shared" ref="G757:H758" si="71">G758</f>
        <v>100</v>
      </c>
      <c r="H757" s="21">
        <f t="shared" si="71"/>
        <v>0</v>
      </c>
      <c r="I757" s="204"/>
    </row>
    <row r="758" spans="1:9" s="203" customFormat="1" ht="15.75" x14ac:dyDescent="0.25">
      <c r="A758" s="34" t="s">
        <v>139</v>
      </c>
      <c r="B758" s="19">
        <v>907</v>
      </c>
      <c r="C758" s="24" t="s">
        <v>118</v>
      </c>
      <c r="D758" s="24" t="s">
        <v>140</v>
      </c>
      <c r="E758" s="24"/>
      <c r="F758" s="24"/>
      <c r="G758" s="21">
        <f t="shared" si="71"/>
        <v>100</v>
      </c>
      <c r="H758" s="21">
        <f t="shared" si="71"/>
        <v>0</v>
      </c>
      <c r="I758" s="204"/>
    </row>
    <row r="759" spans="1:9" s="203" customFormat="1" ht="47.25" x14ac:dyDescent="0.25">
      <c r="A759" s="23" t="s">
        <v>1349</v>
      </c>
      <c r="B759" s="19">
        <v>907</v>
      </c>
      <c r="C759" s="24" t="s">
        <v>118</v>
      </c>
      <c r="D759" s="24" t="s">
        <v>140</v>
      </c>
      <c r="E759" s="24" t="s">
        <v>335</v>
      </c>
      <c r="F759" s="24"/>
      <c r="G759" s="21">
        <f t="shared" ref="G759:H762" si="72">G760</f>
        <v>100</v>
      </c>
      <c r="H759" s="21">
        <f t="shared" si="72"/>
        <v>0</v>
      </c>
      <c r="I759" s="204"/>
    </row>
    <row r="760" spans="1:9" s="203" customFormat="1" ht="31.5" x14ac:dyDescent="0.25">
      <c r="A760" s="213" t="s">
        <v>1049</v>
      </c>
      <c r="B760" s="19">
        <v>907</v>
      </c>
      <c r="C760" s="24" t="s">
        <v>118</v>
      </c>
      <c r="D760" s="24" t="s">
        <v>140</v>
      </c>
      <c r="E760" s="24" t="s">
        <v>1050</v>
      </c>
      <c r="F760" s="24"/>
      <c r="G760" s="21">
        <f t="shared" si="72"/>
        <v>100</v>
      </c>
      <c r="H760" s="21">
        <f t="shared" si="72"/>
        <v>0</v>
      </c>
      <c r="I760" s="204"/>
    </row>
    <row r="761" spans="1:9" s="203" customFormat="1" ht="31.5" x14ac:dyDescent="0.25">
      <c r="A761" s="97" t="s">
        <v>336</v>
      </c>
      <c r="B761" s="16">
        <v>907</v>
      </c>
      <c r="C761" s="20" t="s">
        <v>118</v>
      </c>
      <c r="D761" s="20" t="s">
        <v>140</v>
      </c>
      <c r="E761" s="20" t="s">
        <v>1051</v>
      </c>
      <c r="F761" s="20"/>
      <c r="G761" s="26">
        <f t="shared" si="72"/>
        <v>100</v>
      </c>
      <c r="H761" s="26">
        <f t="shared" si="72"/>
        <v>0</v>
      </c>
      <c r="I761" s="204"/>
    </row>
    <row r="762" spans="1:9" s="203" customFormat="1" ht="31.5" x14ac:dyDescent="0.25">
      <c r="A762" s="25" t="s">
        <v>131</v>
      </c>
      <c r="B762" s="16">
        <v>907</v>
      </c>
      <c r="C762" s="20" t="s">
        <v>118</v>
      </c>
      <c r="D762" s="20" t="s">
        <v>140</v>
      </c>
      <c r="E762" s="20" t="s">
        <v>1051</v>
      </c>
      <c r="F762" s="20" t="s">
        <v>132</v>
      </c>
      <c r="G762" s="26">
        <f t="shared" si="72"/>
        <v>100</v>
      </c>
      <c r="H762" s="26">
        <f t="shared" si="72"/>
        <v>0</v>
      </c>
      <c r="I762" s="204"/>
    </row>
    <row r="763" spans="1:9" s="203" customFormat="1" ht="31.5" x14ac:dyDescent="0.25">
      <c r="A763" s="25" t="s">
        <v>133</v>
      </c>
      <c r="B763" s="16">
        <v>907</v>
      </c>
      <c r="C763" s="20" t="s">
        <v>118</v>
      </c>
      <c r="D763" s="20" t="s">
        <v>140</v>
      </c>
      <c r="E763" s="20" t="s">
        <v>1051</v>
      </c>
      <c r="F763" s="20" t="s">
        <v>134</v>
      </c>
      <c r="G763" s="26">
        <v>100</v>
      </c>
      <c r="H763" s="26">
        <v>0</v>
      </c>
      <c r="I763" s="204"/>
    </row>
    <row r="764" spans="1:9" ht="15.75" x14ac:dyDescent="0.25">
      <c r="A764" s="23" t="s">
        <v>490</v>
      </c>
      <c r="B764" s="19">
        <v>907</v>
      </c>
      <c r="C764" s="24" t="s">
        <v>491</v>
      </c>
      <c r="D764" s="20"/>
      <c r="E764" s="20"/>
      <c r="F764" s="20"/>
      <c r="G764" s="21">
        <f>G765+G803</f>
        <v>63981.399999999994</v>
      </c>
      <c r="H764" s="21">
        <f>H765+H803</f>
        <v>64012.600000000006</v>
      </c>
      <c r="I764" s="204"/>
    </row>
    <row r="765" spans="1:9" ht="15.75" x14ac:dyDescent="0.25">
      <c r="A765" s="23" t="s">
        <v>492</v>
      </c>
      <c r="B765" s="19">
        <v>907</v>
      </c>
      <c r="C765" s="24" t="s">
        <v>491</v>
      </c>
      <c r="D765" s="24" t="s">
        <v>118</v>
      </c>
      <c r="E765" s="20"/>
      <c r="F765" s="20"/>
      <c r="G765" s="21">
        <f>G766+G798+G793</f>
        <v>50452.2</v>
      </c>
      <c r="H765" s="21">
        <f>H766+H798+H793</f>
        <v>50483.4</v>
      </c>
      <c r="I765" s="204"/>
    </row>
    <row r="766" spans="1:9" ht="47.25" x14ac:dyDescent="0.25">
      <c r="A766" s="23" t="s">
        <v>1369</v>
      </c>
      <c r="B766" s="19">
        <v>907</v>
      </c>
      <c r="C766" s="24" t="s">
        <v>491</v>
      </c>
      <c r="D766" s="24" t="s">
        <v>118</v>
      </c>
      <c r="E766" s="24" t="s">
        <v>482</v>
      </c>
      <c r="F766" s="24"/>
      <c r="G766" s="21">
        <f>G767+G778+G782+G789</f>
        <v>49873.1</v>
      </c>
      <c r="H766" s="21">
        <f>H767+H778+H782+H789</f>
        <v>49873.1</v>
      </c>
      <c r="I766" s="204"/>
    </row>
    <row r="767" spans="1:9" ht="31.5" x14ac:dyDescent="0.25">
      <c r="A767" s="23" t="s">
        <v>937</v>
      </c>
      <c r="B767" s="19">
        <v>907</v>
      </c>
      <c r="C767" s="24" t="s">
        <v>491</v>
      </c>
      <c r="D767" s="24" t="s">
        <v>118</v>
      </c>
      <c r="E767" s="24" t="s">
        <v>1263</v>
      </c>
      <c r="F767" s="24"/>
      <c r="G767" s="21">
        <f t="shared" ref="G767:H769" si="73">G768</f>
        <v>47819.6</v>
      </c>
      <c r="H767" s="21">
        <f t="shared" si="73"/>
        <v>47819.6</v>
      </c>
      <c r="I767" s="204"/>
    </row>
    <row r="768" spans="1:9" ht="31.5" x14ac:dyDescent="0.25">
      <c r="A768" s="25" t="s">
        <v>1293</v>
      </c>
      <c r="B768" s="16">
        <v>907</v>
      </c>
      <c r="C768" s="20" t="s">
        <v>491</v>
      </c>
      <c r="D768" s="20" t="s">
        <v>118</v>
      </c>
      <c r="E768" s="20" t="s">
        <v>1264</v>
      </c>
      <c r="F768" s="20"/>
      <c r="G768" s="26">
        <f t="shared" si="73"/>
        <v>47819.6</v>
      </c>
      <c r="H768" s="26">
        <f t="shared" si="73"/>
        <v>47819.6</v>
      </c>
      <c r="I768" s="204"/>
    </row>
    <row r="769" spans="1:9" ht="31.5" x14ac:dyDescent="0.25">
      <c r="A769" s="25" t="s">
        <v>272</v>
      </c>
      <c r="B769" s="16">
        <v>907</v>
      </c>
      <c r="C769" s="20" t="s">
        <v>491</v>
      </c>
      <c r="D769" s="20" t="s">
        <v>118</v>
      </c>
      <c r="E769" s="20" t="s">
        <v>1264</v>
      </c>
      <c r="F769" s="20" t="s">
        <v>273</v>
      </c>
      <c r="G769" s="26">
        <f t="shared" si="73"/>
        <v>47819.6</v>
      </c>
      <c r="H769" s="26">
        <f t="shared" si="73"/>
        <v>47819.6</v>
      </c>
      <c r="I769" s="204"/>
    </row>
    <row r="770" spans="1:9" ht="15.75" x14ac:dyDescent="0.25">
      <c r="A770" s="25" t="s">
        <v>274</v>
      </c>
      <c r="B770" s="16">
        <v>907</v>
      </c>
      <c r="C770" s="20" t="s">
        <v>491</v>
      </c>
      <c r="D770" s="20" t="s">
        <v>118</v>
      </c>
      <c r="E770" s="20" t="s">
        <v>1264</v>
      </c>
      <c r="F770" s="20" t="s">
        <v>275</v>
      </c>
      <c r="G770" s="26">
        <v>47819.6</v>
      </c>
      <c r="H770" s="26">
        <f t="shared" si="67"/>
        <v>47819.6</v>
      </c>
      <c r="I770" s="204"/>
    </row>
    <row r="771" spans="1:9" ht="31.5" x14ac:dyDescent="0.25">
      <c r="A771" s="23" t="s">
        <v>945</v>
      </c>
      <c r="B771" s="19">
        <v>907</v>
      </c>
      <c r="C771" s="24" t="s">
        <v>491</v>
      </c>
      <c r="D771" s="24" t="s">
        <v>118</v>
      </c>
      <c r="E771" s="24" t="s">
        <v>946</v>
      </c>
      <c r="F771" s="24"/>
      <c r="G771" s="44">
        <f>G772+G775+G779</f>
        <v>36</v>
      </c>
      <c r="H771" s="44">
        <f>H772+H775+H779</f>
        <v>36</v>
      </c>
      <c r="I771" s="204"/>
    </row>
    <row r="772" spans="1:9" ht="31.5" hidden="1" x14ac:dyDescent="0.25">
      <c r="A772" s="25" t="s">
        <v>278</v>
      </c>
      <c r="B772" s="16">
        <v>907</v>
      </c>
      <c r="C772" s="20" t="s">
        <v>491</v>
      </c>
      <c r="D772" s="20" t="s">
        <v>118</v>
      </c>
      <c r="E772" s="20" t="s">
        <v>949</v>
      </c>
      <c r="F772" s="20"/>
      <c r="G772" s="26">
        <f>'Пр.4 ведом.22'!G836</f>
        <v>0</v>
      </c>
      <c r="H772" s="26">
        <f t="shared" ref="H772:H830" si="74">G772</f>
        <v>0</v>
      </c>
      <c r="I772" s="204"/>
    </row>
    <row r="773" spans="1:9" ht="31.5" hidden="1" x14ac:dyDescent="0.25">
      <c r="A773" s="25" t="s">
        <v>272</v>
      </c>
      <c r="B773" s="16">
        <v>907</v>
      </c>
      <c r="C773" s="20" t="s">
        <v>491</v>
      </c>
      <c r="D773" s="20" t="s">
        <v>118</v>
      </c>
      <c r="E773" s="20" t="s">
        <v>949</v>
      </c>
      <c r="F773" s="20" t="s">
        <v>273</v>
      </c>
      <c r="G773" s="26">
        <f>'Пр.4 ведом.22'!G837</f>
        <v>0</v>
      </c>
      <c r="H773" s="26">
        <f t="shared" si="74"/>
        <v>0</v>
      </c>
      <c r="I773" s="204"/>
    </row>
    <row r="774" spans="1:9" ht="15.75" hidden="1" x14ac:dyDescent="0.25">
      <c r="A774" s="25" t="s">
        <v>274</v>
      </c>
      <c r="B774" s="16">
        <v>907</v>
      </c>
      <c r="C774" s="20" t="s">
        <v>491</v>
      </c>
      <c r="D774" s="20" t="s">
        <v>118</v>
      </c>
      <c r="E774" s="20" t="s">
        <v>949</v>
      </c>
      <c r="F774" s="20" t="s">
        <v>275</v>
      </c>
      <c r="G774" s="26">
        <f>'Пр.4 ведом.22'!G838</f>
        <v>0</v>
      </c>
      <c r="H774" s="26">
        <f t="shared" si="74"/>
        <v>0</v>
      </c>
      <c r="I774" s="204"/>
    </row>
    <row r="775" spans="1:9" ht="31.5" hidden="1" x14ac:dyDescent="0.25">
      <c r="A775" s="25" t="s">
        <v>280</v>
      </c>
      <c r="B775" s="16">
        <v>907</v>
      </c>
      <c r="C775" s="20" t="s">
        <v>491</v>
      </c>
      <c r="D775" s="20" t="s">
        <v>118</v>
      </c>
      <c r="E775" s="20" t="s">
        <v>950</v>
      </c>
      <c r="F775" s="20"/>
      <c r="G775" s="26">
        <f>G776</f>
        <v>0</v>
      </c>
      <c r="H775" s="26">
        <f>H776</f>
        <v>0</v>
      </c>
      <c r="I775" s="204"/>
    </row>
    <row r="776" spans="1:9" ht="31.5" hidden="1" x14ac:dyDescent="0.25">
      <c r="A776" s="25" t="s">
        <v>272</v>
      </c>
      <c r="B776" s="16">
        <v>907</v>
      </c>
      <c r="C776" s="20" t="s">
        <v>491</v>
      </c>
      <c r="D776" s="20" t="s">
        <v>118</v>
      </c>
      <c r="E776" s="20" t="s">
        <v>950</v>
      </c>
      <c r="F776" s="20" t="s">
        <v>273</v>
      </c>
      <c r="G776" s="26">
        <f>G777</f>
        <v>0</v>
      </c>
      <c r="H776" s="26">
        <f>H777</f>
        <v>0</v>
      </c>
      <c r="I776" s="204"/>
    </row>
    <row r="777" spans="1:9" ht="15.75" hidden="1" x14ac:dyDescent="0.25">
      <c r="A777" s="25" t="s">
        <v>274</v>
      </c>
      <c r="B777" s="16">
        <v>907</v>
      </c>
      <c r="C777" s="20" t="s">
        <v>491</v>
      </c>
      <c r="D777" s="20" t="s">
        <v>118</v>
      </c>
      <c r="E777" s="20" t="s">
        <v>950</v>
      </c>
      <c r="F777" s="20" t="s">
        <v>275</v>
      </c>
      <c r="G777" s="26">
        <v>0</v>
      </c>
      <c r="H777" s="26">
        <f t="shared" si="74"/>
        <v>0</v>
      </c>
      <c r="I777" s="204"/>
    </row>
    <row r="778" spans="1:9" s="203" customFormat="1" ht="31.5" x14ac:dyDescent="0.25">
      <c r="A778" s="23" t="s">
        <v>945</v>
      </c>
      <c r="B778" s="19">
        <v>907</v>
      </c>
      <c r="C778" s="24" t="s">
        <v>491</v>
      </c>
      <c r="D778" s="24" t="s">
        <v>118</v>
      </c>
      <c r="E778" s="24" t="s">
        <v>1265</v>
      </c>
      <c r="F778" s="20"/>
      <c r="G778" s="21">
        <f t="shared" ref="G778:H780" si="75">G779</f>
        <v>36</v>
      </c>
      <c r="H778" s="21">
        <f t="shared" si="75"/>
        <v>36</v>
      </c>
      <c r="I778" s="204"/>
    </row>
    <row r="779" spans="1:9" ht="15.75" x14ac:dyDescent="0.25">
      <c r="A779" s="25" t="s">
        <v>830</v>
      </c>
      <c r="B779" s="16">
        <v>907</v>
      </c>
      <c r="C779" s="20" t="s">
        <v>491</v>
      </c>
      <c r="D779" s="20" t="s">
        <v>118</v>
      </c>
      <c r="E779" s="20" t="s">
        <v>1266</v>
      </c>
      <c r="F779" s="20"/>
      <c r="G779" s="26">
        <f t="shared" si="75"/>
        <v>36</v>
      </c>
      <c r="H779" s="26">
        <f t="shared" si="75"/>
        <v>36</v>
      </c>
      <c r="I779" s="204"/>
    </row>
    <row r="780" spans="1:9" ht="31.5" x14ac:dyDescent="0.25">
      <c r="A780" s="25" t="s">
        <v>272</v>
      </c>
      <c r="B780" s="16">
        <v>907</v>
      </c>
      <c r="C780" s="20" t="s">
        <v>491</v>
      </c>
      <c r="D780" s="20" t="s">
        <v>118</v>
      </c>
      <c r="E780" s="20" t="s">
        <v>1266</v>
      </c>
      <c r="F780" s="20" t="s">
        <v>273</v>
      </c>
      <c r="G780" s="26">
        <f t="shared" si="75"/>
        <v>36</v>
      </c>
      <c r="H780" s="26">
        <f t="shared" si="75"/>
        <v>36</v>
      </c>
      <c r="I780" s="204"/>
    </row>
    <row r="781" spans="1:9" ht="15.75" x14ac:dyDescent="0.25">
      <c r="A781" s="25" t="s">
        <v>274</v>
      </c>
      <c r="B781" s="16">
        <v>907</v>
      </c>
      <c r="C781" s="20" t="s">
        <v>491</v>
      </c>
      <c r="D781" s="20" t="s">
        <v>118</v>
      </c>
      <c r="E781" s="20" t="s">
        <v>1266</v>
      </c>
      <c r="F781" s="20" t="s">
        <v>275</v>
      </c>
      <c r="G781" s="26">
        <f>36</f>
        <v>36</v>
      </c>
      <c r="H781" s="26">
        <f t="shared" si="74"/>
        <v>36</v>
      </c>
      <c r="I781" s="204"/>
    </row>
    <row r="782" spans="1:9" ht="31.5" x14ac:dyDescent="0.25">
      <c r="A782" s="23" t="s">
        <v>947</v>
      </c>
      <c r="B782" s="19">
        <v>907</v>
      </c>
      <c r="C782" s="24" t="s">
        <v>491</v>
      </c>
      <c r="D782" s="24" t="s">
        <v>118</v>
      </c>
      <c r="E782" s="24" t="s">
        <v>1267</v>
      </c>
      <c r="F782" s="24"/>
      <c r="G782" s="21">
        <f>G783+G786</f>
        <v>1204</v>
      </c>
      <c r="H782" s="21">
        <f>H783+H786</f>
        <v>1204</v>
      </c>
      <c r="I782" s="204"/>
    </row>
    <row r="783" spans="1:9" ht="31.5" hidden="1" x14ac:dyDescent="0.25">
      <c r="A783" s="25" t="s">
        <v>791</v>
      </c>
      <c r="B783" s="16">
        <v>907</v>
      </c>
      <c r="C783" s="20" t="s">
        <v>491</v>
      </c>
      <c r="D783" s="20" t="s">
        <v>118</v>
      </c>
      <c r="E783" s="20" t="s">
        <v>1305</v>
      </c>
      <c r="F783" s="20"/>
      <c r="G783" s="26">
        <f>'Пр.4 ведом.22'!G849</f>
        <v>0</v>
      </c>
      <c r="H783" s="26">
        <f t="shared" si="74"/>
        <v>0</v>
      </c>
      <c r="I783" s="204"/>
    </row>
    <row r="784" spans="1:9" ht="31.5" hidden="1" x14ac:dyDescent="0.25">
      <c r="A784" s="25" t="s">
        <v>272</v>
      </c>
      <c r="B784" s="16">
        <v>907</v>
      </c>
      <c r="C784" s="20" t="s">
        <v>491</v>
      </c>
      <c r="D784" s="20" t="s">
        <v>118</v>
      </c>
      <c r="E784" s="20" t="s">
        <v>1305</v>
      </c>
      <c r="F784" s="20" t="s">
        <v>273</v>
      </c>
      <c r="G784" s="26">
        <f>'Пр.4 ведом.22'!G850</f>
        <v>0</v>
      </c>
      <c r="H784" s="26">
        <f t="shared" si="74"/>
        <v>0</v>
      </c>
      <c r="I784" s="204"/>
    </row>
    <row r="785" spans="1:9" ht="15.75" hidden="1" x14ac:dyDescent="0.25">
      <c r="A785" s="25" t="s">
        <v>274</v>
      </c>
      <c r="B785" s="16">
        <v>907</v>
      </c>
      <c r="C785" s="20" t="s">
        <v>491</v>
      </c>
      <c r="D785" s="20" t="s">
        <v>118</v>
      </c>
      <c r="E785" s="20" t="s">
        <v>1305</v>
      </c>
      <c r="F785" s="20" t="s">
        <v>275</v>
      </c>
      <c r="G785" s="26">
        <f>'Пр.4 ведом.22'!G851</f>
        <v>0</v>
      </c>
      <c r="H785" s="26">
        <f t="shared" si="74"/>
        <v>0</v>
      </c>
      <c r="I785" s="204"/>
    </row>
    <row r="786" spans="1:9" ht="31.5" x14ac:dyDescent="0.25">
      <c r="A786" s="45" t="s">
        <v>764</v>
      </c>
      <c r="B786" s="16">
        <v>907</v>
      </c>
      <c r="C786" s="20" t="s">
        <v>491</v>
      </c>
      <c r="D786" s="20" t="s">
        <v>118</v>
      </c>
      <c r="E786" s="20" t="s">
        <v>1268</v>
      </c>
      <c r="F786" s="20"/>
      <c r="G786" s="26">
        <f>G787</f>
        <v>1204</v>
      </c>
      <c r="H786" s="26">
        <f>H787</f>
        <v>1204</v>
      </c>
      <c r="I786" s="204"/>
    </row>
    <row r="787" spans="1:9" ht="31.5" x14ac:dyDescent="0.25">
      <c r="A787" s="31" t="s">
        <v>272</v>
      </c>
      <c r="B787" s="16">
        <v>907</v>
      </c>
      <c r="C787" s="20" t="s">
        <v>491</v>
      </c>
      <c r="D787" s="20" t="s">
        <v>118</v>
      </c>
      <c r="E787" s="20" t="s">
        <v>1268</v>
      </c>
      <c r="F787" s="20" t="s">
        <v>273</v>
      </c>
      <c r="G787" s="26">
        <f>G788</f>
        <v>1204</v>
      </c>
      <c r="H787" s="26">
        <f>H788</f>
        <v>1204</v>
      </c>
      <c r="I787" s="204"/>
    </row>
    <row r="788" spans="1:9" ht="15.75" x14ac:dyDescent="0.25">
      <c r="A788" s="31" t="s">
        <v>274</v>
      </c>
      <c r="B788" s="16">
        <v>907</v>
      </c>
      <c r="C788" s="20" t="s">
        <v>491</v>
      </c>
      <c r="D788" s="20" t="s">
        <v>118</v>
      </c>
      <c r="E788" s="20" t="s">
        <v>1268</v>
      </c>
      <c r="F788" s="20" t="s">
        <v>275</v>
      </c>
      <c r="G788" s="26">
        <v>1204</v>
      </c>
      <c r="H788" s="26">
        <f t="shared" si="74"/>
        <v>1204</v>
      </c>
      <c r="I788" s="204"/>
    </row>
    <row r="789" spans="1:9" ht="47.25" x14ac:dyDescent="0.25">
      <c r="A789" s="23" t="s">
        <v>900</v>
      </c>
      <c r="B789" s="19">
        <v>907</v>
      </c>
      <c r="C789" s="24" t="s">
        <v>491</v>
      </c>
      <c r="D789" s="24" t="s">
        <v>118</v>
      </c>
      <c r="E789" s="24" t="s">
        <v>1269</v>
      </c>
      <c r="F789" s="24"/>
      <c r="G789" s="21">
        <f>G790</f>
        <v>813.5</v>
      </c>
      <c r="H789" s="21">
        <f>H790</f>
        <v>813.5</v>
      </c>
      <c r="I789" s="204"/>
    </row>
    <row r="790" spans="1:9" ht="94.5" x14ac:dyDescent="0.25">
      <c r="A790" s="31" t="s">
        <v>464</v>
      </c>
      <c r="B790" s="16">
        <v>907</v>
      </c>
      <c r="C790" s="20" t="s">
        <v>491</v>
      </c>
      <c r="D790" s="20" t="s">
        <v>118</v>
      </c>
      <c r="E790" s="20" t="s">
        <v>1402</v>
      </c>
      <c r="F790" s="20"/>
      <c r="G790" s="26">
        <f t="shared" ref="G790:H791" si="76">G791</f>
        <v>813.5</v>
      </c>
      <c r="H790" s="26">
        <f t="shared" si="76"/>
        <v>813.5</v>
      </c>
      <c r="I790" s="204"/>
    </row>
    <row r="791" spans="1:9" ht="31.5" x14ac:dyDescent="0.25">
      <c r="A791" s="25" t="s">
        <v>272</v>
      </c>
      <c r="B791" s="16">
        <v>907</v>
      </c>
      <c r="C791" s="20" t="s">
        <v>491</v>
      </c>
      <c r="D791" s="20" t="s">
        <v>118</v>
      </c>
      <c r="E791" s="20" t="s">
        <v>1402</v>
      </c>
      <c r="F791" s="20" t="s">
        <v>273</v>
      </c>
      <c r="G791" s="26">
        <f t="shared" si="76"/>
        <v>813.5</v>
      </c>
      <c r="H791" s="26">
        <f t="shared" si="76"/>
        <v>813.5</v>
      </c>
      <c r="I791" s="204"/>
    </row>
    <row r="792" spans="1:9" ht="15.75" x14ac:dyDescent="0.25">
      <c r="A792" s="25" t="s">
        <v>274</v>
      </c>
      <c r="B792" s="16">
        <v>907</v>
      </c>
      <c r="C792" s="20" t="s">
        <v>491</v>
      </c>
      <c r="D792" s="20" t="s">
        <v>118</v>
      </c>
      <c r="E792" s="20" t="s">
        <v>1402</v>
      </c>
      <c r="F792" s="20" t="s">
        <v>275</v>
      </c>
      <c r="G792" s="26">
        <f>813.5</f>
        <v>813.5</v>
      </c>
      <c r="H792" s="26">
        <f t="shared" si="74"/>
        <v>813.5</v>
      </c>
      <c r="I792" s="257">
        <f>12177.1/11326*870.2</f>
        <v>935.59177291188428</v>
      </c>
    </row>
    <row r="793" spans="1:9" s="203" customFormat="1" ht="47.25" hidden="1" x14ac:dyDescent="0.25">
      <c r="A793" s="34" t="s">
        <v>1357</v>
      </c>
      <c r="B793" s="19">
        <v>907</v>
      </c>
      <c r="C793" s="24" t="s">
        <v>491</v>
      </c>
      <c r="D793" s="24" t="s">
        <v>118</v>
      </c>
      <c r="E793" s="24" t="s">
        <v>324</v>
      </c>
      <c r="F793" s="24"/>
      <c r="G793" s="21">
        <f t="shared" ref="G793:H796" si="77">G794</f>
        <v>0</v>
      </c>
      <c r="H793" s="21">
        <f t="shared" si="77"/>
        <v>8</v>
      </c>
      <c r="I793" s="257"/>
    </row>
    <row r="794" spans="1:9" s="203" customFormat="1" ht="63" hidden="1" x14ac:dyDescent="0.25">
      <c r="A794" s="34" t="s">
        <v>1009</v>
      </c>
      <c r="B794" s="19">
        <v>907</v>
      </c>
      <c r="C794" s="24" t="s">
        <v>491</v>
      </c>
      <c r="D794" s="24" t="s">
        <v>118</v>
      </c>
      <c r="E794" s="24" t="s">
        <v>934</v>
      </c>
      <c r="F794" s="24"/>
      <c r="G794" s="21">
        <f t="shared" si="77"/>
        <v>0</v>
      </c>
      <c r="H794" s="21">
        <f t="shared" si="77"/>
        <v>8</v>
      </c>
      <c r="I794" s="257"/>
    </row>
    <row r="795" spans="1:9" s="203" customFormat="1" ht="47.25" hidden="1" x14ac:dyDescent="0.25">
      <c r="A795" s="31" t="s">
        <v>1081</v>
      </c>
      <c r="B795" s="16">
        <v>907</v>
      </c>
      <c r="C795" s="20" t="s">
        <v>491</v>
      </c>
      <c r="D795" s="20" t="s">
        <v>118</v>
      </c>
      <c r="E795" s="20" t="s">
        <v>935</v>
      </c>
      <c r="F795" s="20"/>
      <c r="G795" s="26">
        <f t="shared" si="77"/>
        <v>0</v>
      </c>
      <c r="H795" s="26">
        <f t="shared" si="77"/>
        <v>8</v>
      </c>
      <c r="I795" s="257"/>
    </row>
    <row r="796" spans="1:9" s="203" customFormat="1" ht="31.5" hidden="1" x14ac:dyDescent="0.25">
      <c r="A796" s="25" t="s">
        <v>131</v>
      </c>
      <c r="B796" s="16">
        <v>907</v>
      </c>
      <c r="C796" s="20" t="s">
        <v>491</v>
      </c>
      <c r="D796" s="20" t="s">
        <v>118</v>
      </c>
      <c r="E796" s="20" t="s">
        <v>935</v>
      </c>
      <c r="F796" s="20" t="s">
        <v>273</v>
      </c>
      <c r="G796" s="26">
        <f t="shared" si="77"/>
        <v>0</v>
      </c>
      <c r="H796" s="26">
        <f t="shared" si="77"/>
        <v>8</v>
      </c>
      <c r="I796" s="257"/>
    </row>
    <row r="797" spans="1:9" s="203" customFormat="1" ht="31.5" hidden="1" x14ac:dyDescent="0.25">
      <c r="A797" s="25" t="s">
        <v>133</v>
      </c>
      <c r="B797" s="16">
        <v>907</v>
      </c>
      <c r="C797" s="20" t="s">
        <v>491</v>
      </c>
      <c r="D797" s="20" t="s">
        <v>118</v>
      </c>
      <c r="E797" s="20" t="s">
        <v>935</v>
      </c>
      <c r="F797" s="20" t="s">
        <v>275</v>
      </c>
      <c r="G797" s="26">
        <v>0</v>
      </c>
      <c r="H797" s="26">
        <v>8</v>
      </c>
      <c r="I797" s="257"/>
    </row>
    <row r="798" spans="1:9" ht="47.25" x14ac:dyDescent="0.25">
      <c r="A798" s="41" t="s">
        <v>1352</v>
      </c>
      <c r="B798" s="19">
        <v>907</v>
      </c>
      <c r="C798" s="24" t="s">
        <v>491</v>
      </c>
      <c r="D798" s="24" t="s">
        <v>118</v>
      </c>
      <c r="E798" s="24" t="s">
        <v>705</v>
      </c>
      <c r="F798" s="222"/>
      <c r="G798" s="21">
        <f t="shared" ref="G798:H801" si="78">G799</f>
        <v>579.1</v>
      </c>
      <c r="H798" s="21">
        <f t="shared" si="78"/>
        <v>602.29999999999995</v>
      </c>
      <c r="I798" s="204"/>
    </row>
    <row r="799" spans="1:9" ht="47.25" x14ac:dyDescent="0.25">
      <c r="A799" s="41" t="s">
        <v>890</v>
      </c>
      <c r="B799" s="19">
        <v>907</v>
      </c>
      <c r="C799" s="24" t="s">
        <v>491</v>
      </c>
      <c r="D799" s="24" t="s">
        <v>118</v>
      </c>
      <c r="E799" s="24" t="s">
        <v>888</v>
      </c>
      <c r="F799" s="222"/>
      <c r="G799" s="21">
        <f t="shared" si="78"/>
        <v>579.1</v>
      </c>
      <c r="H799" s="21">
        <f t="shared" si="78"/>
        <v>602.29999999999995</v>
      </c>
      <c r="I799" s="204"/>
    </row>
    <row r="800" spans="1:9" ht="47.25" x14ac:dyDescent="0.25">
      <c r="A800" s="98" t="s">
        <v>780</v>
      </c>
      <c r="B800" s="16">
        <v>907</v>
      </c>
      <c r="C800" s="20" t="s">
        <v>491</v>
      </c>
      <c r="D800" s="20" t="s">
        <v>118</v>
      </c>
      <c r="E800" s="20" t="s">
        <v>936</v>
      </c>
      <c r="F800" s="32"/>
      <c r="G800" s="26">
        <f t="shared" si="78"/>
        <v>579.1</v>
      </c>
      <c r="H800" s="26">
        <f t="shared" si="78"/>
        <v>602.29999999999995</v>
      </c>
      <c r="I800" s="204"/>
    </row>
    <row r="801" spans="1:9" ht="31.5" x14ac:dyDescent="0.25">
      <c r="A801" s="29" t="s">
        <v>272</v>
      </c>
      <c r="B801" s="16">
        <v>907</v>
      </c>
      <c r="C801" s="20" t="s">
        <v>491</v>
      </c>
      <c r="D801" s="20" t="s">
        <v>118</v>
      </c>
      <c r="E801" s="20" t="s">
        <v>936</v>
      </c>
      <c r="F801" s="32" t="s">
        <v>273</v>
      </c>
      <c r="G801" s="26">
        <f t="shared" si="78"/>
        <v>579.1</v>
      </c>
      <c r="H801" s="26">
        <f t="shared" si="78"/>
        <v>602.29999999999995</v>
      </c>
      <c r="I801" s="204"/>
    </row>
    <row r="802" spans="1:9" ht="15.75" x14ac:dyDescent="0.25">
      <c r="A802" s="182" t="s">
        <v>274</v>
      </c>
      <c r="B802" s="16">
        <v>907</v>
      </c>
      <c r="C802" s="20" t="s">
        <v>491</v>
      </c>
      <c r="D802" s="20" t="s">
        <v>118</v>
      </c>
      <c r="E802" s="20" t="s">
        <v>936</v>
      </c>
      <c r="F802" s="32" t="s">
        <v>275</v>
      </c>
      <c r="G802" s="26">
        <v>579.1</v>
      </c>
      <c r="H802" s="26">
        <v>602.29999999999995</v>
      </c>
      <c r="I802" s="204"/>
    </row>
    <row r="803" spans="1:9" ht="31.5" x14ac:dyDescent="0.25">
      <c r="A803" s="23" t="s">
        <v>500</v>
      </c>
      <c r="B803" s="19">
        <v>907</v>
      </c>
      <c r="C803" s="24" t="s">
        <v>491</v>
      </c>
      <c r="D803" s="24" t="s">
        <v>234</v>
      </c>
      <c r="E803" s="24"/>
      <c r="F803" s="24"/>
      <c r="G803" s="21">
        <f>G804+G812+G824</f>
        <v>13529.2</v>
      </c>
      <c r="H803" s="21">
        <f>H804+H812+H824</f>
        <v>13529.2</v>
      </c>
      <c r="I803" s="204"/>
    </row>
    <row r="804" spans="1:9" ht="31.5" x14ac:dyDescent="0.25">
      <c r="A804" s="23" t="s">
        <v>917</v>
      </c>
      <c r="B804" s="19">
        <v>907</v>
      </c>
      <c r="C804" s="24" t="s">
        <v>491</v>
      </c>
      <c r="D804" s="24" t="s">
        <v>234</v>
      </c>
      <c r="E804" s="24" t="s">
        <v>858</v>
      </c>
      <c r="F804" s="24"/>
      <c r="G804" s="21">
        <f>G805</f>
        <v>5224.5</v>
      </c>
      <c r="H804" s="21">
        <f>H805</f>
        <v>5224.5</v>
      </c>
      <c r="I804" s="204"/>
    </row>
    <row r="805" spans="1:9" ht="15.75" x14ac:dyDescent="0.25">
      <c r="A805" s="23" t="s">
        <v>918</v>
      </c>
      <c r="B805" s="19">
        <v>907</v>
      </c>
      <c r="C805" s="24" t="s">
        <v>491</v>
      </c>
      <c r="D805" s="24" t="s">
        <v>234</v>
      </c>
      <c r="E805" s="24" t="s">
        <v>859</v>
      </c>
      <c r="F805" s="24"/>
      <c r="G805" s="21">
        <f>G806+G809</f>
        <v>5224.5</v>
      </c>
      <c r="H805" s="21">
        <f>H806+H809</f>
        <v>5224.5</v>
      </c>
      <c r="I805" s="204"/>
    </row>
    <row r="806" spans="1:9" ht="31.5" x14ac:dyDescent="0.25">
      <c r="A806" s="25" t="s">
        <v>897</v>
      </c>
      <c r="B806" s="16">
        <v>907</v>
      </c>
      <c r="C806" s="20" t="s">
        <v>491</v>
      </c>
      <c r="D806" s="20" t="s">
        <v>234</v>
      </c>
      <c r="E806" s="20" t="s">
        <v>860</v>
      </c>
      <c r="F806" s="20"/>
      <c r="G806" s="26">
        <f>G807</f>
        <v>4888.5</v>
      </c>
      <c r="H806" s="26">
        <f>H807</f>
        <v>4888.5</v>
      </c>
      <c r="I806" s="204"/>
    </row>
    <row r="807" spans="1:9" ht="78.75" x14ac:dyDescent="0.25">
      <c r="A807" s="25" t="s">
        <v>127</v>
      </c>
      <c r="B807" s="16">
        <v>907</v>
      </c>
      <c r="C807" s="20" t="s">
        <v>491</v>
      </c>
      <c r="D807" s="20" t="s">
        <v>234</v>
      </c>
      <c r="E807" s="20" t="s">
        <v>860</v>
      </c>
      <c r="F807" s="20" t="s">
        <v>128</v>
      </c>
      <c r="G807" s="26">
        <f>G808</f>
        <v>4888.5</v>
      </c>
      <c r="H807" s="26">
        <f>H808</f>
        <v>4888.5</v>
      </c>
      <c r="I807" s="204"/>
    </row>
    <row r="808" spans="1:9" ht="31.5" x14ac:dyDescent="0.25">
      <c r="A808" s="25" t="s">
        <v>129</v>
      </c>
      <c r="B808" s="16">
        <v>907</v>
      </c>
      <c r="C808" s="20" t="s">
        <v>491</v>
      </c>
      <c r="D808" s="20" t="s">
        <v>234</v>
      </c>
      <c r="E808" s="20" t="s">
        <v>860</v>
      </c>
      <c r="F808" s="20" t="s">
        <v>130</v>
      </c>
      <c r="G808" s="26">
        <v>4888.5</v>
      </c>
      <c r="H808" s="26">
        <f t="shared" si="74"/>
        <v>4888.5</v>
      </c>
      <c r="I808" s="204"/>
    </row>
    <row r="809" spans="1:9" ht="47.25" x14ac:dyDescent="0.25">
      <c r="A809" s="25" t="s">
        <v>839</v>
      </c>
      <c r="B809" s="16">
        <v>907</v>
      </c>
      <c r="C809" s="20" t="s">
        <v>491</v>
      </c>
      <c r="D809" s="20" t="s">
        <v>234</v>
      </c>
      <c r="E809" s="20" t="s">
        <v>862</v>
      </c>
      <c r="F809" s="20"/>
      <c r="G809" s="26">
        <f>G810</f>
        <v>336</v>
      </c>
      <c r="H809" s="26">
        <f>H810</f>
        <v>336</v>
      </c>
      <c r="I809" s="204"/>
    </row>
    <row r="810" spans="1:9" ht="78.75" x14ac:dyDescent="0.25">
      <c r="A810" s="25" t="s">
        <v>127</v>
      </c>
      <c r="B810" s="16">
        <v>907</v>
      </c>
      <c r="C810" s="20" t="s">
        <v>491</v>
      </c>
      <c r="D810" s="20" t="s">
        <v>234</v>
      </c>
      <c r="E810" s="20" t="s">
        <v>862</v>
      </c>
      <c r="F810" s="20" t="s">
        <v>128</v>
      </c>
      <c r="G810" s="26">
        <f>G811</f>
        <v>336</v>
      </c>
      <c r="H810" s="26">
        <f>H811</f>
        <v>336</v>
      </c>
      <c r="I810" s="204"/>
    </row>
    <row r="811" spans="1:9" ht="31.5" x14ac:dyDescent="0.25">
      <c r="A811" s="25" t="s">
        <v>129</v>
      </c>
      <c r="B811" s="16">
        <v>907</v>
      </c>
      <c r="C811" s="20" t="s">
        <v>491</v>
      </c>
      <c r="D811" s="20" t="s">
        <v>234</v>
      </c>
      <c r="E811" s="20" t="s">
        <v>862</v>
      </c>
      <c r="F811" s="20" t="s">
        <v>130</v>
      </c>
      <c r="G811" s="26">
        <v>336</v>
      </c>
      <c r="H811" s="26">
        <f t="shared" si="74"/>
        <v>336</v>
      </c>
      <c r="I811" s="204"/>
    </row>
    <row r="812" spans="1:9" ht="15.75" x14ac:dyDescent="0.25">
      <c r="A812" s="23" t="s">
        <v>141</v>
      </c>
      <c r="B812" s="19">
        <v>907</v>
      </c>
      <c r="C812" s="24" t="s">
        <v>491</v>
      </c>
      <c r="D812" s="24" t="s">
        <v>234</v>
      </c>
      <c r="E812" s="24" t="s">
        <v>866</v>
      </c>
      <c r="F812" s="24"/>
      <c r="G812" s="21">
        <f>G813</f>
        <v>5304.7</v>
      </c>
      <c r="H812" s="21">
        <f>H813</f>
        <v>5304.7</v>
      </c>
      <c r="I812" s="204"/>
    </row>
    <row r="813" spans="1:9" ht="31.5" x14ac:dyDescent="0.25">
      <c r="A813" s="23" t="s">
        <v>929</v>
      </c>
      <c r="B813" s="19">
        <v>907</v>
      </c>
      <c r="C813" s="24" t="s">
        <v>491</v>
      </c>
      <c r="D813" s="24" t="s">
        <v>234</v>
      </c>
      <c r="E813" s="24" t="s">
        <v>914</v>
      </c>
      <c r="F813" s="24"/>
      <c r="G813" s="21">
        <f>G814+G821</f>
        <v>5304.7</v>
      </c>
      <c r="H813" s="21">
        <f>H814+H821</f>
        <v>5304.7</v>
      </c>
      <c r="I813" s="204"/>
    </row>
    <row r="814" spans="1:9" ht="31.5" x14ac:dyDescent="0.25">
      <c r="A814" s="25" t="s">
        <v>903</v>
      </c>
      <c r="B814" s="16">
        <v>907</v>
      </c>
      <c r="C814" s="20" t="s">
        <v>491</v>
      </c>
      <c r="D814" s="20" t="s">
        <v>234</v>
      </c>
      <c r="E814" s="20" t="s">
        <v>915</v>
      </c>
      <c r="F814" s="20"/>
      <c r="G814" s="26">
        <f>G815+G817+G819</f>
        <v>5089.7</v>
      </c>
      <c r="H814" s="26">
        <f>H815+H817+H819</f>
        <v>5089.7</v>
      </c>
      <c r="I814" s="204"/>
    </row>
    <row r="815" spans="1:9" ht="78.75" x14ac:dyDescent="0.25">
      <c r="A815" s="25" t="s">
        <v>127</v>
      </c>
      <c r="B815" s="16">
        <v>907</v>
      </c>
      <c r="C815" s="20" t="s">
        <v>491</v>
      </c>
      <c r="D815" s="20" t="s">
        <v>234</v>
      </c>
      <c r="E815" s="20" t="s">
        <v>915</v>
      </c>
      <c r="F815" s="20" t="s">
        <v>128</v>
      </c>
      <c r="G815" s="26">
        <f>G816</f>
        <v>4695.3999999999996</v>
      </c>
      <c r="H815" s="26">
        <f>H816</f>
        <v>4695.3999999999996</v>
      </c>
      <c r="I815" s="204"/>
    </row>
    <row r="816" spans="1:9" ht="19.5" customHeight="1" x14ac:dyDescent="0.25">
      <c r="A816" s="25" t="s">
        <v>342</v>
      </c>
      <c r="B816" s="16">
        <v>907</v>
      </c>
      <c r="C816" s="20" t="s">
        <v>491</v>
      </c>
      <c r="D816" s="20" t="s">
        <v>234</v>
      </c>
      <c r="E816" s="20" t="s">
        <v>915</v>
      </c>
      <c r="F816" s="20" t="s">
        <v>209</v>
      </c>
      <c r="G816" s="26">
        <v>4695.3999999999996</v>
      </c>
      <c r="H816" s="26">
        <f t="shared" si="74"/>
        <v>4695.3999999999996</v>
      </c>
      <c r="I816" s="204"/>
    </row>
    <row r="817" spans="1:13" ht="31.5" x14ac:dyDescent="0.25">
      <c r="A817" s="25" t="s">
        <v>131</v>
      </c>
      <c r="B817" s="16">
        <v>907</v>
      </c>
      <c r="C817" s="20" t="s">
        <v>491</v>
      </c>
      <c r="D817" s="20" t="s">
        <v>234</v>
      </c>
      <c r="E817" s="20" t="s">
        <v>915</v>
      </c>
      <c r="F817" s="20" t="s">
        <v>132</v>
      </c>
      <c r="G817" s="26">
        <f>G818</f>
        <v>343.3</v>
      </c>
      <c r="H817" s="26">
        <f>H818</f>
        <v>343.3</v>
      </c>
      <c r="I817" s="204"/>
    </row>
    <row r="818" spans="1:13" ht="31.5" x14ac:dyDescent="0.25">
      <c r="A818" s="25" t="s">
        <v>133</v>
      </c>
      <c r="B818" s="16">
        <v>907</v>
      </c>
      <c r="C818" s="20" t="s">
        <v>491</v>
      </c>
      <c r="D818" s="20" t="s">
        <v>234</v>
      </c>
      <c r="E818" s="20" t="s">
        <v>915</v>
      </c>
      <c r="F818" s="20" t="s">
        <v>134</v>
      </c>
      <c r="G818" s="26">
        <v>343.3</v>
      </c>
      <c r="H818" s="26">
        <f t="shared" si="74"/>
        <v>343.3</v>
      </c>
      <c r="I818" s="204"/>
    </row>
    <row r="819" spans="1:13" ht="15.75" x14ac:dyDescent="0.25">
      <c r="A819" s="25" t="s">
        <v>135</v>
      </c>
      <c r="B819" s="16">
        <v>907</v>
      </c>
      <c r="C819" s="20" t="s">
        <v>491</v>
      </c>
      <c r="D819" s="20" t="s">
        <v>234</v>
      </c>
      <c r="E819" s="20" t="s">
        <v>915</v>
      </c>
      <c r="F819" s="20" t="s">
        <v>145</v>
      </c>
      <c r="G819" s="26">
        <f>G820</f>
        <v>51</v>
      </c>
      <c r="H819" s="26">
        <f>H820</f>
        <v>51</v>
      </c>
      <c r="I819" s="204"/>
    </row>
    <row r="820" spans="1:13" ht="15.75" x14ac:dyDescent="0.25">
      <c r="A820" s="25" t="s">
        <v>568</v>
      </c>
      <c r="B820" s="16">
        <v>907</v>
      </c>
      <c r="C820" s="20" t="s">
        <v>491</v>
      </c>
      <c r="D820" s="20" t="s">
        <v>234</v>
      </c>
      <c r="E820" s="20" t="s">
        <v>915</v>
      </c>
      <c r="F820" s="20" t="s">
        <v>138</v>
      </c>
      <c r="G820" s="26">
        <f>51</f>
        <v>51</v>
      </c>
      <c r="H820" s="26">
        <f t="shared" si="74"/>
        <v>51</v>
      </c>
      <c r="I820" s="204"/>
    </row>
    <row r="821" spans="1:13" ht="47.25" x14ac:dyDescent="0.25">
      <c r="A821" s="25" t="s">
        <v>839</v>
      </c>
      <c r="B821" s="16">
        <v>907</v>
      </c>
      <c r="C821" s="20" t="s">
        <v>491</v>
      </c>
      <c r="D821" s="20" t="s">
        <v>234</v>
      </c>
      <c r="E821" s="20" t="s">
        <v>916</v>
      </c>
      <c r="F821" s="20"/>
      <c r="G821" s="26">
        <f>G822</f>
        <v>215</v>
      </c>
      <c r="H821" s="26">
        <f>H822</f>
        <v>215</v>
      </c>
      <c r="I821" s="204"/>
    </row>
    <row r="822" spans="1:13" ht="78.75" x14ac:dyDescent="0.25">
      <c r="A822" s="25" t="s">
        <v>127</v>
      </c>
      <c r="B822" s="16">
        <v>907</v>
      </c>
      <c r="C822" s="20" t="s">
        <v>491</v>
      </c>
      <c r="D822" s="20" t="s">
        <v>234</v>
      </c>
      <c r="E822" s="20" t="s">
        <v>916</v>
      </c>
      <c r="F822" s="20" t="s">
        <v>128</v>
      </c>
      <c r="G822" s="26">
        <f>G823</f>
        <v>215</v>
      </c>
      <c r="H822" s="26">
        <f>H823</f>
        <v>215</v>
      </c>
      <c r="I822" s="204"/>
    </row>
    <row r="823" spans="1:13" ht="19.5" customHeight="1" x14ac:dyDescent="0.25">
      <c r="A823" s="25" t="s">
        <v>342</v>
      </c>
      <c r="B823" s="16">
        <v>907</v>
      </c>
      <c r="C823" s="20" t="s">
        <v>491</v>
      </c>
      <c r="D823" s="20" t="s">
        <v>234</v>
      </c>
      <c r="E823" s="20" t="s">
        <v>916</v>
      </c>
      <c r="F823" s="20" t="s">
        <v>209</v>
      </c>
      <c r="G823" s="26">
        <v>215</v>
      </c>
      <c r="H823" s="26">
        <f t="shared" si="74"/>
        <v>215</v>
      </c>
      <c r="I823" s="204"/>
    </row>
    <row r="824" spans="1:13" ht="47.25" x14ac:dyDescent="0.25">
      <c r="A824" s="41" t="s">
        <v>1369</v>
      </c>
      <c r="B824" s="19">
        <v>907</v>
      </c>
      <c r="C824" s="24" t="s">
        <v>491</v>
      </c>
      <c r="D824" s="24" t="s">
        <v>234</v>
      </c>
      <c r="E824" s="7" t="s">
        <v>482</v>
      </c>
      <c r="F824" s="24"/>
      <c r="G824" s="21">
        <f>G825</f>
        <v>3000</v>
      </c>
      <c r="H824" s="21">
        <f>H825</f>
        <v>3000</v>
      </c>
      <c r="I824" s="204"/>
    </row>
    <row r="825" spans="1:13" ht="31.5" x14ac:dyDescent="0.25">
      <c r="A825" s="58" t="s">
        <v>951</v>
      </c>
      <c r="B825" s="19">
        <v>907</v>
      </c>
      <c r="C825" s="24" t="s">
        <v>491</v>
      </c>
      <c r="D825" s="24" t="s">
        <v>234</v>
      </c>
      <c r="E825" s="7" t="s">
        <v>1271</v>
      </c>
      <c r="F825" s="24"/>
      <c r="G825" s="21">
        <f t="shared" ref="G825:H825" si="79">G826</f>
        <v>3000</v>
      </c>
      <c r="H825" s="21">
        <f t="shared" si="79"/>
        <v>3000</v>
      </c>
      <c r="I825" s="204"/>
    </row>
    <row r="826" spans="1:13" ht="15.75" x14ac:dyDescent="0.25">
      <c r="A826" s="29" t="s">
        <v>952</v>
      </c>
      <c r="B826" s="16">
        <v>907</v>
      </c>
      <c r="C826" s="20" t="s">
        <v>491</v>
      </c>
      <c r="D826" s="20" t="s">
        <v>234</v>
      </c>
      <c r="E826" s="40" t="s">
        <v>1272</v>
      </c>
      <c r="F826" s="20"/>
      <c r="G826" s="26">
        <f>G827+G829</f>
        <v>3000</v>
      </c>
      <c r="H826" s="26">
        <f>H827+H829</f>
        <v>3000</v>
      </c>
      <c r="I826" s="204"/>
    </row>
    <row r="827" spans="1:13" ht="78.75" x14ac:dyDescent="0.25">
      <c r="A827" s="25" t="s">
        <v>127</v>
      </c>
      <c r="B827" s="16">
        <v>907</v>
      </c>
      <c r="C827" s="20" t="s">
        <v>491</v>
      </c>
      <c r="D827" s="20" t="s">
        <v>234</v>
      </c>
      <c r="E827" s="40" t="s">
        <v>1272</v>
      </c>
      <c r="F827" s="20" t="s">
        <v>128</v>
      </c>
      <c r="G827" s="26">
        <f>G828</f>
        <v>2500</v>
      </c>
      <c r="H827" s="26">
        <f>H828</f>
        <v>2500</v>
      </c>
      <c r="I827" s="204"/>
    </row>
    <row r="828" spans="1:13" ht="31.5" x14ac:dyDescent="0.25">
      <c r="A828" s="25" t="s">
        <v>342</v>
      </c>
      <c r="B828" s="16">
        <v>907</v>
      </c>
      <c r="C828" s="20" t="s">
        <v>491</v>
      </c>
      <c r="D828" s="20" t="s">
        <v>234</v>
      </c>
      <c r="E828" s="40" t="s">
        <v>1272</v>
      </c>
      <c r="F828" s="20" t="s">
        <v>209</v>
      </c>
      <c r="G828" s="26">
        <v>2500</v>
      </c>
      <c r="H828" s="26">
        <v>2500</v>
      </c>
      <c r="I828" s="204"/>
    </row>
    <row r="829" spans="1:13" ht="31.5" x14ac:dyDescent="0.25">
      <c r="A829" s="29" t="s">
        <v>131</v>
      </c>
      <c r="B829" s="16">
        <v>907</v>
      </c>
      <c r="C829" s="20" t="s">
        <v>491</v>
      </c>
      <c r="D829" s="20" t="s">
        <v>234</v>
      </c>
      <c r="E829" s="40" t="s">
        <v>1272</v>
      </c>
      <c r="F829" s="20" t="s">
        <v>132</v>
      </c>
      <c r="G829" s="26">
        <f>G830</f>
        <v>500</v>
      </c>
      <c r="H829" s="26">
        <f>H830</f>
        <v>500</v>
      </c>
      <c r="I829" s="204"/>
    </row>
    <row r="830" spans="1:13" ht="31.5" x14ac:dyDescent="0.25">
      <c r="A830" s="29" t="s">
        <v>133</v>
      </c>
      <c r="B830" s="16">
        <v>907</v>
      </c>
      <c r="C830" s="20" t="s">
        <v>491</v>
      </c>
      <c r="D830" s="20" t="s">
        <v>234</v>
      </c>
      <c r="E830" s="40" t="s">
        <v>1272</v>
      </c>
      <c r="F830" s="20" t="s">
        <v>134</v>
      </c>
      <c r="G830" s="26">
        <f>500</f>
        <v>500</v>
      </c>
      <c r="H830" s="26">
        <f t="shared" si="74"/>
        <v>500</v>
      </c>
      <c r="I830" s="204"/>
    </row>
    <row r="831" spans="1:13" ht="31.5" x14ac:dyDescent="0.25">
      <c r="A831" s="19" t="s">
        <v>504</v>
      </c>
      <c r="B831" s="19">
        <v>908</v>
      </c>
      <c r="C831" s="20"/>
      <c r="D831" s="20"/>
      <c r="E831" s="20"/>
      <c r="F831" s="20"/>
      <c r="G831" s="21">
        <f>G846+G853+G874+G1038+G832</f>
        <v>88568.8</v>
      </c>
      <c r="H831" s="21">
        <f>H846+H853+H874+H1038+H832</f>
        <v>96681.150000000009</v>
      </c>
      <c r="I831" s="204"/>
      <c r="M831" s="22"/>
    </row>
    <row r="832" spans="1:13" ht="15.75" x14ac:dyDescent="0.25">
      <c r="A832" s="34" t="s">
        <v>117</v>
      </c>
      <c r="B832" s="19">
        <v>908</v>
      </c>
      <c r="C832" s="24" t="s">
        <v>118</v>
      </c>
      <c r="D832" s="20"/>
      <c r="E832" s="20"/>
      <c r="F832" s="20"/>
      <c r="G832" s="21">
        <f>G833</f>
        <v>41282.100000000006</v>
      </c>
      <c r="H832" s="21">
        <f t="shared" ref="G832:H834" si="80">H833</f>
        <v>41282.100000000006</v>
      </c>
      <c r="I832" s="204"/>
    </row>
    <row r="833" spans="1:9" ht="15.75" x14ac:dyDescent="0.25">
      <c r="A833" s="34" t="s">
        <v>139</v>
      </c>
      <c r="B833" s="19">
        <v>908</v>
      </c>
      <c r="C833" s="24" t="s">
        <v>118</v>
      </c>
      <c r="D833" s="24" t="s">
        <v>140</v>
      </c>
      <c r="E833" s="20"/>
      <c r="F833" s="20"/>
      <c r="G833" s="21">
        <f t="shared" si="80"/>
        <v>41282.100000000006</v>
      </c>
      <c r="H833" s="21">
        <f t="shared" si="80"/>
        <v>41282.100000000006</v>
      </c>
      <c r="I833" s="204"/>
    </row>
    <row r="834" spans="1:9" ht="15.75" x14ac:dyDescent="0.25">
      <c r="A834" s="23" t="s">
        <v>141</v>
      </c>
      <c r="B834" s="19">
        <v>908</v>
      </c>
      <c r="C834" s="24" t="s">
        <v>118</v>
      </c>
      <c r="D834" s="24" t="s">
        <v>140</v>
      </c>
      <c r="E834" s="24" t="s">
        <v>866</v>
      </c>
      <c r="F834" s="24"/>
      <c r="G834" s="44">
        <f t="shared" si="80"/>
        <v>41282.100000000006</v>
      </c>
      <c r="H834" s="44">
        <f t="shared" si="80"/>
        <v>41282.100000000006</v>
      </c>
      <c r="I834" s="204"/>
    </row>
    <row r="835" spans="1:9" ht="15.75" x14ac:dyDescent="0.25">
      <c r="A835" s="23" t="s">
        <v>954</v>
      </c>
      <c r="B835" s="19">
        <v>908</v>
      </c>
      <c r="C835" s="24" t="s">
        <v>118</v>
      </c>
      <c r="D835" s="24" t="s">
        <v>140</v>
      </c>
      <c r="E835" s="24" t="s">
        <v>953</v>
      </c>
      <c r="F835" s="24"/>
      <c r="G835" s="44">
        <f>G839+G836</f>
        <v>41282.100000000006</v>
      </c>
      <c r="H835" s="44">
        <f>H839+H836</f>
        <v>41282.100000000006</v>
      </c>
      <c r="I835" s="204"/>
    </row>
    <row r="836" spans="1:9" ht="47.25" x14ac:dyDescent="0.25">
      <c r="A836" s="25" t="s">
        <v>839</v>
      </c>
      <c r="B836" s="16">
        <v>908</v>
      </c>
      <c r="C836" s="20" t="s">
        <v>118</v>
      </c>
      <c r="D836" s="20" t="s">
        <v>140</v>
      </c>
      <c r="E836" s="20" t="s">
        <v>956</v>
      </c>
      <c r="F836" s="20"/>
      <c r="G836" s="26">
        <f>G837</f>
        <v>1072</v>
      </c>
      <c r="H836" s="26">
        <f>H837</f>
        <v>1072</v>
      </c>
      <c r="I836" s="204"/>
    </row>
    <row r="837" spans="1:9" ht="78.75" x14ac:dyDescent="0.25">
      <c r="A837" s="25" t="s">
        <v>127</v>
      </c>
      <c r="B837" s="16">
        <v>908</v>
      </c>
      <c r="C837" s="20" t="s">
        <v>118</v>
      </c>
      <c r="D837" s="20" t="s">
        <v>140</v>
      </c>
      <c r="E837" s="20" t="s">
        <v>956</v>
      </c>
      <c r="F837" s="20" t="s">
        <v>128</v>
      </c>
      <c r="G837" s="26">
        <f>G838</f>
        <v>1072</v>
      </c>
      <c r="H837" s="26">
        <f>H838</f>
        <v>1072</v>
      </c>
      <c r="I837" s="204"/>
    </row>
    <row r="838" spans="1:9" ht="31.5" x14ac:dyDescent="0.25">
      <c r="A838" s="25" t="s">
        <v>129</v>
      </c>
      <c r="B838" s="16">
        <v>908</v>
      </c>
      <c r="C838" s="20" t="s">
        <v>118</v>
      </c>
      <c r="D838" s="20" t="s">
        <v>140</v>
      </c>
      <c r="E838" s="20" t="s">
        <v>956</v>
      </c>
      <c r="F838" s="20" t="s">
        <v>209</v>
      </c>
      <c r="G838" s="26">
        <v>1072</v>
      </c>
      <c r="H838" s="26">
        <f t="shared" ref="H838:H901" si="81">G838</f>
        <v>1072</v>
      </c>
      <c r="I838" s="204"/>
    </row>
    <row r="839" spans="1:9" ht="15.75" x14ac:dyDescent="0.25">
      <c r="A839" s="25" t="s">
        <v>801</v>
      </c>
      <c r="B839" s="16">
        <v>908</v>
      </c>
      <c r="C839" s="20" t="s">
        <v>118</v>
      </c>
      <c r="D839" s="20" t="s">
        <v>140</v>
      </c>
      <c r="E839" s="20" t="s">
        <v>955</v>
      </c>
      <c r="F839" s="20"/>
      <c r="G839" s="26">
        <f>G840+G844+G842</f>
        <v>40210.100000000006</v>
      </c>
      <c r="H839" s="26">
        <f>H840+H844+H842</f>
        <v>40210.100000000006</v>
      </c>
      <c r="I839" s="204"/>
    </row>
    <row r="840" spans="1:9" ht="78.75" x14ac:dyDescent="0.25">
      <c r="A840" s="25" t="s">
        <v>127</v>
      </c>
      <c r="B840" s="16">
        <v>908</v>
      </c>
      <c r="C840" s="20" t="s">
        <v>118</v>
      </c>
      <c r="D840" s="20" t="s">
        <v>140</v>
      </c>
      <c r="E840" s="20" t="s">
        <v>955</v>
      </c>
      <c r="F840" s="20" t="s">
        <v>128</v>
      </c>
      <c r="G840" s="26">
        <f>G841</f>
        <v>32825.800000000003</v>
      </c>
      <c r="H840" s="26">
        <f>H841</f>
        <v>32825.800000000003</v>
      </c>
      <c r="I840" s="204"/>
    </row>
    <row r="841" spans="1:9" ht="31.5" x14ac:dyDescent="0.25">
      <c r="A841" s="46" t="s">
        <v>342</v>
      </c>
      <c r="B841" s="16">
        <v>908</v>
      </c>
      <c r="C841" s="20" t="s">
        <v>118</v>
      </c>
      <c r="D841" s="20" t="s">
        <v>140</v>
      </c>
      <c r="E841" s="20" t="s">
        <v>955</v>
      </c>
      <c r="F841" s="20" t="s">
        <v>209</v>
      </c>
      <c r="G841" s="26">
        <v>32825.800000000003</v>
      </c>
      <c r="H841" s="26">
        <f t="shared" si="81"/>
        <v>32825.800000000003</v>
      </c>
      <c r="I841" s="204"/>
    </row>
    <row r="842" spans="1:9" ht="31.5" x14ac:dyDescent="0.25">
      <c r="A842" s="25" t="s">
        <v>131</v>
      </c>
      <c r="B842" s="16">
        <v>908</v>
      </c>
      <c r="C842" s="20" t="s">
        <v>118</v>
      </c>
      <c r="D842" s="20" t="s">
        <v>140</v>
      </c>
      <c r="E842" s="20" t="s">
        <v>955</v>
      </c>
      <c r="F842" s="20" t="s">
        <v>132</v>
      </c>
      <c r="G842" s="26">
        <f>G843</f>
        <v>6963.3</v>
      </c>
      <c r="H842" s="26">
        <f>H843</f>
        <v>6963.3</v>
      </c>
      <c r="I842" s="204"/>
    </row>
    <row r="843" spans="1:9" ht="31.5" x14ac:dyDescent="0.25">
      <c r="A843" s="25" t="s">
        <v>133</v>
      </c>
      <c r="B843" s="16">
        <v>908</v>
      </c>
      <c r="C843" s="20" t="s">
        <v>118</v>
      </c>
      <c r="D843" s="20" t="s">
        <v>140</v>
      </c>
      <c r="E843" s="20" t="s">
        <v>955</v>
      </c>
      <c r="F843" s="20" t="s">
        <v>134</v>
      </c>
      <c r="G843" s="26">
        <v>6963.3</v>
      </c>
      <c r="H843" s="26">
        <f t="shared" si="81"/>
        <v>6963.3</v>
      </c>
      <c r="I843" s="204"/>
    </row>
    <row r="844" spans="1:9" ht="15.75" x14ac:dyDescent="0.25">
      <c r="A844" s="25" t="s">
        <v>135</v>
      </c>
      <c r="B844" s="16">
        <v>908</v>
      </c>
      <c r="C844" s="20" t="s">
        <v>118</v>
      </c>
      <c r="D844" s="20" t="s">
        <v>140</v>
      </c>
      <c r="E844" s="20" t="s">
        <v>955</v>
      </c>
      <c r="F844" s="20" t="s">
        <v>145</v>
      </c>
      <c r="G844" s="26">
        <f>G845</f>
        <v>421</v>
      </c>
      <c r="H844" s="26">
        <f>H845</f>
        <v>421</v>
      </c>
      <c r="I844" s="204"/>
    </row>
    <row r="845" spans="1:9" ht="15.75" x14ac:dyDescent="0.25">
      <c r="A845" s="25" t="s">
        <v>704</v>
      </c>
      <c r="B845" s="16">
        <v>908</v>
      </c>
      <c r="C845" s="20" t="s">
        <v>118</v>
      </c>
      <c r="D845" s="20" t="s">
        <v>140</v>
      </c>
      <c r="E845" s="20" t="s">
        <v>955</v>
      </c>
      <c r="F845" s="20" t="s">
        <v>138</v>
      </c>
      <c r="G845" s="26">
        <f>421</f>
        <v>421</v>
      </c>
      <c r="H845" s="26">
        <f t="shared" si="81"/>
        <v>421</v>
      </c>
      <c r="I845" s="204"/>
    </row>
    <row r="846" spans="1:9" ht="31.5" x14ac:dyDescent="0.25">
      <c r="A846" s="23" t="s">
        <v>222</v>
      </c>
      <c r="B846" s="19">
        <v>908</v>
      </c>
      <c r="C846" s="24" t="s">
        <v>215</v>
      </c>
      <c r="D846" s="24"/>
      <c r="E846" s="24"/>
      <c r="F846" s="24"/>
      <c r="G846" s="21">
        <f t="shared" ref="G846:H849" si="82">G847</f>
        <v>107</v>
      </c>
      <c r="H846" s="21">
        <f t="shared" si="82"/>
        <v>107</v>
      </c>
      <c r="I846" s="204"/>
    </row>
    <row r="847" spans="1:9" ht="47.25" x14ac:dyDescent="0.25">
      <c r="A847" s="23" t="s">
        <v>1345</v>
      </c>
      <c r="B847" s="19">
        <v>908</v>
      </c>
      <c r="C847" s="24" t="s">
        <v>215</v>
      </c>
      <c r="D847" s="24" t="s">
        <v>244</v>
      </c>
      <c r="E847" s="24"/>
      <c r="F847" s="24"/>
      <c r="G847" s="21">
        <f t="shared" si="82"/>
        <v>107</v>
      </c>
      <c r="H847" s="21">
        <f t="shared" si="82"/>
        <v>107</v>
      </c>
      <c r="I847" s="204"/>
    </row>
    <row r="848" spans="1:9" ht="15.75" x14ac:dyDescent="0.25">
      <c r="A848" s="23" t="s">
        <v>141</v>
      </c>
      <c r="B848" s="19">
        <v>908</v>
      </c>
      <c r="C848" s="24" t="s">
        <v>215</v>
      </c>
      <c r="D848" s="24" t="s">
        <v>244</v>
      </c>
      <c r="E848" s="24" t="s">
        <v>866</v>
      </c>
      <c r="F848" s="24"/>
      <c r="G848" s="21">
        <f t="shared" si="82"/>
        <v>107</v>
      </c>
      <c r="H848" s="21">
        <f t="shared" si="82"/>
        <v>107</v>
      </c>
      <c r="I848" s="204"/>
    </row>
    <row r="849" spans="1:9" ht="31.5" x14ac:dyDescent="0.25">
      <c r="A849" s="23" t="s">
        <v>870</v>
      </c>
      <c r="B849" s="19">
        <v>908</v>
      </c>
      <c r="C849" s="24" t="s">
        <v>215</v>
      </c>
      <c r="D849" s="24" t="s">
        <v>244</v>
      </c>
      <c r="E849" s="24" t="s">
        <v>865</v>
      </c>
      <c r="F849" s="24"/>
      <c r="G849" s="21">
        <f t="shared" si="82"/>
        <v>107</v>
      </c>
      <c r="H849" s="21">
        <f t="shared" si="82"/>
        <v>107</v>
      </c>
      <c r="I849" s="204"/>
    </row>
    <row r="850" spans="1:9" ht="15.75" x14ac:dyDescent="0.25">
      <c r="A850" s="25" t="s">
        <v>230</v>
      </c>
      <c r="B850" s="16">
        <v>908</v>
      </c>
      <c r="C850" s="20" t="s">
        <v>215</v>
      </c>
      <c r="D850" s="20" t="s">
        <v>244</v>
      </c>
      <c r="E850" s="20" t="s">
        <v>876</v>
      </c>
      <c r="F850" s="20"/>
      <c r="G850" s="26">
        <f>G851</f>
        <v>107</v>
      </c>
      <c r="H850" s="26">
        <f>H851</f>
        <v>107</v>
      </c>
      <c r="I850" s="204"/>
    </row>
    <row r="851" spans="1:9" ht="31.5" x14ac:dyDescent="0.25">
      <c r="A851" s="25" t="s">
        <v>131</v>
      </c>
      <c r="B851" s="16">
        <v>908</v>
      </c>
      <c r="C851" s="20" t="s">
        <v>215</v>
      </c>
      <c r="D851" s="20" t="s">
        <v>244</v>
      </c>
      <c r="E851" s="20" t="s">
        <v>876</v>
      </c>
      <c r="F851" s="20" t="s">
        <v>132</v>
      </c>
      <c r="G851" s="26">
        <f>G852</f>
        <v>107</v>
      </c>
      <c r="H851" s="26">
        <f>H852</f>
        <v>107</v>
      </c>
      <c r="I851" s="204"/>
    </row>
    <row r="852" spans="1:9" ht="31.5" x14ac:dyDescent="0.25">
      <c r="A852" s="25" t="s">
        <v>133</v>
      </c>
      <c r="B852" s="16">
        <v>908</v>
      </c>
      <c r="C852" s="20" t="s">
        <v>215</v>
      </c>
      <c r="D852" s="20" t="s">
        <v>244</v>
      </c>
      <c r="E852" s="20" t="s">
        <v>876</v>
      </c>
      <c r="F852" s="20" t="s">
        <v>134</v>
      </c>
      <c r="G852" s="26">
        <f>107</f>
        <v>107</v>
      </c>
      <c r="H852" s="26">
        <f t="shared" si="81"/>
        <v>107</v>
      </c>
      <c r="I852" s="204"/>
    </row>
    <row r="853" spans="1:9" ht="15.75" x14ac:dyDescent="0.25">
      <c r="A853" s="23" t="s">
        <v>232</v>
      </c>
      <c r="B853" s="19">
        <v>908</v>
      </c>
      <c r="C853" s="24" t="s">
        <v>150</v>
      </c>
      <c r="D853" s="24"/>
      <c r="E853" s="24"/>
      <c r="F853" s="24"/>
      <c r="G853" s="21">
        <f>G854+G860</f>
        <v>5577</v>
      </c>
      <c r="H853" s="21">
        <f>H854+H860</f>
        <v>5577</v>
      </c>
      <c r="I853" s="204"/>
    </row>
    <row r="854" spans="1:9" ht="15.75" x14ac:dyDescent="0.25">
      <c r="A854" s="23" t="s">
        <v>505</v>
      </c>
      <c r="B854" s="19">
        <v>908</v>
      </c>
      <c r="C854" s="24" t="s">
        <v>150</v>
      </c>
      <c r="D854" s="24" t="s">
        <v>299</v>
      </c>
      <c r="E854" s="24"/>
      <c r="F854" s="24"/>
      <c r="G854" s="21">
        <f t="shared" ref="G854:H856" si="83">G855</f>
        <v>3258</v>
      </c>
      <c r="H854" s="21">
        <f t="shared" si="83"/>
        <v>3258</v>
      </c>
      <c r="I854" s="204"/>
    </row>
    <row r="855" spans="1:9" ht="15.75" x14ac:dyDescent="0.25">
      <c r="A855" s="23" t="s">
        <v>141</v>
      </c>
      <c r="B855" s="19">
        <v>908</v>
      </c>
      <c r="C855" s="24" t="s">
        <v>150</v>
      </c>
      <c r="D855" s="24" t="s">
        <v>299</v>
      </c>
      <c r="E855" s="24" t="s">
        <v>866</v>
      </c>
      <c r="F855" s="24"/>
      <c r="G855" s="21">
        <f t="shared" si="83"/>
        <v>3258</v>
      </c>
      <c r="H855" s="21">
        <f t="shared" si="83"/>
        <v>3258</v>
      </c>
      <c r="I855" s="204"/>
    </row>
    <row r="856" spans="1:9" ht="31.5" x14ac:dyDescent="0.25">
      <c r="A856" s="23" t="s">
        <v>870</v>
      </c>
      <c r="B856" s="19">
        <v>908</v>
      </c>
      <c r="C856" s="24" t="s">
        <v>150</v>
      </c>
      <c r="D856" s="24" t="s">
        <v>299</v>
      </c>
      <c r="E856" s="24" t="s">
        <v>865</v>
      </c>
      <c r="F856" s="24"/>
      <c r="G856" s="21">
        <f t="shared" si="83"/>
        <v>3258</v>
      </c>
      <c r="H856" s="21">
        <f t="shared" si="83"/>
        <v>3258</v>
      </c>
      <c r="I856" s="204"/>
    </row>
    <row r="857" spans="1:9" ht="15.75" x14ac:dyDescent="0.25">
      <c r="A857" s="25" t="s">
        <v>506</v>
      </c>
      <c r="B857" s="16">
        <v>908</v>
      </c>
      <c r="C857" s="20" t="s">
        <v>150</v>
      </c>
      <c r="D857" s="20" t="s">
        <v>299</v>
      </c>
      <c r="E857" s="20" t="s">
        <v>957</v>
      </c>
      <c r="F857" s="20"/>
      <c r="G857" s="26">
        <f>G858</f>
        <v>3258</v>
      </c>
      <c r="H857" s="26">
        <f>H858</f>
        <v>3258</v>
      </c>
      <c r="I857" s="204"/>
    </row>
    <row r="858" spans="1:9" ht="31.5" x14ac:dyDescent="0.25">
      <c r="A858" s="25" t="s">
        <v>131</v>
      </c>
      <c r="B858" s="16">
        <v>908</v>
      </c>
      <c r="C858" s="20" t="s">
        <v>150</v>
      </c>
      <c r="D858" s="20" t="s">
        <v>299</v>
      </c>
      <c r="E858" s="20" t="s">
        <v>957</v>
      </c>
      <c r="F858" s="20" t="s">
        <v>132</v>
      </c>
      <c r="G858" s="26">
        <f>G859</f>
        <v>3258</v>
      </c>
      <c r="H858" s="26">
        <f>H859</f>
        <v>3258</v>
      </c>
      <c r="I858" s="204"/>
    </row>
    <row r="859" spans="1:9" ht="31.5" x14ac:dyDescent="0.25">
      <c r="A859" s="25" t="s">
        <v>133</v>
      </c>
      <c r="B859" s="16">
        <v>908</v>
      </c>
      <c r="C859" s="20" t="s">
        <v>150</v>
      </c>
      <c r="D859" s="20" t="s">
        <v>299</v>
      </c>
      <c r="E859" s="20" t="s">
        <v>957</v>
      </c>
      <c r="F859" s="20" t="s">
        <v>134</v>
      </c>
      <c r="G859" s="26">
        <v>3258</v>
      </c>
      <c r="H859" s="26">
        <f t="shared" si="81"/>
        <v>3258</v>
      </c>
      <c r="I859" s="204"/>
    </row>
    <row r="860" spans="1:9" ht="15.75" x14ac:dyDescent="0.25">
      <c r="A860" s="23" t="s">
        <v>508</v>
      </c>
      <c r="B860" s="19">
        <v>908</v>
      </c>
      <c r="C860" s="24" t="s">
        <v>150</v>
      </c>
      <c r="D860" s="24" t="s">
        <v>219</v>
      </c>
      <c r="E860" s="20"/>
      <c r="F860" s="24"/>
      <c r="G860" s="21">
        <f>G861</f>
        <v>2319</v>
      </c>
      <c r="H860" s="21">
        <f>H861</f>
        <v>2319</v>
      </c>
      <c r="I860" s="204"/>
    </row>
    <row r="861" spans="1:9" ht="47.25" x14ac:dyDescent="0.25">
      <c r="A861" s="34" t="s">
        <v>1370</v>
      </c>
      <c r="B861" s="19">
        <v>908</v>
      </c>
      <c r="C861" s="24" t="s">
        <v>150</v>
      </c>
      <c r="D861" s="24" t="s">
        <v>219</v>
      </c>
      <c r="E861" s="24" t="s">
        <v>510</v>
      </c>
      <c r="F861" s="24"/>
      <c r="G861" s="21">
        <f>G867+G862</f>
        <v>2319</v>
      </c>
      <c r="H861" s="21">
        <f>H867+H862</f>
        <v>2319</v>
      </c>
      <c r="I861" s="204"/>
    </row>
    <row r="862" spans="1:9" ht="31.5" hidden="1" x14ac:dyDescent="0.25">
      <c r="A862" s="34" t="s">
        <v>999</v>
      </c>
      <c r="B862" s="19">
        <v>908</v>
      </c>
      <c r="C862" s="24" t="s">
        <v>150</v>
      </c>
      <c r="D862" s="24" t="s">
        <v>219</v>
      </c>
      <c r="E862" s="7" t="s">
        <v>958</v>
      </c>
      <c r="F862" s="24"/>
      <c r="G862" s="21">
        <f t="shared" ref="G862:H864" si="84">G863</f>
        <v>0</v>
      </c>
      <c r="H862" s="21">
        <f t="shared" si="84"/>
        <v>0</v>
      </c>
      <c r="I862" s="204"/>
    </row>
    <row r="863" spans="1:9" ht="15.75" hidden="1" x14ac:dyDescent="0.25">
      <c r="A863" s="29" t="s">
        <v>1001</v>
      </c>
      <c r="B863" s="16">
        <v>908</v>
      </c>
      <c r="C863" s="20" t="s">
        <v>150</v>
      </c>
      <c r="D863" s="20" t="s">
        <v>219</v>
      </c>
      <c r="E863" s="40" t="s">
        <v>1000</v>
      </c>
      <c r="F863" s="20"/>
      <c r="G863" s="26">
        <f t="shared" si="84"/>
        <v>0</v>
      </c>
      <c r="H863" s="26">
        <f t="shared" si="84"/>
        <v>0</v>
      </c>
      <c r="I863" s="204"/>
    </row>
    <row r="864" spans="1:9" ht="31.5" hidden="1" x14ac:dyDescent="0.25">
      <c r="A864" s="25" t="s">
        <v>131</v>
      </c>
      <c r="B864" s="16">
        <v>908</v>
      </c>
      <c r="C864" s="20" t="s">
        <v>150</v>
      </c>
      <c r="D864" s="20" t="s">
        <v>219</v>
      </c>
      <c r="E864" s="40" t="s">
        <v>1000</v>
      </c>
      <c r="F864" s="20" t="s">
        <v>132</v>
      </c>
      <c r="G864" s="26">
        <f t="shared" si="84"/>
        <v>0</v>
      </c>
      <c r="H864" s="26">
        <f t="shared" si="84"/>
        <v>0</v>
      </c>
      <c r="I864" s="204"/>
    </row>
    <row r="865" spans="1:9" ht="31.5" hidden="1" x14ac:dyDescent="0.25">
      <c r="A865" s="25" t="s">
        <v>133</v>
      </c>
      <c r="B865" s="16">
        <v>908</v>
      </c>
      <c r="C865" s="20" t="s">
        <v>150</v>
      </c>
      <c r="D865" s="20" t="s">
        <v>219</v>
      </c>
      <c r="E865" s="40" t="s">
        <v>1000</v>
      </c>
      <c r="F865" s="20" t="s">
        <v>134</v>
      </c>
      <c r="G865" s="26">
        <v>0</v>
      </c>
      <c r="H865" s="26">
        <v>0</v>
      </c>
      <c r="I865" s="204"/>
    </row>
    <row r="866" spans="1:9" ht="31.5" x14ac:dyDescent="0.25">
      <c r="A866" s="34" t="s">
        <v>1060</v>
      </c>
      <c r="B866" s="19">
        <v>908</v>
      </c>
      <c r="C866" s="24" t="s">
        <v>150</v>
      </c>
      <c r="D866" s="24" t="s">
        <v>219</v>
      </c>
      <c r="E866" s="24" t="s">
        <v>959</v>
      </c>
      <c r="F866" s="24"/>
      <c r="G866" s="21">
        <f t="shared" ref="G866:H870" si="85">G867</f>
        <v>2319</v>
      </c>
      <c r="H866" s="21">
        <f t="shared" si="85"/>
        <v>2319</v>
      </c>
      <c r="I866" s="204"/>
    </row>
    <row r="867" spans="1:9" ht="15.75" x14ac:dyDescent="0.25">
      <c r="A867" s="29" t="s">
        <v>511</v>
      </c>
      <c r="B867" s="16">
        <v>908</v>
      </c>
      <c r="C867" s="20" t="s">
        <v>150</v>
      </c>
      <c r="D867" s="20" t="s">
        <v>219</v>
      </c>
      <c r="E867" s="40" t="s">
        <v>1002</v>
      </c>
      <c r="F867" s="20"/>
      <c r="G867" s="26">
        <f>G870+G868</f>
        <v>2319</v>
      </c>
      <c r="H867" s="26">
        <f>H870+H868</f>
        <v>2319</v>
      </c>
      <c r="I867" s="204"/>
    </row>
    <row r="868" spans="1:9" s="203" customFormat="1" ht="78.75" x14ac:dyDescent="0.25">
      <c r="A868" s="25" t="s">
        <v>127</v>
      </c>
      <c r="B868" s="16">
        <v>908</v>
      </c>
      <c r="C868" s="20" t="s">
        <v>150</v>
      </c>
      <c r="D868" s="20" t="s">
        <v>219</v>
      </c>
      <c r="E868" s="40" t="s">
        <v>1002</v>
      </c>
      <c r="F868" s="20" t="s">
        <v>128</v>
      </c>
      <c r="G868" s="26">
        <f>G869</f>
        <v>1807</v>
      </c>
      <c r="H868" s="26">
        <f>H869</f>
        <v>1807</v>
      </c>
      <c r="I868" s="204"/>
    </row>
    <row r="869" spans="1:9" s="203" customFormat="1" ht="24" customHeight="1" x14ac:dyDescent="0.25">
      <c r="A869" s="25" t="s">
        <v>342</v>
      </c>
      <c r="B869" s="16">
        <v>908</v>
      </c>
      <c r="C869" s="20" t="s">
        <v>150</v>
      </c>
      <c r="D869" s="20" t="s">
        <v>219</v>
      </c>
      <c r="E869" s="40" t="s">
        <v>1002</v>
      </c>
      <c r="F869" s="20" t="s">
        <v>209</v>
      </c>
      <c r="G869" s="26">
        <v>1807</v>
      </c>
      <c r="H869" s="26">
        <f>G869</f>
        <v>1807</v>
      </c>
      <c r="I869" s="204"/>
    </row>
    <row r="870" spans="1:9" ht="31.5" x14ac:dyDescent="0.25">
      <c r="A870" s="25" t="s">
        <v>131</v>
      </c>
      <c r="B870" s="16">
        <v>908</v>
      </c>
      <c r="C870" s="20" t="s">
        <v>150</v>
      </c>
      <c r="D870" s="20" t="s">
        <v>219</v>
      </c>
      <c r="E870" s="40" t="s">
        <v>1002</v>
      </c>
      <c r="F870" s="20" t="s">
        <v>132</v>
      </c>
      <c r="G870" s="26">
        <f t="shared" si="85"/>
        <v>512</v>
      </c>
      <c r="H870" s="26">
        <f t="shared" si="85"/>
        <v>512</v>
      </c>
      <c r="I870" s="204"/>
    </row>
    <row r="871" spans="1:9" ht="31.5" x14ac:dyDescent="0.25">
      <c r="A871" s="25" t="s">
        <v>133</v>
      </c>
      <c r="B871" s="16">
        <v>908</v>
      </c>
      <c r="C871" s="20" t="s">
        <v>150</v>
      </c>
      <c r="D871" s="20" t="s">
        <v>219</v>
      </c>
      <c r="E871" s="40" t="s">
        <v>1002</v>
      </c>
      <c r="F871" s="20" t="s">
        <v>134</v>
      </c>
      <c r="G871" s="26">
        <f>1793+350-761+88.8-958.8</f>
        <v>512</v>
      </c>
      <c r="H871" s="26">
        <f>G871</f>
        <v>512</v>
      </c>
      <c r="I871" s="204"/>
    </row>
    <row r="872" spans="1:9" ht="15.75" hidden="1" x14ac:dyDescent="0.25">
      <c r="A872" s="25" t="s">
        <v>135</v>
      </c>
      <c r="B872" s="16">
        <v>908</v>
      </c>
      <c r="C872" s="20" t="s">
        <v>150</v>
      </c>
      <c r="D872" s="20" t="s">
        <v>219</v>
      </c>
      <c r="E872" s="40" t="s">
        <v>1002</v>
      </c>
      <c r="F872" s="20" t="s">
        <v>145</v>
      </c>
      <c r="G872" s="26">
        <f>'Пр.4 ведом.22'!G952</f>
        <v>0</v>
      </c>
      <c r="H872" s="26">
        <f t="shared" si="81"/>
        <v>0</v>
      </c>
      <c r="I872" s="204"/>
    </row>
    <row r="873" spans="1:9" ht="15.75" hidden="1" x14ac:dyDescent="0.25">
      <c r="A873" s="25" t="s">
        <v>568</v>
      </c>
      <c r="B873" s="16">
        <v>908</v>
      </c>
      <c r="C873" s="20" t="s">
        <v>150</v>
      </c>
      <c r="D873" s="20" t="s">
        <v>219</v>
      </c>
      <c r="E873" s="40" t="s">
        <v>1002</v>
      </c>
      <c r="F873" s="20" t="s">
        <v>138</v>
      </c>
      <c r="G873" s="26">
        <f>'Пр.4 ведом.22'!G953</f>
        <v>0</v>
      </c>
      <c r="H873" s="26">
        <f t="shared" si="81"/>
        <v>0</v>
      </c>
      <c r="I873" s="204"/>
    </row>
    <row r="874" spans="1:9" ht="15.75" x14ac:dyDescent="0.25">
      <c r="A874" s="23" t="s">
        <v>390</v>
      </c>
      <c r="B874" s="19">
        <v>908</v>
      </c>
      <c r="C874" s="24" t="s">
        <v>234</v>
      </c>
      <c r="D874" s="24"/>
      <c r="E874" s="24"/>
      <c r="F874" s="24"/>
      <c r="G874" s="21">
        <f>G875+G889+G953+G1003</f>
        <v>41515.699999999997</v>
      </c>
      <c r="H874" s="21">
        <f>H875+H889+H953+H1003</f>
        <v>49628.05</v>
      </c>
      <c r="I874" s="204"/>
    </row>
    <row r="875" spans="1:9" ht="15.75" x14ac:dyDescent="0.25">
      <c r="A875" s="23" t="s">
        <v>391</v>
      </c>
      <c r="B875" s="19">
        <v>908</v>
      </c>
      <c r="C875" s="24" t="s">
        <v>234</v>
      </c>
      <c r="D875" s="24" t="s">
        <v>118</v>
      </c>
      <c r="E875" s="24"/>
      <c r="F875" s="24"/>
      <c r="G875" s="21">
        <f>G876</f>
        <v>5790</v>
      </c>
      <c r="H875" s="21">
        <f>H876</f>
        <v>5790</v>
      </c>
      <c r="I875" s="204"/>
    </row>
    <row r="876" spans="1:9" ht="15.75" x14ac:dyDescent="0.25">
      <c r="A876" s="23" t="s">
        <v>141</v>
      </c>
      <c r="B876" s="19">
        <v>908</v>
      </c>
      <c r="C876" s="24" t="s">
        <v>234</v>
      </c>
      <c r="D876" s="24" t="s">
        <v>118</v>
      </c>
      <c r="E876" s="24" t="s">
        <v>866</v>
      </c>
      <c r="F876" s="24"/>
      <c r="G876" s="21">
        <f>G877</f>
        <v>5790</v>
      </c>
      <c r="H876" s="21">
        <f>H877</f>
        <v>5790</v>
      </c>
      <c r="I876" s="204"/>
    </row>
    <row r="877" spans="1:9" ht="31.5" x14ac:dyDescent="0.25">
      <c r="A877" s="23" t="s">
        <v>870</v>
      </c>
      <c r="B877" s="19">
        <v>908</v>
      </c>
      <c r="C877" s="24" t="s">
        <v>234</v>
      </c>
      <c r="D877" s="24" t="s">
        <v>118</v>
      </c>
      <c r="E877" s="24" t="s">
        <v>865</v>
      </c>
      <c r="F877" s="24"/>
      <c r="G877" s="21">
        <f>G886+G883+G878</f>
        <v>5790</v>
      </c>
      <c r="H877" s="21">
        <f>H886+H883+H878</f>
        <v>5790</v>
      </c>
      <c r="I877" s="204"/>
    </row>
    <row r="878" spans="1:9" ht="15.75" hidden="1" x14ac:dyDescent="0.25">
      <c r="A878" s="25" t="s">
        <v>515</v>
      </c>
      <c r="B878" s="16">
        <v>908</v>
      </c>
      <c r="C878" s="20" t="s">
        <v>774</v>
      </c>
      <c r="D878" s="20" t="s">
        <v>118</v>
      </c>
      <c r="E878" s="20" t="s">
        <v>960</v>
      </c>
      <c r="F878" s="24"/>
      <c r="G878" s="26">
        <f>'Пр.4 ведом.22'!G958</f>
        <v>0</v>
      </c>
      <c r="H878" s="26">
        <f t="shared" si="81"/>
        <v>0</v>
      </c>
      <c r="I878" s="204"/>
    </row>
    <row r="879" spans="1:9" ht="31.5" hidden="1" x14ac:dyDescent="0.25">
      <c r="A879" s="25" t="s">
        <v>131</v>
      </c>
      <c r="B879" s="16">
        <v>908</v>
      </c>
      <c r="C879" s="20" t="s">
        <v>234</v>
      </c>
      <c r="D879" s="20" t="s">
        <v>118</v>
      </c>
      <c r="E879" s="20" t="s">
        <v>960</v>
      </c>
      <c r="F879" s="20" t="s">
        <v>132</v>
      </c>
      <c r="G879" s="26">
        <f>'Пр.4 ведом.22'!G959</f>
        <v>0</v>
      </c>
      <c r="H879" s="26">
        <f t="shared" si="81"/>
        <v>0</v>
      </c>
      <c r="I879" s="204"/>
    </row>
    <row r="880" spans="1:9" ht="31.5" hidden="1" x14ac:dyDescent="0.25">
      <c r="A880" s="25" t="s">
        <v>133</v>
      </c>
      <c r="B880" s="16">
        <v>908</v>
      </c>
      <c r="C880" s="20" t="s">
        <v>234</v>
      </c>
      <c r="D880" s="20" t="s">
        <v>118</v>
      </c>
      <c r="E880" s="20" t="s">
        <v>960</v>
      </c>
      <c r="F880" s="20" t="s">
        <v>134</v>
      </c>
      <c r="G880" s="26">
        <f>'Пр.4 ведом.22'!G960</f>
        <v>0</v>
      </c>
      <c r="H880" s="26">
        <f t="shared" si="81"/>
        <v>0</v>
      </c>
      <c r="I880" s="204"/>
    </row>
    <row r="881" spans="1:9" ht="15.75" hidden="1" x14ac:dyDescent="0.25">
      <c r="A881" s="25" t="s">
        <v>135</v>
      </c>
      <c r="B881" s="16">
        <v>908</v>
      </c>
      <c r="C881" s="20" t="s">
        <v>234</v>
      </c>
      <c r="D881" s="20" t="s">
        <v>118</v>
      </c>
      <c r="E881" s="20" t="s">
        <v>960</v>
      </c>
      <c r="F881" s="20" t="s">
        <v>145</v>
      </c>
      <c r="G881" s="26">
        <f>'Пр.4 ведом.22'!G961</f>
        <v>0</v>
      </c>
      <c r="H881" s="26">
        <f t="shared" si="81"/>
        <v>0</v>
      </c>
      <c r="I881" s="204"/>
    </row>
    <row r="882" spans="1:9" ht="47.25" hidden="1" x14ac:dyDescent="0.25">
      <c r="A882" s="25" t="s">
        <v>184</v>
      </c>
      <c r="B882" s="16">
        <v>908</v>
      </c>
      <c r="C882" s="20" t="s">
        <v>234</v>
      </c>
      <c r="D882" s="20" t="s">
        <v>118</v>
      </c>
      <c r="E882" s="20" t="s">
        <v>960</v>
      </c>
      <c r="F882" s="20" t="s">
        <v>160</v>
      </c>
      <c r="G882" s="26">
        <f>'Пр.4 ведом.22'!G962</f>
        <v>0</v>
      </c>
      <c r="H882" s="26">
        <f t="shared" si="81"/>
        <v>0</v>
      </c>
      <c r="I882" s="204"/>
    </row>
    <row r="883" spans="1:9" ht="31.5" x14ac:dyDescent="0.25">
      <c r="A883" s="29" t="s">
        <v>398</v>
      </c>
      <c r="B883" s="16">
        <v>908</v>
      </c>
      <c r="C883" s="20" t="s">
        <v>234</v>
      </c>
      <c r="D883" s="20" t="s">
        <v>118</v>
      </c>
      <c r="E883" s="20" t="s">
        <v>961</v>
      </c>
      <c r="F883" s="24"/>
      <c r="G883" s="26">
        <f>G884</f>
        <v>4650</v>
      </c>
      <c r="H883" s="26">
        <f>H884</f>
        <v>4650</v>
      </c>
      <c r="I883" s="204"/>
    </row>
    <row r="884" spans="1:9" ht="31.5" x14ac:dyDescent="0.25">
      <c r="A884" s="25" t="s">
        <v>131</v>
      </c>
      <c r="B884" s="16">
        <v>908</v>
      </c>
      <c r="C884" s="20" t="s">
        <v>234</v>
      </c>
      <c r="D884" s="20" t="s">
        <v>118</v>
      </c>
      <c r="E884" s="20" t="s">
        <v>961</v>
      </c>
      <c r="F884" s="20" t="s">
        <v>132</v>
      </c>
      <c r="G884" s="26">
        <f>G885</f>
        <v>4650</v>
      </c>
      <c r="H884" s="26">
        <f>H885</f>
        <v>4650</v>
      </c>
      <c r="I884" s="204"/>
    </row>
    <row r="885" spans="1:9" ht="31.5" x14ac:dyDescent="0.25">
      <c r="A885" s="25" t="s">
        <v>133</v>
      </c>
      <c r="B885" s="16">
        <v>908</v>
      </c>
      <c r="C885" s="20" t="s">
        <v>234</v>
      </c>
      <c r="D885" s="20" t="s">
        <v>118</v>
      </c>
      <c r="E885" s="20" t="s">
        <v>961</v>
      </c>
      <c r="F885" s="20" t="s">
        <v>134</v>
      </c>
      <c r="G885" s="26">
        <v>4650</v>
      </c>
      <c r="H885" s="26">
        <f t="shared" si="81"/>
        <v>4650</v>
      </c>
      <c r="I885" s="204"/>
    </row>
    <row r="886" spans="1:9" ht="31.5" x14ac:dyDescent="0.25">
      <c r="A886" s="29" t="s">
        <v>932</v>
      </c>
      <c r="B886" s="16">
        <v>908</v>
      </c>
      <c r="C886" s="20" t="s">
        <v>234</v>
      </c>
      <c r="D886" s="20" t="s">
        <v>118</v>
      </c>
      <c r="E886" s="20" t="s">
        <v>962</v>
      </c>
      <c r="F886" s="24"/>
      <c r="G886" s="26">
        <f>G887</f>
        <v>1140</v>
      </c>
      <c r="H886" s="26">
        <f>H887</f>
        <v>1140</v>
      </c>
      <c r="I886" s="204"/>
    </row>
    <row r="887" spans="1:9" ht="31.5" x14ac:dyDescent="0.25">
      <c r="A887" s="25" t="s">
        <v>131</v>
      </c>
      <c r="B887" s="16">
        <v>908</v>
      </c>
      <c r="C887" s="20" t="s">
        <v>234</v>
      </c>
      <c r="D887" s="20" t="s">
        <v>118</v>
      </c>
      <c r="E887" s="20" t="s">
        <v>962</v>
      </c>
      <c r="F887" s="20" t="s">
        <v>132</v>
      </c>
      <c r="G887" s="26">
        <f>G888</f>
        <v>1140</v>
      </c>
      <c r="H887" s="26">
        <f>H888</f>
        <v>1140</v>
      </c>
      <c r="I887" s="204"/>
    </row>
    <row r="888" spans="1:9" ht="31.5" x14ac:dyDescent="0.25">
      <c r="A888" s="25" t="s">
        <v>133</v>
      </c>
      <c r="B888" s="16">
        <v>908</v>
      </c>
      <c r="C888" s="20" t="s">
        <v>234</v>
      </c>
      <c r="D888" s="20" t="s">
        <v>118</v>
      </c>
      <c r="E888" s="20" t="s">
        <v>962</v>
      </c>
      <c r="F888" s="20" t="s">
        <v>134</v>
      </c>
      <c r="G888" s="26">
        <f>1140</f>
        <v>1140</v>
      </c>
      <c r="H888" s="26">
        <f t="shared" si="81"/>
        <v>1140</v>
      </c>
      <c r="I888" s="204"/>
    </row>
    <row r="889" spans="1:9" ht="15.75" x14ac:dyDescent="0.25">
      <c r="A889" s="23" t="s">
        <v>517</v>
      </c>
      <c r="B889" s="19">
        <v>908</v>
      </c>
      <c r="C889" s="24" t="s">
        <v>234</v>
      </c>
      <c r="D889" s="24" t="s">
        <v>213</v>
      </c>
      <c r="E889" s="24"/>
      <c r="F889" s="24"/>
      <c r="G889" s="21">
        <f>G890+G919+G948</f>
        <v>6611.199999999998</v>
      </c>
      <c r="H889" s="21">
        <f>H890+H919+H948</f>
        <v>14470.550000000001</v>
      </c>
      <c r="I889" s="204"/>
    </row>
    <row r="890" spans="1:9" ht="15.75" x14ac:dyDescent="0.25">
      <c r="A890" s="23" t="s">
        <v>141</v>
      </c>
      <c r="B890" s="19">
        <v>908</v>
      </c>
      <c r="C890" s="24" t="s">
        <v>234</v>
      </c>
      <c r="D890" s="24" t="s">
        <v>213</v>
      </c>
      <c r="E890" s="24" t="s">
        <v>866</v>
      </c>
      <c r="F890" s="24"/>
      <c r="G890" s="21">
        <f>G891+G902</f>
        <v>5707.199999999998</v>
      </c>
      <c r="H890" s="21">
        <f>H891+H902</f>
        <v>13555.550000000001</v>
      </c>
      <c r="I890" s="204"/>
    </row>
    <row r="891" spans="1:9" ht="31.5" x14ac:dyDescent="0.25">
      <c r="A891" s="23" t="s">
        <v>870</v>
      </c>
      <c r="B891" s="19">
        <v>908</v>
      </c>
      <c r="C891" s="24" t="s">
        <v>234</v>
      </c>
      <c r="D891" s="24" t="s">
        <v>213</v>
      </c>
      <c r="E891" s="24" t="s">
        <v>865</v>
      </c>
      <c r="F891" s="24"/>
      <c r="G891" s="21">
        <f>G892+G897</f>
        <v>5707.199999999998</v>
      </c>
      <c r="H891" s="21">
        <f>H892+H897</f>
        <v>13555.550000000001</v>
      </c>
      <c r="I891" s="204"/>
    </row>
    <row r="892" spans="1:9" ht="15.75" hidden="1" x14ac:dyDescent="0.25">
      <c r="A892" s="35" t="s">
        <v>537</v>
      </c>
      <c r="B892" s="16">
        <v>908</v>
      </c>
      <c r="C892" s="20" t="s">
        <v>234</v>
      </c>
      <c r="D892" s="20" t="s">
        <v>213</v>
      </c>
      <c r="E892" s="20" t="s">
        <v>979</v>
      </c>
      <c r="F892" s="20"/>
      <c r="G892" s="26">
        <f>G893+G895</f>
        <v>0</v>
      </c>
      <c r="H892" s="26">
        <f t="shared" si="81"/>
        <v>0</v>
      </c>
      <c r="I892" s="204"/>
    </row>
    <row r="893" spans="1:9" ht="31.5" hidden="1" x14ac:dyDescent="0.25">
      <c r="A893" s="25" t="s">
        <v>131</v>
      </c>
      <c r="B893" s="16">
        <v>908</v>
      </c>
      <c r="C893" s="20" t="s">
        <v>234</v>
      </c>
      <c r="D893" s="20" t="s">
        <v>213</v>
      </c>
      <c r="E893" s="20" t="s">
        <v>979</v>
      </c>
      <c r="F893" s="20" t="s">
        <v>132</v>
      </c>
      <c r="G893" s="26">
        <f>G894</f>
        <v>0</v>
      </c>
      <c r="H893" s="26">
        <f t="shared" si="81"/>
        <v>0</v>
      </c>
      <c r="I893" s="204"/>
    </row>
    <row r="894" spans="1:9" ht="31.5" hidden="1" x14ac:dyDescent="0.25">
      <c r="A894" s="25" t="s">
        <v>133</v>
      </c>
      <c r="B894" s="16">
        <v>908</v>
      </c>
      <c r="C894" s="20" t="s">
        <v>234</v>
      </c>
      <c r="D894" s="20" t="s">
        <v>213</v>
      </c>
      <c r="E894" s="20" t="s">
        <v>979</v>
      </c>
      <c r="F894" s="20" t="s">
        <v>134</v>
      </c>
      <c r="G894" s="26">
        <v>0</v>
      </c>
      <c r="H894" s="26">
        <f t="shared" si="81"/>
        <v>0</v>
      </c>
      <c r="I894" s="204"/>
    </row>
    <row r="895" spans="1:9" ht="15.75" hidden="1" x14ac:dyDescent="0.25">
      <c r="A895" s="25" t="s">
        <v>135</v>
      </c>
      <c r="B895" s="16">
        <v>908</v>
      </c>
      <c r="C895" s="20" t="s">
        <v>234</v>
      </c>
      <c r="D895" s="20" t="s">
        <v>213</v>
      </c>
      <c r="E895" s="20" t="s">
        <v>979</v>
      </c>
      <c r="F895" s="20" t="s">
        <v>145</v>
      </c>
      <c r="G895" s="26">
        <f>G896</f>
        <v>0</v>
      </c>
      <c r="H895" s="26">
        <f t="shared" si="81"/>
        <v>0</v>
      </c>
      <c r="I895" s="204"/>
    </row>
    <row r="896" spans="1:9" ht="47.25" hidden="1" x14ac:dyDescent="0.25">
      <c r="A896" s="25" t="s">
        <v>184</v>
      </c>
      <c r="B896" s="16">
        <v>908</v>
      </c>
      <c r="C896" s="20" t="s">
        <v>234</v>
      </c>
      <c r="D896" s="20" t="s">
        <v>213</v>
      </c>
      <c r="E896" s="20" t="s">
        <v>979</v>
      </c>
      <c r="F896" s="20" t="s">
        <v>160</v>
      </c>
      <c r="G896" s="26">
        <f>'Пр.4 ведом.22'!G979</f>
        <v>0</v>
      </c>
      <c r="H896" s="26">
        <f t="shared" si="81"/>
        <v>0</v>
      </c>
      <c r="I896" s="204"/>
    </row>
    <row r="897" spans="1:9" ht="31.5" x14ac:dyDescent="0.25">
      <c r="A897" s="29" t="s">
        <v>932</v>
      </c>
      <c r="B897" s="16">
        <v>908</v>
      </c>
      <c r="C897" s="20" t="s">
        <v>234</v>
      </c>
      <c r="D897" s="20" t="s">
        <v>213</v>
      </c>
      <c r="E897" s="20" t="s">
        <v>962</v>
      </c>
      <c r="F897" s="20"/>
      <c r="G897" s="26">
        <f>G898</f>
        <v>5707.199999999998</v>
      </c>
      <c r="H897" s="26">
        <f>H898</f>
        <v>13555.550000000001</v>
      </c>
      <c r="I897" s="204"/>
    </row>
    <row r="898" spans="1:9" ht="31.5" x14ac:dyDescent="0.25">
      <c r="A898" s="25" t="s">
        <v>131</v>
      </c>
      <c r="B898" s="16">
        <v>908</v>
      </c>
      <c r="C898" s="20" t="s">
        <v>234</v>
      </c>
      <c r="D898" s="20" t="s">
        <v>213</v>
      </c>
      <c r="E898" s="20" t="s">
        <v>962</v>
      </c>
      <c r="F898" s="20" t="s">
        <v>132</v>
      </c>
      <c r="G898" s="26">
        <f>G899</f>
        <v>5707.199999999998</v>
      </c>
      <c r="H898" s="26">
        <f>H899</f>
        <v>13555.550000000001</v>
      </c>
      <c r="I898" s="204"/>
    </row>
    <row r="899" spans="1:9" ht="31.5" x14ac:dyDescent="0.25">
      <c r="A899" s="25" t="s">
        <v>133</v>
      </c>
      <c r="B899" s="16">
        <v>908</v>
      </c>
      <c r="C899" s="20" t="s">
        <v>234</v>
      </c>
      <c r="D899" s="20" t="s">
        <v>213</v>
      </c>
      <c r="E899" s="20" t="s">
        <v>962</v>
      </c>
      <c r="F899" s="20" t="s">
        <v>134</v>
      </c>
      <c r="G899" s="26">
        <f>14881.91-4224.29+2030.8-4000-3375.3+394.08</f>
        <v>5707.199999999998</v>
      </c>
      <c r="H899" s="26">
        <f>16519.25-3375.3+411.6</f>
        <v>13555.550000000001</v>
      </c>
      <c r="I899" s="204"/>
    </row>
    <row r="900" spans="1:9" ht="15.75" hidden="1" x14ac:dyDescent="0.25">
      <c r="A900" s="25" t="s">
        <v>135</v>
      </c>
      <c r="B900" s="16">
        <v>908</v>
      </c>
      <c r="C900" s="20" t="s">
        <v>234</v>
      </c>
      <c r="D900" s="20" t="s">
        <v>213</v>
      </c>
      <c r="E900" s="20" t="s">
        <v>962</v>
      </c>
      <c r="F900" s="20" t="s">
        <v>145</v>
      </c>
      <c r="G900" s="26">
        <f>'Пр.4 ведом.22'!G984</f>
        <v>0</v>
      </c>
      <c r="H900" s="26">
        <f t="shared" si="81"/>
        <v>0</v>
      </c>
      <c r="I900" s="204"/>
    </row>
    <row r="901" spans="1:9" ht="15.75" hidden="1" x14ac:dyDescent="0.25">
      <c r="A901" s="25" t="s">
        <v>146</v>
      </c>
      <c r="B901" s="16">
        <v>908</v>
      </c>
      <c r="C901" s="20" t="s">
        <v>234</v>
      </c>
      <c r="D901" s="20" t="s">
        <v>213</v>
      </c>
      <c r="E901" s="20" t="s">
        <v>962</v>
      </c>
      <c r="F901" s="20" t="s">
        <v>147</v>
      </c>
      <c r="G901" s="26">
        <f>'Пр.4 ведом.22'!G985</f>
        <v>0</v>
      </c>
      <c r="H901" s="26">
        <f t="shared" si="81"/>
        <v>0</v>
      </c>
      <c r="I901" s="204"/>
    </row>
    <row r="902" spans="1:9" ht="47.25" hidden="1" x14ac:dyDescent="0.25">
      <c r="A902" s="23" t="s">
        <v>1013</v>
      </c>
      <c r="B902" s="19">
        <v>908</v>
      </c>
      <c r="C902" s="24" t="s">
        <v>234</v>
      </c>
      <c r="D902" s="24" t="s">
        <v>213</v>
      </c>
      <c r="E902" s="24" t="s">
        <v>980</v>
      </c>
      <c r="F902" s="24"/>
      <c r="G902" s="21">
        <f>G903+G911+G908+G916</f>
        <v>0</v>
      </c>
      <c r="H902" s="21">
        <f>H903+H911+H908+H916</f>
        <v>0</v>
      </c>
      <c r="I902" s="204"/>
    </row>
    <row r="903" spans="1:9" ht="47.25" hidden="1" x14ac:dyDescent="0.25">
      <c r="A903" s="25" t="s">
        <v>827</v>
      </c>
      <c r="B903" s="16">
        <v>908</v>
      </c>
      <c r="C903" s="20" t="s">
        <v>234</v>
      </c>
      <c r="D903" s="20" t="s">
        <v>213</v>
      </c>
      <c r="E903" s="20" t="s">
        <v>981</v>
      </c>
      <c r="F903" s="20"/>
      <c r="G903" s="26">
        <f>'Пр.4 ведом.22'!G987</f>
        <v>0</v>
      </c>
      <c r="H903" s="26">
        <f t="shared" ref="H903:H973" si="86">G903</f>
        <v>0</v>
      </c>
      <c r="I903" s="204"/>
    </row>
    <row r="904" spans="1:9" ht="31.5" hidden="1" x14ac:dyDescent="0.25">
      <c r="A904" s="25" t="s">
        <v>131</v>
      </c>
      <c r="B904" s="16">
        <v>908</v>
      </c>
      <c r="C904" s="20" t="s">
        <v>234</v>
      </c>
      <c r="D904" s="20" t="s">
        <v>213</v>
      </c>
      <c r="E904" s="20" t="s">
        <v>981</v>
      </c>
      <c r="F904" s="20" t="s">
        <v>132</v>
      </c>
      <c r="G904" s="26">
        <f>'Пр.4 ведом.22'!G988</f>
        <v>0</v>
      </c>
      <c r="H904" s="26">
        <f t="shared" si="86"/>
        <v>0</v>
      </c>
      <c r="I904" s="204"/>
    </row>
    <row r="905" spans="1:9" ht="31.5" hidden="1" x14ac:dyDescent="0.25">
      <c r="A905" s="25" t="s">
        <v>133</v>
      </c>
      <c r="B905" s="16">
        <v>908</v>
      </c>
      <c r="C905" s="20" t="s">
        <v>234</v>
      </c>
      <c r="D905" s="20" t="s">
        <v>213</v>
      </c>
      <c r="E905" s="20" t="s">
        <v>981</v>
      </c>
      <c r="F905" s="20" t="s">
        <v>134</v>
      </c>
      <c r="G905" s="26">
        <f>'Пр.4 ведом.22'!G989</f>
        <v>0</v>
      </c>
      <c r="H905" s="26">
        <f t="shared" si="86"/>
        <v>0</v>
      </c>
      <c r="I905" s="204"/>
    </row>
    <row r="906" spans="1:9" ht="15.75" hidden="1" x14ac:dyDescent="0.25">
      <c r="A906" s="25" t="s">
        <v>135</v>
      </c>
      <c r="B906" s="16">
        <v>908</v>
      </c>
      <c r="C906" s="20" t="s">
        <v>234</v>
      </c>
      <c r="D906" s="20" t="s">
        <v>213</v>
      </c>
      <c r="E906" s="20" t="s">
        <v>981</v>
      </c>
      <c r="F906" s="20" t="s">
        <v>837</v>
      </c>
      <c r="G906" s="26">
        <f>'Пр.4 ведом.22'!G990</f>
        <v>0</v>
      </c>
      <c r="H906" s="26">
        <f t="shared" si="86"/>
        <v>0</v>
      </c>
      <c r="I906" s="204"/>
    </row>
    <row r="907" spans="1:9" ht="15.75" hidden="1" x14ac:dyDescent="0.25">
      <c r="A907" s="25" t="s">
        <v>568</v>
      </c>
      <c r="B907" s="16">
        <v>908</v>
      </c>
      <c r="C907" s="20" t="s">
        <v>234</v>
      </c>
      <c r="D907" s="20" t="s">
        <v>213</v>
      </c>
      <c r="E907" s="20" t="s">
        <v>981</v>
      </c>
      <c r="F907" s="20" t="s">
        <v>1067</v>
      </c>
      <c r="G907" s="26">
        <f>'Пр.4 ведом.22'!G991</f>
        <v>0</v>
      </c>
      <c r="H907" s="26">
        <f t="shared" si="86"/>
        <v>0</v>
      </c>
      <c r="I907" s="204"/>
    </row>
    <row r="908" spans="1:9" ht="63" hidden="1" x14ac:dyDescent="0.25">
      <c r="A908" s="25" t="s">
        <v>793</v>
      </c>
      <c r="B908" s="16">
        <v>908</v>
      </c>
      <c r="C908" s="20" t="s">
        <v>234</v>
      </c>
      <c r="D908" s="20" t="s">
        <v>213</v>
      </c>
      <c r="E908" s="20" t="s">
        <v>982</v>
      </c>
      <c r="F908" s="20"/>
      <c r="G908" s="26">
        <f>'Пр.4 ведом.22'!G992</f>
        <v>0</v>
      </c>
      <c r="H908" s="26">
        <f t="shared" si="86"/>
        <v>0</v>
      </c>
      <c r="I908" s="204"/>
    </row>
    <row r="909" spans="1:9" ht="31.5" hidden="1" x14ac:dyDescent="0.25">
      <c r="A909" s="25" t="s">
        <v>131</v>
      </c>
      <c r="B909" s="16">
        <v>908</v>
      </c>
      <c r="C909" s="20" t="s">
        <v>234</v>
      </c>
      <c r="D909" s="20" t="s">
        <v>213</v>
      </c>
      <c r="E909" s="20" t="s">
        <v>982</v>
      </c>
      <c r="F909" s="20" t="s">
        <v>132</v>
      </c>
      <c r="G909" s="26">
        <f>'Пр.4 ведом.22'!G993</f>
        <v>0</v>
      </c>
      <c r="H909" s="26">
        <f t="shared" si="86"/>
        <v>0</v>
      </c>
      <c r="I909" s="204"/>
    </row>
    <row r="910" spans="1:9" ht="31.5" hidden="1" x14ac:dyDescent="0.25">
      <c r="A910" s="25" t="s">
        <v>133</v>
      </c>
      <c r="B910" s="16">
        <v>908</v>
      </c>
      <c r="C910" s="20" t="s">
        <v>234</v>
      </c>
      <c r="D910" s="20" t="s">
        <v>213</v>
      </c>
      <c r="E910" s="20" t="s">
        <v>982</v>
      </c>
      <c r="F910" s="20" t="s">
        <v>134</v>
      </c>
      <c r="G910" s="26">
        <f>'Пр.4 ведом.22'!G994</f>
        <v>0</v>
      </c>
      <c r="H910" s="26">
        <f t="shared" si="86"/>
        <v>0</v>
      </c>
      <c r="I910" s="204"/>
    </row>
    <row r="911" spans="1:9" ht="47.25" hidden="1" x14ac:dyDescent="0.25">
      <c r="A911" s="97" t="s">
        <v>833</v>
      </c>
      <c r="B911" s="16">
        <v>908</v>
      </c>
      <c r="C911" s="20" t="s">
        <v>234</v>
      </c>
      <c r="D911" s="20" t="s">
        <v>213</v>
      </c>
      <c r="E911" s="20" t="s">
        <v>983</v>
      </c>
      <c r="F911" s="20"/>
      <c r="G911" s="26">
        <f>'Пр.4 ведом.22'!G995</f>
        <v>0</v>
      </c>
      <c r="H911" s="26">
        <f t="shared" si="86"/>
        <v>0</v>
      </c>
      <c r="I911" s="204"/>
    </row>
    <row r="912" spans="1:9" ht="31.5" hidden="1" x14ac:dyDescent="0.25">
      <c r="A912" s="25" t="s">
        <v>838</v>
      </c>
      <c r="B912" s="16">
        <v>908</v>
      </c>
      <c r="C912" s="20" t="s">
        <v>234</v>
      </c>
      <c r="D912" s="20" t="s">
        <v>213</v>
      </c>
      <c r="E912" s="20" t="s">
        <v>983</v>
      </c>
      <c r="F912" s="20" t="s">
        <v>837</v>
      </c>
      <c r="G912" s="26">
        <f>'Пр.4 ведом.22'!G996</f>
        <v>0</v>
      </c>
      <c r="H912" s="26">
        <f t="shared" si="86"/>
        <v>0</v>
      </c>
      <c r="I912" s="204"/>
    </row>
    <row r="913" spans="1:9" ht="63" hidden="1" x14ac:dyDescent="0.25">
      <c r="A913" s="25" t="s">
        <v>1048</v>
      </c>
      <c r="B913" s="16">
        <v>908</v>
      </c>
      <c r="C913" s="20" t="s">
        <v>234</v>
      </c>
      <c r="D913" s="20" t="s">
        <v>213</v>
      </c>
      <c r="E913" s="20" t="s">
        <v>983</v>
      </c>
      <c r="F913" s="20" t="s">
        <v>1067</v>
      </c>
      <c r="G913" s="26">
        <f>'Пр.4 ведом.22'!G997</f>
        <v>0</v>
      </c>
      <c r="H913" s="26">
        <f t="shared" si="86"/>
        <v>0</v>
      </c>
      <c r="I913" s="204"/>
    </row>
    <row r="914" spans="1:9" ht="15.75" hidden="1" x14ac:dyDescent="0.25">
      <c r="A914" s="25" t="s">
        <v>135</v>
      </c>
      <c r="B914" s="16">
        <v>908</v>
      </c>
      <c r="C914" s="20" t="s">
        <v>234</v>
      </c>
      <c r="D914" s="20" t="s">
        <v>213</v>
      </c>
      <c r="E914" s="20" t="s">
        <v>983</v>
      </c>
      <c r="F914" s="20" t="s">
        <v>145</v>
      </c>
      <c r="G914" s="26">
        <f>'Пр.4 ведом.22'!G998</f>
        <v>0</v>
      </c>
      <c r="H914" s="26">
        <f t="shared" si="86"/>
        <v>0</v>
      </c>
      <c r="I914" s="204"/>
    </row>
    <row r="915" spans="1:9" ht="15.75" hidden="1" x14ac:dyDescent="0.25">
      <c r="A915" s="25" t="s">
        <v>704</v>
      </c>
      <c r="B915" s="16">
        <v>908</v>
      </c>
      <c r="C915" s="20" t="s">
        <v>234</v>
      </c>
      <c r="D915" s="20" t="s">
        <v>213</v>
      </c>
      <c r="E915" s="20" t="s">
        <v>983</v>
      </c>
      <c r="F915" s="20" t="s">
        <v>138</v>
      </c>
      <c r="G915" s="26">
        <f>'Пр.4 ведом.22'!G999</f>
        <v>0</v>
      </c>
      <c r="H915" s="26">
        <f t="shared" si="86"/>
        <v>0</v>
      </c>
      <c r="I915" s="204"/>
    </row>
    <row r="916" spans="1:9" ht="31.5" hidden="1" x14ac:dyDescent="0.25">
      <c r="A916" s="25" t="s">
        <v>1068</v>
      </c>
      <c r="B916" s="16">
        <v>908</v>
      </c>
      <c r="C916" s="20" t="s">
        <v>234</v>
      </c>
      <c r="D916" s="20" t="s">
        <v>213</v>
      </c>
      <c r="E916" s="20" t="s">
        <v>1069</v>
      </c>
      <c r="F916" s="20"/>
      <c r="G916" s="26">
        <f>'Пр.4 ведом.22'!G1000</f>
        <v>0</v>
      </c>
      <c r="H916" s="26">
        <f t="shared" si="86"/>
        <v>0</v>
      </c>
      <c r="I916" s="204"/>
    </row>
    <row r="917" spans="1:9" ht="31.5" hidden="1" x14ac:dyDescent="0.25">
      <c r="A917" s="25" t="s">
        <v>131</v>
      </c>
      <c r="B917" s="16">
        <v>908</v>
      </c>
      <c r="C917" s="20" t="s">
        <v>234</v>
      </c>
      <c r="D917" s="20" t="s">
        <v>213</v>
      </c>
      <c r="E917" s="20" t="s">
        <v>1069</v>
      </c>
      <c r="F917" s="20" t="s">
        <v>132</v>
      </c>
      <c r="G917" s="26">
        <f>'Пр.4 ведом.22'!G1001</f>
        <v>0</v>
      </c>
      <c r="H917" s="26">
        <f t="shared" si="86"/>
        <v>0</v>
      </c>
      <c r="I917" s="204"/>
    </row>
    <row r="918" spans="1:9" ht="31.5" hidden="1" x14ac:dyDescent="0.25">
      <c r="A918" s="25" t="s">
        <v>133</v>
      </c>
      <c r="B918" s="16">
        <v>908</v>
      </c>
      <c r="C918" s="20" t="s">
        <v>234</v>
      </c>
      <c r="D918" s="20" t="s">
        <v>213</v>
      </c>
      <c r="E918" s="20" t="s">
        <v>1069</v>
      </c>
      <c r="F918" s="20" t="s">
        <v>134</v>
      </c>
      <c r="G918" s="26">
        <f>'Пр.4 ведом.22'!G1002</f>
        <v>0</v>
      </c>
      <c r="H918" s="26">
        <f t="shared" si="86"/>
        <v>0</v>
      </c>
      <c r="I918" s="204"/>
    </row>
    <row r="919" spans="1:9" ht="63" x14ac:dyDescent="0.25">
      <c r="A919" s="23" t="s">
        <v>1526</v>
      </c>
      <c r="B919" s="19">
        <v>908</v>
      </c>
      <c r="C919" s="24" t="s">
        <v>234</v>
      </c>
      <c r="D919" s="24" t="s">
        <v>213</v>
      </c>
      <c r="E919" s="24" t="s">
        <v>518</v>
      </c>
      <c r="F919" s="24"/>
      <c r="G919" s="21">
        <f>G920+G924+G928+G932+G944+G940</f>
        <v>700</v>
      </c>
      <c r="H919" s="21">
        <f>H920+H924+H928+H932+H944+H940</f>
        <v>700</v>
      </c>
      <c r="I919" s="204"/>
    </row>
    <row r="920" spans="1:9" ht="31.5" x14ac:dyDescent="0.25">
      <c r="A920" s="23" t="s">
        <v>963</v>
      </c>
      <c r="B920" s="19">
        <v>908</v>
      </c>
      <c r="C920" s="24" t="s">
        <v>234</v>
      </c>
      <c r="D920" s="24" t="s">
        <v>213</v>
      </c>
      <c r="E920" s="24" t="s">
        <v>965</v>
      </c>
      <c r="F920" s="24"/>
      <c r="G920" s="21">
        <f t="shared" ref="G920:H922" si="87">G921</f>
        <v>700</v>
      </c>
      <c r="H920" s="21">
        <f t="shared" si="87"/>
        <v>700</v>
      </c>
      <c r="I920" s="204"/>
    </row>
    <row r="921" spans="1:9" ht="15.75" x14ac:dyDescent="0.25">
      <c r="A921" s="45" t="s">
        <v>964</v>
      </c>
      <c r="B921" s="16">
        <v>908</v>
      </c>
      <c r="C921" s="40" t="s">
        <v>234</v>
      </c>
      <c r="D921" s="40" t="s">
        <v>213</v>
      </c>
      <c r="E921" s="20" t="s">
        <v>966</v>
      </c>
      <c r="F921" s="40"/>
      <c r="G921" s="26">
        <f t="shared" si="87"/>
        <v>700</v>
      </c>
      <c r="H921" s="26">
        <f t="shared" si="87"/>
        <v>700</v>
      </c>
      <c r="I921" s="204"/>
    </row>
    <row r="922" spans="1:9" ht="31.5" x14ac:dyDescent="0.25">
      <c r="A922" s="31" t="s">
        <v>131</v>
      </c>
      <c r="B922" s="16">
        <v>908</v>
      </c>
      <c r="C922" s="40" t="s">
        <v>234</v>
      </c>
      <c r="D922" s="40" t="s">
        <v>213</v>
      </c>
      <c r="E922" s="20" t="s">
        <v>966</v>
      </c>
      <c r="F922" s="40" t="s">
        <v>132</v>
      </c>
      <c r="G922" s="26">
        <f t="shared" si="87"/>
        <v>700</v>
      </c>
      <c r="H922" s="26">
        <f t="shared" si="87"/>
        <v>700</v>
      </c>
      <c r="I922" s="204"/>
    </row>
    <row r="923" spans="1:9" ht="31.5" x14ac:dyDescent="0.25">
      <c r="A923" s="31" t="s">
        <v>133</v>
      </c>
      <c r="B923" s="16">
        <v>908</v>
      </c>
      <c r="C923" s="40" t="s">
        <v>234</v>
      </c>
      <c r="D923" s="40" t="s">
        <v>213</v>
      </c>
      <c r="E923" s="20" t="s">
        <v>966</v>
      </c>
      <c r="F923" s="40" t="s">
        <v>134</v>
      </c>
      <c r="G923" s="26">
        <v>700</v>
      </c>
      <c r="H923" s="26">
        <v>700</v>
      </c>
      <c r="I923" s="204"/>
    </row>
    <row r="924" spans="1:9" ht="31.5" hidden="1" x14ac:dyDescent="0.25">
      <c r="A924" s="34" t="s">
        <v>967</v>
      </c>
      <c r="B924" s="19">
        <v>908</v>
      </c>
      <c r="C924" s="7" t="s">
        <v>234</v>
      </c>
      <c r="D924" s="7" t="s">
        <v>213</v>
      </c>
      <c r="E924" s="24" t="s">
        <v>968</v>
      </c>
      <c r="F924" s="7"/>
      <c r="G924" s="21">
        <f>G925</f>
        <v>0</v>
      </c>
      <c r="H924" s="21">
        <f>H925</f>
        <v>0</v>
      </c>
      <c r="I924" s="204"/>
    </row>
    <row r="925" spans="1:9" ht="15.75" hidden="1" x14ac:dyDescent="0.25">
      <c r="A925" s="45" t="s">
        <v>523</v>
      </c>
      <c r="B925" s="16">
        <v>908</v>
      </c>
      <c r="C925" s="40" t="s">
        <v>234</v>
      </c>
      <c r="D925" s="40" t="s">
        <v>213</v>
      </c>
      <c r="E925" s="20" t="s">
        <v>971</v>
      </c>
      <c r="F925" s="40"/>
      <c r="G925" s="26">
        <f>'Пр.4 ведом.22'!G1009</f>
        <v>0</v>
      </c>
      <c r="H925" s="26">
        <f t="shared" si="86"/>
        <v>0</v>
      </c>
      <c r="I925" s="204"/>
    </row>
    <row r="926" spans="1:9" ht="31.5" hidden="1" x14ac:dyDescent="0.25">
      <c r="A926" s="31" t="s">
        <v>131</v>
      </c>
      <c r="B926" s="16">
        <v>908</v>
      </c>
      <c r="C926" s="40" t="s">
        <v>234</v>
      </c>
      <c r="D926" s="40" t="s">
        <v>213</v>
      </c>
      <c r="E926" s="20" t="s">
        <v>971</v>
      </c>
      <c r="F926" s="40" t="s">
        <v>132</v>
      </c>
      <c r="G926" s="26">
        <f>'Пр.4 ведом.22'!G1010</f>
        <v>0</v>
      </c>
      <c r="H926" s="26">
        <f t="shared" si="86"/>
        <v>0</v>
      </c>
      <c r="I926" s="204"/>
    </row>
    <row r="927" spans="1:9" ht="31.5" hidden="1" x14ac:dyDescent="0.25">
      <c r="A927" s="31" t="s">
        <v>133</v>
      </c>
      <c r="B927" s="16">
        <v>908</v>
      </c>
      <c r="C927" s="40" t="s">
        <v>234</v>
      </c>
      <c r="D927" s="40" t="s">
        <v>213</v>
      </c>
      <c r="E927" s="20" t="s">
        <v>971</v>
      </c>
      <c r="F927" s="40" t="s">
        <v>134</v>
      </c>
      <c r="G927" s="26">
        <f>'Пр.4 ведом.22'!G1011</f>
        <v>0</v>
      </c>
      <c r="H927" s="26">
        <f t="shared" si="86"/>
        <v>0</v>
      </c>
      <c r="I927" s="204"/>
    </row>
    <row r="928" spans="1:9" ht="31.5" hidden="1" x14ac:dyDescent="0.25">
      <c r="A928" s="58" t="s">
        <v>969</v>
      </c>
      <c r="B928" s="19">
        <v>908</v>
      </c>
      <c r="C928" s="7" t="s">
        <v>234</v>
      </c>
      <c r="D928" s="7" t="s">
        <v>213</v>
      </c>
      <c r="E928" s="24" t="s">
        <v>970</v>
      </c>
      <c r="F928" s="7"/>
      <c r="G928" s="4">
        <f>G929</f>
        <v>0</v>
      </c>
      <c r="H928" s="4">
        <f>H929</f>
        <v>0</v>
      </c>
      <c r="I928" s="204"/>
    </row>
    <row r="929" spans="1:9" ht="15.75" hidden="1" x14ac:dyDescent="0.25">
      <c r="A929" s="45" t="s">
        <v>525</v>
      </c>
      <c r="B929" s="16">
        <v>908</v>
      </c>
      <c r="C929" s="40" t="s">
        <v>234</v>
      </c>
      <c r="D929" s="40" t="s">
        <v>213</v>
      </c>
      <c r="E929" s="20" t="s">
        <v>972</v>
      </c>
      <c r="F929" s="40"/>
      <c r="G929" s="26">
        <f>'Пр.4 ведом.22'!G1013</f>
        <v>0</v>
      </c>
      <c r="H929" s="26">
        <f t="shared" si="86"/>
        <v>0</v>
      </c>
      <c r="I929" s="204"/>
    </row>
    <row r="930" spans="1:9" ht="31.5" hidden="1" x14ac:dyDescent="0.25">
      <c r="A930" s="31" t="s">
        <v>131</v>
      </c>
      <c r="B930" s="16">
        <v>908</v>
      </c>
      <c r="C930" s="40" t="s">
        <v>234</v>
      </c>
      <c r="D930" s="40" t="s">
        <v>213</v>
      </c>
      <c r="E930" s="20" t="s">
        <v>972</v>
      </c>
      <c r="F930" s="40" t="s">
        <v>132</v>
      </c>
      <c r="G930" s="26">
        <f>'Пр.4 ведом.22'!G1014</f>
        <v>0</v>
      </c>
      <c r="H930" s="26">
        <f t="shared" si="86"/>
        <v>0</v>
      </c>
      <c r="I930" s="204"/>
    </row>
    <row r="931" spans="1:9" ht="31.5" hidden="1" x14ac:dyDescent="0.25">
      <c r="A931" s="31" t="s">
        <v>133</v>
      </c>
      <c r="B931" s="16">
        <v>908</v>
      </c>
      <c r="C931" s="40" t="s">
        <v>234</v>
      </c>
      <c r="D931" s="40" t="s">
        <v>213</v>
      </c>
      <c r="E931" s="20" t="s">
        <v>972</v>
      </c>
      <c r="F931" s="40" t="s">
        <v>134</v>
      </c>
      <c r="G931" s="26">
        <f>'Пр.4 ведом.22'!G1015</f>
        <v>0</v>
      </c>
      <c r="H931" s="26">
        <f t="shared" si="86"/>
        <v>0</v>
      </c>
      <c r="I931" s="204"/>
    </row>
    <row r="932" spans="1:9" ht="31.5" hidden="1" x14ac:dyDescent="0.25">
      <c r="A932" s="58" t="s">
        <v>973</v>
      </c>
      <c r="B932" s="19">
        <v>908</v>
      </c>
      <c r="C932" s="7" t="s">
        <v>234</v>
      </c>
      <c r="D932" s="7" t="s">
        <v>213</v>
      </c>
      <c r="E932" s="24" t="s">
        <v>974</v>
      </c>
      <c r="F932" s="7"/>
      <c r="G932" s="4">
        <f>G933</f>
        <v>0</v>
      </c>
      <c r="H932" s="4">
        <f>H933</f>
        <v>0</v>
      </c>
      <c r="I932" s="204"/>
    </row>
    <row r="933" spans="1:9" ht="15.75" hidden="1" x14ac:dyDescent="0.25">
      <c r="A933" s="45" t="s">
        <v>527</v>
      </c>
      <c r="B933" s="16">
        <v>908</v>
      </c>
      <c r="C933" s="40" t="s">
        <v>234</v>
      </c>
      <c r="D933" s="40" t="s">
        <v>213</v>
      </c>
      <c r="E933" s="20" t="s">
        <v>975</v>
      </c>
      <c r="F933" s="40"/>
      <c r="G933" s="26">
        <f>'Пр.4 ведом.22'!G1017</f>
        <v>0</v>
      </c>
      <c r="H933" s="26">
        <f t="shared" si="86"/>
        <v>0</v>
      </c>
      <c r="I933" s="204"/>
    </row>
    <row r="934" spans="1:9" ht="31.5" hidden="1" x14ac:dyDescent="0.25">
      <c r="A934" s="31" t="s">
        <v>131</v>
      </c>
      <c r="B934" s="16">
        <v>908</v>
      </c>
      <c r="C934" s="40" t="s">
        <v>234</v>
      </c>
      <c r="D934" s="40" t="s">
        <v>213</v>
      </c>
      <c r="E934" s="20" t="s">
        <v>975</v>
      </c>
      <c r="F934" s="40" t="s">
        <v>132</v>
      </c>
      <c r="G934" s="26">
        <f>'Пр.4 ведом.22'!G1018</f>
        <v>0</v>
      </c>
      <c r="H934" s="26">
        <f t="shared" si="86"/>
        <v>0</v>
      </c>
      <c r="I934" s="204"/>
    </row>
    <row r="935" spans="1:9" ht="31.5" hidden="1" x14ac:dyDescent="0.25">
      <c r="A935" s="31" t="s">
        <v>133</v>
      </c>
      <c r="B935" s="16">
        <v>908</v>
      </c>
      <c r="C935" s="40" t="s">
        <v>234</v>
      </c>
      <c r="D935" s="40" t="s">
        <v>213</v>
      </c>
      <c r="E935" s="20" t="s">
        <v>975</v>
      </c>
      <c r="F935" s="40" t="s">
        <v>134</v>
      </c>
      <c r="G935" s="26">
        <f>'Пр.4 ведом.22'!G1019</f>
        <v>0</v>
      </c>
      <c r="H935" s="26">
        <f t="shared" si="86"/>
        <v>0</v>
      </c>
      <c r="I935" s="204"/>
    </row>
    <row r="936" spans="1:9" ht="31.5" hidden="1" x14ac:dyDescent="0.25">
      <c r="A936" s="34" t="s">
        <v>1014</v>
      </c>
      <c r="B936" s="19">
        <v>908</v>
      </c>
      <c r="C936" s="7" t="s">
        <v>234</v>
      </c>
      <c r="D936" s="7" t="s">
        <v>213</v>
      </c>
      <c r="E936" s="24" t="s">
        <v>1015</v>
      </c>
      <c r="F936" s="7"/>
      <c r="G936" s="4">
        <f>G937</f>
        <v>0</v>
      </c>
      <c r="H936" s="4">
        <f>H937</f>
        <v>0</v>
      </c>
      <c r="I936" s="204"/>
    </row>
    <row r="937" spans="1:9" ht="15.75" hidden="1" x14ac:dyDescent="0.25">
      <c r="A937" s="45" t="s">
        <v>529</v>
      </c>
      <c r="B937" s="16">
        <v>908</v>
      </c>
      <c r="C937" s="40" t="s">
        <v>234</v>
      </c>
      <c r="D937" s="40" t="s">
        <v>213</v>
      </c>
      <c r="E937" s="20" t="s">
        <v>1018</v>
      </c>
      <c r="F937" s="40"/>
      <c r="G937" s="26">
        <f>'Пр.4 ведом.22'!G1021</f>
        <v>0</v>
      </c>
      <c r="H937" s="26">
        <f t="shared" si="86"/>
        <v>0</v>
      </c>
      <c r="I937" s="204"/>
    </row>
    <row r="938" spans="1:9" ht="31.5" hidden="1" x14ac:dyDescent="0.25">
      <c r="A938" s="31" t="s">
        <v>131</v>
      </c>
      <c r="B938" s="16">
        <v>908</v>
      </c>
      <c r="C938" s="40" t="s">
        <v>234</v>
      </c>
      <c r="D938" s="40" t="s">
        <v>213</v>
      </c>
      <c r="E938" s="20" t="s">
        <v>1018</v>
      </c>
      <c r="F938" s="40" t="s">
        <v>132</v>
      </c>
      <c r="G938" s="26">
        <f>'Пр.4 ведом.22'!G1022</f>
        <v>0</v>
      </c>
      <c r="H938" s="26">
        <f t="shared" si="86"/>
        <v>0</v>
      </c>
      <c r="I938" s="204"/>
    </row>
    <row r="939" spans="1:9" ht="31.5" hidden="1" x14ac:dyDescent="0.25">
      <c r="A939" s="31" t="s">
        <v>133</v>
      </c>
      <c r="B939" s="16">
        <v>908</v>
      </c>
      <c r="C939" s="40" t="s">
        <v>234</v>
      </c>
      <c r="D939" s="40" t="s">
        <v>213</v>
      </c>
      <c r="E939" s="20" t="s">
        <v>1018</v>
      </c>
      <c r="F939" s="40" t="s">
        <v>134</v>
      </c>
      <c r="G939" s="26">
        <f>'Пр.4 ведом.22'!G1023</f>
        <v>0</v>
      </c>
      <c r="H939" s="26">
        <f t="shared" si="86"/>
        <v>0</v>
      </c>
      <c r="I939" s="204"/>
    </row>
    <row r="940" spans="1:9" ht="31.5" hidden="1" x14ac:dyDescent="0.25">
      <c r="A940" s="220" t="s">
        <v>1016</v>
      </c>
      <c r="B940" s="19">
        <v>908</v>
      </c>
      <c r="C940" s="7" t="s">
        <v>234</v>
      </c>
      <c r="D940" s="7" t="s">
        <v>213</v>
      </c>
      <c r="E940" s="24" t="s">
        <v>1017</v>
      </c>
      <c r="F940" s="7"/>
      <c r="G940" s="21">
        <f>G941</f>
        <v>0</v>
      </c>
      <c r="H940" s="21">
        <f>H941</f>
        <v>0</v>
      </c>
      <c r="I940" s="204"/>
    </row>
    <row r="941" spans="1:9" ht="31.5" hidden="1" x14ac:dyDescent="0.25">
      <c r="A941" s="174" t="s">
        <v>531</v>
      </c>
      <c r="B941" s="16">
        <v>908</v>
      </c>
      <c r="C941" s="40" t="s">
        <v>234</v>
      </c>
      <c r="D941" s="40" t="s">
        <v>213</v>
      </c>
      <c r="E941" s="20" t="s">
        <v>1019</v>
      </c>
      <c r="F941" s="40"/>
      <c r="G941" s="26">
        <f>'Пр.4 ведом.22'!G1025</f>
        <v>0</v>
      </c>
      <c r="H941" s="26">
        <f t="shared" si="86"/>
        <v>0</v>
      </c>
      <c r="I941" s="204"/>
    </row>
    <row r="942" spans="1:9" ht="31.5" hidden="1" x14ac:dyDescent="0.25">
      <c r="A942" s="31" t="s">
        <v>131</v>
      </c>
      <c r="B942" s="16">
        <v>908</v>
      </c>
      <c r="C942" s="40" t="s">
        <v>234</v>
      </c>
      <c r="D942" s="40" t="s">
        <v>213</v>
      </c>
      <c r="E942" s="20" t="s">
        <v>1019</v>
      </c>
      <c r="F942" s="40" t="s">
        <v>132</v>
      </c>
      <c r="G942" s="26">
        <f>'Пр.4 ведом.22'!G1026</f>
        <v>0</v>
      </c>
      <c r="H942" s="26">
        <f t="shared" si="86"/>
        <v>0</v>
      </c>
      <c r="I942" s="204"/>
    </row>
    <row r="943" spans="1:9" ht="31.5" hidden="1" x14ac:dyDescent="0.25">
      <c r="A943" s="31" t="s">
        <v>133</v>
      </c>
      <c r="B943" s="16">
        <v>908</v>
      </c>
      <c r="C943" s="40" t="s">
        <v>234</v>
      </c>
      <c r="D943" s="40" t="s">
        <v>213</v>
      </c>
      <c r="E943" s="20" t="s">
        <v>1019</v>
      </c>
      <c r="F943" s="40" t="s">
        <v>134</v>
      </c>
      <c r="G943" s="26">
        <f>'Пр.4 ведом.22'!G1027</f>
        <v>0</v>
      </c>
      <c r="H943" s="26">
        <f t="shared" si="86"/>
        <v>0</v>
      </c>
      <c r="I943" s="204"/>
    </row>
    <row r="944" spans="1:9" ht="31.5" hidden="1" x14ac:dyDescent="0.25">
      <c r="A944" s="220" t="s">
        <v>977</v>
      </c>
      <c r="B944" s="19">
        <v>908</v>
      </c>
      <c r="C944" s="7" t="s">
        <v>234</v>
      </c>
      <c r="D944" s="7" t="s">
        <v>213</v>
      </c>
      <c r="E944" s="24" t="s">
        <v>978</v>
      </c>
      <c r="F944" s="7"/>
      <c r="G944" s="21">
        <f>G945</f>
        <v>0</v>
      </c>
      <c r="H944" s="21">
        <f>H945</f>
        <v>0</v>
      </c>
      <c r="I944" s="204"/>
    </row>
    <row r="945" spans="1:9" ht="15.75" hidden="1" x14ac:dyDescent="0.25">
      <c r="A945" s="174" t="s">
        <v>533</v>
      </c>
      <c r="B945" s="16">
        <v>908</v>
      </c>
      <c r="C945" s="40" t="s">
        <v>234</v>
      </c>
      <c r="D945" s="40" t="s">
        <v>213</v>
      </c>
      <c r="E945" s="20" t="s">
        <v>976</v>
      </c>
      <c r="F945" s="40"/>
      <c r="G945" s="26">
        <f>'Пр.4 ведом.22'!G1029</f>
        <v>0</v>
      </c>
      <c r="H945" s="26">
        <f t="shared" si="86"/>
        <v>0</v>
      </c>
      <c r="I945" s="204"/>
    </row>
    <row r="946" spans="1:9" ht="31.5" hidden="1" x14ac:dyDescent="0.25">
      <c r="A946" s="25" t="s">
        <v>131</v>
      </c>
      <c r="B946" s="16">
        <v>908</v>
      </c>
      <c r="C946" s="40" t="s">
        <v>234</v>
      </c>
      <c r="D946" s="40" t="s">
        <v>213</v>
      </c>
      <c r="E946" s="20" t="s">
        <v>976</v>
      </c>
      <c r="F946" s="40" t="s">
        <v>132</v>
      </c>
      <c r="G946" s="26">
        <f>'Пр.4 ведом.22'!G1030</f>
        <v>0</v>
      </c>
      <c r="H946" s="26">
        <f t="shared" si="86"/>
        <v>0</v>
      </c>
      <c r="I946" s="204"/>
    </row>
    <row r="947" spans="1:9" ht="31.5" hidden="1" x14ac:dyDescent="0.25">
      <c r="A947" s="25" t="s">
        <v>133</v>
      </c>
      <c r="B947" s="16">
        <v>908</v>
      </c>
      <c r="C947" s="40" t="s">
        <v>234</v>
      </c>
      <c r="D947" s="40" t="s">
        <v>213</v>
      </c>
      <c r="E947" s="20" t="s">
        <v>976</v>
      </c>
      <c r="F947" s="40" t="s">
        <v>134</v>
      </c>
      <c r="G947" s="26">
        <f>'Пр.4 ведом.22'!G1031</f>
        <v>0</v>
      </c>
      <c r="H947" s="26">
        <f t="shared" si="86"/>
        <v>0</v>
      </c>
      <c r="I947" s="204"/>
    </row>
    <row r="948" spans="1:9" s="203" customFormat="1" ht="47.25" x14ac:dyDescent="0.25">
      <c r="A948" s="23" t="s">
        <v>1528</v>
      </c>
      <c r="B948" s="19">
        <v>908</v>
      </c>
      <c r="C948" s="7" t="s">
        <v>234</v>
      </c>
      <c r="D948" s="7" t="s">
        <v>213</v>
      </c>
      <c r="E948" s="24" t="s">
        <v>1141</v>
      </c>
      <c r="F948" s="7"/>
      <c r="G948" s="21">
        <f t="shared" ref="G948:H951" si="88">G949</f>
        <v>204</v>
      </c>
      <c r="H948" s="21">
        <f t="shared" si="88"/>
        <v>215</v>
      </c>
      <c r="I948" s="204"/>
    </row>
    <row r="949" spans="1:9" s="203" customFormat="1" ht="31.5" x14ac:dyDescent="0.25">
      <c r="A949" s="408" t="s">
        <v>1532</v>
      </c>
      <c r="B949" s="19">
        <v>908</v>
      </c>
      <c r="C949" s="7" t="s">
        <v>234</v>
      </c>
      <c r="D949" s="7" t="s">
        <v>213</v>
      </c>
      <c r="E949" s="24" t="s">
        <v>1143</v>
      </c>
      <c r="F949" s="7"/>
      <c r="G949" s="21">
        <f t="shared" si="88"/>
        <v>204</v>
      </c>
      <c r="H949" s="21">
        <f t="shared" si="88"/>
        <v>215</v>
      </c>
      <c r="I949" s="204"/>
    </row>
    <row r="950" spans="1:9" s="203" customFormat="1" ht="15.75" x14ac:dyDescent="0.25">
      <c r="A950" s="25" t="s">
        <v>537</v>
      </c>
      <c r="B950" s="16">
        <v>908</v>
      </c>
      <c r="C950" s="40" t="s">
        <v>234</v>
      </c>
      <c r="D950" s="40" t="s">
        <v>213</v>
      </c>
      <c r="E950" s="20" t="s">
        <v>1144</v>
      </c>
      <c r="F950" s="40"/>
      <c r="G950" s="26">
        <f t="shared" si="88"/>
        <v>204</v>
      </c>
      <c r="H950" s="26">
        <f t="shared" si="88"/>
        <v>215</v>
      </c>
      <c r="I950" s="204"/>
    </row>
    <row r="951" spans="1:9" s="203" customFormat="1" ht="31.5" x14ac:dyDescent="0.25">
      <c r="A951" s="25" t="s">
        <v>131</v>
      </c>
      <c r="B951" s="16">
        <v>908</v>
      </c>
      <c r="C951" s="40" t="s">
        <v>234</v>
      </c>
      <c r="D951" s="40" t="s">
        <v>213</v>
      </c>
      <c r="E951" s="20" t="s">
        <v>1144</v>
      </c>
      <c r="F951" s="40" t="s">
        <v>132</v>
      </c>
      <c r="G951" s="26">
        <f t="shared" si="88"/>
        <v>204</v>
      </c>
      <c r="H951" s="26">
        <f t="shared" si="88"/>
        <v>215</v>
      </c>
      <c r="I951" s="204"/>
    </row>
    <row r="952" spans="1:9" s="203" customFormat="1" ht="31.7" customHeight="1" x14ac:dyDescent="0.25">
      <c r="A952" s="25" t="s">
        <v>133</v>
      </c>
      <c r="B952" s="16">
        <v>908</v>
      </c>
      <c r="C952" s="40" t="s">
        <v>234</v>
      </c>
      <c r="D952" s="40" t="s">
        <v>213</v>
      </c>
      <c r="E952" s="20" t="s">
        <v>1144</v>
      </c>
      <c r="F952" s="40" t="s">
        <v>134</v>
      </c>
      <c r="G952" s="26">
        <v>204</v>
      </c>
      <c r="H952" s="26">
        <v>215</v>
      </c>
      <c r="I952" s="204"/>
    </row>
    <row r="953" spans="1:9" ht="15.75" x14ac:dyDescent="0.25">
      <c r="A953" s="23" t="s">
        <v>541</v>
      </c>
      <c r="B953" s="19">
        <v>908</v>
      </c>
      <c r="C953" s="24" t="s">
        <v>234</v>
      </c>
      <c r="D953" s="24" t="s">
        <v>215</v>
      </c>
      <c r="E953" s="24"/>
      <c r="F953" s="24"/>
      <c r="G953" s="21">
        <f>G954+G959+G998</f>
        <v>3810</v>
      </c>
      <c r="H953" s="21">
        <f>H954+H959+H998</f>
        <v>4063</v>
      </c>
      <c r="I953" s="204"/>
    </row>
    <row r="954" spans="1:9" ht="15.75" x14ac:dyDescent="0.25">
      <c r="A954" s="23" t="s">
        <v>141</v>
      </c>
      <c r="B954" s="19">
        <v>908</v>
      </c>
      <c r="C954" s="24" t="s">
        <v>234</v>
      </c>
      <c r="D954" s="24" t="s">
        <v>215</v>
      </c>
      <c r="E954" s="24" t="s">
        <v>866</v>
      </c>
      <c r="F954" s="24"/>
      <c r="G954" s="21">
        <f t="shared" ref="G954:H957" si="89">G955</f>
        <v>1390</v>
      </c>
      <c r="H954" s="21">
        <f t="shared" si="89"/>
        <v>1390</v>
      </c>
      <c r="I954" s="204"/>
    </row>
    <row r="955" spans="1:9" ht="31.5" x14ac:dyDescent="0.25">
      <c r="A955" s="23" t="s">
        <v>870</v>
      </c>
      <c r="B955" s="19">
        <v>908</v>
      </c>
      <c r="C955" s="24" t="s">
        <v>234</v>
      </c>
      <c r="D955" s="24" t="s">
        <v>215</v>
      </c>
      <c r="E955" s="24" t="s">
        <v>865</v>
      </c>
      <c r="F955" s="24"/>
      <c r="G955" s="21">
        <f t="shared" si="89"/>
        <v>1390</v>
      </c>
      <c r="H955" s="21">
        <f t="shared" si="89"/>
        <v>1390</v>
      </c>
      <c r="I955" s="204"/>
    </row>
    <row r="956" spans="1:9" ht="15.75" x14ac:dyDescent="0.25">
      <c r="A956" s="25" t="s">
        <v>564</v>
      </c>
      <c r="B956" s="16">
        <v>908</v>
      </c>
      <c r="C956" s="20" t="s">
        <v>234</v>
      </c>
      <c r="D956" s="20" t="s">
        <v>215</v>
      </c>
      <c r="E956" s="20" t="s">
        <v>1074</v>
      </c>
      <c r="F956" s="20"/>
      <c r="G956" s="26">
        <f t="shared" si="89"/>
        <v>1390</v>
      </c>
      <c r="H956" s="26">
        <f t="shared" si="89"/>
        <v>1390</v>
      </c>
      <c r="I956" s="204"/>
    </row>
    <row r="957" spans="1:9" ht="31.5" x14ac:dyDescent="0.25">
      <c r="A957" s="25" t="s">
        <v>131</v>
      </c>
      <c r="B957" s="16">
        <v>908</v>
      </c>
      <c r="C957" s="20" t="s">
        <v>234</v>
      </c>
      <c r="D957" s="20" t="s">
        <v>215</v>
      </c>
      <c r="E957" s="20" t="s">
        <v>1074</v>
      </c>
      <c r="F957" s="20" t="s">
        <v>132</v>
      </c>
      <c r="G957" s="26">
        <f t="shared" si="89"/>
        <v>1390</v>
      </c>
      <c r="H957" s="26">
        <f t="shared" si="89"/>
        <v>1390</v>
      </c>
      <c r="I957" s="204"/>
    </row>
    <row r="958" spans="1:9" ht="33.4" customHeight="1" x14ac:dyDescent="0.25">
      <c r="A958" s="25" t="s">
        <v>133</v>
      </c>
      <c r="B958" s="16">
        <v>908</v>
      </c>
      <c r="C958" s="20" t="s">
        <v>234</v>
      </c>
      <c r="D958" s="20" t="s">
        <v>215</v>
      </c>
      <c r="E958" s="20" t="s">
        <v>1074</v>
      </c>
      <c r="F958" s="20" t="s">
        <v>134</v>
      </c>
      <c r="G958" s="26">
        <f>390+1000</f>
        <v>1390</v>
      </c>
      <c r="H958" s="26">
        <f t="shared" si="86"/>
        <v>1390</v>
      </c>
      <c r="I958" s="204"/>
    </row>
    <row r="959" spans="1:9" ht="31.5" x14ac:dyDescent="0.25">
      <c r="A959" s="23" t="s">
        <v>1362</v>
      </c>
      <c r="B959" s="19">
        <v>908</v>
      </c>
      <c r="C959" s="24" t="s">
        <v>234</v>
      </c>
      <c r="D959" s="24" t="s">
        <v>215</v>
      </c>
      <c r="E959" s="24" t="s">
        <v>543</v>
      </c>
      <c r="F959" s="24"/>
      <c r="G959" s="21">
        <f>G960+G964+G991</f>
        <v>1920</v>
      </c>
      <c r="H959" s="21">
        <f>H960+H964+H991</f>
        <v>2173</v>
      </c>
      <c r="I959" s="204"/>
    </row>
    <row r="960" spans="1:9" s="203" customFormat="1" ht="47.25" hidden="1" x14ac:dyDescent="0.25">
      <c r="A960" s="23" t="s">
        <v>1430</v>
      </c>
      <c r="B960" s="19">
        <v>908</v>
      </c>
      <c r="C960" s="24" t="s">
        <v>234</v>
      </c>
      <c r="D960" s="24" t="s">
        <v>215</v>
      </c>
      <c r="E960" s="24" t="s">
        <v>1273</v>
      </c>
      <c r="F960" s="24"/>
      <c r="G960" s="21">
        <f t="shared" ref="G960:H962" si="90">G961</f>
        <v>0</v>
      </c>
      <c r="H960" s="21">
        <f t="shared" si="90"/>
        <v>0</v>
      </c>
      <c r="I960" s="204"/>
    </row>
    <row r="961" spans="1:9" s="203" customFormat="1" ht="31.5" hidden="1" x14ac:dyDescent="0.25">
      <c r="A961" s="327" t="s">
        <v>1431</v>
      </c>
      <c r="B961" s="16">
        <v>908</v>
      </c>
      <c r="C961" s="20" t="s">
        <v>234</v>
      </c>
      <c r="D961" s="20" t="s">
        <v>215</v>
      </c>
      <c r="E961" s="20" t="s">
        <v>1419</v>
      </c>
      <c r="F961" s="20"/>
      <c r="G961" s="26">
        <f t="shared" si="90"/>
        <v>0</v>
      </c>
      <c r="H961" s="26">
        <f t="shared" si="90"/>
        <v>0</v>
      </c>
      <c r="I961" s="204"/>
    </row>
    <row r="962" spans="1:9" s="203" customFormat="1" ht="31.5" hidden="1" x14ac:dyDescent="0.25">
      <c r="A962" s="25" t="s">
        <v>131</v>
      </c>
      <c r="B962" s="16">
        <v>908</v>
      </c>
      <c r="C962" s="20" t="s">
        <v>234</v>
      </c>
      <c r="D962" s="20" t="s">
        <v>215</v>
      </c>
      <c r="E962" s="20" t="s">
        <v>1419</v>
      </c>
      <c r="F962" s="20" t="s">
        <v>132</v>
      </c>
      <c r="G962" s="26">
        <f t="shared" si="90"/>
        <v>0</v>
      </c>
      <c r="H962" s="26">
        <f t="shared" si="90"/>
        <v>0</v>
      </c>
      <c r="I962" s="204"/>
    </row>
    <row r="963" spans="1:9" s="203" customFormat="1" ht="31.5" hidden="1" x14ac:dyDescent="0.25">
      <c r="A963" s="25" t="s">
        <v>133</v>
      </c>
      <c r="B963" s="16">
        <v>908</v>
      </c>
      <c r="C963" s="20" t="s">
        <v>234</v>
      </c>
      <c r="D963" s="20" t="s">
        <v>215</v>
      </c>
      <c r="E963" s="20" t="s">
        <v>1419</v>
      </c>
      <c r="F963" s="20" t="s">
        <v>134</v>
      </c>
      <c r="G963" s="26">
        <v>0</v>
      </c>
      <c r="H963" s="26">
        <v>0</v>
      </c>
      <c r="I963" s="204"/>
    </row>
    <row r="964" spans="1:9" s="203" customFormat="1" ht="31.5" x14ac:dyDescent="0.25">
      <c r="A964" s="23" t="s">
        <v>1450</v>
      </c>
      <c r="B964" s="19">
        <v>908</v>
      </c>
      <c r="C964" s="24" t="s">
        <v>234</v>
      </c>
      <c r="D964" s="24" t="s">
        <v>215</v>
      </c>
      <c r="E964" s="24" t="s">
        <v>1274</v>
      </c>
      <c r="F964" s="24"/>
      <c r="G964" s="21">
        <f>G965+G968+G974+G977+G980+G985+G988</f>
        <v>1920</v>
      </c>
      <c r="H964" s="21">
        <f>H965+H968+H974+H977+H980+H985+H988</f>
        <v>2173</v>
      </c>
      <c r="I964" s="204"/>
    </row>
    <row r="965" spans="1:9" ht="15.75" x14ac:dyDescent="0.25">
      <c r="A965" s="25" t="s">
        <v>546</v>
      </c>
      <c r="B965" s="16">
        <v>908</v>
      </c>
      <c r="C965" s="20" t="s">
        <v>234</v>
      </c>
      <c r="D965" s="20" t="s">
        <v>215</v>
      </c>
      <c r="E965" s="20" t="s">
        <v>1429</v>
      </c>
      <c r="F965" s="20"/>
      <c r="G965" s="26">
        <f>G966</f>
        <v>365</v>
      </c>
      <c r="H965" s="26">
        <f>H966</f>
        <v>365</v>
      </c>
      <c r="I965" s="204"/>
    </row>
    <row r="966" spans="1:9" ht="31.5" x14ac:dyDescent="0.25">
      <c r="A966" s="25" t="s">
        <v>131</v>
      </c>
      <c r="B966" s="16">
        <v>908</v>
      </c>
      <c r="C966" s="20" t="s">
        <v>234</v>
      </c>
      <c r="D966" s="20" t="s">
        <v>215</v>
      </c>
      <c r="E966" s="20" t="s">
        <v>1429</v>
      </c>
      <c r="F966" s="20" t="s">
        <v>132</v>
      </c>
      <c r="G966" s="26">
        <f>G967</f>
        <v>365</v>
      </c>
      <c r="H966" s="26">
        <f>H967</f>
        <v>365</v>
      </c>
      <c r="I966" s="204"/>
    </row>
    <row r="967" spans="1:9" ht="31.5" x14ac:dyDescent="0.25">
      <c r="A967" s="25" t="s">
        <v>133</v>
      </c>
      <c r="B967" s="16">
        <v>908</v>
      </c>
      <c r="C967" s="20" t="s">
        <v>234</v>
      </c>
      <c r="D967" s="20" t="s">
        <v>215</v>
      </c>
      <c r="E967" s="20" t="s">
        <v>1429</v>
      </c>
      <c r="F967" s="20" t="s">
        <v>134</v>
      </c>
      <c r="G967" s="26">
        <v>365</v>
      </c>
      <c r="H967" s="26">
        <v>365</v>
      </c>
      <c r="I967" s="204"/>
    </row>
    <row r="968" spans="1:9" ht="15.75" x14ac:dyDescent="0.25">
      <c r="A968" s="25" t="s">
        <v>1086</v>
      </c>
      <c r="B968" s="16">
        <v>908</v>
      </c>
      <c r="C968" s="20" t="s">
        <v>234</v>
      </c>
      <c r="D968" s="20" t="s">
        <v>215</v>
      </c>
      <c r="E968" s="20" t="s">
        <v>1418</v>
      </c>
      <c r="F968" s="20"/>
      <c r="G968" s="26">
        <f>G969</f>
        <v>1080</v>
      </c>
      <c r="H968" s="26">
        <f>H969</f>
        <v>1188</v>
      </c>
      <c r="I968" s="204"/>
    </row>
    <row r="969" spans="1:9" ht="31.5" x14ac:dyDescent="0.25">
      <c r="A969" s="25" t="s">
        <v>131</v>
      </c>
      <c r="B969" s="16">
        <v>908</v>
      </c>
      <c r="C969" s="20" t="s">
        <v>234</v>
      </c>
      <c r="D969" s="20" t="s">
        <v>215</v>
      </c>
      <c r="E969" s="20" t="s">
        <v>1418</v>
      </c>
      <c r="F969" s="20" t="s">
        <v>132</v>
      </c>
      <c r="G969" s="26">
        <f>G970</f>
        <v>1080</v>
      </c>
      <c r="H969" s="26">
        <f>H970</f>
        <v>1188</v>
      </c>
      <c r="I969" s="204"/>
    </row>
    <row r="970" spans="1:9" ht="31.5" x14ac:dyDescent="0.25">
      <c r="A970" s="25" t="s">
        <v>133</v>
      </c>
      <c r="B970" s="16">
        <v>908</v>
      </c>
      <c r="C970" s="20" t="s">
        <v>234</v>
      </c>
      <c r="D970" s="20" t="s">
        <v>215</v>
      </c>
      <c r="E970" s="20" t="s">
        <v>1418</v>
      </c>
      <c r="F970" s="20" t="s">
        <v>134</v>
      </c>
      <c r="G970" s="26">
        <v>1080</v>
      </c>
      <c r="H970" s="26">
        <v>1188</v>
      </c>
      <c r="I970" s="204"/>
    </row>
    <row r="971" spans="1:9" ht="15.75" hidden="1" x14ac:dyDescent="0.25">
      <c r="A971" s="25" t="s">
        <v>135</v>
      </c>
      <c r="B971" s="16">
        <v>908</v>
      </c>
      <c r="C971" s="20" t="s">
        <v>234</v>
      </c>
      <c r="D971" s="20" t="s">
        <v>215</v>
      </c>
      <c r="E971" s="20" t="s">
        <v>1418</v>
      </c>
      <c r="F971" s="20" t="s">
        <v>145</v>
      </c>
      <c r="G971" s="26">
        <f>'Пр.4 ведом.22'!G1055</f>
        <v>0</v>
      </c>
      <c r="H971" s="26">
        <f t="shared" si="86"/>
        <v>0</v>
      </c>
      <c r="I971" s="204"/>
    </row>
    <row r="972" spans="1:9" ht="47.25" hidden="1" x14ac:dyDescent="0.25">
      <c r="A972" s="25" t="s">
        <v>836</v>
      </c>
      <c r="B972" s="16">
        <v>908</v>
      </c>
      <c r="C972" s="20" t="s">
        <v>234</v>
      </c>
      <c r="D972" s="20" t="s">
        <v>215</v>
      </c>
      <c r="E972" s="20" t="s">
        <v>1418</v>
      </c>
      <c r="F972" s="20" t="s">
        <v>147</v>
      </c>
      <c r="G972" s="26">
        <f>'Пр.4 ведом.22'!G1056</f>
        <v>0</v>
      </c>
      <c r="H972" s="26">
        <f t="shared" si="86"/>
        <v>0</v>
      </c>
      <c r="I972" s="204"/>
    </row>
    <row r="973" spans="1:9" ht="15.75" hidden="1" x14ac:dyDescent="0.25">
      <c r="A973" s="25" t="s">
        <v>704</v>
      </c>
      <c r="B973" s="16">
        <v>908</v>
      </c>
      <c r="C973" s="20" t="s">
        <v>234</v>
      </c>
      <c r="D973" s="20" t="s">
        <v>215</v>
      </c>
      <c r="E973" s="20" t="s">
        <v>1418</v>
      </c>
      <c r="F973" s="20" t="s">
        <v>138</v>
      </c>
      <c r="G973" s="26">
        <f>'Пр.4 ведом.22'!G1057</f>
        <v>0</v>
      </c>
      <c r="H973" s="26">
        <f t="shared" si="86"/>
        <v>0</v>
      </c>
      <c r="I973" s="204"/>
    </row>
    <row r="974" spans="1:9" ht="15.75" hidden="1" x14ac:dyDescent="0.25">
      <c r="A974" s="25" t="s">
        <v>550</v>
      </c>
      <c r="B974" s="16">
        <v>908</v>
      </c>
      <c r="C974" s="20" t="s">
        <v>234</v>
      </c>
      <c r="D974" s="20" t="s">
        <v>215</v>
      </c>
      <c r="E974" s="20" t="s">
        <v>1298</v>
      </c>
      <c r="F974" s="20"/>
      <c r="G974" s="26">
        <f>G975</f>
        <v>0</v>
      </c>
      <c r="H974" s="26">
        <f>H975</f>
        <v>0</v>
      </c>
      <c r="I974" s="204"/>
    </row>
    <row r="975" spans="1:9" ht="31.5" hidden="1" x14ac:dyDescent="0.25">
      <c r="A975" s="25" t="s">
        <v>131</v>
      </c>
      <c r="B975" s="16">
        <v>908</v>
      </c>
      <c r="C975" s="20" t="s">
        <v>234</v>
      </c>
      <c r="D975" s="20" t="s">
        <v>215</v>
      </c>
      <c r="E975" s="20" t="s">
        <v>1298</v>
      </c>
      <c r="F975" s="20" t="s">
        <v>132</v>
      </c>
      <c r="G975" s="26">
        <f>G976</f>
        <v>0</v>
      </c>
      <c r="H975" s="26">
        <f>H976</f>
        <v>0</v>
      </c>
      <c r="I975" s="204"/>
    </row>
    <row r="976" spans="1:9" ht="31.5" hidden="1" x14ac:dyDescent="0.25">
      <c r="A976" s="25" t="s">
        <v>133</v>
      </c>
      <c r="B976" s="16">
        <v>908</v>
      </c>
      <c r="C976" s="20" t="s">
        <v>234</v>
      </c>
      <c r="D976" s="20" t="s">
        <v>215</v>
      </c>
      <c r="E976" s="20" t="s">
        <v>1298</v>
      </c>
      <c r="F976" s="20" t="s">
        <v>134</v>
      </c>
      <c r="G976" s="26">
        <v>0</v>
      </c>
      <c r="H976" s="26">
        <v>0</v>
      </c>
      <c r="I976" s="204"/>
    </row>
    <row r="977" spans="1:9" ht="15.75" x14ac:dyDescent="0.25">
      <c r="A977" s="25" t="s">
        <v>555</v>
      </c>
      <c r="B977" s="16">
        <v>908</v>
      </c>
      <c r="C977" s="20" t="s">
        <v>234</v>
      </c>
      <c r="D977" s="20" t="s">
        <v>215</v>
      </c>
      <c r="E977" s="20" t="s">
        <v>1275</v>
      </c>
      <c r="F977" s="20"/>
      <c r="G977" s="26">
        <f>G978</f>
        <v>50</v>
      </c>
      <c r="H977" s="26">
        <f>H978</f>
        <v>55</v>
      </c>
      <c r="I977" s="204"/>
    </row>
    <row r="978" spans="1:9" ht="31.5" x14ac:dyDescent="0.25">
      <c r="A978" s="25" t="s">
        <v>131</v>
      </c>
      <c r="B978" s="16">
        <v>908</v>
      </c>
      <c r="C978" s="20" t="s">
        <v>234</v>
      </c>
      <c r="D978" s="20" t="s">
        <v>215</v>
      </c>
      <c r="E978" s="20" t="s">
        <v>1275</v>
      </c>
      <c r="F978" s="20" t="s">
        <v>132</v>
      </c>
      <c r="G978" s="26">
        <f>G979</f>
        <v>50</v>
      </c>
      <c r="H978" s="26">
        <f>H979</f>
        <v>55</v>
      </c>
      <c r="I978" s="204"/>
    </row>
    <row r="979" spans="1:9" ht="31.5" x14ac:dyDescent="0.25">
      <c r="A979" s="25" t="s">
        <v>133</v>
      </c>
      <c r="B979" s="16">
        <v>908</v>
      </c>
      <c r="C979" s="20" t="s">
        <v>234</v>
      </c>
      <c r="D979" s="20" t="s">
        <v>215</v>
      </c>
      <c r="E979" s="20" t="s">
        <v>1275</v>
      </c>
      <c r="F979" s="20" t="s">
        <v>134</v>
      </c>
      <c r="G979" s="26">
        <v>50</v>
      </c>
      <c r="H979" s="26">
        <v>55</v>
      </c>
      <c r="I979" s="204"/>
    </row>
    <row r="980" spans="1:9" ht="31.5" x14ac:dyDescent="0.25">
      <c r="A980" s="325" t="s">
        <v>1432</v>
      </c>
      <c r="B980" s="16">
        <v>908</v>
      </c>
      <c r="C980" s="20" t="s">
        <v>234</v>
      </c>
      <c r="D980" s="20" t="s">
        <v>215</v>
      </c>
      <c r="E980" s="20" t="s">
        <v>1276</v>
      </c>
      <c r="F980" s="20"/>
      <c r="G980" s="26">
        <f>G981+G983</f>
        <v>375</v>
      </c>
      <c r="H980" s="26">
        <f>H981+H983</f>
        <v>375</v>
      </c>
      <c r="I980" s="204"/>
    </row>
    <row r="981" spans="1:9" ht="31.5" x14ac:dyDescent="0.25">
      <c r="A981" s="25" t="s">
        <v>131</v>
      </c>
      <c r="B981" s="16">
        <v>908</v>
      </c>
      <c r="C981" s="20" t="s">
        <v>234</v>
      </c>
      <c r="D981" s="20" t="s">
        <v>215</v>
      </c>
      <c r="E981" s="20" t="s">
        <v>1276</v>
      </c>
      <c r="F981" s="20" t="s">
        <v>132</v>
      </c>
      <c r="G981" s="26">
        <f>G982</f>
        <v>300</v>
      </c>
      <c r="H981" s="26">
        <f>H982</f>
        <v>300</v>
      </c>
      <c r="I981" s="204"/>
    </row>
    <row r="982" spans="1:9" ht="31.5" x14ac:dyDescent="0.25">
      <c r="A982" s="25" t="s">
        <v>133</v>
      </c>
      <c r="B982" s="16">
        <v>908</v>
      </c>
      <c r="C982" s="20" t="s">
        <v>234</v>
      </c>
      <c r="D982" s="20" t="s">
        <v>215</v>
      </c>
      <c r="E982" s="20" t="s">
        <v>1276</v>
      </c>
      <c r="F982" s="20" t="s">
        <v>134</v>
      </c>
      <c r="G982" s="26">
        <f>300</f>
        <v>300</v>
      </c>
      <c r="H982" s="26">
        <v>300</v>
      </c>
      <c r="I982" s="204"/>
    </row>
    <row r="983" spans="1:9" ht="15.75" x14ac:dyDescent="0.25">
      <c r="A983" s="25" t="s">
        <v>135</v>
      </c>
      <c r="B983" s="16">
        <v>908</v>
      </c>
      <c r="C983" s="20" t="s">
        <v>234</v>
      </c>
      <c r="D983" s="20" t="s">
        <v>215</v>
      </c>
      <c r="E983" s="20" t="s">
        <v>1276</v>
      </c>
      <c r="F983" s="20" t="s">
        <v>145</v>
      </c>
      <c r="G983" s="26">
        <f>G984</f>
        <v>75</v>
      </c>
      <c r="H983" s="26">
        <f>H984</f>
        <v>75</v>
      </c>
      <c r="I983" s="204"/>
    </row>
    <row r="984" spans="1:9" ht="15.75" x14ac:dyDescent="0.25">
      <c r="A984" s="25" t="s">
        <v>704</v>
      </c>
      <c r="B984" s="16">
        <v>908</v>
      </c>
      <c r="C984" s="20" t="s">
        <v>234</v>
      </c>
      <c r="D984" s="20" t="s">
        <v>215</v>
      </c>
      <c r="E984" s="20" t="s">
        <v>1276</v>
      </c>
      <c r="F984" s="20" t="s">
        <v>138</v>
      </c>
      <c r="G984" s="26">
        <f>75</f>
        <v>75</v>
      </c>
      <c r="H984" s="26">
        <f t="shared" ref="H984:H1032" si="91">G984</f>
        <v>75</v>
      </c>
      <c r="I984" s="204"/>
    </row>
    <row r="985" spans="1:9" ht="25.5" hidden="1" customHeight="1" x14ac:dyDescent="0.25">
      <c r="A985" s="45" t="s">
        <v>559</v>
      </c>
      <c r="B985" s="16">
        <v>908</v>
      </c>
      <c r="C985" s="20" t="s">
        <v>234</v>
      </c>
      <c r="D985" s="20" t="s">
        <v>215</v>
      </c>
      <c r="E985" s="20" t="s">
        <v>1277</v>
      </c>
      <c r="F985" s="20"/>
      <c r="G985" s="26">
        <f>'Пр.4 ведом.22'!G1069</f>
        <v>0</v>
      </c>
      <c r="H985" s="26">
        <f>H986</f>
        <v>130</v>
      </c>
      <c r="I985" s="204"/>
    </row>
    <row r="986" spans="1:9" ht="31.5" hidden="1" x14ac:dyDescent="0.25">
      <c r="A986" s="25" t="s">
        <v>131</v>
      </c>
      <c r="B986" s="16">
        <v>908</v>
      </c>
      <c r="C986" s="20" t="s">
        <v>234</v>
      </c>
      <c r="D986" s="20" t="s">
        <v>215</v>
      </c>
      <c r="E986" s="20" t="s">
        <v>1277</v>
      </c>
      <c r="F986" s="20" t="s">
        <v>132</v>
      </c>
      <c r="G986" s="26">
        <f>'Пр.4 ведом.22'!G1070</f>
        <v>0</v>
      </c>
      <c r="H986" s="26">
        <f>H987</f>
        <v>130</v>
      </c>
      <c r="I986" s="204"/>
    </row>
    <row r="987" spans="1:9" ht="31.5" hidden="1" x14ac:dyDescent="0.25">
      <c r="A987" s="25" t="s">
        <v>133</v>
      </c>
      <c r="B987" s="16">
        <v>908</v>
      </c>
      <c r="C987" s="20" t="s">
        <v>234</v>
      </c>
      <c r="D987" s="20" t="s">
        <v>215</v>
      </c>
      <c r="E987" s="20" t="s">
        <v>1277</v>
      </c>
      <c r="F987" s="20" t="s">
        <v>134</v>
      </c>
      <c r="G987" s="26">
        <f>0</f>
        <v>0</v>
      </c>
      <c r="H987" s="26">
        <v>130</v>
      </c>
      <c r="I987" s="204"/>
    </row>
    <row r="988" spans="1:9" s="203" customFormat="1" ht="31.5" x14ac:dyDescent="0.25">
      <c r="A988" s="229" t="s">
        <v>1088</v>
      </c>
      <c r="B988" s="16">
        <v>908</v>
      </c>
      <c r="C988" s="20" t="s">
        <v>234</v>
      </c>
      <c r="D988" s="20" t="s">
        <v>215</v>
      </c>
      <c r="E988" s="20" t="s">
        <v>1278</v>
      </c>
      <c r="F988" s="20"/>
      <c r="G988" s="26">
        <f>G989</f>
        <v>50</v>
      </c>
      <c r="H988" s="26">
        <f>H989</f>
        <v>60</v>
      </c>
      <c r="I988" s="204"/>
    </row>
    <row r="989" spans="1:9" s="203" customFormat="1" ht="31.5" x14ac:dyDescent="0.25">
      <c r="A989" s="25" t="s">
        <v>131</v>
      </c>
      <c r="B989" s="16">
        <v>908</v>
      </c>
      <c r="C989" s="20" t="s">
        <v>234</v>
      </c>
      <c r="D989" s="20" t="s">
        <v>215</v>
      </c>
      <c r="E989" s="20" t="s">
        <v>1278</v>
      </c>
      <c r="F989" s="20" t="s">
        <v>132</v>
      </c>
      <c r="G989" s="26">
        <f>G990</f>
        <v>50</v>
      </c>
      <c r="H989" s="26">
        <f>H990</f>
        <v>60</v>
      </c>
      <c r="I989" s="204"/>
    </row>
    <row r="990" spans="1:9" s="203" customFormat="1" ht="40.15" customHeight="1" x14ac:dyDescent="0.25">
      <c r="A990" s="25" t="s">
        <v>133</v>
      </c>
      <c r="B990" s="16">
        <v>908</v>
      </c>
      <c r="C990" s="20" t="s">
        <v>234</v>
      </c>
      <c r="D990" s="20" t="s">
        <v>215</v>
      </c>
      <c r="E990" s="20" t="s">
        <v>1278</v>
      </c>
      <c r="F990" s="20" t="s">
        <v>134</v>
      </c>
      <c r="G990" s="26">
        <v>50</v>
      </c>
      <c r="H990" s="26">
        <v>60</v>
      </c>
      <c r="I990" s="204"/>
    </row>
    <row r="991" spans="1:9" ht="31.5" hidden="1" x14ac:dyDescent="0.25">
      <c r="A991" s="23" t="s">
        <v>891</v>
      </c>
      <c r="B991" s="19">
        <v>908</v>
      </c>
      <c r="C991" s="24" t="s">
        <v>234</v>
      </c>
      <c r="D991" s="24" t="s">
        <v>215</v>
      </c>
      <c r="E991" s="24" t="s">
        <v>1296</v>
      </c>
      <c r="F991" s="24"/>
      <c r="G991" s="21">
        <f>G992+G995</f>
        <v>0</v>
      </c>
      <c r="H991" s="21">
        <f>H992+H995</f>
        <v>0</v>
      </c>
      <c r="I991" s="204"/>
    </row>
    <row r="992" spans="1:9" ht="31.5" hidden="1" x14ac:dyDescent="0.25">
      <c r="A992" s="25" t="s">
        <v>690</v>
      </c>
      <c r="B992" s="16">
        <v>908</v>
      </c>
      <c r="C992" s="20" t="s">
        <v>234</v>
      </c>
      <c r="D992" s="20" t="s">
        <v>215</v>
      </c>
      <c r="E992" s="20" t="s">
        <v>1327</v>
      </c>
      <c r="F992" s="20"/>
      <c r="G992" s="26">
        <f>'Пр.4 ведом.22'!G1076</f>
        <v>0</v>
      </c>
      <c r="H992" s="26">
        <f t="shared" si="91"/>
        <v>0</v>
      </c>
      <c r="I992" s="204"/>
    </row>
    <row r="993" spans="1:9" ht="31.5" hidden="1" x14ac:dyDescent="0.25">
      <c r="A993" s="25" t="s">
        <v>131</v>
      </c>
      <c r="B993" s="16">
        <v>908</v>
      </c>
      <c r="C993" s="20" t="s">
        <v>234</v>
      </c>
      <c r="D993" s="20" t="s">
        <v>215</v>
      </c>
      <c r="E993" s="20" t="s">
        <v>1327</v>
      </c>
      <c r="F993" s="20" t="s">
        <v>132</v>
      </c>
      <c r="G993" s="26">
        <f>'Пр.4 ведом.22'!G1077</f>
        <v>0</v>
      </c>
      <c r="H993" s="26">
        <f t="shared" si="91"/>
        <v>0</v>
      </c>
      <c r="I993" s="204"/>
    </row>
    <row r="994" spans="1:9" ht="31.5" hidden="1" x14ac:dyDescent="0.25">
      <c r="A994" s="25" t="s">
        <v>133</v>
      </c>
      <c r="B994" s="16">
        <v>908</v>
      </c>
      <c r="C994" s="20" t="s">
        <v>234</v>
      </c>
      <c r="D994" s="20" t="s">
        <v>215</v>
      </c>
      <c r="E994" s="20" t="s">
        <v>1327</v>
      </c>
      <c r="F994" s="20" t="s">
        <v>134</v>
      </c>
      <c r="G994" s="26">
        <f>'Пр.4 ведом.22'!G1078</f>
        <v>0</v>
      </c>
      <c r="H994" s="26">
        <f t="shared" si="91"/>
        <v>0</v>
      </c>
      <c r="I994" s="204"/>
    </row>
    <row r="995" spans="1:9" ht="63" hidden="1" x14ac:dyDescent="0.25">
      <c r="A995" s="25" t="s">
        <v>1070</v>
      </c>
      <c r="B995" s="16">
        <v>908</v>
      </c>
      <c r="C995" s="20" t="s">
        <v>234</v>
      </c>
      <c r="D995" s="20" t="s">
        <v>215</v>
      </c>
      <c r="E995" s="20" t="s">
        <v>1295</v>
      </c>
      <c r="F995" s="20"/>
      <c r="G995" s="26">
        <f>G996</f>
        <v>0</v>
      </c>
      <c r="H995" s="26">
        <f>H996</f>
        <v>0</v>
      </c>
      <c r="I995" s="204"/>
    </row>
    <row r="996" spans="1:9" ht="31.5" hidden="1" x14ac:dyDescent="0.25">
      <c r="A996" s="25" t="s">
        <v>131</v>
      </c>
      <c r="B996" s="16">
        <v>908</v>
      </c>
      <c r="C996" s="20" t="s">
        <v>234</v>
      </c>
      <c r="D996" s="20" t="s">
        <v>215</v>
      </c>
      <c r="E996" s="20" t="s">
        <v>1295</v>
      </c>
      <c r="F996" s="20" t="s">
        <v>132</v>
      </c>
      <c r="G996" s="26">
        <f>G997</f>
        <v>0</v>
      </c>
      <c r="H996" s="26">
        <f>H997</f>
        <v>0</v>
      </c>
      <c r="I996" s="204"/>
    </row>
    <row r="997" spans="1:9" ht="31.5" hidden="1" x14ac:dyDescent="0.25">
      <c r="A997" s="25" t="s">
        <v>133</v>
      </c>
      <c r="B997" s="16">
        <v>908</v>
      </c>
      <c r="C997" s="20" t="s">
        <v>234</v>
      </c>
      <c r="D997" s="20" t="s">
        <v>215</v>
      </c>
      <c r="E997" s="20" t="s">
        <v>1295</v>
      </c>
      <c r="F997" s="20" t="s">
        <v>134</v>
      </c>
      <c r="G997" s="26"/>
      <c r="H997" s="26"/>
      <c r="I997" s="204"/>
    </row>
    <row r="998" spans="1:9" ht="63" x14ac:dyDescent="0.25">
      <c r="A998" s="23" t="s">
        <v>1530</v>
      </c>
      <c r="B998" s="19">
        <v>908</v>
      </c>
      <c r="C998" s="24" t="s">
        <v>234</v>
      </c>
      <c r="D998" s="24" t="s">
        <v>215</v>
      </c>
      <c r="E998" s="24" t="s">
        <v>711</v>
      </c>
      <c r="F998" s="24"/>
      <c r="G998" s="21">
        <f t="shared" ref="G998:H1001" si="92">G999</f>
        <v>500</v>
      </c>
      <c r="H998" s="21">
        <f t="shared" si="92"/>
        <v>500</v>
      </c>
      <c r="I998" s="204"/>
    </row>
    <row r="999" spans="1:9" ht="31.5" x14ac:dyDescent="0.25">
      <c r="A999" s="23" t="s">
        <v>1066</v>
      </c>
      <c r="B999" s="19">
        <v>908</v>
      </c>
      <c r="C999" s="24" t="s">
        <v>234</v>
      </c>
      <c r="D999" s="24" t="s">
        <v>215</v>
      </c>
      <c r="E999" s="24" t="s">
        <v>1087</v>
      </c>
      <c r="F999" s="24"/>
      <c r="G999" s="21">
        <f t="shared" si="92"/>
        <v>500</v>
      </c>
      <c r="H999" s="21">
        <f t="shared" si="92"/>
        <v>500</v>
      </c>
      <c r="I999" s="204"/>
    </row>
    <row r="1000" spans="1:9" ht="47.25" x14ac:dyDescent="0.25">
      <c r="A1000" s="80" t="s">
        <v>693</v>
      </c>
      <c r="B1000" s="16">
        <v>908</v>
      </c>
      <c r="C1000" s="20" t="s">
        <v>234</v>
      </c>
      <c r="D1000" s="20" t="s">
        <v>215</v>
      </c>
      <c r="E1000" s="20" t="s">
        <v>835</v>
      </c>
      <c r="F1000" s="20"/>
      <c r="G1000" s="26">
        <f t="shared" si="92"/>
        <v>500</v>
      </c>
      <c r="H1000" s="26">
        <f t="shared" si="92"/>
        <v>500</v>
      </c>
      <c r="I1000" s="204"/>
    </row>
    <row r="1001" spans="1:9" ht="31.5" x14ac:dyDescent="0.25">
      <c r="A1001" s="25" t="s">
        <v>131</v>
      </c>
      <c r="B1001" s="16">
        <v>908</v>
      </c>
      <c r="C1001" s="20" t="s">
        <v>234</v>
      </c>
      <c r="D1001" s="20" t="s">
        <v>215</v>
      </c>
      <c r="E1001" s="20" t="s">
        <v>835</v>
      </c>
      <c r="F1001" s="20" t="s">
        <v>132</v>
      </c>
      <c r="G1001" s="26">
        <f t="shared" si="92"/>
        <v>500</v>
      </c>
      <c r="H1001" s="26">
        <f t="shared" si="92"/>
        <v>500</v>
      </c>
      <c r="I1001" s="204"/>
    </row>
    <row r="1002" spans="1:9" ht="31.5" x14ac:dyDescent="0.25">
      <c r="A1002" s="25" t="s">
        <v>133</v>
      </c>
      <c r="B1002" s="16">
        <v>908</v>
      </c>
      <c r="C1002" s="20" t="s">
        <v>234</v>
      </c>
      <c r="D1002" s="20" t="s">
        <v>215</v>
      </c>
      <c r="E1002" s="20" t="s">
        <v>835</v>
      </c>
      <c r="F1002" s="20" t="s">
        <v>134</v>
      </c>
      <c r="G1002" s="26">
        <f>500</f>
        <v>500</v>
      </c>
      <c r="H1002" s="26">
        <f t="shared" si="91"/>
        <v>500</v>
      </c>
      <c r="I1002" s="204"/>
    </row>
    <row r="1003" spans="1:9" ht="31.5" x14ac:dyDescent="0.25">
      <c r="A1003" s="23" t="s">
        <v>569</v>
      </c>
      <c r="B1003" s="19">
        <v>908</v>
      </c>
      <c r="C1003" s="24" t="s">
        <v>234</v>
      </c>
      <c r="D1003" s="24" t="s">
        <v>234</v>
      </c>
      <c r="E1003" s="24"/>
      <c r="F1003" s="24"/>
      <c r="G1003" s="21">
        <f>G1004+G1016+G1033</f>
        <v>25304.5</v>
      </c>
      <c r="H1003" s="21">
        <f>H1004+H1016+H1033</f>
        <v>25304.5</v>
      </c>
      <c r="I1003" s="204"/>
    </row>
    <row r="1004" spans="1:9" ht="31.5" x14ac:dyDescent="0.25">
      <c r="A1004" s="23" t="s">
        <v>917</v>
      </c>
      <c r="B1004" s="19">
        <v>908</v>
      </c>
      <c r="C1004" s="24" t="s">
        <v>234</v>
      </c>
      <c r="D1004" s="24" t="s">
        <v>234</v>
      </c>
      <c r="E1004" s="24" t="s">
        <v>858</v>
      </c>
      <c r="F1004" s="24"/>
      <c r="G1004" s="21">
        <f>G1005</f>
        <v>12879.3</v>
      </c>
      <c r="H1004" s="21">
        <f>H1005</f>
        <v>12879.3</v>
      </c>
      <c r="I1004" s="204"/>
    </row>
    <row r="1005" spans="1:9" ht="15.75" x14ac:dyDescent="0.25">
      <c r="A1005" s="23" t="s">
        <v>918</v>
      </c>
      <c r="B1005" s="19">
        <v>908</v>
      </c>
      <c r="C1005" s="24" t="s">
        <v>234</v>
      </c>
      <c r="D1005" s="24" t="s">
        <v>234</v>
      </c>
      <c r="E1005" s="24" t="s">
        <v>859</v>
      </c>
      <c r="F1005" s="24"/>
      <c r="G1005" s="21">
        <f>G1006+G1013</f>
        <v>12879.3</v>
      </c>
      <c r="H1005" s="21">
        <f>H1006+H1013</f>
        <v>12879.3</v>
      </c>
      <c r="I1005" s="204"/>
    </row>
    <row r="1006" spans="1:9" ht="31.5" x14ac:dyDescent="0.25">
      <c r="A1006" s="25" t="s">
        <v>897</v>
      </c>
      <c r="B1006" s="16">
        <v>908</v>
      </c>
      <c r="C1006" s="20" t="s">
        <v>234</v>
      </c>
      <c r="D1006" s="20" t="s">
        <v>234</v>
      </c>
      <c r="E1006" s="20" t="s">
        <v>860</v>
      </c>
      <c r="F1006" s="20"/>
      <c r="G1006" s="26">
        <f>G1007+G1009+G1011</f>
        <v>12511.3</v>
      </c>
      <c r="H1006" s="26">
        <f>H1007+H1009+H1011</f>
        <v>12511.3</v>
      </c>
      <c r="I1006" s="204"/>
    </row>
    <row r="1007" spans="1:9" ht="78.75" x14ac:dyDescent="0.25">
      <c r="A1007" s="25" t="s">
        <v>127</v>
      </c>
      <c r="B1007" s="16">
        <v>908</v>
      </c>
      <c r="C1007" s="20" t="s">
        <v>234</v>
      </c>
      <c r="D1007" s="20" t="s">
        <v>234</v>
      </c>
      <c r="E1007" s="20" t="s">
        <v>860</v>
      </c>
      <c r="F1007" s="20" t="s">
        <v>128</v>
      </c>
      <c r="G1007" s="26">
        <f>G1008</f>
        <v>12439.3</v>
      </c>
      <c r="H1007" s="26">
        <f>H1008</f>
        <v>12439.3</v>
      </c>
      <c r="I1007" s="204"/>
    </row>
    <row r="1008" spans="1:9" ht="31.5" x14ac:dyDescent="0.25">
      <c r="A1008" s="25" t="s">
        <v>129</v>
      </c>
      <c r="B1008" s="16">
        <v>908</v>
      </c>
      <c r="C1008" s="20" t="s">
        <v>234</v>
      </c>
      <c r="D1008" s="20" t="s">
        <v>234</v>
      </c>
      <c r="E1008" s="20" t="s">
        <v>860</v>
      </c>
      <c r="F1008" s="20" t="s">
        <v>130</v>
      </c>
      <c r="G1008" s="26">
        <v>12439.3</v>
      </c>
      <c r="H1008" s="26">
        <f t="shared" si="91"/>
        <v>12439.3</v>
      </c>
      <c r="I1008" s="204"/>
    </row>
    <row r="1009" spans="1:9" ht="31.5" x14ac:dyDescent="0.25">
      <c r="A1009" s="25" t="s">
        <v>131</v>
      </c>
      <c r="B1009" s="16">
        <v>908</v>
      </c>
      <c r="C1009" s="20" t="s">
        <v>234</v>
      </c>
      <c r="D1009" s="20" t="s">
        <v>234</v>
      </c>
      <c r="E1009" s="20" t="s">
        <v>860</v>
      </c>
      <c r="F1009" s="20" t="s">
        <v>132</v>
      </c>
      <c r="G1009" s="26">
        <f>G1010</f>
        <v>25</v>
      </c>
      <c r="H1009" s="26">
        <f>H1010</f>
        <v>25</v>
      </c>
      <c r="I1009" s="204"/>
    </row>
    <row r="1010" spans="1:9" ht="31.5" x14ac:dyDescent="0.25">
      <c r="A1010" s="25" t="s">
        <v>133</v>
      </c>
      <c r="B1010" s="16">
        <v>908</v>
      </c>
      <c r="C1010" s="20" t="s">
        <v>234</v>
      </c>
      <c r="D1010" s="20" t="s">
        <v>234</v>
      </c>
      <c r="E1010" s="20" t="s">
        <v>860</v>
      </c>
      <c r="F1010" s="20" t="s">
        <v>134</v>
      </c>
      <c r="G1010" s="26">
        <f>25</f>
        <v>25</v>
      </c>
      <c r="H1010" s="26">
        <f t="shared" si="91"/>
        <v>25</v>
      </c>
      <c r="I1010" s="204"/>
    </row>
    <row r="1011" spans="1:9" ht="15.75" x14ac:dyDescent="0.25">
      <c r="A1011" s="25" t="s">
        <v>135</v>
      </c>
      <c r="B1011" s="16">
        <v>908</v>
      </c>
      <c r="C1011" s="20" t="s">
        <v>234</v>
      </c>
      <c r="D1011" s="20" t="s">
        <v>234</v>
      </c>
      <c r="E1011" s="20" t="s">
        <v>860</v>
      </c>
      <c r="F1011" s="20" t="s">
        <v>145</v>
      </c>
      <c r="G1011" s="26">
        <f>G1012</f>
        <v>47</v>
      </c>
      <c r="H1011" s="26">
        <f>H1012</f>
        <v>47</v>
      </c>
      <c r="I1011" s="204"/>
    </row>
    <row r="1012" spans="1:9" ht="15.75" x14ac:dyDescent="0.25">
      <c r="A1012" s="25" t="s">
        <v>568</v>
      </c>
      <c r="B1012" s="16">
        <v>908</v>
      </c>
      <c r="C1012" s="20" t="s">
        <v>234</v>
      </c>
      <c r="D1012" s="20" t="s">
        <v>234</v>
      </c>
      <c r="E1012" s="20" t="s">
        <v>860</v>
      </c>
      <c r="F1012" s="20" t="s">
        <v>138</v>
      </c>
      <c r="G1012" s="26">
        <f>47</f>
        <v>47</v>
      </c>
      <c r="H1012" s="26">
        <f t="shared" si="91"/>
        <v>47</v>
      </c>
      <c r="I1012" s="204"/>
    </row>
    <row r="1013" spans="1:9" ht="47.25" x14ac:dyDescent="0.25">
      <c r="A1013" s="25" t="s">
        <v>839</v>
      </c>
      <c r="B1013" s="16">
        <v>908</v>
      </c>
      <c r="C1013" s="20" t="s">
        <v>234</v>
      </c>
      <c r="D1013" s="20" t="s">
        <v>234</v>
      </c>
      <c r="E1013" s="20" t="s">
        <v>862</v>
      </c>
      <c r="F1013" s="20"/>
      <c r="G1013" s="26">
        <f>G1014</f>
        <v>368</v>
      </c>
      <c r="H1013" s="26">
        <f>H1014</f>
        <v>368</v>
      </c>
      <c r="I1013" s="204"/>
    </row>
    <row r="1014" spans="1:9" ht="78.75" x14ac:dyDescent="0.25">
      <c r="A1014" s="25" t="s">
        <v>127</v>
      </c>
      <c r="B1014" s="16">
        <v>908</v>
      </c>
      <c r="C1014" s="20" t="s">
        <v>234</v>
      </c>
      <c r="D1014" s="20" t="s">
        <v>234</v>
      </c>
      <c r="E1014" s="20" t="s">
        <v>862</v>
      </c>
      <c r="F1014" s="20" t="s">
        <v>128</v>
      </c>
      <c r="G1014" s="26">
        <f>G1015</f>
        <v>368</v>
      </c>
      <c r="H1014" s="26">
        <f>H1015</f>
        <v>368</v>
      </c>
      <c r="I1014" s="204"/>
    </row>
    <row r="1015" spans="1:9" ht="31.5" x14ac:dyDescent="0.25">
      <c r="A1015" s="25" t="s">
        <v>129</v>
      </c>
      <c r="B1015" s="16">
        <v>908</v>
      </c>
      <c r="C1015" s="20" t="s">
        <v>234</v>
      </c>
      <c r="D1015" s="20" t="s">
        <v>234</v>
      </c>
      <c r="E1015" s="20" t="s">
        <v>862</v>
      </c>
      <c r="F1015" s="20" t="s">
        <v>130</v>
      </c>
      <c r="G1015" s="26">
        <v>368</v>
      </c>
      <c r="H1015" s="26">
        <f t="shared" si="91"/>
        <v>368</v>
      </c>
      <c r="I1015" s="204"/>
    </row>
    <row r="1016" spans="1:9" ht="15.75" x14ac:dyDescent="0.25">
      <c r="A1016" s="23" t="s">
        <v>141</v>
      </c>
      <c r="B1016" s="19">
        <v>908</v>
      </c>
      <c r="C1016" s="24" t="s">
        <v>234</v>
      </c>
      <c r="D1016" s="24" t="s">
        <v>234</v>
      </c>
      <c r="E1016" s="24" t="s">
        <v>866</v>
      </c>
      <c r="F1016" s="24"/>
      <c r="G1016" s="21">
        <f>G1017+G1024</f>
        <v>12425.2</v>
      </c>
      <c r="H1016" s="21">
        <f>H1017+H1024</f>
        <v>12425.2</v>
      </c>
      <c r="I1016" s="204"/>
    </row>
    <row r="1017" spans="1:9" ht="31.5" x14ac:dyDescent="0.25">
      <c r="A1017" s="23" t="s">
        <v>870</v>
      </c>
      <c r="B1017" s="19">
        <v>908</v>
      </c>
      <c r="C1017" s="24" t="s">
        <v>234</v>
      </c>
      <c r="D1017" s="24" t="s">
        <v>234</v>
      </c>
      <c r="E1017" s="24" t="s">
        <v>865</v>
      </c>
      <c r="F1017" s="24"/>
      <c r="G1017" s="21">
        <f>G1018+G1021</f>
        <v>982</v>
      </c>
      <c r="H1017" s="21">
        <f>H1018+H1021</f>
        <v>982</v>
      </c>
      <c r="I1017" s="204"/>
    </row>
    <row r="1018" spans="1:9" ht="31.5" x14ac:dyDescent="0.25">
      <c r="A1018" s="25" t="s">
        <v>570</v>
      </c>
      <c r="B1018" s="16">
        <v>908</v>
      </c>
      <c r="C1018" s="20" t="s">
        <v>234</v>
      </c>
      <c r="D1018" s="20" t="s">
        <v>234</v>
      </c>
      <c r="E1018" s="20" t="s">
        <v>984</v>
      </c>
      <c r="F1018" s="20"/>
      <c r="G1018" s="26">
        <f>G1019</f>
        <v>982</v>
      </c>
      <c r="H1018" s="26">
        <f>H1019</f>
        <v>982</v>
      </c>
      <c r="I1018" s="204"/>
    </row>
    <row r="1019" spans="1:9" ht="15.75" x14ac:dyDescent="0.25">
      <c r="A1019" s="25" t="s">
        <v>135</v>
      </c>
      <c r="B1019" s="16">
        <v>908</v>
      </c>
      <c r="C1019" s="20" t="s">
        <v>234</v>
      </c>
      <c r="D1019" s="20" t="s">
        <v>234</v>
      </c>
      <c r="E1019" s="20" t="s">
        <v>984</v>
      </c>
      <c r="F1019" s="20" t="s">
        <v>145</v>
      </c>
      <c r="G1019" s="26">
        <f>G1020</f>
        <v>982</v>
      </c>
      <c r="H1019" s="26">
        <f>H1020</f>
        <v>982</v>
      </c>
      <c r="I1019" s="204"/>
    </row>
    <row r="1020" spans="1:9" ht="47.25" x14ac:dyDescent="0.25">
      <c r="A1020" s="25" t="s">
        <v>184</v>
      </c>
      <c r="B1020" s="16">
        <v>908</v>
      </c>
      <c r="C1020" s="20" t="s">
        <v>234</v>
      </c>
      <c r="D1020" s="20" t="s">
        <v>234</v>
      </c>
      <c r="E1020" s="20" t="s">
        <v>984</v>
      </c>
      <c r="F1020" s="20" t="s">
        <v>160</v>
      </c>
      <c r="G1020" s="26">
        <v>982</v>
      </c>
      <c r="H1020" s="26">
        <f t="shared" si="91"/>
        <v>982</v>
      </c>
      <c r="I1020" s="204"/>
    </row>
    <row r="1021" spans="1:9" ht="31.5" hidden="1" x14ac:dyDescent="0.25">
      <c r="A1021" s="25" t="s">
        <v>823</v>
      </c>
      <c r="B1021" s="16">
        <v>908</v>
      </c>
      <c r="C1021" s="20" t="s">
        <v>234</v>
      </c>
      <c r="D1021" s="20" t="s">
        <v>234</v>
      </c>
      <c r="E1021" s="20" t="s">
        <v>1071</v>
      </c>
      <c r="F1021" s="20"/>
      <c r="G1021" s="26">
        <f>'Пр.4 ведом.22'!G1135</f>
        <v>0</v>
      </c>
      <c r="H1021" s="26">
        <f t="shared" si="91"/>
        <v>0</v>
      </c>
      <c r="I1021" s="204"/>
    </row>
    <row r="1022" spans="1:9" ht="15.75" hidden="1" x14ac:dyDescent="0.25">
      <c r="A1022" s="25" t="s">
        <v>135</v>
      </c>
      <c r="B1022" s="16">
        <v>908</v>
      </c>
      <c r="C1022" s="20" t="s">
        <v>234</v>
      </c>
      <c r="D1022" s="20" t="s">
        <v>234</v>
      </c>
      <c r="E1022" s="20" t="s">
        <v>1071</v>
      </c>
      <c r="F1022" s="20" t="s">
        <v>145</v>
      </c>
      <c r="G1022" s="26">
        <f>'Пр.4 ведом.22'!G1136</f>
        <v>0</v>
      </c>
      <c r="H1022" s="26">
        <f t="shared" si="91"/>
        <v>0</v>
      </c>
      <c r="I1022" s="204"/>
    </row>
    <row r="1023" spans="1:9" ht="47.25" hidden="1" x14ac:dyDescent="0.25">
      <c r="A1023" s="25" t="s">
        <v>184</v>
      </c>
      <c r="B1023" s="16">
        <v>908</v>
      </c>
      <c r="C1023" s="20" t="s">
        <v>234</v>
      </c>
      <c r="D1023" s="20" t="s">
        <v>234</v>
      </c>
      <c r="E1023" s="20" t="s">
        <v>1071</v>
      </c>
      <c r="F1023" s="20" t="s">
        <v>160</v>
      </c>
      <c r="G1023" s="26">
        <f>'Пр.4 ведом.22'!G1137</f>
        <v>0</v>
      </c>
      <c r="H1023" s="26">
        <f t="shared" si="91"/>
        <v>0</v>
      </c>
      <c r="I1023" s="204"/>
    </row>
    <row r="1024" spans="1:9" ht="31.5" x14ac:dyDescent="0.25">
      <c r="A1024" s="23" t="s">
        <v>929</v>
      </c>
      <c r="B1024" s="19">
        <v>908</v>
      </c>
      <c r="C1024" s="24" t="s">
        <v>234</v>
      </c>
      <c r="D1024" s="24" t="s">
        <v>234</v>
      </c>
      <c r="E1024" s="24" t="s">
        <v>914</v>
      </c>
      <c r="F1024" s="24"/>
      <c r="G1024" s="44">
        <f>G1025+G1030</f>
        <v>11443.2</v>
      </c>
      <c r="H1024" s="44">
        <f>H1025+H1030</f>
        <v>11443.2</v>
      </c>
      <c r="I1024" s="204"/>
    </row>
    <row r="1025" spans="1:9" ht="31.5" x14ac:dyDescent="0.25">
      <c r="A1025" s="25" t="s">
        <v>903</v>
      </c>
      <c r="B1025" s="16">
        <v>908</v>
      </c>
      <c r="C1025" s="20" t="s">
        <v>234</v>
      </c>
      <c r="D1025" s="20" t="s">
        <v>234</v>
      </c>
      <c r="E1025" s="20" t="s">
        <v>915</v>
      </c>
      <c r="F1025" s="20"/>
      <c r="G1025" s="26">
        <f>G1026+G1028</f>
        <v>10845.2</v>
      </c>
      <c r="H1025" s="26">
        <f>H1026+H1028</f>
        <v>10845.2</v>
      </c>
      <c r="I1025" s="204"/>
    </row>
    <row r="1026" spans="1:9" ht="78.75" x14ac:dyDescent="0.25">
      <c r="A1026" s="25" t="s">
        <v>127</v>
      </c>
      <c r="B1026" s="16">
        <v>908</v>
      </c>
      <c r="C1026" s="20" t="s">
        <v>234</v>
      </c>
      <c r="D1026" s="20" t="s">
        <v>234</v>
      </c>
      <c r="E1026" s="20" t="s">
        <v>915</v>
      </c>
      <c r="F1026" s="20" t="s">
        <v>128</v>
      </c>
      <c r="G1026" s="26">
        <f>G1027</f>
        <v>9193</v>
      </c>
      <c r="H1026" s="26">
        <f>H1027</f>
        <v>9193</v>
      </c>
      <c r="I1026" s="204"/>
    </row>
    <row r="1027" spans="1:9" ht="31.5" x14ac:dyDescent="0.25">
      <c r="A1027" s="25" t="s">
        <v>342</v>
      </c>
      <c r="B1027" s="16">
        <v>908</v>
      </c>
      <c r="C1027" s="20" t="s">
        <v>234</v>
      </c>
      <c r="D1027" s="20" t="s">
        <v>234</v>
      </c>
      <c r="E1027" s="20" t="s">
        <v>915</v>
      </c>
      <c r="F1027" s="20" t="s">
        <v>209</v>
      </c>
      <c r="G1027" s="26">
        <v>9193</v>
      </c>
      <c r="H1027" s="26">
        <f t="shared" si="91"/>
        <v>9193</v>
      </c>
      <c r="I1027" s="204"/>
    </row>
    <row r="1028" spans="1:9" ht="31.5" x14ac:dyDescent="0.25">
      <c r="A1028" s="25" t="s">
        <v>131</v>
      </c>
      <c r="B1028" s="16">
        <v>908</v>
      </c>
      <c r="C1028" s="20" t="s">
        <v>234</v>
      </c>
      <c r="D1028" s="20" t="s">
        <v>234</v>
      </c>
      <c r="E1028" s="20" t="s">
        <v>915</v>
      </c>
      <c r="F1028" s="20" t="s">
        <v>132</v>
      </c>
      <c r="G1028" s="26">
        <f>G1029</f>
        <v>1652.2</v>
      </c>
      <c r="H1028" s="26">
        <f>H1029</f>
        <v>1652.2</v>
      </c>
      <c r="I1028" s="204"/>
    </row>
    <row r="1029" spans="1:9" ht="31.5" x14ac:dyDescent="0.25">
      <c r="A1029" s="25" t="s">
        <v>133</v>
      </c>
      <c r="B1029" s="16">
        <v>908</v>
      </c>
      <c r="C1029" s="20" t="s">
        <v>234</v>
      </c>
      <c r="D1029" s="20" t="s">
        <v>234</v>
      </c>
      <c r="E1029" s="20" t="s">
        <v>915</v>
      </c>
      <c r="F1029" s="20" t="s">
        <v>134</v>
      </c>
      <c r="G1029" s="26">
        <v>1652.2</v>
      </c>
      <c r="H1029" s="26">
        <f t="shared" si="91"/>
        <v>1652.2</v>
      </c>
      <c r="I1029" s="204"/>
    </row>
    <row r="1030" spans="1:9" ht="47.25" x14ac:dyDescent="0.25">
      <c r="A1030" s="25" t="s">
        <v>839</v>
      </c>
      <c r="B1030" s="16">
        <v>908</v>
      </c>
      <c r="C1030" s="20" t="s">
        <v>234</v>
      </c>
      <c r="D1030" s="20" t="s">
        <v>234</v>
      </c>
      <c r="E1030" s="20" t="s">
        <v>916</v>
      </c>
      <c r="F1030" s="20"/>
      <c r="G1030" s="26">
        <f>G1031</f>
        <v>598</v>
      </c>
      <c r="H1030" s="26">
        <f>H1031</f>
        <v>598</v>
      </c>
      <c r="I1030" s="204"/>
    </row>
    <row r="1031" spans="1:9" ht="78.75" x14ac:dyDescent="0.25">
      <c r="A1031" s="25" t="s">
        <v>127</v>
      </c>
      <c r="B1031" s="16">
        <v>908</v>
      </c>
      <c r="C1031" s="20" t="s">
        <v>234</v>
      </c>
      <c r="D1031" s="20" t="s">
        <v>234</v>
      </c>
      <c r="E1031" s="20" t="s">
        <v>916</v>
      </c>
      <c r="F1031" s="20" t="s">
        <v>128</v>
      </c>
      <c r="G1031" s="26">
        <f>G1032</f>
        <v>598</v>
      </c>
      <c r="H1031" s="26">
        <f>H1032</f>
        <v>598</v>
      </c>
      <c r="I1031" s="204"/>
    </row>
    <row r="1032" spans="1:9" ht="23.25" customHeight="1" x14ac:dyDescent="0.25">
      <c r="A1032" s="25" t="s">
        <v>342</v>
      </c>
      <c r="B1032" s="16">
        <v>908</v>
      </c>
      <c r="C1032" s="20" t="s">
        <v>234</v>
      </c>
      <c r="D1032" s="20" t="s">
        <v>234</v>
      </c>
      <c r="E1032" s="20" t="s">
        <v>916</v>
      </c>
      <c r="F1032" s="20" t="s">
        <v>209</v>
      </c>
      <c r="G1032" s="26">
        <v>598</v>
      </c>
      <c r="H1032" s="26">
        <f t="shared" si="91"/>
        <v>598</v>
      </c>
      <c r="I1032" s="204"/>
    </row>
    <row r="1033" spans="1:9" s="203" customFormat="1" ht="47.25" hidden="1" x14ac:dyDescent="0.25">
      <c r="A1033" s="34" t="s">
        <v>1357</v>
      </c>
      <c r="B1033" s="19">
        <v>908</v>
      </c>
      <c r="C1033" s="24" t="s">
        <v>234</v>
      </c>
      <c r="D1033" s="24" t="s">
        <v>234</v>
      </c>
      <c r="E1033" s="24" t="s">
        <v>324</v>
      </c>
      <c r="F1033" s="24"/>
      <c r="G1033" s="21">
        <f t="shared" ref="G1033:H1036" si="93">G1034</f>
        <v>0</v>
      </c>
      <c r="H1033" s="21">
        <f t="shared" si="93"/>
        <v>0</v>
      </c>
      <c r="I1033" s="204"/>
    </row>
    <row r="1034" spans="1:9" s="203" customFormat="1" ht="63" hidden="1" x14ac:dyDescent="0.25">
      <c r="A1034" s="34" t="s">
        <v>1009</v>
      </c>
      <c r="B1034" s="19">
        <v>908</v>
      </c>
      <c r="C1034" s="24" t="s">
        <v>234</v>
      </c>
      <c r="D1034" s="24" t="s">
        <v>234</v>
      </c>
      <c r="E1034" s="24" t="s">
        <v>934</v>
      </c>
      <c r="F1034" s="24"/>
      <c r="G1034" s="21">
        <f t="shared" si="93"/>
        <v>0</v>
      </c>
      <c r="H1034" s="21">
        <f t="shared" si="93"/>
        <v>0</v>
      </c>
      <c r="I1034" s="204"/>
    </row>
    <row r="1035" spans="1:9" s="203" customFormat="1" ht="47.25" hidden="1" x14ac:dyDescent="0.25">
      <c r="A1035" s="31" t="s">
        <v>1080</v>
      </c>
      <c r="B1035" s="16">
        <v>908</v>
      </c>
      <c r="C1035" s="20" t="s">
        <v>234</v>
      </c>
      <c r="D1035" s="20" t="s">
        <v>234</v>
      </c>
      <c r="E1035" s="20" t="s">
        <v>1026</v>
      </c>
      <c r="F1035" s="20"/>
      <c r="G1035" s="26">
        <f t="shared" si="93"/>
        <v>0</v>
      </c>
      <c r="H1035" s="26">
        <f t="shared" si="93"/>
        <v>0</v>
      </c>
      <c r="I1035" s="204"/>
    </row>
    <row r="1036" spans="1:9" s="203" customFormat="1" ht="31.5" hidden="1" x14ac:dyDescent="0.25">
      <c r="A1036" s="25" t="s">
        <v>131</v>
      </c>
      <c r="B1036" s="16">
        <v>908</v>
      </c>
      <c r="C1036" s="20" t="s">
        <v>234</v>
      </c>
      <c r="D1036" s="20" t="s">
        <v>234</v>
      </c>
      <c r="E1036" s="20" t="s">
        <v>1026</v>
      </c>
      <c r="F1036" s="20" t="s">
        <v>132</v>
      </c>
      <c r="G1036" s="26">
        <f t="shared" si="93"/>
        <v>0</v>
      </c>
      <c r="H1036" s="26">
        <f t="shared" si="93"/>
        <v>0</v>
      </c>
      <c r="I1036" s="204"/>
    </row>
    <row r="1037" spans="1:9" s="203" customFormat="1" ht="31.5" hidden="1" x14ac:dyDescent="0.25">
      <c r="A1037" s="25" t="s">
        <v>133</v>
      </c>
      <c r="B1037" s="16">
        <v>908</v>
      </c>
      <c r="C1037" s="20" t="s">
        <v>234</v>
      </c>
      <c r="D1037" s="20" t="s">
        <v>234</v>
      </c>
      <c r="E1037" s="20" t="s">
        <v>1026</v>
      </c>
      <c r="F1037" s="20" t="s">
        <v>134</v>
      </c>
      <c r="G1037" s="26">
        <v>0</v>
      </c>
      <c r="H1037" s="26">
        <v>0</v>
      </c>
      <c r="I1037" s="204"/>
    </row>
    <row r="1038" spans="1:9" ht="15.75" x14ac:dyDescent="0.25">
      <c r="A1038" s="23" t="s">
        <v>243</v>
      </c>
      <c r="B1038" s="19">
        <v>908</v>
      </c>
      <c r="C1038" s="24" t="s">
        <v>244</v>
      </c>
      <c r="D1038" s="24"/>
      <c r="E1038" s="24"/>
      <c r="F1038" s="24"/>
      <c r="G1038" s="21">
        <f t="shared" ref="G1038:H1039" si="94">G1039</f>
        <v>87</v>
      </c>
      <c r="H1038" s="21">
        <f t="shared" si="94"/>
        <v>87</v>
      </c>
      <c r="I1038" s="204"/>
    </row>
    <row r="1039" spans="1:9" ht="15.75" x14ac:dyDescent="0.25">
      <c r="A1039" s="23" t="s">
        <v>258</v>
      </c>
      <c r="B1039" s="19">
        <v>908</v>
      </c>
      <c r="C1039" s="24" t="s">
        <v>244</v>
      </c>
      <c r="D1039" s="24" t="s">
        <v>120</v>
      </c>
      <c r="E1039" s="24"/>
      <c r="F1039" s="24"/>
      <c r="G1039" s="21">
        <f t="shared" si="94"/>
        <v>87</v>
      </c>
      <c r="H1039" s="21">
        <f t="shared" si="94"/>
        <v>87</v>
      </c>
      <c r="I1039" s="204"/>
    </row>
    <row r="1040" spans="1:9" ht="15.75" x14ac:dyDescent="0.25">
      <c r="A1040" s="23" t="s">
        <v>141</v>
      </c>
      <c r="B1040" s="19">
        <v>908</v>
      </c>
      <c r="C1040" s="24" t="s">
        <v>244</v>
      </c>
      <c r="D1040" s="24" t="s">
        <v>120</v>
      </c>
      <c r="E1040" s="24" t="s">
        <v>866</v>
      </c>
      <c r="F1040" s="24"/>
      <c r="G1040" s="21">
        <f t="shared" ref="G1040:H1042" si="95">G1041</f>
        <v>87</v>
      </c>
      <c r="H1040" s="21">
        <f t="shared" si="95"/>
        <v>87</v>
      </c>
      <c r="I1040" s="204"/>
    </row>
    <row r="1041" spans="1:9" ht="15.75" x14ac:dyDescent="0.25">
      <c r="A1041" s="23" t="s">
        <v>141</v>
      </c>
      <c r="B1041" s="19">
        <v>908</v>
      </c>
      <c r="C1041" s="24" t="s">
        <v>244</v>
      </c>
      <c r="D1041" s="24" t="s">
        <v>120</v>
      </c>
      <c r="E1041" s="24" t="s">
        <v>865</v>
      </c>
      <c r="F1041" s="24"/>
      <c r="G1041" s="21">
        <f t="shared" si="95"/>
        <v>87</v>
      </c>
      <c r="H1041" s="21">
        <f t="shared" si="95"/>
        <v>87</v>
      </c>
      <c r="I1041" s="204"/>
    </row>
    <row r="1042" spans="1:9" ht="31.5" x14ac:dyDescent="0.25">
      <c r="A1042" s="23" t="s">
        <v>870</v>
      </c>
      <c r="B1042" s="19">
        <v>908</v>
      </c>
      <c r="C1042" s="24" t="s">
        <v>244</v>
      </c>
      <c r="D1042" s="24" t="s">
        <v>120</v>
      </c>
      <c r="E1042" s="24" t="s">
        <v>865</v>
      </c>
      <c r="F1042" s="24"/>
      <c r="G1042" s="21">
        <f t="shared" si="95"/>
        <v>87</v>
      </c>
      <c r="H1042" s="21">
        <f t="shared" si="95"/>
        <v>87</v>
      </c>
      <c r="I1042" s="204"/>
    </row>
    <row r="1043" spans="1:9" ht="15.75" x14ac:dyDescent="0.25">
      <c r="A1043" s="25" t="s">
        <v>572</v>
      </c>
      <c r="B1043" s="16">
        <v>908</v>
      </c>
      <c r="C1043" s="20" t="s">
        <v>244</v>
      </c>
      <c r="D1043" s="20" t="s">
        <v>120</v>
      </c>
      <c r="E1043" s="20" t="s">
        <v>985</v>
      </c>
      <c r="F1043" s="20"/>
      <c r="G1043" s="26">
        <f>G1044</f>
        <v>87</v>
      </c>
      <c r="H1043" s="26">
        <f>H1044</f>
        <v>87</v>
      </c>
      <c r="I1043" s="204"/>
    </row>
    <row r="1044" spans="1:9" ht="31.5" x14ac:dyDescent="0.25">
      <c r="A1044" s="25" t="s">
        <v>131</v>
      </c>
      <c r="B1044" s="16">
        <v>908</v>
      </c>
      <c r="C1044" s="20" t="s">
        <v>244</v>
      </c>
      <c r="D1044" s="20" t="s">
        <v>120</v>
      </c>
      <c r="E1044" s="20" t="s">
        <v>985</v>
      </c>
      <c r="F1044" s="20" t="s">
        <v>132</v>
      </c>
      <c r="G1044" s="26">
        <f>G1045</f>
        <v>87</v>
      </c>
      <c r="H1044" s="26">
        <f>H1045</f>
        <v>87</v>
      </c>
      <c r="I1044" s="204"/>
    </row>
    <row r="1045" spans="1:9" ht="31.5" x14ac:dyDescent="0.25">
      <c r="A1045" s="25" t="s">
        <v>133</v>
      </c>
      <c r="B1045" s="16">
        <v>908</v>
      </c>
      <c r="C1045" s="20" t="s">
        <v>244</v>
      </c>
      <c r="D1045" s="20" t="s">
        <v>120</v>
      </c>
      <c r="E1045" s="20" t="s">
        <v>985</v>
      </c>
      <c r="F1045" s="20" t="s">
        <v>134</v>
      </c>
      <c r="G1045" s="26">
        <f>87</f>
        <v>87</v>
      </c>
      <c r="H1045" s="26">
        <f t="shared" ref="H1045:H1093" si="96">G1045</f>
        <v>87</v>
      </c>
      <c r="I1045" s="204"/>
    </row>
    <row r="1046" spans="1:9" ht="31.5" x14ac:dyDescent="0.25">
      <c r="A1046" s="19" t="s">
        <v>1371</v>
      </c>
      <c r="B1046" s="19">
        <v>910</v>
      </c>
      <c r="C1046" s="47"/>
      <c r="D1046" s="47"/>
      <c r="E1046" s="47"/>
      <c r="F1046" s="47"/>
      <c r="G1046" s="21">
        <f>G1047</f>
        <v>7286.5</v>
      </c>
      <c r="H1046" s="21">
        <f>H1047</f>
        <v>7286.5</v>
      </c>
      <c r="I1046" s="204"/>
    </row>
    <row r="1047" spans="1:9" ht="15.75" x14ac:dyDescent="0.25">
      <c r="A1047" s="23" t="s">
        <v>117</v>
      </c>
      <c r="B1047" s="19">
        <v>910</v>
      </c>
      <c r="C1047" s="24" t="s">
        <v>118</v>
      </c>
      <c r="D1047" s="24"/>
      <c r="E1047" s="24"/>
      <c r="F1047" s="24"/>
      <c r="G1047" s="21">
        <f>G1048+G1067+G1083</f>
        <v>7286.5</v>
      </c>
      <c r="H1047" s="21">
        <f>H1048+H1067+H1083</f>
        <v>7286.5</v>
      </c>
      <c r="I1047" s="204"/>
    </row>
    <row r="1048" spans="1:9" ht="47.25" hidden="1" x14ac:dyDescent="0.25">
      <c r="A1048" s="23" t="s">
        <v>575</v>
      </c>
      <c r="B1048" s="19">
        <v>910</v>
      </c>
      <c r="C1048" s="24" t="s">
        <v>118</v>
      </c>
      <c r="D1048" s="24" t="s">
        <v>213</v>
      </c>
      <c r="E1048" s="24"/>
      <c r="F1048" s="24"/>
      <c r="G1048" s="21">
        <f>G1049+G1059</f>
        <v>0</v>
      </c>
      <c r="H1048" s="21">
        <f>H1049+H1059</f>
        <v>0</v>
      </c>
      <c r="I1048" s="204"/>
    </row>
    <row r="1049" spans="1:9" ht="31.5" hidden="1" x14ac:dyDescent="0.25">
      <c r="A1049" s="23" t="s">
        <v>917</v>
      </c>
      <c r="B1049" s="19">
        <v>910</v>
      </c>
      <c r="C1049" s="24" t="s">
        <v>118</v>
      </c>
      <c r="D1049" s="24" t="s">
        <v>213</v>
      </c>
      <c r="E1049" s="24" t="s">
        <v>858</v>
      </c>
      <c r="F1049" s="24"/>
      <c r="G1049" s="21">
        <f>G1050</f>
        <v>0</v>
      </c>
      <c r="H1049" s="21">
        <f>H1050</f>
        <v>0</v>
      </c>
      <c r="I1049" s="204"/>
    </row>
    <row r="1050" spans="1:9" ht="31.5" hidden="1" x14ac:dyDescent="0.25">
      <c r="A1050" s="23" t="s">
        <v>986</v>
      </c>
      <c r="B1050" s="19">
        <v>910</v>
      </c>
      <c r="C1050" s="24" t="s">
        <v>118</v>
      </c>
      <c r="D1050" s="24" t="s">
        <v>213</v>
      </c>
      <c r="E1050" s="24" t="s">
        <v>987</v>
      </c>
      <c r="F1050" s="24"/>
      <c r="G1050" s="21">
        <f>G1051+G1056</f>
        <v>0</v>
      </c>
      <c r="H1050" s="21">
        <f>H1051+H1056</f>
        <v>0</v>
      </c>
      <c r="I1050" s="204"/>
    </row>
    <row r="1051" spans="1:9" ht="31.5" hidden="1" x14ac:dyDescent="0.25">
      <c r="A1051" s="25" t="s">
        <v>576</v>
      </c>
      <c r="B1051" s="16">
        <v>910</v>
      </c>
      <c r="C1051" s="20" t="s">
        <v>118</v>
      </c>
      <c r="D1051" s="20" t="s">
        <v>213</v>
      </c>
      <c r="E1051" s="20" t="s">
        <v>988</v>
      </c>
      <c r="F1051" s="20"/>
      <c r="G1051" s="26">
        <f>G1052+G1054</f>
        <v>0</v>
      </c>
      <c r="H1051" s="26">
        <f>H1052+H1054</f>
        <v>0</v>
      </c>
      <c r="I1051" s="204"/>
    </row>
    <row r="1052" spans="1:9" ht="78.75" hidden="1" x14ac:dyDescent="0.25">
      <c r="A1052" s="25" t="s">
        <v>127</v>
      </c>
      <c r="B1052" s="16">
        <v>910</v>
      </c>
      <c r="C1052" s="20" t="s">
        <v>118</v>
      </c>
      <c r="D1052" s="20" t="s">
        <v>213</v>
      </c>
      <c r="E1052" s="20" t="s">
        <v>988</v>
      </c>
      <c r="F1052" s="20" t="s">
        <v>128</v>
      </c>
      <c r="G1052" s="26">
        <f>G1053</f>
        <v>0</v>
      </c>
      <c r="H1052" s="26">
        <f>H1053</f>
        <v>0</v>
      </c>
      <c r="I1052" s="204"/>
    </row>
    <row r="1053" spans="1:9" ht="31.5" hidden="1" x14ac:dyDescent="0.25">
      <c r="A1053" s="25" t="s">
        <v>129</v>
      </c>
      <c r="B1053" s="16">
        <v>910</v>
      </c>
      <c r="C1053" s="20" t="s">
        <v>118</v>
      </c>
      <c r="D1053" s="20" t="s">
        <v>213</v>
      </c>
      <c r="E1053" s="20" t="s">
        <v>988</v>
      </c>
      <c r="F1053" s="20" t="s">
        <v>130</v>
      </c>
      <c r="G1053" s="26">
        <v>0</v>
      </c>
      <c r="H1053" s="26">
        <v>0</v>
      </c>
      <c r="I1053" s="204"/>
    </row>
    <row r="1054" spans="1:9" ht="31.5" hidden="1" x14ac:dyDescent="0.25">
      <c r="A1054" s="25" t="s">
        <v>198</v>
      </c>
      <c r="B1054" s="16">
        <v>910</v>
      </c>
      <c r="C1054" s="20" t="s">
        <v>118</v>
      </c>
      <c r="D1054" s="20" t="s">
        <v>213</v>
      </c>
      <c r="E1054" s="20" t="s">
        <v>988</v>
      </c>
      <c r="F1054" s="20" t="s">
        <v>132</v>
      </c>
      <c r="G1054" s="26">
        <f>G1055</f>
        <v>0</v>
      </c>
      <c r="H1054" s="26">
        <f>H1055</f>
        <v>0</v>
      </c>
      <c r="I1054" s="204"/>
    </row>
    <row r="1055" spans="1:9" ht="31.5" hidden="1" x14ac:dyDescent="0.25">
      <c r="A1055" s="25" t="s">
        <v>133</v>
      </c>
      <c r="B1055" s="16">
        <v>910</v>
      </c>
      <c r="C1055" s="20" t="s">
        <v>118</v>
      </c>
      <c r="D1055" s="20" t="s">
        <v>213</v>
      </c>
      <c r="E1055" s="20" t="s">
        <v>988</v>
      </c>
      <c r="F1055" s="20" t="s">
        <v>134</v>
      </c>
      <c r="G1055" s="26">
        <v>0</v>
      </c>
      <c r="H1055" s="26">
        <v>0</v>
      </c>
      <c r="I1055" s="204"/>
    </row>
    <row r="1056" spans="1:9" ht="47.25" hidden="1" x14ac:dyDescent="0.25">
      <c r="A1056" s="25" t="s">
        <v>839</v>
      </c>
      <c r="B1056" s="16">
        <v>910</v>
      </c>
      <c r="C1056" s="20" t="s">
        <v>118</v>
      </c>
      <c r="D1056" s="20" t="s">
        <v>213</v>
      </c>
      <c r="E1056" s="20" t="s">
        <v>989</v>
      </c>
      <c r="F1056" s="20"/>
      <c r="G1056" s="26">
        <f>G1057</f>
        <v>0</v>
      </c>
      <c r="H1056" s="26">
        <f>H1057</f>
        <v>0</v>
      </c>
      <c r="I1056" s="204"/>
    </row>
    <row r="1057" spans="1:9" ht="78.75" hidden="1" x14ac:dyDescent="0.25">
      <c r="A1057" s="25" t="s">
        <v>127</v>
      </c>
      <c r="B1057" s="16">
        <v>910</v>
      </c>
      <c r="C1057" s="20" t="s">
        <v>118</v>
      </c>
      <c r="D1057" s="20" t="s">
        <v>213</v>
      </c>
      <c r="E1057" s="20" t="s">
        <v>989</v>
      </c>
      <c r="F1057" s="20" t="s">
        <v>128</v>
      </c>
      <c r="G1057" s="26">
        <f>G1058</f>
        <v>0</v>
      </c>
      <c r="H1057" s="26">
        <f>H1058</f>
        <v>0</v>
      </c>
      <c r="I1057" s="204"/>
    </row>
    <row r="1058" spans="1:9" ht="31.5" hidden="1" x14ac:dyDescent="0.25">
      <c r="A1058" s="25" t="s">
        <v>129</v>
      </c>
      <c r="B1058" s="16">
        <v>910</v>
      </c>
      <c r="C1058" s="20" t="s">
        <v>118</v>
      </c>
      <c r="D1058" s="20" t="s">
        <v>213</v>
      </c>
      <c r="E1058" s="20" t="s">
        <v>989</v>
      </c>
      <c r="F1058" s="20" t="s">
        <v>130</v>
      </c>
      <c r="G1058" s="26">
        <v>0</v>
      </c>
      <c r="H1058" s="26">
        <v>0</v>
      </c>
      <c r="I1058" s="204"/>
    </row>
    <row r="1059" spans="1:9" ht="47.25" hidden="1" x14ac:dyDescent="0.25">
      <c r="A1059" s="23" t="s">
        <v>1178</v>
      </c>
      <c r="B1059" s="19">
        <v>910</v>
      </c>
      <c r="C1059" s="24" t="s">
        <v>118</v>
      </c>
      <c r="D1059" s="24" t="s">
        <v>213</v>
      </c>
      <c r="E1059" s="24" t="s">
        <v>162</v>
      </c>
      <c r="F1059" s="24"/>
      <c r="G1059" s="21">
        <f>G1060</f>
        <v>0</v>
      </c>
      <c r="H1059" s="21">
        <f>H1060</f>
        <v>0</v>
      </c>
      <c r="I1059" s="204"/>
    </row>
    <row r="1060" spans="1:9" ht="63" hidden="1" x14ac:dyDescent="0.25">
      <c r="A1060" s="220" t="s">
        <v>843</v>
      </c>
      <c r="B1060" s="19">
        <v>910</v>
      </c>
      <c r="C1060" s="24" t="s">
        <v>118</v>
      </c>
      <c r="D1060" s="24" t="s">
        <v>213</v>
      </c>
      <c r="E1060" s="24" t="s">
        <v>850</v>
      </c>
      <c r="F1060" s="24"/>
      <c r="G1060" s="21">
        <f>G1061+G1064</f>
        <v>0</v>
      </c>
      <c r="H1060" s="21">
        <f>H1061+H1064</f>
        <v>0</v>
      </c>
      <c r="I1060" s="204"/>
    </row>
    <row r="1061" spans="1:9" ht="47.25" hidden="1" x14ac:dyDescent="0.25">
      <c r="A1061" s="31" t="s">
        <v>695</v>
      </c>
      <c r="B1061" s="16">
        <v>910</v>
      </c>
      <c r="C1061" s="20" t="s">
        <v>118</v>
      </c>
      <c r="D1061" s="20" t="s">
        <v>213</v>
      </c>
      <c r="E1061" s="40" t="s">
        <v>993</v>
      </c>
      <c r="F1061" s="20"/>
      <c r="G1061" s="26">
        <f>G1062</f>
        <v>0</v>
      </c>
      <c r="H1061" s="26">
        <f>H1062</f>
        <v>0</v>
      </c>
      <c r="I1061" s="204"/>
    </row>
    <row r="1062" spans="1:9" ht="31.5" hidden="1" x14ac:dyDescent="0.25">
      <c r="A1062" s="25" t="s">
        <v>131</v>
      </c>
      <c r="B1062" s="16">
        <v>910</v>
      </c>
      <c r="C1062" s="20" t="s">
        <v>118</v>
      </c>
      <c r="D1062" s="20" t="s">
        <v>213</v>
      </c>
      <c r="E1062" s="40" t="s">
        <v>993</v>
      </c>
      <c r="F1062" s="20" t="s">
        <v>132</v>
      </c>
      <c r="G1062" s="26">
        <f>G1063</f>
        <v>0</v>
      </c>
      <c r="H1062" s="26">
        <f>H1063</f>
        <v>0</v>
      </c>
      <c r="I1062" s="204"/>
    </row>
    <row r="1063" spans="1:9" ht="31.5" hidden="1" x14ac:dyDescent="0.25">
      <c r="A1063" s="25" t="s">
        <v>133</v>
      </c>
      <c r="B1063" s="16">
        <v>910</v>
      </c>
      <c r="C1063" s="20" t="s">
        <v>118</v>
      </c>
      <c r="D1063" s="20" t="s">
        <v>213</v>
      </c>
      <c r="E1063" s="40" t="s">
        <v>696</v>
      </c>
      <c r="F1063" s="20" t="s">
        <v>134</v>
      </c>
      <c r="G1063" s="26">
        <v>0</v>
      </c>
      <c r="H1063" s="26">
        <v>0</v>
      </c>
      <c r="I1063" s="204"/>
    </row>
    <row r="1064" spans="1:9" ht="47.25" hidden="1" x14ac:dyDescent="0.25">
      <c r="A1064" s="31" t="s">
        <v>695</v>
      </c>
      <c r="B1064" s="16">
        <v>910</v>
      </c>
      <c r="C1064" s="20" t="s">
        <v>118</v>
      </c>
      <c r="D1064" s="20" t="s">
        <v>213</v>
      </c>
      <c r="E1064" s="20" t="s">
        <v>992</v>
      </c>
      <c r="F1064" s="20"/>
      <c r="G1064" s="26">
        <f>G1065</f>
        <v>0</v>
      </c>
      <c r="H1064" s="26">
        <f>H1065</f>
        <v>0</v>
      </c>
      <c r="I1064" s="204"/>
    </row>
    <row r="1065" spans="1:9" ht="31.5" hidden="1" x14ac:dyDescent="0.25">
      <c r="A1065" s="25" t="s">
        <v>131</v>
      </c>
      <c r="B1065" s="16">
        <v>910</v>
      </c>
      <c r="C1065" s="20" t="s">
        <v>118</v>
      </c>
      <c r="D1065" s="20" t="s">
        <v>213</v>
      </c>
      <c r="E1065" s="20" t="s">
        <v>992</v>
      </c>
      <c r="F1065" s="20" t="s">
        <v>132</v>
      </c>
      <c r="G1065" s="26">
        <f>G1066</f>
        <v>0</v>
      </c>
      <c r="H1065" s="26">
        <f>H1066</f>
        <v>0</v>
      </c>
      <c r="I1065" s="204"/>
    </row>
    <row r="1066" spans="1:9" ht="31.5" hidden="1" x14ac:dyDescent="0.25">
      <c r="A1066" s="25" t="s">
        <v>133</v>
      </c>
      <c r="B1066" s="16">
        <v>910</v>
      </c>
      <c r="C1066" s="20" t="s">
        <v>118</v>
      </c>
      <c r="D1066" s="20" t="s">
        <v>213</v>
      </c>
      <c r="E1066" s="20" t="s">
        <v>992</v>
      </c>
      <c r="F1066" s="20" t="s">
        <v>134</v>
      </c>
      <c r="G1066" s="26">
        <v>0</v>
      </c>
      <c r="H1066" s="26">
        <v>0</v>
      </c>
      <c r="I1066" s="204"/>
    </row>
    <row r="1067" spans="1:9" ht="63" x14ac:dyDescent="0.25">
      <c r="A1067" s="23" t="s">
        <v>578</v>
      </c>
      <c r="B1067" s="19">
        <v>910</v>
      </c>
      <c r="C1067" s="24" t="s">
        <v>118</v>
      </c>
      <c r="D1067" s="24" t="s">
        <v>215</v>
      </c>
      <c r="E1067" s="24"/>
      <c r="F1067" s="24"/>
      <c r="G1067" s="21">
        <f>G1068</f>
        <v>5488</v>
      </c>
      <c r="H1067" s="21">
        <f>H1068</f>
        <v>5488</v>
      </c>
      <c r="I1067" s="204"/>
    </row>
    <row r="1068" spans="1:9" ht="31.5" x14ac:dyDescent="0.25">
      <c r="A1068" s="23" t="s">
        <v>917</v>
      </c>
      <c r="B1068" s="19">
        <v>910</v>
      </c>
      <c r="C1068" s="24" t="s">
        <v>118</v>
      </c>
      <c r="D1068" s="24" t="s">
        <v>215</v>
      </c>
      <c r="E1068" s="24" t="s">
        <v>858</v>
      </c>
      <c r="F1068" s="24"/>
      <c r="G1068" s="21">
        <f>G1069</f>
        <v>5488</v>
      </c>
      <c r="H1068" s="21">
        <f>H1069</f>
        <v>5488</v>
      </c>
      <c r="I1068" s="204"/>
    </row>
    <row r="1069" spans="1:9" ht="31.5" x14ac:dyDescent="0.25">
      <c r="A1069" s="23" t="s">
        <v>986</v>
      </c>
      <c r="B1069" s="19">
        <v>910</v>
      </c>
      <c r="C1069" s="24" t="s">
        <v>118</v>
      </c>
      <c r="D1069" s="24" t="s">
        <v>215</v>
      </c>
      <c r="E1069" s="24" t="s">
        <v>987</v>
      </c>
      <c r="F1069" s="24"/>
      <c r="G1069" s="21">
        <f>G1075+G1080+G1070</f>
        <v>5488</v>
      </c>
      <c r="H1069" s="21">
        <f>H1075+H1080+H1070</f>
        <v>5488</v>
      </c>
      <c r="I1069" s="204"/>
    </row>
    <row r="1070" spans="1:9" s="203" customFormat="1" ht="47.25" x14ac:dyDescent="0.25">
      <c r="A1070" s="291" t="s">
        <v>1363</v>
      </c>
      <c r="B1070" s="16">
        <v>910</v>
      </c>
      <c r="C1070" s="20" t="s">
        <v>118</v>
      </c>
      <c r="D1070" s="20" t="s">
        <v>215</v>
      </c>
      <c r="E1070" s="20" t="s">
        <v>1401</v>
      </c>
      <c r="F1070" s="24"/>
      <c r="G1070" s="26">
        <f>G1071+G1073</f>
        <v>4247.6000000000004</v>
      </c>
      <c r="H1070" s="26">
        <f>H1071+H1073</f>
        <v>4247.6000000000004</v>
      </c>
      <c r="I1070" s="204"/>
    </row>
    <row r="1071" spans="1:9" s="203" customFormat="1" ht="78.75" x14ac:dyDescent="0.25">
      <c r="A1071" s="25" t="s">
        <v>127</v>
      </c>
      <c r="B1071" s="16">
        <v>910</v>
      </c>
      <c r="C1071" s="20" t="s">
        <v>118</v>
      </c>
      <c r="D1071" s="20" t="s">
        <v>215</v>
      </c>
      <c r="E1071" s="20" t="s">
        <v>1401</v>
      </c>
      <c r="F1071" s="20" t="s">
        <v>128</v>
      </c>
      <c r="G1071" s="26">
        <f>G1072</f>
        <v>4154.6000000000004</v>
      </c>
      <c r="H1071" s="26">
        <f>H1072</f>
        <v>4154.6000000000004</v>
      </c>
      <c r="I1071" s="204"/>
    </row>
    <row r="1072" spans="1:9" s="203" customFormat="1" ht="31.5" x14ac:dyDescent="0.25">
      <c r="A1072" s="25" t="s">
        <v>129</v>
      </c>
      <c r="B1072" s="16">
        <v>910</v>
      </c>
      <c r="C1072" s="20" t="s">
        <v>118</v>
      </c>
      <c r="D1072" s="20" t="s">
        <v>215</v>
      </c>
      <c r="E1072" s="20" t="s">
        <v>1401</v>
      </c>
      <c r="F1072" s="20" t="s">
        <v>130</v>
      </c>
      <c r="G1072" s="26">
        <v>4154.6000000000004</v>
      </c>
      <c r="H1072" s="26">
        <f>G1072</f>
        <v>4154.6000000000004</v>
      </c>
      <c r="I1072" s="204"/>
    </row>
    <row r="1073" spans="1:9" s="203" customFormat="1" ht="31.5" x14ac:dyDescent="0.25">
      <c r="A1073" s="25" t="s">
        <v>198</v>
      </c>
      <c r="B1073" s="16">
        <v>910</v>
      </c>
      <c r="C1073" s="20" t="s">
        <v>118</v>
      </c>
      <c r="D1073" s="20" t="s">
        <v>215</v>
      </c>
      <c r="E1073" s="20" t="s">
        <v>1401</v>
      </c>
      <c r="F1073" s="20" t="s">
        <v>132</v>
      </c>
      <c r="G1073" s="26">
        <f>G1074</f>
        <v>93</v>
      </c>
      <c r="H1073" s="26">
        <f>H1074</f>
        <v>93</v>
      </c>
      <c r="I1073" s="204"/>
    </row>
    <row r="1074" spans="1:9" s="203" customFormat="1" ht="31.5" x14ac:dyDescent="0.25">
      <c r="A1074" s="25" t="s">
        <v>133</v>
      </c>
      <c r="B1074" s="16">
        <v>910</v>
      </c>
      <c r="C1074" s="20" t="s">
        <v>118</v>
      </c>
      <c r="D1074" s="20" t="s">
        <v>215</v>
      </c>
      <c r="E1074" s="20" t="s">
        <v>1401</v>
      </c>
      <c r="F1074" s="20" t="s">
        <v>134</v>
      </c>
      <c r="G1074" s="26">
        <v>93</v>
      </c>
      <c r="H1074" s="26">
        <f>G1074</f>
        <v>93</v>
      </c>
      <c r="I1074" s="204"/>
    </row>
    <row r="1075" spans="1:9" ht="31.5" x14ac:dyDescent="0.25">
      <c r="A1075" s="25" t="s">
        <v>990</v>
      </c>
      <c r="B1075" s="16">
        <v>910</v>
      </c>
      <c r="C1075" s="20" t="s">
        <v>118</v>
      </c>
      <c r="D1075" s="20" t="s">
        <v>215</v>
      </c>
      <c r="E1075" s="20" t="s">
        <v>991</v>
      </c>
      <c r="F1075" s="20"/>
      <c r="G1075" s="26">
        <f>G1076+G1078</f>
        <v>1240.4000000000001</v>
      </c>
      <c r="H1075" s="26">
        <f>H1076+H1078</f>
        <v>1240.4000000000001</v>
      </c>
      <c r="I1075" s="204"/>
    </row>
    <row r="1076" spans="1:9" ht="78.75" x14ac:dyDescent="0.25">
      <c r="A1076" s="25" t="s">
        <v>127</v>
      </c>
      <c r="B1076" s="16">
        <v>910</v>
      </c>
      <c r="C1076" s="20" t="s">
        <v>118</v>
      </c>
      <c r="D1076" s="20" t="s">
        <v>215</v>
      </c>
      <c r="E1076" s="20" t="s">
        <v>991</v>
      </c>
      <c r="F1076" s="20" t="s">
        <v>128</v>
      </c>
      <c r="G1076" s="26">
        <f>G1077</f>
        <v>1240.4000000000001</v>
      </c>
      <c r="H1076" s="26">
        <f>H1077</f>
        <v>1240.4000000000001</v>
      </c>
      <c r="I1076" s="204"/>
    </row>
    <row r="1077" spans="1:9" ht="31.5" x14ac:dyDescent="0.25">
      <c r="A1077" s="25" t="s">
        <v>129</v>
      </c>
      <c r="B1077" s="16">
        <v>910</v>
      </c>
      <c r="C1077" s="20" t="s">
        <v>118</v>
      </c>
      <c r="D1077" s="20" t="s">
        <v>215</v>
      </c>
      <c r="E1077" s="20" t="s">
        <v>991</v>
      </c>
      <c r="F1077" s="20" t="s">
        <v>130</v>
      </c>
      <c r="G1077" s="26">
        <v>1240.4000000000001</v>
      </c>
      <c r="H1077" s="26">
        <f t="shared" si="96"/>
        <v>1240.4000000000001</v>
      </c>
      <c r="I1077" s="204"/>
    </row>
    <row r="1078" spans="1:9" ht="31.5" hidden="1" x14ac:dyDescent="0.25">
      <c r="A1078" s="25" t="s">
        <v>198</v>
      </c>
      <c r="B1078" s="16">
        <v>910</v>
      </c>
      <c r="C1078" s="20" t="s">
        <v>118</v>
      </c>
      <c r="D1078" s="20" t="s">
        <v>215</v>
      </c>
      <c r="E1078" s="20" t="s">
        <v>991</v>
      </c>
      <c r="F1078" s="20" t="s">
        <v>132</v>
      </c>
      <c r="G1078" s="26">
        <f>G1079</f>
        <v>0</v>
      </c>
      <c r="H1078" s="26">
        <f>H1079</f>
        <v>0</v>
      </c>
      <c r="I1078" s="204"/>
    </row>
    <row r="1079" spans="1:9" ht="31.5" hidden="1" x14ac:dyDescent="0.25">
      <c r="A1079" s="25" t="s">
        <v>133</v>
      </c>
      <c r="B1079" s="16">
        <v>910</v>
      </c>
      <c r="C1079" s="20" t="s">
        <v>118</v>
      </c>
      <c r="D1079" s="20" t="s">
        <v>215</v>
      </c>
      <c r="E1079" s="20" t="s">
        <v>991</v>
      </c>
      <c r="F1079" s="20" t="s">
        <v>134</v>
      </c>
      <c r="G1079" s="26">
        <v>0</v>
      </c>
      <c r="H1079" s="26">
        <f t="shared" si="96"/>
        <v>0</v>
      </c>
      <c r="I1079" s="204"/>
    </row>
    <row r="1080" spans="1:9" ht="47.25" hidden="1" x14ac:dyDescent="0.25">
      <c r="A1080" s="25" t="s">
        <v>839</v>
      </c>
      <c r="B1080" s="16">
        <v>910</v>
      </c>
      <c r="C1080" s="20" t="s">
        <v>118</v>
      </c>
      <c r="D1080" s="20" t="s">
        <v>215</v>
      </c>
      <c r="E1080" s="20" t="s">
        <v>989</v>
      </c>
      <c r="F1080" s="20"/>
      <c r="G1080" s="26">
        <f>'Пр.4 ведом.22'!G1168</f>
        <v>0</v>
      </c>
      <c r="H1080" s="26">
        <f t="shared" si="96"/>
        <v>0</v>
      </c>
      <c r="I1080" s="204"/>
    </row>
    <row r="1081" spans="1:9" ht="78.75" hidden="1" x14ac:dyDescent="0.25">
      <c r="A1081" s="25" t="s">
        <v>127</v>
      </c>
      <c r="B1081" s="16">
        <v>910</v>
      </c>
      <c r="C1081" s="20" t="s">
        <v>118</v>
      </c>
      <c r="D1081" s="20" t="s">
        <v>215</v>
      </c>
      <c r="E1081" s="20" t="s">
        <v>989</v>
      </c>
      <c r="F1081" s="20" t="s">
        <v>128</v>
      </c>
      <c r="G1081" s="26">
        <f>'Пр.4 ведом.22'!G1169</f>
        <v>0</v>
      </c>
      <c r="H1081" s="26">
        <f t="shared" si="96"/>
        <v>0</v>
      </c>
      <c r="I1081" s="204"/>
    </row>
    <row r="1082" spans="1:9" ht="31.5" hidden="1" x14ac:dyDescent="0.25">
      <c r="A1082" s="25" t="s">
        <v>129</v>
      </c>
      <c r="B1082" s="16">
        <v>910</v>
      </c>
      <c r="C1082" s="20" t="s">
        <v>118</v>
      </c>
      <c r="D1082" s="20" t="s">
        <v>215</v>
      </c>
      <c r="E1082" s="20" t="s">
        <v>989</v>
      </c>
      <c r="F1082" s="20" t="s">
        <v>130</v>
      </c>
      <c r="G1082" s="26">
        <f>'Пр.4 ведом.22'!G1170</f>
        <v>0</v>
      </c>
      <c r="H1082" s="26">
        <f t="shared" si="96"/>
        <v>0</v>
      </c>
      <c r="I1082" s="204"/>
    </row>
    <row r="1083" spans="1:9" ht="47.25" x14ac:dyDescent="0.25">
      <c r="A1083" s="23" t="s">
        <v>119</v>
      </c>
      <c r="B1083" s="19">
        <v>910</v>
      </c>
      <c r="C1083" s="24" t="s">
        <v>118</v>
      </c>
      <c r="D1083" s="24" t="s">
        <v>120</v>
      </c>
      <c r="E1083" s="24"/>
      <c r="F1083" s="24"/>
      <c r="G1083" s="21">
        <f>G1084</f>
        <v>1798.5</v>
      </c>
      <c r="H1083" s="21">
        <f>H1084</f>
        <v>1798.5</v>
      </c>
      <c r="I1083" s="204"/>
    </row>
    <row r="1084" spans="1:9" ht="31.5" x14ac:dyDescent="0.25">
      <c r="A1084" s="23" t="s">
        <v>917</v>
      </c>
      <c r="B1084" s="19">
        <v>910</v>
      </c>
      <c r="C1084" s="24" t="s">
        <v>118</v>
      </c>
      <c r="D1084" s="24" t="s">
        <v>120</v>
      </c>
      <c r="E1084" s="24" t="s">
        <v>858</v>
      </c>
      <c r="F1084" s="24"/>
      <c r="G1084" s="21">
        <f>G1085</f>
        <v>1798.5</v>
      </c>
      <c r="H1084" s="21">
        <f>H1085</f>
        <v>1798.5</v>
      </c>
      <c r="I1084" s="204"/>
    </row>
    <row r="1085" spans="1:9" ht="31.5" x14ac:dyDescent="0.25">
      <c r="A1085" s="23" t="s">
        <v>986</v>
      </c>
      <c r="B1085" s="19">
        <v>910</v>
      </c>
      <c r="C1085" s="24" t="s">
        <v>118</v>
      </c>
      <c r="D1085" s="24" t="s">
        <v>120</v>
      </c>
      <c r="E1085" s="24" t="s">
        <v>987</v>
      </c>
      <c r="F1085" s="24"/>
      <c r="G1085" s="21">
        <f>G1086+G1091</f>
        <v>1798.5</v>
      </c>
      <c r="H1085" s="21">
        <f>H1086+H1091</f>
        <v>1798.5</v>
      </c>
      <c r="I1085" s="204"/>
    </row>
    <row r="1086" spans="1:9" ht="31.5" x14ac:dyDescent="0.25">
      <c r="A1086" s="25" t="s">
        <v>897</v>
      </c>
      <c r="B1086" s="16">
        <v>910</v>
      </c>
      <c r="C1086" s="20" t="s">
        <v>118</v>
      </c>
      <c r="D1086" s="20" t="s">
        <v>120</v>
      </c>
      <c r="E1086" s="20" t="s">
        <v>991</v>
      </c>
      <c r="F1086" s="20"/>
      <c r="G1086" s="26">
        <f>G1087+G1089</f>
        <v>1752.5</v>
      </c>
      <c r="H1086" s="26">
        <f>H1087+H1089</f>
        <v>1752.5</v>
      </c>
      <c r="I1086" s="204"/>
    </row>
    <row r="1087" spans="1:9" ht="78.75" x14ac:dyDescent="0.25">
      <c r="A1087" s="25" t="s">
        <v>127</v>
      </c>
      <c r="B1087" s="16">
        <v>910</v>
      </c>
      <c r="C1087" s="20" t="s">
        <v>118</v>
      </c>
      <c r="D1087" s="20" t="s">
        <v>120</v>
      </c>
      <c r="E1087" s="20" t="s">
        <v>991</v>
      </c>
      <c r="F1087" s="20" t="s">
        <v>128</v>
      </c>
      <c r="G1087" s="26">
        <f>G1088</f>
        <v>1734.5</v>
      </c>
      <c r="H1087" s="26">
        <f>H1088</f>
        <v>1734.5</v>
      </c>
      <c r="I1087" s="204"/>
    </row>
    <row r="1088" spans="1:9" ht="31.5" x14ac:dyDescent="0.25">
      <c r="A1088" s="25" t="s">
        <v>129</v>
      </c>
      <c r="B1088" s="16">
        <v>910</v>
      </c>
      <c r="C1088" s="20" t="s">
        <v>118</v>
      </c>
      <c r="D1088" s="20" t="s">
        <v>120</v>
      </c>
      <c r="E1088" s="20" t="s">
        <v>991</v>
      </c>
      <c r="F1088" s="20" t="s">
        <v>130</v>
      </c>
      <c r="G1088" s="26">
        <v>1734.5</v>
      </c>
      <c r="H1088" s="26">
        <f t="shared" si="96"/>
        <v>1734.5</v>
      </c>
      <c r="I1088" s="204"/>
    </row>
    <row r="1089" spans="1:41" ht="31.5" x14ac:dyDescent="0.25">
      <c r="A1089" s="25" t="s">
        <v>198</v>
      </c>
      <c r="B1089" s="16">
        <v>910</v>
      </c>
      <c r="C1089" s="20" t="s">
        <v>118</v>
      </c>
      <c r="D1089" s="20" t="s">
        <v>120</v>
      </c>
      <c r="E1089" s="20" t="s">
        <v>991</v>
      </c>
      <c r="F1089" s="20" t="s">
        <v>132</v>
      </c>
      <c r="G1089" s="26">
        <f>G1090</f>
        <v>18</v>
      </c>
      <c r="H1089" s="26">
        <f>H1090</f>
        <v>18</v>
      </c>
      <c r="I1089" s="204"/>
    </row>
    <row r="1090" spans="1:41" ht="34.700000000000003" customHeight="1" x14ac:dyDescent="0.25">
      <c r="A1090" s="25" t="s">
        <v>133</v>
      </c>
      <c r="B1090" s="16">
        <v>910</v>
      </c>
      <c r="C1090" s="20" t="s">
        <v>118</v>
      </c>
      <c r="D1090" s="20" t="s">
        <v>120</v>
      </c>
      <c r="E1090" s="20" t="s">
        <v>991</v>
      </c>
      <c r="F1090" s="20" t="s">
        <v>134</v>
      </c>
      <c r="G1090" s="26">
        <f>18</f>
        <v>18</v>
      </c>
      <c r="H1090" s="26">
        <f t="shared" si="96"/>
        <v>18</v>
      </c>
      <c r="I1090" s="204"/>
    </row>
    <row r="1091" spans="1:41" ht="47.25" x14ac:dyDescent="0.25">
      <c r="A1091" s="25" t="s">
        <v>839</v>
      </c>
      <c r="B1091" s="16">
        <v>910</v>
      </c>
      <c r="C1091" s="20" t="s">
        <v>118</v>
      </c>
      <c r="D1091" s="20" t="s">
        <v>120</v>
      </c>
      <c r="E1091" s="20" t="s">
        <v>989</v>
      </c>
      <c r="F1091" s="20"/>
      <c r="G1091" s="26">
        <f>G1092</f>
        <v>46</v>
      </c>
      <c r="H1091" s="26">
        <f>H1092</f>
        <v>46</v>
      </c>
      <c r="I1091" s="204"/>
    </row>
    <row r="1092" spans="1:41" ht="78.75" x14ac:dyDescent="0.25">
      <c r="A1092" s="25" t="s">
        <v>127</v>
      </c>
      <c r="B1092" s="16">
        <v>910</v>
      </c>
      <c r="C1092" s="20" t="s">
        <v>118</v>
      </c>
      <c r="D1092" s="20" t="s">
        <v>120</v>
      </c>
      <c r="E1092" s="20" t="s">
        <v>989</v>
      </c>
      <c r="F1092" s="20" t="s">
        <v>128</v>
      </c>
      <c r="G1092" s="26">
        <f>G1093</f>
        <v>46</v>
      </c>
      <c r="H1092" s="26">
        <f>H1093</f>
        <v>46</v>
      </c>
      <c r="I1092" s="204"/>
    </row>
    <row r="1093" spans="1:41" ht="31.5" x14ac:dyDescent="0.25">
      <c r="A1093" s="25" t="s">
        <v>129</v>
      </c>
      <c r="B1093" s="16">
        <v>910</v>
      </c>
      <c r="C1093" s="20" t="s">
        <v>118</v>
      </c>
      <c r="D1093" s="20" t="s">
        <v>120</v>
      </c>
      <c r="E1093" s="20" t="s">
        <v>989</v>
      </c>
      <c r="F1093" s="20" t="s">
        <v>130</v>
      </c>
      <c r="G1093" s="26">
        <v>46</v>
      </c>
      <c r="H1093" s="26">
        <f t="shared" si="96"/>
        <v>46</v>
      </c>
      <c r="I1093" s="204"/>
    </row>
    <row r="1094" spans="1:41" ht="15.75" x14ac:dyDescent="0.25">
      <c r="A1094" s="48" t="s">
        <v>587</v>
      </c>
      <c r="B1094" s="48"/>
      <c r="C1094" s="24"/>
      <c r="D1094" s="24"/>
      <c r="E1094" s="24"/>
      <c r="F1094" s="24"/>
      <c r="G1094" s="394">
        <f>G1046+G831+G756+G537+G488+G242+G31+G10+G9</f>
        <v>736200.59999999986</v>
      </c>
      <c r="H1094" s="394">
        <f>H1046+H831+H756+H537+H488+H242+H31+H10+H9</f>
        <v>777187.39999999991</v>
      </c>
      <c r="I1094" s="204"/>
      <c r="N1094" s="742" t="s">
        <v>1542</v>
      </c>
      <c r="O1094" s="742"/>
      <c r="P1094" s="742"/>
      <c r="Q1094" s="742"/>
      <c r="R1094" s="742"/>
      <c r="S1094" s="742"/>
      <c r="T1094" s="742"/>
      <c r="U1094" s="742"/>
      <c r="V1094" s="742"/>
      <c r="W1094" s="742"/>
      <c r="X1094" s="742" t="s">
        <v>1543</v>
      </c>
      <c r="Y1094" s="742"/>
      <c r="Z1094" s="742"/>
      <c r="AA1094" s="742"/>
      <c r="AB1094" s="742"/>
      <c r="AC1094" s="742"/>
      <c r="AD1094" s="742"/>
      <c r="AE1094" s="742"/>
      <c r="AF1094" s="742"/>
      <c r="AG1094" s="742"/>
      <c r="AH1094" s="422"/>
      <c r="AI1094" s="422"/>
      <c r="AJ1094" s="422"/>
    </row>
    <row r="1095" spans="1:41" ht="48" x14ac:dyDescent="0.25">
      <c r="A1095" s="50"/>
      <c r="B1095" s="50"/>
      <c r="C1095" s="50"/>
      <c r="D1095" s="50"/>
      <c r="E1095" s="360" t="e">
        <f>G1096-G1095</f>
        <v>#REF!</v>
      </c>
      <c r="F1095" s="50"/>
      <c r="G1095" s="399">
        <f>'Пр.1.1. дох.22-23'!C157</f>
        <v>498322.47399999999</v>
      </c>
      <c r="H1095" s="399">
        <f>'Пр.1.1. дох.22-23'!D157</f>
        <v>508033.83399999997</v>
      </c>
      <c r="L1095" s="230" t="e">
        <f>H1096-H1095</f>
        <v>#REF!</v>
      </c>
      <c r="M1095" s="204"/>
      <c r="N1095" s="324" t="s">
        <v>1280</v>
      </c>
      <c r="O1095" s="324" t="s">
        <v>1281</v>
      </c>
      <c r="P1095" s="324" t="s">
        <v>1282</v>
      </c>
      <c r="Q1095" s="324" t="s">
        <v>1283</v>
      </c>
      <c r="R1095" s="324" t="s">
        <v>1333</v>
      </c>
      <c r="S1095" s="324" t="s">
        <v>1409</v>
      </c>
      <c r="T1095" s="324" t="s">
        <v>1477</v>
      </c>
      <c r="U1095" s="324" t="s">
        <v>1478</v>
      </c>
      <c r="V1095" s="324" t="s">
        <v>1479</v>
      </c>
      <c r="W1095" s="324" t="s">
        <v>1483</v>
      </c>
      <c r="X1095" s="420" t="s">
        <v>1280</v>
      </c>
      <c r="Y1095" s="420" t="s">
        <v>1281</v>
      </c>
      <c r="Z1095" s="420" t="s">
        <v>1282</v>
      </c>
      <c r="AA1095" s="420" t="s">
        <v>1283</v>
      </c>
      <c r="AB1095" s="420" t="s">
        <v>1333</v>
      </c>
      <c r="AC1095" s="420" t="s">
        <v>1409</v>
      </c>
      <c r="AD1095" s="420" t="s">
        <v>1477</v>
      </c>
      <c r="AE1095" s="420" t="s">
        <v>1478</v>
      </c>
      <c r="AF1095" s="420" t="s">
        <v>1479</v>
      </c>
      <c r="AG1095" s="420" t="s">
        <v>1483</v>
      </c>
    </row>
    <row r="1096" spans="1:41" ht="18.75" x14ac:dyDescent="0.3">
      <c r="A1096" s="50"/>
      <c r="B1096" s="50"/>
      <c r="C1096" s="51"/>
      <c r="D1096" s="51"/>
      <c r="E1096" s="51"/>
      <c r="F1096" s="101" t="s">
        <v>588</v>
      </c>
      <c r="G1096" s="395" t="e">
        <f>G1094-G1097</f>
        <v>#REF!</v>
      </c>
      <c r="H1096" s="395" t="e">
        <f>H1094-H1097</f>
        <v>#REF!</v>
      </c>
      <c r="L1096" s="204"/>
      <c r="M1096" s="321" t="s">
        <v>588</v>
      </c>
      <c r="N1096" s="323">
        <v>500</v>
      </c>
      <c r="O1096" s="323">
        <v>0</v>
      </c>
      <c r="P1096" s="323">
        <f>300</f>
        <v>300</v>
      </c>
      <c r="Q1096" s="350">
        <f>Q1097*100/90.9-Q1097</f>
        <v>26.809460946094589</v>
      </c>
      <c r="R1096" s="323">
        <v>0</v>
      </c>
      <c r="S1096" s="323">
        <v>222.05</v>
      </c>
      <c r="T1096" s="323"/>
      <c r="U1096" s="423"/>
      <c r="V1096" s="423">
        <v>0</v>
      </c>
      <c r="W1096" s="350">
        <v>71.75</v>
      </c>
      <c r="X1096" s="421">
        <v>500</v>
      </c>
      <c r="Y1096" s="421">
        <v>0</v>
      </c>
      <c r="Z1096" s="421">
        <v>1500</v>
      </c>
      <c r="AA1096" s="424">
        <f>AA1097*100/90.9-AA1097</f>
        <v>26.308910891089056</v>
      </c>
      <c r="AB1096" s="421">
        <v>0</v>
      </c>
      <c r="AC1096" s="424">
        <v>210.85</v>
      </c>
      <c r="AD1096" s="421"/>
      <c r="AE1096" s="425"/>
      <c r="AF1096" s="425"/>
      <c r="AG1096" s="424">
        <v>96</v>
      </c>
    </row>
    <row r="1097" spans="1:41" ht="18.75" x14ac:dyDescent="0.3">
      <c r="A1097" s="50"/>
      <c r="B1097" s="50"/>
      <c r="C1097" s="51"/>
      <c r="D1097" s="51"/>
      <c r="E1097" s="51"/>
      <c r="F1097" s="101" t="s">
        <v>589</v>
      </c>
      <c r="G1097" s="395" t="e">
        <f>G70+G198+G207+G236+G317+G378+G449+G517+G555+G615+G697+G726+G789+G991+G998+G902+G110+G1064+G596+G503+G231+G393+G534+G103+G672-N1096-O1096-P1096-Q1096-R1096+G676+G400-S1096+G51+G668+G677-W1096+G723+G663+G659+G655+G589+G390+G282+G248+G228+G215+G195+G107+G46-T1096-U1096-V1096-N1103-O1103-P1103-Q1103-R1103-S1103-T1103-U1103-V1103-W1103-X1103-Y1103-Z1103-AA1103</f>
        <v>#REF!</v>
      </c>
      <c r="H1097" s="395" t="e">
        <f>H70+H198+H207+H236+H317+H378+H449+H517+H555+H615+H697+H726+H789+H991+H998+H902+H110+H1064+H596+H503+H231+H393+H534+H103+H672+H676+H400+H51+H668+H677+H723+H663+H659+H655+H589+H390+H282+H248+H228+H215+H195+H107+H46-X1096-Y1096-Z1096-AA1096-AB1096-AC1096-AD1096-AE1096-AF1096-AG1096-AB1103-AC1103-AD1103-AE1103-AF1103-AG1103-AH1103-AI1103-AJ1103-AK1103-AL1103-AM1103-AN1103-AO1103</f>
        <v>#REF!</v>
      </c>
      <c r="I1097" s="209">
        <v>267446.40000000002</v>
      </c>
      <c r="J1097">
        <v>260319.2</v>
      </c>
      <c r="L1097" s="204"/>
      <c r="M1097" s="322" t="s">
        <v>1482</v>
      </c>
      <c r="N1097" s="323">
        <v>0</v>
      </c>
      <c r="O1097" s="323">
        <v>0</v>
      </c>
      <c r="P1097" s="323">
        <v>0</v>
      </c>
      <c r="Q1097" s="323">
        <f>238.3+29.5</f>
        <v>267.8</v>
      </c>
      <c r="R1097" s="323">
        <v>0</v>
      </c>
      <c r="S1097" s="323">
        <f>4622.3+571.3</f>
        <v>5193.6000000000004</v>
      </c>
      <c r="T1097" s="423"/>
      <c r="U1097" s="423"/>
      <c r="V1097" s="423">
        <v>0</v>
      </c>
      <c r="W1097" s="323">
        <f>1644.1+33.6</f>
        <v>1677.6999999999998</v>
      </c>
      <c r="X1097" s="421">
        <v>0</v>
      </c>
      <c r="Y1097" s="421">
        <v>0</v>
      </c>
      <c r="Z1097" s="421">
        <v>0</v>
      </c>
      <c r="AA1097" s="421">
        <f>233.9+28.9</f>
        <v>262.8</v>
      </c>
      <c r="AB1097" s="421">
        <v>0</v>
      </c>
      <c r="AC1097" s="421">
        <f>4389.1+542.5</f>
        <v>4931.6000000000004</v>
      </c>
      <c r="AD1097" s="425">
        <f>пр.1дох.22!M63</f>
        <v>0</v>
      </c>
      <c r="AE1097" s="425"/>
      <c r="AF1097" s="425"/>
      <c r="AG1097" s="421">
        <f>2200+45</f>
        <v>2245</v>
      </c>
    </row>
    <row r="1098" spans="1:41" ht="15.75" x14ac:dyDescent="0.25">
      <c r="A1098" s="50"/>
      <c r="B1098" s="50"/>
      <c r="C1098" s="51"/>
      <c r="D1098" s="53"/>
      <c r="E1098" s="53"/>
      <c r="F1098" s="53"/>
      <c r="G1098" s="400">
        <f>'Пр.1.1. дох.22-23'!C156</f>
        <v>235405.3</v>
      </c>
      <c r="H1098" s="400">
        <f>'Пр.1.1. дох.22-23'!D156</f>
        <v>266174.49999999994</v>
      </c>
      <c r="I1098" s="232" t="e">
        <f>I1097-G1097</f>
        <v>#REF!</v>
      </c>
      <c r="J1098" s="232" t="e">
        <f>J1097-H1097</f>
        <v>#REF!</v>
      </c>
      <c r="L1098" s="230"/>
      <c r="M1098" s="230"/>
      <c r="N1098" s="426" t="s">
        <v>1285</v>
      </c>
      <c r="O1098" s="426" t="s">
        <v>1286</v>
      </c>
      <c r="P1098" s="426" t="s">
        <v>1287</v>
      </c>
      <c r="Q1098" s="426" t="s">
        <v>1288</v>
      </c>
      <c r="R1098" s="426" t="s">
        <v>1287</v>
      </c>
      <c r="S1098" s="426" t="s">
        <v>1408</v>
      </c>
      <c r="T1098" s="426" t="s">
        <v>1408</v>
      </c>
      <c r="U1098" s="349" t="s">
        <v>1408</v>
      </c>
      <c r="V1098" s="426" t="s">
        <v>1480</v>
      </c>
      <c r="W1098" s="426" t="s">
        <v>1408</v>
      </c>
      <c r="X1098" s="426" t="s">
        <v>1285</v>
      </c>
      <c r="Y1098" s="426" t="s">
        <v>1286</v>
      </c>
      <c r="Z1098" s="426" t="s">
        <v>1287</v>
      </c>
      <c r="AA1098" s="426" t="s">
        <v>1288</v>
      </c>
      <c r="AB1098" s="426" t="s">
        <v>1287</v>
      </c>
      <c r="AC1098" s="426" t="s">
        <v>1408</v>
      </c>
      <c r="AD1098" s="426" t="s">
        <v>1408</v>
      </c>
      <c r="AE1098" s="349" t="s">
        <v>1408</v>
      </c>
      <c r="AF1098" s="426" t="s">
        <v>1480</v>
      </c>
      <c r="AG1098" s="426" t="s">
        <v>1408</v>
      </c>
    </row>
    <row r="1099" spans="1:41" ht="15.75" x14ac:dyDescent="0.25">
      <c r="A1099" s="50"/>
      <c r="B1099" s="50"/>
      <c r="C1099" s="51"/>
      <c r="D1099" s="53"/>
      <c r="E1099" s="53"/>
      <c r="F1099" s="53"/>
      <c r="G1099" s="400" t="e">
        <f>G1097-G1098</f>
        <v>#REF!</v>
      </c>
      <c r="H1099" s="400" t="e">
        <f>H1097-H1098</f>
        <v>#REF!</v>
      </c>
    </row>
    <row r="1100" spans="1:41" ht="15.75" x14ac:dyDescent="0.25">
      <c r="A1100" s="50"/>
      <c r="B1100" s="50"/>
      <c r="C1100" s="51"/>
      <c r="D1100" s="53"/>
      <c r="E1100" s="53"/>
      <c r="F1100" s="398" t="s">
        <v>674</v>
      </c>
      <c r="G1100" s="400">
        <f>'Пр.1.1. дох.22-23'!C155-'пр.4.1. рдпр 22-23'!D51</f>
        <v>-2452.1978500001132</v>
      </c>
      <c r="H1100" s="400">
        <f>'Пр.1.1. дох.22-23'!D155-'пр.4.1. рдпр 22-23'!E51</f>
        <v>-2979.0659999999916</v>
      </c>
    </row>
    <row r="1101" spans="1:41" s="203" customFormat="1" ht="15.75" x14ac:dyDescent="0.25">
      <c r="A1101" s="50"/>
      <c r="B1101" s="50"/>
      <c r="C1101" s="51"/>
      <c r="D1101" s="53"/>
      <c r="E1101" s="53"/>
      <c r="F1101" s="53"/>
      <c r="G1101" s="102"/>
      <c r="H1101" s="102"/>
      <c r="M1101" s="204"/>
      <c r="N1101" s="735" t="s">
        <v>1544</v>
      </c>
      <c r="O1101" s="736"/>
      <c r="P1101" s="736"/>
      <c r="Q1101" s="736"/>
      <c r="R1101" s="736"/>
      <c r="S1101" s="736"/>
      <c r="T1101" s="736"/>
      <c r="U1101" s="736"/>
      <c r="V1101" s="736"/>
      <c r="W1101" s="736"/>
      <c r="X1101" s="736"/>
      <c r="Y1101" s="736"/>
      <c r="Z1101" s="736"/>
      <c r="AA1101" s="737"/>
      <c r="AB1101" s="743" t="s">
        <v>1545</v>
      </c>
      <c r="AC1101" s="743"/>
      <c r="AD1101" s="743"/>
      <c r="AE1101" s="743"/>
      <c r="AF1101" s="743"/>
      <c r="AG1101" s="743"/>
      <c r="AH1101" s="743"/>
      <c r="AI1101" s="743"/>
      <c r="AJ1101" s="743"/>
      <c r="AK1101" s="743"/>
      <c r="AL1101" s="743"/>
      <c r="AM1101" s="743"/>
      <c r="AN1101" s="743"/>
      <c r="AO1101" s="743"/>
    </row>
    <row r="1102" spans="1:41" ht="72" x14ac:dyDescent="0.25">
      <c r="A1102" s="50"/>
      <c r="B1102" s="50"/>
      <c r="E1102" s="54">
        <v>1</v>
      </c>
      <c r="F1102" s="53"/>
      <c r="G1102" s="102">
        <f>G10+G32+G243+G489+G538+G832+G1047+G757</f>
        <v>136707.41</v>
      </c>
      <c r="H1102" s="102">
        <f>H10+H32+H243+H489+H538+H832+H1047+H757</f>
        <v>123861.72</v>
      </c>
      <c r="M1102" s="204"/>
      <c r="N1102" s="355" t="s">
        <v>1485</v>
      </c>
      <c r="O1102" s="355" t="s">
        <v>1486</v>
      </c>
      <c r="P1102" s="355" t="s">
        <v>1488</v>
      </c>
      <c r="Q1102" s="355" t="s">
        <v>1489</v>
      </c>
      <c r="R1102" s="355" t="s">
        <v>1490</v>
      </c>
      <c r="S1102" s="355" t="s">
        <v>1491</v>
      </c>
      <c r="T1102" s="355" t="s">
        <v>1494</v>
      </c>
      <c r="U1102" s="355" t="s">
        <v>1496</v>
      </c>
      <c r="V1102" s="355" t="s">
        <v>1497</v>
      </c>
      <c r="W1102" s="355" t="s">
        <v>1498</v>
      </c>
      <c r="X1102" s="355" t="s">
        <v>1503</v>
      </c>
      <c r="Y1102" s="415" t="s">
        <v>1541</v>
      </c>
      <c r="Z1102" s="415" t="s">
        <v>1546</v>
      </c>
      <c r="AA1102" s="415" t="s">
        <v>1547</v>
      </c>
      <c r="AB1102" s="361" t="s">
        <v>1485</v>
      </c>
      <c r="AC1102" s="361" t="s">
        <v>1486</v>
      </c>
      <c r="AD1102" s="361" t="s">
        <v>1488</v>
      </c>
      <c r="AE1102" s="361" t="s">
        <v>1489</v>
      </c>
      <c r="AF1102" s="361" t="s">
        <v>1490</v>
      </c>
      <c r="AG1102" s="361" t="s">
        <v>1491</v>
      </c>
      <c r="AH1102" s="361" t="s">
        <v>1494</v>
      </c>
      <c r="AI1102" s="361" t="s">
        <v>1496</v>
      </c>
      <c r="AJ1102" s="361" t="s">
        <v>1497</v>
      </c>
      <c r="AK1102" s="361" t="s">
        <v>1498</v>
      </c>
      <c r="AL1102" s="361" t="s">
        <v>1503</v>
      </c>
      <c r="AM1102" s="361" t="s">
        <v>1541</v>
      </c>
      <c r="AN1102" s="361" t="s">
        <v>1546</v>
      </c>
      <c r="AO1102" s="361" t="s">
        <v>1547</v>
      </c>
    </row>
    <row r="1103" spans="1:41" ht="15.75" x14ac:dyDescent="0.25">
      <c r="A1103" s="50"/>
      <c r="B1103" s="50"/>
      <c r="E1103" s="54" t="s">
        <v>588</v>
      </c>
      <c r="F1103" s="53"/>
      <c r="G1103" s="102" t="e">
        <f>G1102-G1104</f>
        <v>#REF!</v>
      </c>
      <c r="H1103" s="102" t="e">
        <f>H1102-H1104</f>
        <v>#REF!</v>
      </c>
      <c r="M1103" s="319" t="s">
        <v>588</v>
      </c>
      <c r="N1103" s="356">
        <v>3.5</v>
      </c>
      <c r="O1103" s="356">
        <v>3584</v>
      </c>
      <c r="P1103" s="356">
        <v>2200</v>
      </c>
      <c r="Q1103" s="356">
        <v>0</v>
      </c>
      <c r="R1103" s="356">
        <v>868</v>
      </c>
      <c r="S1103" s="356">
        <v>124.4</v>
      </c>
      <c r="T1103" s="356">
        <v>0</v>
      </c>
      <c r="U1103" s="356">
        <v>678</v>
      </c>
      <c r="V1103" s="356">
        <v>19</v>
      </c>
      <c r="W1103" s="356">
        <v>1</v>
      </c>
      <c r="X1103" s="356">
        <v>60</v>
      </c>
      <c r="Y1103" s="356">
        <v>10</v>
      </c>
      <c r="Z1103" s="356">
        <v>150</v>
      </c>
      <c r="AA1103" s="356">
        <v>200</v>
      </c>
      <c r="AB1103" s="362">
        <v>3.5</v>
      </c>
      <c r="AC1103" s="362">
        <v>3584</v>
      </c>
      <c r="AD1103" s="362">
        <v>2200</v>
      </c>
      <c r="AE1103" s="362">
        <v>0</v>
      </c>
      <c r="AF1103" s="362">
        <v>868</v>
      </c>
      <c r="AG1103" s="362">
        <v>124.4</v>
      </c>
      <c r="AH1103" s="362">
        <v>0</v>
      </c>
      <c r="AI1103" s="362">
        <v>678</v>
      </c>
      <c r="AJ1103" s="362">
        <v>19</v>
      </c>
      <c r="AK1103" s="362">
        <v>1</v>
      </c>
      <c r="AL1103" s="362">
        <v>60</v>
      </c>
      <c r="AM1103" s="362">
        <v>10</v>
      </c>
      <c r="AN1103" s="362">
        <v>150</v>
      </c>
      <c r="AO1103" s="362">
        <v>500</v>
      </c>
    </row>
    <row r="1104" spans="1:41" ht="15.75" x14ac:dyDescent="0.25">
      <c r="A1104" s="50"/>
      <c r="B1104" s="50"/>
      <c r="E1104" s="54" t="s">
        <v>589</v>
      </c>
      <c r="F1104" s="53"/>
      <c r="G1104" s="102" t="e">
        <f>G1064+G517+G110+G70+G503-O1096+G105+G51-AA1103-W1103+G248+G107+G46</f>
        <v>#REF!</v>
      </c>
      <c r="H1104" s="102" t="e">
        <f>H1064+H517+H110+H70+H503-Y1096+H105+H51-AK1103-AO1103+H248+H107+H46</f>
        <v>#REF!</v>
      </c>
      <c r="M1104" s="320" t="s">
        <v>589</v>
      </c>
      <c r="N1104" s="356">
        <v>65.2</v>
      </c>
      <c r="O1104" s="356">
        <v>2161.1</v>
      </c>
      <c r="P1104" s="356">
        <v>1731.8</v>
      </c>
      <c r="Q1104" s="356">
        <v>0</v>
      </c>
      <c r="R1104" s="356">
        <v>516.6</v>
      </c>
      <c r="S1104" s="356">
        <v>173.3</v>
      </c>
      <c r="T1104" s="356">
        <v>1666.6</v>
      </c>
      <c r="U1104" s="356">
        <v>77.8</v>
      </c>
      <c r="V1104" s="356">
        <v>255</v>
      </c>
      <c r="W1104" s="356">
        <v>40</v>
      </c>
      <c r="X1104" s="356">
        <v>200</v>
      </c>
      <c r="Y1104" s="356">
        <v>0</v>
      </c>
      <c r="Z1104" s="356">
        <v>0</v>
      </c>
      <c r="AA1104" s="356">
        <v>0</v>
      </c>
      <c r="AB1104" s="362">
        <v>65.2</v>
      </c>
      <c r="AC1104" s="362">
        <v>2161.1</v>
      </c>
      <c r="AD1104" s="362">
        <v>1665.2</v>
      </c>
      <c r="AE1104" s="362">
        <v>0</v>
      </c>
      <c r="AF1104" s="362">
        <v>516.6</v>
      </c>
      <c r="AG1104" s="362">
        <v>173.3</v>
      </c>
      <c r="AH1104" s="362">
        <v>915</v>
      </c>
      <c r="AI1104" s="362">
        <v>81</v>
      </c>
      <c r="AJ1104" s="362">
        <v>255</v>
      </c>
      <c r="AK1104" s="362">
        <v>40</v>
      </c>
      <c r="AL1104" s="362">
        <v>200</v>
      </c>
      <c r="AM1104" s="362">
        <v>0</v>
      </c>
      <c r="AN1104" s="362">
        <v>0</v>
      </c>
      <c r="AO1104" s="362">
        <v>0</v>
      </c>
    </row>
    <row r="1105" spans="1:41" ht="15.75" x14ac:dyDescent="0.25">
      <c r="A1105" s="50"/>
      <c r="B1105" s="50"/>
      <c r="E1105" s="54">
        <v>2</v>
      </c>
      <c r="F1105" s="53"/>
      <c r="G1105" s="102">
        <f>G165</f>
        <v>0</v>
      </c>
      <c r="H1105" s="102">
        <f>H165</f>
        <v>0</v>
      </c>
      <c r="M1105" s="230"/>
      <c r="N1105" s="426" t="s">
        <v>1287</v>
      </c>
      <c r="O1105" s="426" t="s">
        <v>1487</v>
      </c>
      <c r="P1105" s="426" t="s">
        <v>1408</v>
      </c>
      <c r="Q1105" s="426" t="s">
        <v>1408</v>
      </c>
      <c r="R1105" s="426" t="s">
        <v>1408</v>
      </c>
      <c r="S1105" s="426" t="s">
        <v>1492</v>
      </c>
      <c r="T1105" s="426" t="s">
        <v>1495</v>
      </c>
      <c r="U1105" s="426" t="s">
        <v>1408</v>
      </c>
      <c r="V1105" s="426" t="s">
        <v>1499</v>
      </c>
      <c r="W1105" s="426" t="s">
        <v>1500</v>
      </c>
      <c r="X1105" s="426" t="s">
        <v>1502</v>
      </c>
      <c r="Y1105" s="426" t="s">
        <v>1288</v>
      </c>
      <c r="Z1105" s="426" t="s">
        <v>1502</v>
      </c>
      <c r="AA1105" s="426" t="s">
        <v>1286</v>
      </c>
      <c r="AB1105" s="416" t="s">
        <v>1287</v>
      </c>
      <c r="AC1105" s="426" t="s">
        <v>1487</v>
      </c>
      <c r="AD1105" s="426" t="s">
        <v>1408</v>
      </c>
      <c r="AE1105" s="416" t="s">
        <v>1408</v>
      </c>
      <c r="AF1105" s="416" t="s">
        <v>1408</v>
      </c>
      <c r="AG1105" s="426" t="s">
        <v>1492</v>
      </c>
      <c r="AH1105" s="416" t="s">
        <v>1492</v>
      </c>
      <c r="AI1105" s="416" t="s">
        <v>1408</v>
      </c>
      <c r="AJ1105" s="416" t="s">
        <v>1499</v>
      </c>
      <c r="AK1105" s="416" t="s">
        <v>1500</v>
      </c>
      <c r="AL1105" s="416" t="s">
        <v>1502</v>
      </c>
      <c r="AM1105" s="426" t="s">
        <v>1288</v>
      </c>
      <c r="AN1105" s="426" t="s">
        <v>1502</v>
      </c>
      <c r="AO1105" s="426" t="s">
        <v>1286</v>
      </c>
    </row>
    <row r="1106" spans="1:41" ht="15.75" x14ac:dyDescent="0.25">
      <c r="A1106" s="50"/>
      <c r="B1106" s="50"/>
      <c r="E1106" s="54">
        <v>3</v>
      </c>
      <c r="F1106" s="53"/>
      <c r="G1106" s="102">
        <f>G846+G172</f>
        <v>8197.1</v>
      </c>
      <c r="H1106" s="102">
        <f>H846+H172</f>
        <v>8197.1</v>
      </c>
    </row>
    <row r="1107" spans="1:41" ht="15.75" x14ac:dyDescent="0.25">
      <c r="A1107" s="50"/>
      <c r="B1107" s="50"/>
      <c r="E1107" s="54">
        <v>4</v>
      </c>
      <c r="F1107" s="53"/>
      <c r="G1107" s="102">
        <f>G191+G853+G273</f>
        <v>6525.2</v>
      </c>
      <c r="H1107" s="102">
        <f>H191+H853+H273</f>
        <v>6535.8</v>
      </c>
    </row>
    <row r="1108" spans="1:41" ht="15.75" x14ac:dyDescent="0.25">
      <c r="A1108" s="50"/>
      <c r="B1108" s="50"/>
      <c r="E1108" s="54" t="s">
        <v>588</v>
      </c>
      <c r="F1108" s="53"/>
      <c r="G1108" s="102">
        <f>G1107-G1109</f>
        <v>5806</v>
      </c>
      <c r="H1108" s="102">
        <f>H1107-H1109</f>
        <v>5806</v>
      </c>
    </row>
    <row r="1109" spans="1:41" ht="15.75" x14ac:dyDescent="0.25">
      <c r="A1109" s="50"/>
      <c r="B1109" s="50"/>
      <c r="E1109" s="54" t="s">
        <v>589</v>
      </c>
      <c r="F1109" s="53"/>
      <c r="G1109" s="102">
        <f>G207+G198-Z1103-X1103-V1103+G282+G215+G195</f>
        <v>719.2</v>
      </c>
      <c r="H1109" s="102">
        <f>H207+H198-AJ1103-AL1103-AN1103+H282+H215+H195</f>
        <v>729.8</v>
      </c>
    </row>
    <row r="1110" spans="1:41" ht="15.75" x14ac:dyDescent="0.25">
      <c r="A1110" s="50"/>
      <c r="B1110" s="50"/>
      <c r="E1110" s="54">
        <v>5</v>
      </c>
      <c r="F1110" s="53"/>
      <c r="G1110" s="102">
        <f>G874+G521</f>
        <v>41786.1</v>
      </c>
      <c r="H1110" s="102">
        <f>H874+H521</f>
        <v>49898.450000000004</v>
      </c>
    </row>
    <row r="1111" spans="1:41" ht="15.75" x14ac:dyDescent="0.25">
      <c r="A1111" s="50"/>
      <c r="B1111" s="50"/>
      <c r="E1111" s="54" t="s">
        <v>588</v>
      </c>
      <c r="F1111" s="53"/>
      <c r="G1111" s="102">
        <f>G1110-G1112</f>
        <v>41786.1</v>
      </c>
      <c r="H1111" s="102">
        <f>H1110-H1112</f>
        <v>49898.450000000004</v>
      </c>
    </row>
    <row r="1112" spans="1:41" ht="15.75" x14ac:dyDescent="0.25">
      <c r="A1112" s="50"/>
      <c r="B1112" s="50"/>
      <c r="E1112" s="54" t="s">
        <v>589</v>
      </c>
      <c r="F1112" s="53"/>
      <c r="G1112" s="102">
        <f>G902+G991+G1000+G880-N1096</f>
        <v>0</v>
      </c>
      <c r="H1112" s="102">
        <f>H902+H991+H1000+H880-X1096</f>
        <v>0</v>
      </c>
    </row>
    <row r="1113" spans="1:41" ht="15.75" x14ac:dyDescent="0.25">
      <c r="A1113" s="50"/>
      <c r="B1113" s="50"/>
      <c r="E1113" s="54">
        <v>7</v>
      </c>
      <c r="F1113" s="53"/>
      <c r="G1113" s="102">
        <f>G548+G293</f>
        <v>366206.80999999994</v>
      </c>
      <c r="H1113" s="102">
        <f>H548+H293</f>
        <v>389340.16000000003</v>
      </c>
    </row>
    <row r="1114" spans="1:41" ht="15.75" x14ac:dyDescent="0.25">
      <c r="A1114" s="50"/>
      <c r="B1114" s="50"/>
      <c r="E1114" s="54" t="s">
        <v>588</v>
      </c>
      <c r="F1114" s="53"/>
      <c r="G1114" s="102">
        <f>G1113-G1115</f>
        <v>142872.00999999992</v>
      </c>
      <c r="H1114" s="102">
        <f>H1113-H1115</f>
        <v>142988.55999999997</v>
      </c>
    </row>
    <row r="1115" spans="1:41" ht="15.75" x14ac:dyDescent="0.25">
      <c r="A1115" s="50"/>
      <c r="B1115" s="50"/>
      <c r="E1115" s="54" t="s">
        <v>589</v>
      </c>
      <c r="F1115" s="53"/>
      <c r="G1115" s="102">
        <f>G726+G697+G615+G555+G317+G596+G672+G676-S1096+G668-W1096+G680-T1096-U1096-O1103-P1103-Q1103-R1103-S1103-T1103-U1103+G723+G663+G659+G655+G589</f>
        <v>223334.80000000002</v>
      </c>
      <c r="H1115" s="102">
        <f>H726+H697+H615+H555+H317+H596+H672+H676-AC1096+H668-AG1096+H680-AD1096-AE1096-AC1103-AD1103-AE1103-AF1103-AG1103-AH1103-AI1103+H723+H663+H659+H655+H589</f>
        <v>246351.60000000006</v>
      </c>
    </row>
    <row r="1116" spans="1:41" ht="15.75" x14ac:dyDescent="0.25">
      <c r="A1116" s="50"/>
      <c r="B1116" s="50"/>
      <c r="E1116" s="54">
        <v>8</v>
      </c>
      <c r="F1116" s="53"/>
      <c r="G1116" s="102">
        <f>G357</f>
        <v>76411.28</v>
      </c>
      <c r="H1116" s="102">
        <f>H357</f>
        <v>77665.48</v>
      </c>
    </row>
    <row r="1117" spans="1:41" ht="15.75" x14ac:dyDescent="0.25">
      <c r="A1117" s="50"/>
      <c r="B1117" s="50"/>
      <c r="E1117" s="54" t="s">
        <v>588</v>
      </c>
      <c r="F1117" s="53"/>
      <c r="G1117" s="102">
        <f>G1116-G1118</f>
        <v>73904.08</v>
      </c>
      <c r="H1117" s="102">
        <f>H1116-H1118</f>
        <v>75158.28</v>
      </c>
    </row>
    <row r="1118" spans="1:41" ht="15.75" x14ac:dyDescent="0.25">
      <c r="A1118" s="50"/>
      <c r="B1118" s="50"/>
      <c r="E1118" s="54" t="s">
        <v>589</v>
      </c>
      <c r="F1118" s="53"/>
      <c r="G1118" s="102">
        <f>G378+G393+G400-P1096-R1096-N1103+G390</f>
        <v>2507.1999999999998</v>
      </c>
      <c r="H1118" s="102">
        <f>H378+H393+H400-Z1096-AB1096-AB1103+H390</f>
        <v>2507.1999999999998</v>
      </c>
    </row>
    <row r="1119" spans="1:41" ht="15.75" x14ac:dyDescent="0.25">
      <c r="A1119" s="50"/>
      <c r="B1119" s="50"/>
      <c r="E1119" s="54">
        <v>10</v>
      </c>
      <c r="F1119" s="53"/>
      <c r="G1119" s="102">
        <f>G1038+G445+G218+G531</f>
        <v>18033.41</v>
      </c>
      <c r="H1119" s="102">
        <f>H1038+H445+H218+H531</f>
        <v>26348.010000000002</v>
      </c>
    </row>
    <row r="1120" spans="1:41" ht="15.75" x14ac:dyDescent="0.25">
      <c r="A1120" s="50"/>
      <c r="B1120" s="50"/>
      <c r="E1120" s="54" t="s">
        <v>588</v>
      </c>
      <c r="F1120" s="53"/>
      <c r="G1120" s="102">
        <f>G1119-G1121</f>
        <v>11646.109460946094</v>
      </c>
      <c r="H1120" s="102">
        <f>H1119-H1121</f>
        <v>11675.608910891089</v>
      </c>
    </row>
    <row r="1121" spans="1:13" ht="15.75" x14ac:dyDescent="0.25">
      <c r="A1121" s="50"/>
      <c r="B1121" s="50"/>
      <c r="E1121" s="54" t="s">
        <v>589</v>
      </c>
      <c r="F1121" s="53"/>
      <c r="G1121" s="102">
        <f>G236+G450+G231-Q1096+G536-Y1103+G228</f>
        <v>6387.3005390539056</v>
      </c>
      <c r="H1121" s="102">
        <f>H236+H450+H231-AA1096+H536-AM1103+H228</f>
        <v>14672.401089108913</v>
      </c>
    </row>
    <row r="1122" spans="1:13" ht="15.75" x14ac:dyDescent="0.25">
      <c r="A1122" s="50"/>
      <c r="B1122" s="50"/>
      <c r="E1122" s="54">
        <v>11</v>
      </c>
      <c r="F1122" s="53"/>
      <c r="G1122" s="102">
        <f>G764</f>
        <v>63981.399999999994</v>
      </c>
      <c r="H1122" s="102">
        <f>H764</f>
        <v>64012.600000000006</v>
      </c>
    </row>
    <row r="1123" spans="1:13" ht="15.75" x14ac:dyDescent="0.25">
      <c r="A1123" s="50"/>
      <c r="B1123" s="50"/>
      <c r="E1123" s="54" t="s">
        <v>588</v>
      </c>
      <c r="F1123" s="53"/>
      <c r="G1123" s="102">
        <f>G1122-G1124</f>
        <v>63167.899999999994</v>
      </c>
      <c r="H1123" s="102">
        <f>H1122-H1124</f>
        <v>63199.100000000006</v>
      </c>
    </row>
    <row r="1124" spans="1:13" ht="15.75" x14ac:dyDescent="0.25">
      <c r="A1124" s="50"/>
      <c r="B1124" s="50"/>
      <c r="E1124" s="54" t="s">
        <v>589</v>
      </c>
      <c r="F1124" s="53"/>
      <c r="G1124" s="102">
        <f>G789</f>
        <v>813.5</v>
      </c>
      <c r="H1124" s="102">
        <f>H789</f>
        <v>813.5</v>
      </c>
    </row>
    <row r="1125" spans="1:13" ht="15.75" x14ac:dyDescent="0.25">
      <c r="A1125" s="50"/>
      <c r="B1125" s="50"/>
      <c r="E1125" s="54">
        <v>12</v>
      </c>
      <c r="F1125" s="53"/>
      <c r="G1125" s="102">
        <f>G468</f>
        <v>5873.2</v>
      </c>
      <c r="H1125" s="102">
        <f>H468</f>
        <v>5876.2</v>
      </c>
    </row>
    <row r="1126" spans="1:13" s="203" customFormat="1" ht="15.75" x14ac:dyDescent="0.25">
      <c r="A1126" s="50"/>
      <c r="B1126" s="50"/>
      <c r="E1126" s="54" t="s">
        <v>1413</v>
      </c>
      <c r="F1126" s="53"/>
      <c r="G1126" s="102">
        <f>G9</f>
        <v>12478.69</v>
      </c>
      <c r="H1126" s="102">
        <f>H9</f>
        <v>25451.88</v>
      </c>
    </row>
    <row r="1127" spans="1:13" ht="15.75" x14ac:dyDescent="0.25">
      <c r="A1127" s="50"/>
      <c r="B1127" s="50"/>
      <c r="E1127" s="55"/>
      <c r="F1127" s="53"/>
      <c r="G1127" s="396">
        <f>G1102+G1105+G1106+G1107+G1110+G1113+G1116+G1119+G1122+G1125+G1126</f>
        <v>736200.6</v>
      </c>
      <c r="H1127" s="396">
        <f>H1102+H1105+H1106+H1107+H1110+H1113+H1116+H1119+H1122+H1125+H1126</f>
        <v>777187.39999999991</v>
      </c>
    </row>
    <row r="1128" spans="1:13" ht="15.75" x14ac:dyDescent="0.25">
      <c r="A1128" s="50"/>
      <c r="B1128" s="50"/>
      <c r="E1128" s="54" t="s">
        <v>588</v>
      </c>
      <c r="F1128" s="53"/>
      <c r="G1128" s="396" t="e">
        <f>G1103+G1105+G1106+G1108+G1111+G1114+G1117+G1120+G1123+G1125+G1126</f>
        <v>#REF!</v>
      </c>
      <c r="H1128" s="396" t="e">
        <f>H1103+H1105+H1106+H1108+H1111+H1114+H1117+H1120+H1123+H1125+H1126</f>
        <v>#REF!</v>
      </c>
      <c r="L1128" s="225" t="e">
        <f>G1128-G1096</f>
        <v>#REF!</v>
      </c>
      <c r="M1128" s="225" t="e">
        <f>H1128-H1096</f>
        <v>#REF!</v>
      </c>
    </row>
    <row r="1129" spans="1:13" ht="15.75" x14ac:dyDescent="0.25">
      <c r="A1129" s="50"/>
      <c r="B1129" s="50"/>
      <c r="E1129" s="54" t="s">
        <v>589</v>
      </c>
      <c r="F1129" s="53"/>
      <c r="G1129" s="396" t="e">
        <f>G1127-G1128</f>
        <v>#REF!</v>
      </c>
      <c r="H1129" s="396" t="e">
        <f>H1127-H1128</f>
        <v>#REF!</v>
      </c>
    </row>
    <row r="1130" spans="1:13" x14ac:dyDescent="0.25">
      <c r="G1130" s="115">
        <f>G1127-G1094</f>
        <v>0</v>
      </c>
      <c r="H1130" s="115">
        <f>H1127-H1094</f>
        <v>0</v>
      </c>
      <c r="L1130" s="287">
        <f>H1130-G1130</f>
        <v>0</v>
      </c>
    </row>
    <row r="1131" spans="1:13" x14ac:dyDescent="0.25">
      <c r="D1131" s="204" t="s">
        <v>590</v>
      </c>
      <c r="E1131" s="204">
        <v>50</v>
      </c>
      <c r="G1131" s="115">
        <f>G861</f>
        <v>2319</v>
      </c>
      <c r="H1131" s="115">
        <f>H861</f>
        <v>2319</v>
      </c>
    </row>
    <row r="1132" spans="1:13" x14ac:dyDescent="0.25">
      <c r="E1132" s="204">
        <v>51</v>
      </c>
      <c r="G1132" s="115">
        <f>G245+G275+G338+G434+G447</f>
        <v>3481.61</v>
      </c>
      <c r="H1132" s="115">
        <f>H245+H275+H338+H434+H447</f>
        <v>3896.11</v>
      </c>
    </row>
    <row r="1133" spans="1:13" x14ac:dyDescent="0.25">
      <c r="E1133" s="204">
        <v>52</v>
      </c>
      <c r="G1133" s="115">
        <f>G550+G610+G692+G721</f>
        <v>324504.29999999993</v>
      </c>
      <c r="H1133" s="115">
        <f>H550+H610+H692+H721</f>
        <v>347534.15</v>
      </c>
    </row>
    <row r="1134" spans="1:13" x14ac:dyDescent="0.25">
      <c r="E1134" s="204">
        <v>53</v>
      </c>
      <c r="G1134" s="115">
        <f>G213</f>
        <v>150</v>
      </c>
      <c r="H1134" s="115">
        <f>H213</f>
        <v>150</v>
      </c>
    </row>
    <row r="1135" spans="1:13" x14ac:dyDescent="0.25">
      <c r="E1135" s="204">
        <v>54</v>
      </c>
      <c r="G1135" s="115">
        <f>G1059+G89+G44</f>
        <v>644</v>
      </c>
      <c r="H1135" s="115">
        <f>H1059+H89+H44</f>
        <v>644</v>
      </c>
    </row>
    <row r="1136" spans="1:13" x14ac:dyDescent="0.25">
      <c r="E1136" s="204">
        <v>55</v>
      </c>
      <c r="G1136" s="115">
        <f>G226</f>
        <v>10</v>
      </c>
      <c r="H1136" s="115">
        <f>H226</f>
        <v>10</v>
      </c>
    </row>
    <row r="1137" spans="1:8" x14ac:dyDescent="0.25">
      <c r="E1137" s="204">
        <v>56</v>
      </c>
    </row>
    <row r="1138" spans="1:8" x14ac:dyDescent="0.25">
      <c r="E1138" s="204">
        <v>57</v>
      </c>
      <c r="G1138" s="115">
        <f>G766+G824</f>
        <v>52873.1</v>
      </c>
      <c r="H1138" s="115">
        <f>H766+H824</f>
        <v>52873.1</v>
      </c>
    </row>
    <row r="1139" spans="1:8" x14ac:dyDescent="0.25">
      <c r="E1139" s="204">
        <v>58</v>
      </c>
      <c r="G1139" s="115">
        <f>G295+G359+G470</f>
        <v>81484.89</v>
      </c>
      <c r="H1139" s="115">
        <f>H295+H359+H470</f>
        <v>82684.89</v>
      </c>
    </row>
    <row r="1140" spans="1:8" x14ac:dyDescent="0.25">
      <c r="E1140" s="204">
        <v>59</v>
      </c>
      <c r="G1140" s="115">
        <f>G599+G681+G1033+G401+G440+G327+G141+G793</f>
        <v>168</v>
      </c>
      <c r="H1140" s="115">
        <f>H599+H681+H1033+H401+H440+H327+H141+H793</f>
        <v>147</v>
      </c>
    </row>
    <row r="1141" spans="1:8" x14ac:dyDescent="0.25">
      <c r="E1141" s="204">
        <v>60</v>
      </c>
      <c r="G1141" s="115">
        <f>G959</f>
        <v>1920</v>
      </c>
      <c r="H1141" s="115">
        <f>H959</f>
        <v>2173</v>
      </c>
    </row>
    <row r="1142" spans="1:8" x14ac:dyDescent="0.25">
      <c r="E1142" s="204">
        <v>61</v>
      </c>
      <c r="G1142" s="115">
        <f>G193</f>
        <v>274</v>
      </c>
      <c r="H1142" s="115">
        <f>H193</f>
        <v>274</v>
      </c>
    </row>
    <row r="1143" spans="1:8" x14ac:dyDescent="0.25">
      <c r="E1143" s="204">
        <v>62</v>
      </c>
      <c r="G1143" s="115">
        <f>G919</f>
        <v>700</v>
      </c>
      <c r="H1143" s="115">
        <f>H919</f>
        <v>700</v>
      </c>
    </row>
    <row r="1144" spans="1:8" x14ac:dyDescent="0.25">
      <c r="E1144" s="204">
        <v>63</v>
      </c>
      <c r="G1144" s="115">
        <f>G251+G540+G759</f>
        <v>120</v>
      </c>
      <c r="H1144" s="115">
        <f>H251+H540+H759</f>
        <v>120</v>
      </c>
    </row>
    <row r="1145" spans="1:8" x14ac:dyDescent="0.25">
      <c r="E1145" s="204">
        <v>64</v>
      </c>
      <c r="G1145" s="115">
        <f>G146+G332+G406+G604+G686+G715+G798+G268+G483</f>
        <v>3815</v>
      </c>
      <c r="H1145" s="115">
        <f>H146+H332+H406+H604+H686+H715+H798+H268+H483</f>
        <v>3965.9</v>
      </c>
    </row>
    <row r="1146" spans="1:8" x14ac:dyDescent="0.25">
      <c r="E1146" s="204">
        <v>65</v>
      </c>
      <c r="G1146" s="115">
        <f>G998</f>
        <v>500</v>
      </c>
      <c r="H1146" s="115">
        <f>H998</f>
        <v>500</v>
      </c>
    </row>
    <row r="1147" spans="1:8" x14ac:dyDescent="0.25">
      <c r="E1147" s="204">
        <v>66</v>
      </c>
      <c r="G1147" s="115">
        <f>G516</f>
        <v>0</v>
      </c>
      <c r="H1147" s="115">
        <f>H516</f>
        <v>0</v>
      </c>
    </row>
    <row r="1148" spans="1:8" x14ac:dyDescent="0.25">
      <c r="E1148" s="204">
        <v>67</v>
      </c>
      <c r="G1148" s="115">
        <f>G155</f>
        <v>45</v>
      </c>
      <c r="H1148" s="115">
        <f>H155</f>
        <v>50</v>
      </c>
    </row>
    <row r="1149" spans="1:8" x14ac:dyDescent="0.25">
      <c r="E1149" s="204">
        <v>69</v>
      </c>
      <c r="G1149" s="115">
        <f>G160</f>
        <v>80</v>
      </c>
      <c r="H1149" s="115">
        <f>H160</f>
        <v>90</v>
      </c>
    </row>
    <row r="1150" spans="1:8" s="203" customFormat="1" x14ac:dyDescent="0.25">
      <c r="A1150" s="204"/>
      <c r="B1150" s="204"/>
      <c r="C1150" s="204"/>
      <c r="D1150" s="204"/>
      <c r="E1150" s="204">
        <v>70</v>
      </c>
      <c r="F1150" s="204"/>
      <c r="G1150" s="115">
        <f>G948</f>
        <v>204</v>
      </c>
      <c r="H1150" s="115">
        <f>H948</f>
        <v>215</v>
      </c>
    </row>
    <row r="1151" spans="1:8" x14ac:dyDescent="0.25">
      <c r="G1151" s="115">
        <f>SUM(G1131:G1150)</f>
        <v>473292.89999999991</v>
      </c>
      <c r="H1151" s="115">
        <f>SUM(H1131:H1150)</f>
        <v>498346.15</v>
      </c>
    </row>
  </sheetData>
  <mergeCells count="9">
    <mergeCell ref="N1101:AA1101"/>
    <mergeCell ref="X1094:AG1094"/>
    <mergeCell ref="AB1101:AO1101"/>
    <mergeCell ref="G1:H1"/>
    <mergeCell ref="A4:F4"/>
    <mergeCell ref="A5:H5"/>
    <mergeCell ref="N1094:W1094"/>
    <mergeCell ref="G3:H3"/>
    <mergeCell ref="G2:H2"/>
  </mergeCells>
  <pageMargins left="0.23622047244094491" right="0.23622047244094491" top="0.74803149606299213" bottom="0.74803149606299213" header="0.31496062992125984" footer="0.31496062992125984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151"/>
  <sheetViews>
    <sheetView topLeftCell="A669" zoomScaleNormal="100" zoomScaleSheetLayoutView="100" workbookViewId="0">
      <selection activeCell="A677" sqref="A677:F680"/>
    </sheetView>
  </sheetViews>
  <sheetFormatPr defaultColWidth="9.140625" defaultRowHeight="15" x14ac:dyDescent="0.25"/>
  <cols>
    <col min="1" max="1" width="55" style="204" customWidth="1"/>
    <col min="2" max="2" width="6.42578125" style="204" customWidth="1"/>
    <col min="3" max="3" width="6" style="204" customWidth="1"/>
    <col min="4" max="4" width="5.140625" style="204" customWidth="1"/>
    <col min="5" max="5" width="15.85546875" style="204" customWidth="1"/>
    <col min="6" max="6" width="7" style="204" customWidth="1"/>
    <col min="7" max="7" width="15.85546875" style="115" customWidth="1"/>
    <col min="8" max="8" width="16" style="115" customWidth="1"/>
    <col min="9" max="9" width="13.28515625" style="487" hidden="1" customWidth="1"/>
    <col min="10" max="11" width="0" style="487" hidden="1" customWidth="1"/>
    <col min="12" max="12" width="10.42578125" style="487" customWidth="1"/>
    <col min="13" max="13" width="10.85546875" style="487" customWidth="1"/>
    <col min="14" max="14" width="9.28515625" style="487" customWidth="1"/>
    <col min="15" max="15" width="7.42578125" style="487" customWidth="1"/>
    <col min="16" max="16" width="8" style="487" customWidth="1"/>
    <col min="17" max="17" width="7.7109375" style="487" customWidth="1"/>
    <col min="18" max="18" width="7.140625" style="487" customWidth="1"/>
    <col min="19" max="23" width="8.140625" style="487" customWidth="1"/>
    <col min="24" max="24" width="6.7109375" style="487" customWidth="1"/>
    <col min="25" max="27" width="7.42578125" style="487" customWidth="1"/>
    <col min="28" max="16384" width="9.140625" style="487"/>
  </cols>
  <sheetData>
    <row r="1" spans="1:9" ht="18.75" customHeight="1" x14ac:dyDescent="0.25">
      <c r="A1" s="63"/>
      <c r="B1" s="63"/>
      <c r="C1" s="63"/>
      <c r="D1" s="63"/>
      <c r="G1" s="724" t="s">
        <v>1518</v>
      </c>
      <c r="H1" s="724"/>
      <c r="I1" s="204"/>
    </row>
    <row r="2" spans="1:9" ht="18.75" customHeight="1" x14ac:dyDescent="0.25">
      <c r="A2" s="63"/>
      <c r="B2" s="63"/>
      <c r="C2" s="63"/>
      <c r="D2" s="63"/>
      <c r="G2" s="724" t="s">
        <v>1517</v>
      </c>
      <c r="H2" s="724"/>
      <c r="I2" s="204"/>
    </row>
    <row r="3" spans="1:9" ht="18.75" customHeight="1" x14ac:dyDescent="0.25">
      <c r="A3" s="63"/>
      <c r="B3" s="63"/>
      <c r="C3" s="63"/>
      <c r="D3" s="63"/>
      <c r="G3" s="724" t="s">
        <v>1509</v>
      </c>
      <c r="H3" s="724"/>
      <c r="I3" s="204"/>
    </row>
    <row r="4" spans="1:9" ht="15.75" x14ac:dyDescent="0.25">
      <c r="A4" s="740"/>
      <c r="B4" s="740"/>
      <c r="C4" s="740"/>
      <c r="D4" s="740"/>
      <c r="E4" s="740"/>
      <c r="F4" s="740"/>
      <c r="I4" s="204"/>
    </row>
    <row r="5" spans="1:9" ht="15.75" x14ac:dyDescent="0.25">
      <c r="A5" s="731" t="s">
        <v>1289</v>
      </c>
      <c r="B5" s="731"/>
      <c r="C5" s="731"/>
      <c r="D5" s="731"/>
      <c r="E5" s="731"/>
      <c r="F5" s="731"/>
      <c r="G5" s="731"/>
      <c r="H5" s="731"/>
      <c r="I5" s="204"/>
    </row>
    <row r="6" spans="1:9" ht="15.75" x14ac:dyDescent="0.25">
      <c r="A6" s="546"/>
      <c r="B6" s="546"/>
      <c r="C6" s="546"/>
      <c r="D6" s="546"/>
      <c r="E6" s="546"/>
      <c r="F6" s="546"/>
      <c r="I6" s="204"/>
    </row>
    <row r="7" spans="1:9" ht="15.75" x14ac:dyDescent="0.25">
      <c r="A7" s="13"/>
      <c r="B7" s="13"/>
      <c r="C7" s="13"/>
      <c r="D7" s="13"/>
      <c r="E7" s="13"/>
      <c r="F7" s="13"/>
      <c r="G7" s="275" t="s">
        <v>1</v>
      </c>
      <c r="H7" s="275"/>
      <c r="I7" s="204"/>
    </row>
    <row r="8" spans="1:9" ht="63" x14ac:dyDescent="0.25">
      <c r="A8" s="544" t="s">
        <v>110</v>
      </c>
      <c r="B8" s="544" t="s">
        <v>111</v>
      </c>
      <c r="C8" s="15" t="s">
        <v>112</v>
      </c>
      <c r="D8" s="15" t="s">
        <v>113</v>
      </c>
      <c r="E8" s="15" t="s">
        <v>114</v>
      </c>
      <c r="F8" s="15" t="s">
        <v>115</v>
      </c>
      <c r="G8" s="392" t="s">
        <v>1027</v>
      </c>
      <c r="H8" s="392" t="s">
        <v>1290</v>
      </c>
      <c r="I8" s="204"/>
    </row>
    <row r="9" spans="1:9" ht="15.75" x14ac:dyDescent="0.25">
      <c r="A9" s="308" t="s">
        <v>1411</v>
      </c>
      <c r="B9" s="544"/>
      <c r="C9" s="15"/>
      <c r="D9" s="15"/>
      <c r="E9" s="15"/>
      <c r="F9" s="15"/>
      <c r="G9" s="59">
        <v>12478.69</v>
      </c>
      <c r="H9" s="59">
        <v>25451.88</v>
      </c>
      <c r="I9" s="204"/>
    </row>
    <row r="10" spans="1:9" ht="31.5" x14ac:dyDescent="0.25">
      <c r="A10" s="491" t="s">
        <v>116</v>
      </c>
      <c r="B10" s="491">
        <v>901</v>
      </c>
      <c r="C10" s="492"/>
      <c r="D10" s="492"/>
      <c r="E10" s="492"/>
      <c r="F10" s="492"/>
      <c r="G10" s="493">
        <f>G11+G25</f>
        <v>13506</v>
      </c>
      <c r="H10" s="493">
        <f>H11+H25</f>
        <v>13506</v>
      </c>
      <c r="I10" s="204"/>
    </row>
    <row r="11" spans="1:9" ht="15.75" x14ac:dyDescent="0.25">
      <c r="A11" s="494" t="s">
        <v>117</v>
      </c>
      <c r="B11" s="491">
        <v>901</v>
      </c>
      <c r="C11" s="495" t="s">
        <v>118</v>
      </c>
      <c r="D11" s="492"/>
      <c r="E11" s="492"/>
      <c r="F11" s="492"/>
      <c r="G11" s="493">
        <f t="shared" ref="G11:H13" si="0">G12</f>
        <v>13506</v>
      </c>
      <c r="H11" s="493">
        <f t="shared" si="0"/>
        <v>13506</v>
      </c>
      <c r="I11" s="204"/>
    </row>
    <row r="12" spans="1:9" ht="51" customHeight="1" x14ac:dyDescent="0.25">
      <c r="A12" s="494" t="s">
        <v>119</v>
      </c>
      <c r="B12" s="491">
        <v>901</v>
      </c>
      <c r="C12" s="495" t="s">
        <v>118</v>
      </c>
      <c r="D12" s="495" t="s">
        <v>120</v>
      </c>
      <c r="E12" s="495"/>
      <c r="F12" s="495"/>
      <c r="G12" s="493">
        <f t="shared" si="0"/>
        <v>13506</v>
      </c>
      <c r="H12" s="493">
        <f t="shared" si="0"/>
        <v>13506</v>
      </c>
      <c r="I12" s="204"/>
    </row>
    <row r="13" spans="1:9" ht="31.5" x14ac:dyDescent="0.25">
      <c r="A13" s="494" t="s">
        <v>917</v>
      </c>
      <c r="B13" s="491">
        <v>901</v>
      </c>
      <c r="C13" s="495" t="s">
        <v>118</v>
      </c>
      <c r="D13" s="495" t="s">
        <v>120</v>
      </c>
      <c r="E13" s="495" t="s">
        <v>858</v>
      </c>
      <c r="F13" s="495"/>
      <c r="G13" s="493">
        <f t="shared" si="0"/>
        <v>13506</v>
      </c>
      <c r="H13" s="493">
        <f t="shared" si="0"/>
        <v>13506</v>
      </c>
      <c r="I13" s="204"/>
    </row>
    <row r="14" spans="1:9" ht="15.75" x14ac:dyDescent="0.25">
      <c r="A14" s="494" t="s">
        <v>918</v>
      </c>
      <c r="B14" s="491">
        <v>901</v>
      </c>
      <c r="C14" s="495" t="s">
        <v>118</v>
      </c>
      <c r="D14" s="495" t="s">
        <v>120</v>
      </c>
      <c r="E14" s="495" t="s">
        <v>859</v>
      </c>
      <c r="F14" s="495"/>
      <c r="G14" s="493">
        <f>G15+G22</f>
        <v>13506</v>
      </c>
      <c r="H14" s="493">
        <f>H15+H22</f>
        <v>13506</v>
      </c>
      <c r="I14" s="204"/>
    </row>
    <row r="15" spans="1:9" ht="31.5" x14ac:dyDescent="0.25">
      <c r="A15" s="496" t="s">
        <v>897</v>
      </c>
      <c r="B15" s="490">
        <v>901</v>
      </c>
      <c r="C15" s="492" t="s">
        <v>118</v>
      </c>
      <c r="D15" s="492" t="s">
        <v>120</v>
      </c>
      <c r="E15" s="492" t="s">
        <v>860</v>
      </c>
      <c r="F15" s="492"/>
      <c r="G15" s="497">
        <f>G16+G18+G20</f>
        <v>13086</v>
      </c>
      <c r="H15" s="497">
        <f>H16+H18+H20</f>
        <v>13086</v>
      </c>
      <c r="I15" s="204"/>
    </row>
    <row r="16" spans="1:9" ht="78.75" x14ac:dyDescent="0.25">
      <c r="A16" s="496" t="s">
        <v>127</v>
      </c>
      <c r="B16" s="490">
        <v>901</v>
      </c>
      <c r="C16" s="492" t="s">
        <v>118</v>
      </c>
      <c r="D16" s="492" t="s">
        <v>120</v>
      </c>
      <c r="E16" s="492" t="s">
        <v>860</v>
      </c>
      <c r="F16" s="492" t="s">
        <v>128</v>
      </c>
      <c r="G16" s="497">
        <f>G17</f>
        <v>12081</v>
      </c>
      <c r="H16" s="497">
        <f>H17</f>
        <v>12081</v>
      </c>
      <c r="I16" s="204"/>
    </row>
    <row r="17" spans="1:12" ht="31.5" x14ac:dyDescent="0.25">
      <c r="A17" s="496" t="s">
        <v>129</v>
      </c>
      <c r="B17" s="490">
        <v>901</v>
      </c>
      <c r="C17" s="492" t="s">
        <v>118</v>
      </c>
      <c r="D17" s="492" t="s">
        <v>120</v>
      </c>
      <c r="E17" s="492" t="s">
        <v>860</v>
      </c>
      <c r="F17" s="492" t="s">
        <v>130</v>
      </c>
      <c r="G17" s="497">
        <v>12081</v>
      </c>
      <c r="H17" s="497">
        <f t="shared" ref="H17:H97" si="1">G17</f>
        <v>12081</v>
      </c>
      <c r="I17" s="204"/>
    </row>
    <row r="18" spans="1:12" ht="31.5" x14ac:dyDescent="0.25">
      <c r="A18" s="496" t="s">
        <v>131</v>
      </c>
      <c r="B18" s="490">
        <v>901</v>
      </c>
      <c r="C18" s="492" t="s">
        <v>118</v>
      </c>
      <c r="D18" s="492" t="s">
        <v>120</v>
      </c>
      <c r="E18" s="492" t="s">
        <v>860</v>
      </c>
      <c r="F18" s="492" t="s">
        <v>132</v>
      </c>
      <c r="G18" s="497">
        <f>G19</f>
        <v>977</v>
      </c>
      <c r="H18" s="497">
        <f>H19</f>
        <v>977</v>
      </c>
      <c r="I18" s="204"/>
    </row>
    <row r="19" spans="1:12" ht="31.5" x14ac:dyDescent="0.25">
      <c r="A19" s="496" t="s">
        <v>133</v>
      </c>
      <c r="B19" s="490">
        <v>901</v>
      </c>
      <c r="C19" s="492" t="s">
        <v>118</v>
      </c>
      <c r="D19" s="492" t="s">
        <v>120</v>
      </c>
      <c r="E19" s="492" t="s">
        <v>860</v>
      </c>
      <c r="F19" s="492" t="s">
        <v>134</v>
      </c>
      <c r="G19" s="497">
        <v>977</v>
      </c>
      <c r="H19" s="497">
        <f t="shared" si="1"/>
        <v>977</v>
      </c>
      <c r="I19" s="204"/>
    </row>
    <row r="20" spans="1:12" ht="15.75" x14ac:dyDescent="0.25">
      <c r="A20" s="496" t="s">
        <v>135</v>
      </c>
      <c r="B20" s="490">
        <v>901</v>
      </c>
      <c r="C20" s="492" t="s">
        <v>118</v>
      </c>
      <c r="D20" s="492" t="s">
        <v>120</v>
      </c>
      <c r="E20" s="492" t="s">
        <v>860</v>
      </c>
      <c r="F20" s="492" t="s">
        <v>136</v>
      </c>
      <c r="G20" s="497">
        <f>G21</f>
        <v>28</v>
      </c>
      <c r="H20" s="497">
        <f>H21</f>
        <v>28</v>
      </c>
      <c r="I20" s="204"/>
    </row>
    <row r="21" spans="1:12" ht="15.75" x14ac:dyDescent="0.25">
      <c r="A21" s="496" t="s">
        <v>568</v>
      </c>
      <c r="B21" s="490">
        <v>901</v>
      </c>
      <c r="C21" s="492" t="s">
        <v>118</v>
      </c>
      <c r="D21" s="492" t="s">
        <v>120</v>
      </c>
      <c r="E21" s="492" t="s">
        <v>860</v>
      </c>
      <c r="F21" s="492" t="s">
        <v>138</v>
      </c>
      <c r="G21" s="497">
        <v>28</v>
      </c>
      <c r="H21" s="497">
        <v>28</v>
      </c>
      <c r="I21" s="204"/>
    </row>
    <row r="22" spans="1:12" ht="47.25" x14ac:dyDescent="0.25">
      <c r="A22" s="496" t="s">
        <v>839</v>
      </c>
      <c r="B22" s="490">
        <v>901</v>
      </c>
      <c r="C22" s="492" t="s">
        <v>118</v>
      </c>
      <c r="D22" s="492" t="s">
        <v>120</v>
      </c>
      <c r="E22" s="492" t="s">
        <v>862</v>
      </c>
      <c r="F22" s="492"/>
      <c r="G22" s="497">
        <f>G23</f>
        <v>420</v>
      </c>
      <c r="H22" s="497">
        <f>H23</f>
        <v>420</v>
      </c>
      <c r="I22" s="204"/>
    </row>
    <row r="23" spans="1:12" ht="78.75" x14ac:dyDescent="0.25">
      <c r="A23" s="496" t="s">
        <v>127</v>
      </c>
      <c r="B23" s="490">
        <v>901</v>
      </c>
      <c r="C23" s="492" t="s">
        <v>118</v>
      </c>
      <c r="D23" s="492" t="s">
        <v>120</v>
      </c>
      <c r="E23" s="492" t="s">
        <v>862</v>
      </c>
      <c r="F23" s="492" t="s">
        <v>128</v>
      </c>
      <c r="G23" s="497">
        <f>G24</f>
        <v>420</v>
      </c>
      <c r="H23" s="497">
        <f>H24</f>
        <v>420</v>
      </c>
      <c r="I23" s="204"/>
    </row>
    <row r="24" spans="1:12" ht="31.5" x14ac:dyDescent="0.25">
      <c r="A24" s="496" t="s">
        <v>129</v>
      </c>
      <c r="B24" s="490">
        <v>901</v>
      </c>
      <c r="C24" s="492" t="s">
        <v>118</v>
      </c>
      <c r="D24" s="492" t="s">
        <v>120</v>
      </c>
      <c r="E24" s="492" t="s">
        <v>862</v>
      </c>
      <c r="F24" s="492" t="s">
        <v>130</v>
      </c>
      <c r="G24" s="497">
        <v>420</v>
      </c>
      <c r="H24" s="497">
        <v>420</v>
      </c>
      <c r="I24" s="204"/>
    </row>
    <row r="25" spans="1:12" ht="15.75" hidden="1" x14ac:dyDescent="0.25">
      <c r="A25" s="494" t="s">
        <v>139</v>
      </c>
      <c r="B25" s="491">
        <v>901</v>
      </c>
      <c r="C25" s="495" t="s">
        <v>118</v>
      </c>
      <c r="D25" s="495" t="s">
        <v>140</v>
      </c>
      <c r="E25" s="495"/>
      <c r="F25" s="495"/>
      <c r="G25" s="493">
        <f t="shared" ref="G25:H29" si="2">G26</f>
        <v>0</v>
      </c>
      <c r="H25" s="493">
        <f t="shared" si="2"/>
        <v>0</v>
      </c>
      <c r="I25" s="204"/>
    </row>
    <row r="26" spans="1:12" ht="15.75" hidden="1" x14ac:dyDescent="0.25">
      <c r="A26" s="494" t="s">
        <v>141</v>
      </c>
      <c r="B26" s="491">
        <v>901</v>
      </c>
      <c r="C26" s="495" t="s">
        <v>118</v>
      </c>
      <c r="D26" s="495" t="s">
        <v>140</v>
      </c>
      <c r="E26" s="495" t="s">
        <v>866</v>
      </c>
      <c r="F26" s="495"/>
      <c r="G26" s="493">
        <f t="shared" si="2"/>
        <v>0</v>
      </c>
      <c r="H26" s="493">
        <f t="shared" si="2"/>
        <v>0</v>
      </c>
      <c r="I26" s="204"/>
    </row>
    <row r="27" spans="1:12" ht="31.5" hidden="1" x14ac:dyDescent="0.25">
      <c r="A27" s="494" t="s">
        <v>870</v>
      </c>
      <c r="B27" s="491">
        <v>901</v>
      </c>
      <c r="C27" s="495" t="s">
        <v>118</v>
      </c>
      <c r="D27" s="495" t="s">
        <v>140</v>
      </c>
      <c r="E27" s="495" t="s">
        <v>865</v>
      </c>
      <c r="F27" s="495"/>
      <c r="G27" s="493">
        <f t="shared" si="2"/>
        <v>0</v>
      </c>
      <c r="H27" s="493">
        <f t="shared" si="2"/>
        <v>0</v>
      </c>
      <c r="I27" s="204"/>
    </row>
    <row r="28" spans="1:12" ht="15.75" hidden="1" x14ac:dyDescent="0.25">
      <c r="A28" s="496" t="s">
        <v>1137</v>
      </c>
      <c r="B28" s="490">
        <v>901</v>
      </c>
      <c r="C28" s="492" t="s">
        <v>118</v>
      </c>
      <c r="D28" s="492" t="s">
        <v>140</v>
      </c>
      <c r="E28" s="492" t="s">
        <v>1138</v>
      </c>
      <c r="F28" s="492"/>
      <c r="G28" s="497">
        <f t="shared" si="2"/>
        <v>0</v>
      </c>
      <c r="H28" s="497">
        <f t="shared" si="2"/>
        <v>0</v>
      </c>
      <c r="I28" s="204"/>
    </row>
    <row r="29" spans="1:12" ht="15.75" hidden="1" x14ac:dyDescent="0.25">
      <c r="A29" s="496" t="s">
        <v>135</v>
      </c>
      <c r="B29" s="490">
        <v>901</v>
      </c>
      <c r="C29" s="492" t="s">
        <v>118</v>
      </c>
      <c r="D29" s="492" t="s">
        <v>140</v>
      </c>
      <c r="E29" s="492" t="s">
        <v>1138</v>
      </c>
      <c r="F29" s="492" t="s">
        <v>145</v>
      </c>
      <c r="G29" s="497">
        <f>G30</f>
        <v>0</v>
      </c>
      <c r="H29" s="497">
        <f t="shared" si="2"/>
        <v>0</v>
      </c>
      <c r="I29" s="204"/>
    </row>
    <row r="30" spans="1:12" ht="15.75" hidden="1" x14ac:dyDescent="0.25">
      <c r="A30" s="496" t="s">
        <v>1137</v>
      </c>
      <c r="B30" s="490">
        <v>901</v>
      </c>
      <c r="C30" s="492" t="s">
        <v>118</v>
      </c>
      <c r="D30" s="492" t="s">
        <v>140</v>
      </c>
      <c r="E30" s="492" t="s">
        <v>1138</v>
      </c>
      <c r="F30" s="492" t="s">
        <v>1139</v>
      </c>
      <c r="G30" s="497">
        <v>0</v>
      </c>
      <c r="H30" s="497">
        <v>0</v>
      </c>
      <c r="I30" s="204"/>
      <c r="L30" s="487" t="s">
        <v>1294</v>
      </c>
    </row>
    <row r="31" spans="1:12" ht="21.75" customHeight="1" x14ac:dyDescent="0.25">
      <c r="A31" s="491" t="s">
        <v>148</v>
      </c>
      <c r="B31" s="491">
        <v>902</v>
      </c>
      <c r="C31" s="492"/>
      <c r="D31" s="492"/>
      <c r="E31" s="492"/>
      <c r="F31" s="492"/>
      <c r="G31" s="493">
        <f>G32+G172+G191+G218+G165</f>
        <v>79272.81</v>
      </c>
      <c r="H31" s="493">
        <f>H32+H172+H191+H218+H165</f>
        <v>66093.72</v>
      </c>
      <c r="I31" s="204"/>
    </row>
    <row r="32" spans="1:12" ht="15.75" x14ac:dyDescent="0.25">
      <c r="A32" s="494" t="s">
        <v>117</v>
      </c>
      <c r="B32" s="491">
        <v>902</v>
      </c>
      <c r="C32" s="495" t="s">
        <v>118</v>
      </c>
      <c r="D32" s="492"/>
      <c r="E32" s="492"/>
      <c r="F32" s="492"/>
      <c r="G32" s="493">
        <f>G52+G113+G130+G122+G33</f>
        <v>57018.81</v>
      </c>
      <c r="H32" s="493">
        <f>H52+H113+H130+H122+H33</f>
        <v>43873.119999999995</v>
      </c>
      <c r="I32" s="204"/>
    </row>
    <row r="33" spans="1:9" ht="47.25" x14ac:dyDescent="0.25">
      <c r="A33" s="494" t="s">
        <v>575</v>
      </c>
      <c r="B33" s="491">
        <v>902</v>
      </c>
      <c r="C33" s="495" t="s">
        <v>118</v>
      </c>
      <c r="D33" s="495" t="s">
        <v>213</v>
      </c>
      <c r="E33" s="492"/>
      <c r="F33" s="492"/>
      <c r="G33" s="493">
        <f>G34+G44</f>
        <v>4867.3999999999996</v>
      </c>
      <c r="H33" s="493">
        <f>H34+H44</f>
        <v>4867.3999999999996</v>
      </c>
      <c r="I33" s="204"/>
    </row>
    <row r="34" spans="1:9" ht="31.5" x14ac:dyDescent="0.25">
      <c r="A34" s="494" t="s">
        <v>917</v>
      </c>
      <c r="B34" s="491">
        <v>902</v>
      </c>
      <c r="C34" s="495" t="s">
        <v>118</v>
      </c>
      <c r="D34" s="495" t="s">
        <v>213</v>
      </c>
      <c r="E34" s="495" t="s">
        <v>858</v>
      </c>
      <c r="F34" s="492"/>
      <c r="G34" s="493">
        <f>G35</f>
        <v>4826.8999999999996</v>
      </c>
      <c r="H34" s="493">
        <f>H35</f>
        <v>4826.8999999999996</v>
      </c>
      <c r="I34" s="204"/>
    </row>
    <row r="35" spans="1:9" ht="15.75" x14ac:dyDescent="0.25">
      <c r="A35" s="494" t="s">
        <v>918</v>
      </c>
      <c r="B35" s="491">
        <v>902</v>
      </c>
      <c r="C35" s="495" t="s">
        <v>118</v>
      </c>
      <c r="D35" s="495" t="s">
        <v>213</v>
      </c>
      <c r="E35" s="495" t="s">
        <v>859</v>
      </c>
      <c r="F35" s="492"/>
      <c r="G35" s="493">
        <f>G36+G41</f>
        <v>4826.8999999999996</v>
      </c>
      <c r="H35" s="493">
        <f>H36+H41</f>
        <v>4826.8999999999996</v>
      </c>
      <c r="I35" s="204"/>
    </row>
    <row r="36" spans="1:9" ht="31.5" x14ac:dyDescent="0.25">
      <c r="A36" s="496" t="s">
        <v>576</v>
      </c>
      <c r="B36" s="490">
        <v>902</v>
      </c>
      <c r="C36" s="492" t="s">
        <v>118</v>
      </c>
      <c r="D36" s="492" t="s">
        <v>213</v>
      </c>
      <c r="E36" s="492" t="s">
        <v>1330</v>
      </c>
      <c r="F36" s="492"/>
      <c r="G36" s="497">
        <f>G37+G39</f>
        <v>4826.8999999999996</v>
      </c>
      <c r="H36" s="497">
        <f>H37+H39</f>
        <v>4826.8999999999996</v>
      </c>
      <c r="I36" s="204"/>
    </row>
    <row r="37" spans="1:9" ht="78.75" x14ac:dyDescent="0.25">
      <c r="A37" s="496" t="s">
        <v>127</v>
      </c>
      <c r="B37" s="490">
        <v>902</v>
      </c>
      <c r="C37" s="492" t="s">
        <v>118</v>
      </c>
      <c r="D37" s="492" t="s">
        <v>213</v>
      </c>
      <c r="E37" s="492" t="s">
        <v>1330</v>
      </c>
      <c r="F37" s="492" t="s">
        <v>128</v>
      </c>
      <c r="G37" s="497">
        <f>G38</f>
        <v>4736.8999999999996</v>
      </c>
      <c r="H37" s="497">
        <f>H38</f>
        <v>4736.8999999999996</v>
      </c>
      <c r="I37" s="204"/>
    </row>
    <row r="38" spans="1:9" ht="31.5" x14ac:dyDescent="0.25">
      <c r="A38" s="496" t="s">
        <v>129</v>
      </c>
      <c r="B38" s="490">
        <v>902</v>
      </c>
      <c r="C38" s="492" t="s">
        <v>118</v>
      </c>
      <c r="D38" s="492" t="s">
        <v>213</v>
      </c>
      <c r="E38" s="492" t="s">
        <v>1330</v>
      </c>
      <c r="F38" s="492" t="s">
        <v>130</v>
      </c>
      <c r="G38" s="27">
        <v>4736.8999999999996</v>
      </c>
      <c r="H38" s="497">
        <f>G38</f>
        <v>4736.8999999999996</v>
      </c>
      <c r="I38" s="204"/>
    </row>
    <row r="39" spans="1:9" ht="31.5" x14ac:dyDescent="0.25">
      <c r="A39" s="496" t="s">
        <v>198</v>
      </c>
      <c r="B39" s="490">
        <v>902</v>
      </c>
      <c r="C39" s="492" t="s">
        <v>118</v>
      </c>
      <c r="D39" s="492" t="s">
        <v>213</v>
      </c>
      <c r="E39" s="492" t="s">
        <v>1330</v>
      </c>
      <c r="F39" s="492" t="s">
        <v>132</v>
      </c>
      <c r="G39" s="497">
        <f>G40</f>
        <v>90</v>
      </c>
      <c r="H39" s="497">
        <f>H40</f>
        <v>90</v>
      </c>
      <c r="I39" s="204"/>
    </row>
    <row r="40" spans="1:9" ht="32.65" customHeight="1" x14ac:dyDescent="0.25">
      <c r="A40" s="496" t="s">
        <v>133</v>
      </c>
      <c r="B40" s="490">
        <v>902</v>
      </c>
      <c r="C40" s="492" t="s">
        <v>118</v>
      </c>
      <c r="D40" s="492" t="s">
        <v>213</v>
      </c>
      <c r="E40" s="492" t="s">
        <v>1330</v>
      </c>
      <c r="F40" s="492" t="s">
        <v>134</v>
      </c>
      <c r="G40" s="497">
        <v>90</v>
      </c>
      <c r="H40" s="497">
        <f>G40</f>
        <v>90</v>
      </c>
      <c r="I40" s="204"/>
    </row>
    <row r="41" spans="1:9" ht="47.25" hidden="1" x14ac:dyDescent="0.25">
      <c r="A41" s="496" t="s">
        <v>839</v>
      </c>
      <c r="B41" s="490">
        <v>902</v>
      </c>
      <c r="C41" s="492" t="s">
        <v>118</v>
      </c>
      <c r="D41" s="492" t="s">
        <v>213</v>
      </c>
      <c r="E41" s="492" t="s">
        <v>862</v>
      </c>
      <c r="F41" s="492"/>
      <c r="G41" s="497">
        <f>G42</f>
        <v>0</v>
      </c>
      <c r="H41" s="497">
        <f>G41</f>
        <v>0</v>
      </c>
      <c r="I41" s="204"/>
    </row>
    <row r="42" spans="1:9" ht="78.75" hidden="1" x14ac:dyDescent="0.25">
      <c r="A42" s="496" t="s">
        <v>127</v>
      </c>
      <c r="B42" s="490">
        <v>902</v>
      </c>
      <c r="C42" s="492" t="s">
        <v>118</v>
      </c>
      <c r="D42" s="492" t="s">
        <v>213</v>
      </c>
      <c r="E42" s="492" t="s">
        <v>862</v>
      </c>
      <c r="F42" s="492" t="s">
        <v>128</v>
      </c>
      <c r="G42" s="497">
        <f>G43</f>
        <v>0</v>
      </c>
      <c r="H42" s="497">
        <f>G42</f>
        <v>0</v>
      </c>
      <c r="I42" s="204"/>
    </row>
    <row r="43" spans="1:9" ht="31.5" hidden="1" x14ac:dyDescent="0.25">
      <c r="A43" s="496" t="s">
        <v>129</v>
      </c>
      <c r="B43" s="490">
        <v>902</v>
      </c>
      <c r="C43" s="492" t="s">
        <v>118</v>
      </c>
      <c r="D43" s="492" t="s">
        <v>213</v>
      </c>
      <c r="E43" s="492" t="s">
        <v>862</v>
      </c>
      <c r="F43" s="492" t="s">
        <v>130</v>
      </c>
      <c r="G43" s="497">
        <f>42-42</f>
        <v>0</v>
      </c>
      <c r="H43" s="497">
        <f>G43</f>
        <v>0</v>
      </c>
      <c r="I43" s="204"/>
    </row>
    <row r="44" spans="1:9" ht="47.25" x14ac:dyDescent="0.25">
      <c r="A44" s="494" t="s">
        <v>1364</v>
      </c>
      <c r="B44" s="491">
        <v>902</v>
      </c>
      <c r="C44" s="495" t="s">
        <v>118</v>
      </c>
      <c r="D44" s="495" t="s">
        <v>213</v>
      </c>
      <c r="E44" s="495" t="s">
        <v>162</v>
      </c>
      <c r="F44" s="495"/>
      <c r="G44" s="493">
        <f>G45</f>
        <v>40.5</v>
      </c>
      <c r="H44" s="493">
        <f>H45</f>
        <v>40.5</v>
      </c>
      <c r="I44" s="204"/>
    </row>
    <row r="45" spans="1:9" ht="63" x14ac:dyDescent="0.25">
      <c r="A45" s="220" t="s">
        <v>843</v>
      </c>
      <c r="B45" s="491">
        <v>902</v>
      </c>
      <c r="C45" s="495" t="s">
        <v>118</v>
      </c>
      <c r="D45" s="495" t="s">
        <v>213</v>
      </c>
      <c r="E45" s="7" t="s">
        <v>850</v>
      </c>
      <c r="F45" s="495"/>
      <c r="G45" s="493">
        <f>G46+G49</f>
        <v>40.5</v>
      </c>
      <c r="H45" s="493">
        <f>H46+H49</f>
        <v>40.5</v>
      </c>
      <c r="I45" s="204"/>
    </row>
    <row r="46" spans="1:9" ht="47.25" x14ac:dyDescent="0.25">
      <c r="A46" s="31" t="s">
        <v>1094</v>
      </c>
      <c r="B46" s="490">
        <v>902</v>
      </c>
      <c r="C46" s="492" t="s">
        <v>118</v>
      </c>
      <c r="D46" s="492" t="s">
        <v>213</v>
      </c>
      <c r="E46" s="499" t="s">
        <v>993</v>
      </c>
      <c r="F46" s="492"/>
      <c r="G46" s="497">
        <f>G47</f>
        <v>40.5</v>
      </c>
      <c r="H46" s="497">
        <f>H47</f>
        <v>40.5</v>
      </c>
      <c r="I46" s="204"/>
    </row>
    <row r="47" spans="1:9" ht="31.5" x14ac:dyDescent="0.25">
      <c r="A47" s="496" t="s">
        <v>131</v>
      </c>
      <c r="B47" s="490">
        <v>902</v>
      </c>
      <c r="C47" s="492" t="s">
        <v>118</v>
      </c>
      <c r="D47" s="492" t="s">
        <v>213</v>
      </c>
      <c r="E47" s="499" t="s">
        <v>993</v>
      </c>
      <c r="F47" s="492" t="s">
        <v>132</v>
      </c>
      <c r="G47" s="497">
        <f>G48</f>
        <v>40.5</v>
      </c>
      <c r="H47" s="497">
        <f>H48</f>
        <v>40.5</v>
      </c>
      <c r="I47" s="204"/>
    </row>
    <row r="48" spans="1:9" ht="31.5" x14ac:dyDescent="0.25">
      <c r="A48" s="496" t="s">
        <v>133</v>
      </c>
      <c r="B48" s="490">
        <v>902</v>
      </c>
      <c r="C48" s="492" t="s">
        <v>118</v>
      </c>
      <c r="D48" s="492" t="s">
        <v>213</v>
      </c>
      <c r="E48" s="499" t="s">
        <v>696</v>
      </c>
      <c r="F48" s="492" t="s">
        <v>134</v>
      </c>
      <c r="G48" s="497">
        <f>0.5+40</f>
        <v>40.5</v>
      </c>
      <c r="H48" s="497">
        <f>G48</f>
        <v>40.5</v>
      </c>
      <c r="I48" s="204"/>
    </row>
    <row r="49" spans="1:9" ht="47.25" hidden="1" x14ac:dyDescent="0.25">
      <c r="A49" s="31" t="s">
        <v>695</v>
      </c>
      <c r="B49" s="490">
        <v>902</v>
      </c>
      <c r="C49" s="492" t="s">
        <v>118</v>
      </c>
      <c r="D49" s="492" t="s">
        <v>213</v>
      </c>
      <c r="E49" s="492" t="s">
        <v>992</v>
      </c>
      <c r="F49" s="492"/>
      <c r="G49" s="497">
        <f>G50</f>
        <v>0</v>
      </c>
      <c r="H49" s="497">
        <f>H50</f>
        <v>0</v>
      </c>
      <c r="I49" s="204"/>
    </row>
    <row r="50" spans="1:9" ht="31.5" hidden="1" x14ac:dyDescent="0.25">
      <c r="A50" s="496" t="s">
        <v>131</v>
      </c>
      <c r="B50" s="490">
        <v>902</v>
      </c>
      <c r="C50" s="492" t="s">
        <v>118</v>
      </c>
      <c r="D50" s="492" t="s">
        <v>213</v>
      </c>
      <c r="E50" s="492" t="s">
        <v>992</v>
      </c>
      <c r="F50" s="492" t="s">
        <v>132</v>
      </c>
      <c r="G50" s="497">
        <f>G51</f>
        <v>0</v>
      </c>
      <c r="H50" s="497">
        <f>H51</f>
        <v>0</v>
      </c>
      <c r="I50" s="204"/>
    </row>
    <row r="51" spans="1:9" ht="31.5" hidden="1" x14ac:dyDescent="0.25">
      <c r="A51" s="496" t="s">
        <v>133</v>
      </c>
      <c r="B51" s="490">
        <v>902</v>
      </c>
      <c r="C51" s="492" t="s">
        <v>118</v>
      </c>
      <c r="D51" s="492" t="s">
        <v>213</v>
      </c>
      <c r="E51" s="492" t="s">
        <v>992</v>
      </c>
      <c r="F51" s="492" t="s">
        <v>134</v>
      </c>
      <c r="G51" s="497"/>
      <c r="H51" s="497"/>
      <c r="I51" s="204"/>
    </row>
    <row r="52" spans="1:9" ht="63" x14ac:dyDescent="0.25">
      <c r="A52" s="494" t="s">
        <v>149</v>
      </c>
      <c r="B52" s="491">
        <v>902</v>
      </c>
      <c r="C52" s="495" t="s">
        <v>118</v>
      </c>
      <c r="D52" s="495" t="s">
        <v>150</v>
      </c>
      <c r="E52" s="495"/>
      <c r="F52" s="495"/>
      <c r="G52" s="493">
        <f>G53+G89</f>
        <v>44810.21</v>
      </c>
      <c r="H52" s="493">
        <f>H53+H89</f>
        <v>31621.519999999997</v>
      </c>
      <c r="I52" s="204"/>
    </row>
    <row r="53" spans="1:9" ht="31.5" x14ac:dyDescent="0.25">
      <c r="A53" s="494" t="s">
        <v>917</v>
      </c>
      <c r="B53" s="491">
        <v>902</v>
      </c>
      <c r="C53" s="495" t="s">
        <v>118</v>
      </c>
      <c r="D53" s="495" t="s">
        <v>150</v>
      </c>
      <c r="E53" s="495" t="s">
        <v>858</v>
      </c>
      <c r="F53" s="495"/>
      <c r="G53" s="44">
        <f>G54+G70</f>
        <v>44126.71</v>
      </c>
      <c r="H53" s="44">
        <f>H54+H70</f>
        <v>30938.019999999997</v>
      </c>
      <c r="I53" s="204"/>
    </row>
    <row r="54" spans="1:9" ht="15.75" x14ac:dyDescent="0.25">
      <c r="A54" s="494" t="s">
        <v>918</v>
      </c>
      <c r="B54" s="491">
        <v>902</v>
      </c>
      <c r="C54" s="495" t="s">
        <v>118</v>
      </c>
      <c r="D54" s="495" t="s">
        <v>150</v>
      </c>
      <c r="E54" s="495" t="s">
        <v>859</v>
      </c>
      <c r="F54" s="495"/>
      <c r="G54" s="44">
        <f>G55+G64+G67</f>
        <v>40818.11</v>
      </c>
      <c r="H54" s="44">
        <f>H55+H64+H67</f>
        <v>27844.92</v>
      </c>
      <c r="I54" s="204"/>
    </row>
    <row r="55" spans="1:9" ht="31.5" x14ac:dyDescent="0.25">
      <c r="A55" s="496" t="s">
        <v>897</v>
      </c>
      <c r="B55" s="490">
        <v>902</v>
      </c>
      <c r="C55" s="492" t="s">
        <v>118</v>
      </c>
      <c r="D55" s="492" t="s">
        <v>150</v>
      </c>
      <c r="E55" s="492" t="s">
        <v>860</v>
      </c>
      <c r="F55" s="492"/>
      <c r="G55" s="497">
        <f>G56+G58+G60+G62</f>
        <v>37155.71</v>
      </c>
      <c r="H55" s="497">
        <f>H56+H58+H60+H62</f>
        <v>24182.519999999997</v>
      </c>
      <c r="I55" s="204"/>
    </row>
    <row r="56" spans="1:9" ht="78.75" x14ac:dyDescent="0.25">
      <c r="A56" s="496" t="s">
        <v>127</v>
      </c>
      <c r="B56" s="490">
        <v>902</v>
      </c>
      <c r="C56" s="492" t="s">
        <v>118</v>
      </c>
      <c r="D56" s="492" t="s">
        <v>150</v>
      </c>
      <c r="E56" s="492" t="s">
        <v>860</v>
      </c>
      <c r="F56" s="492" t="s">
        <v>128</v>
      </c>
      <c r="G56" s="497">
        <f>G57</f>
        <v>31521.309999999998</v>
      </c>
      <c r="H56" s="497">
        <f>H57</f>
        <v>18548.12</v>
      </c>
      <c r="I56" s="204"/>
    </row>
    <row r="57" spans="1:9" ht="31.5" x14ac:dyDescent="0.25">
      <c r="A57" s="496" t="s">
        <v>129</v>
      </c>
      <c r="B57" s="490">
        <v>902</v>
      </c>
      <c r="C57" s="492" t="s">
        <v>118</v>
      </c>
      <c r="D57" s="492" t="s">
        <v>150</v>
      </c>
      <c r="E57" s="492" t="s">
        <v>860</v>
      </c>
      <c r="F57" s="492" t="s">
        <v>130</v>
      </c>
      <c r="G57" s="497">
        <f>44000-G9</f>
        <v>31521.309999999998</v>
      </c>
      <c r="H57" s="497">
        <f>44000-H9</f>
        <v>18548.12</v>
      </c>
      <c r="I57" s="204"/>
    </row>
    <row r="58" spans="1:9" ht="31.5" x14ac:dyDescent="0.25">
      <c r="A58" s="496" t="s">
        <v>131</v>
      </c>
      <c r="B58" s="490">
        <v>902</v>
      </c>
      <c r="C58" s="492" t="s">
        <v>118</v>
      </c>
      <c r="D58" s="492" t="s">
        <v>150</v>
      </c>
      <c r="E58" s="492" t="s">
        <v>860</v>
      </c>
      <c r="F58" s="492" t="s">
        <v>132</v>
      </c>
      <c r="G58" s="497">
        <f>G59</f>
        <v>5559.4</v>
      </c>
      <c r="H58" s="497">
        <f>H59</f>
        <v>5559.4</v>
      </c>
      <c r="I58" s="204"/>
    </row>
    <row r="59" spans="1:9" ht="31.5" x14ac:dyDescent="0.25">
      <c r="A59" s="496" t="s">
        <v>133</v>
      </c>
      <c r="B59" s="490">
        <v>902</v>
      </c>
      <c r="C59" s="492" t="s">
        <v>118</v>
      </c>
      <c r="D59" s="492" t="s">
        <v>150</v>
      </c>
      <c r="E59" s="492" t="s">
        <v>860</v>
      </c>
      <c r="F59" s="492" t="s">
        <v>134</v>
      </c>
      <c r="G59" s="497">
        <v>5559.4</v>
      </c>
      <c r="H59" s="497">
        <f>G59</f>
        <v>5559.4</v>
      </c>
      <c r="I59" s="204"/>
    </row>
    <row r="60" spans="1:9" ht="31.5" hidden="1" x14ac:dyDescent="0.25">
      <c r="A60" s="496" t="s">
        <v>248</v>
      </c>
      <c r="B60" s="490">
        <v>902</v>
      </c>
      <c r="C60" s="492" t="s">
        <v>118</v>
      </c>
      <c r="D60" s="492" t="s">
        <v>150</v>
      </c>
      <c r="E60" s="492" t="s">
        <v>860</v>
      </c>
      <c r="F60" s="492" t="s">
        <v>249</v>
      </c>
      <c r="G60" s="497">
        <f>G61</f>
        <v>0</v>
      </c>
      <c r="H60" s="497">
        <f>H61</f>
        <v>0</v>
      </c>
      <c r="I60" s="204"/>
    </row>
    <row r="61" spans="1:9" ht="31.5" hidden="1" x14ac:dyDescent="0.25">
      <c r="A61" s="496" t="s">
        <v>250</v>
      </c>
      <c r="B61" s="490">
        <v>902</v>
      </c>
      <c r="C61" s="492" t="s">
        <v>118</v>
      </c>
      <c r="D61" s="492" t="s">
        <v>150</v>
      </c>
      <c r="E61" s="492" t="s">
        <v>860</v>
      </c>
      <c r="F61" s="492" t="s">
        <v>251</v>
      </c>
      <c r="G61" s="497">
        <v>0</v>
      </c>
      <c r="H61" s="497">
        <f t="shared" si="1"/>
        <v>0</v>
      </c>
      <c r="I61" s="204"/>
    </row>
    <row r="62" spans="1:9" ht="15.75" x14ac:dyDescent="0.25">
      <c r="A62" s="496" t="s">
        <v>135</v>
      </c>
      <c r="B62" s="490">
        <v>902</v>
      </c>
      <c r="C62" s="492" t="s">
        <v>118</v>
      </c>
      <c r="D62" s="492" t="s">
        <v>150</v>
      </c>
      <c r="E62" s="492" t="s">
        <v>860</v>
      </c>
      <c r="F62" s="492" t="s">
        <v>145</v>
      </c>
      <c r="G62" s="497">
        <f>G63</f>
        <v>75</v>
      </c>
      <c r="H62" s="497">
        <f>H63</f>
        <v>75</v>
      </c>
      <c r="I62" s="204"/>
    </row>
    <row r="63" spans="1:9" ht="15.75" x14ac:dyDescent="0.25">
      <c r="A63" s="496" t="s">
        <v>568</v>
      </c>
      <c r="B63" s="490">
        <v>902</v>
      </c>
      <c r="C63" s="492" t="s">
        <v>118</v>
      </c>
      <c r="D63" s="492" t="s">
        <v>150</v>
      </c>
      <c r="E63" s="492" t="s">
        <v>860</v>
      </c>
      <c r="F63" s="492" t="s">
        <v>138</v>
      </c>
      <c r="G63" s="497">
        <v>75</v>
      </c>
      <c r="H63" s="497">
        <f t="shared" si="1"/>
        <v>75</v>
      </c>
      <c r="I63" s="204"/>
    </row>
    <row r="64" spans="1:9" ht="31.5" x14ac:dyDescent="0.25">
      <c r="A64" s="496" t="s">
        <v>840</v>
      </c>
      <c r="B64" s="490">
        <v>902</v>
      </c>
      <c r="C64" s="492" t="s">
        <v>118</v>
      </c>
      <c r="D64" s="492" t="s">
        <v>150</v>
      </c>
      <c r="E64" s="492" t="s">
        <v>861</v>
      </c>
      <c r="F64" s="492"/>
      <c r="G64" s="497">
        <f>G65</f>
        <v>2071.4</v>
      </c>
      <c r="H64" s="497">
        <f t="shared" si="1"/>
        <v>2071.4</v>
      </c>
      <c r="I64" s="204"/>
    </row>
    <row r="65" spans="1:9" ht="78.75" x14ac:dyDescent="0.25">
      <c r="A65" s="496" t="s">
        <v>127</v>
      </c>
      <c r="B65" s="490">
        <v>902</v>
      </c>
      <c r="C65" s="492" t="s">
        <v>118</v>
      </c>
      <c r="D65" s="492" t="s">
        <v>150</v>
      </c>
      <c r="E65" s="492" t="s">
        <v>861</v>
      </c>
      <c r="F65" s="492" t="s">
        <v>128</v>
      </c>
      <c r="G65" s="497">
        <f>G66</f>
        <v>2071.4</v>
      </c>
      <c r="H65" s="497">
        <f>H66</f>
        <v>2071.4</v>
      </c>
      <c r="I65" s="204"/>
    </row>
    <row r="66" spans="1:9" ht="31.5" x14ac:dyDescent="0.25">
      <c r="A66" s="496" t="s">
        <v>129</v>
      </c>
      <c r="B66" s="490">
        <v>902</v>
      </c>
      <c r="C66" s="492" t="s">
        <v>118</v>
      </c>
      <c r="D66" s="492" t="s">
        <v>150</v>
      </c>
      <c r="E66" s="492" t="s">
        <v>861</v>
      </c>
      <c r="F66" s="492" t="s">
        <v>130</v>
      </c>
      <c r="G66" s="497">
        <v>2071.4</v>
      </c>
      <c r="H66" s="497">
        <f t="shared" si="1"/>
        <v>2071.4</v>
      </c>
      <c r="I66" s="204"/>
    </row>
    <row r="67" spans="1:9" ht="47.25" x14ac:dyDescent="0.25">
      <c r="A67" s="496" t="s">
        <v>839</v>
      </c>
      <c r="B67" s="490">
        <v>902</v>
      </c>
      <c r="C67" s="492" t="s">
        <v>118</v>
      </c>
      <c r="D67" s="492" t="s">
        <v>150</v>
      </c>
      <c r="E67" s="492" t="s">
        <v>862</v>
      </c>
      <c r="F67" s="492"/>
      <c r="G67" s="497">
        <f>G68</f>
        <v>1591</v>
      </c>
      <c r="H67" s="497">
        <f>H68</f>
        <v>1591</v>
      </c>
      <c r="I67" s="204"/>
    </row>
    <row r="68" spans="1:9" ht="78.75" x14ac:dyDescent="0.25">
      <c r="A68" s="496" t="s">
        <v>127</v>
      </c>
      <c r="B68" s="490">
        <v>902</v>
      </c>
      <c r="C68" s="492" t="s">
        <v>118</v>
      </c>
      <c r="D68" s="492" t="s">
        <v>150</v>
      </c>
      <c r="E68" s="492" t="s">
        <v>862</v>
      </c>
      <c r="F68" s="492" t="s">
        <v>128</v>
      </c>
      <c r="G68" s="497">
        <f>G69</f>
        <v>1591</v>
      </c>
      <c r="H68" s="497">
        <f>H69</f>
        <v>1591</v>
      </c>
      <c r="I68" s="204"/>
    </row>
    <row r="69" spans="1:9" ht="31.5" x14ac:dyDescent="0.25">
      <c r="A69" s="496" t="s">
        <v>129</v>
      </c>
      <c r="B69" s="490">
        <v>902</v>
      </c>
      <c r="C69" s="492" t="s">
        <v>118</v>
      </c>
      <c r="D69" s="492" t="s">
        <v>150</v>
      </c>
      <c r="E69" s="492" t="s">
        <v>862</v>
      </c>
      <c r="F69" s="492" t="s">
        <v>130</v>
      </c>
      <c r="G69" s="497">
        <v>1591</v>
      </c>
      <c r="H69" s="497">
        <f t="shared" si="1"/>
        <v>1591</v>
      </c>
      <c r="I69" s="204"/>
    </row>
    <row r="70" spans="1:9" ht="31.5" x14ac:dyDescent="0.25">
      <c r="A70" s="494" t="s">
        <v>885</v>
      </c>
      <c r="B70" s="491">
        <v>902</v>
      </c>
      <c r="C70" s="495" t="s">
        <v>118</v>
      </c>
      <c r="D70" s="495" t="s">
        <v>150</v>
      </c>
      <c r="E70" s="495" t="s">
        <v>863</v>
      </c>
      <c r="F70" s="495"/>
      <c r="G70" s="493">
        <f>G71+G74+G79+G84</f>
        <v>3308.6</v>
      </c>
      <c r="H70" s="493">
        <f>H71+H74+H79+H84</f>
        <v>3093.1</v>
      </c>
      <c r="I70" s="204"/>
    </row>
    <row r="71" spans="1:9" ht="47.25" hidden="1" x14ac:dyDescent="0.25">
      <c r="A71" s="496" t="s">
        <v>779</v>
      </c>
      <c r="B71" s="490">
        <v>902</v>
      </c>
      <c r="C71" s="492" t="s">
        <v>118</v>
      </c>
      <c r="D71" s="492" t="s">
        <v>150</v>
      </c>
      <c r="E71" s="492" t="s">
        <v>919</v>
      </c>
      <c r="F71" s="495"/>
      <c r="G71" s="497">
        <f>G72</f>
        <v>0</v>
      </c>
      <c r="H71" s="497">
        <f>H72</f>
        <v>0</v>
      </c>
      <c r="I71" s="204"/>
    </row>
    <row r="72" spans="1:9" ht="31.5" hidden="1" x14ac:dyDescent="0.25">
      <c r="A72" s="496" t="s">
        <v>131</v>
      </c>
      <c r="B72" s="490">
        <v>902</v>
      </c>
      <c r="C72" s="492" t="s">
        <v>118</v>
      </c>
      <c r="D72" s="492" t="s">
        <v>150</v>
      </c>
      <c r="E72" s="492" t="s">
        <v>919</v>
      </c>
      <c r="F72" s="492" t="s">
        <v>132</v>
      </c>
      <c r="G72" s="497">
        <f>G73</f>
        <v>0</v>
      </c>
      <c r="H72" s="497">
        <f>H73</f>
        <v>0</v>
      </c>
      <c r="I72" s="204"/>
    </row>
    <row r="73" spans="1:9" ht="31.5" hidden="1" x14ac:dyDescent="0.25">
      <c r="A73" s="496" t="s">
        <v>133</v>
      </c>
      <c r="B73" s="490">
        <v>902</v>
      </c>
      <c r="C73" s="492" t="s">
        <v>118</v>
      </c>
      <c r="D73" s="492" t="s">
        <v>150</v>
      </c>
      <c r="E73" s="492" t="s">
        <v>919</v>
      </c>
      <c r="F73" s="492" t="s">
        <v>134</v>
      </c>
      <c r="G73" s="393">
        <v>0</v>
      </c>
      <c r="H73" s="393">
        <v>0</v>
      </c>
      <c r="I73" s="204"/>
    </row>
    <row r="74" spans="1:9" ht="47.25" x14ac:dyDescent="0.25">
      <c r="A74" s="31" t="s">
        <v>189</v>
      </c>
      <c r="B74" s="490">
        <v>902</v>
      </c>
      <c r="C74" s="492" t="s">
        <v>118</v>
      </c>
      <c r="D74" s="492" t="s">
        <v>150</v>
      </c>
      <c r="E74" s="492" t="s">
        <v>920</v>
      </c>
      <c r="F74" s="492"/>
      <c r="G74" s="497">
        <f>G75+G77</f>
        <v>563.20000000000005</v>
      </c>
      <c r="H74" s="497">
        <f>H75+H77</f>
        <v>347.7</v>
      </c>
      <c r="I74" s="204"/>
    </row>
    <row r="75" spans="1:9" ht="78.75" x14ac:dyDescent="0.25">
      <c r="A75" s="496" t="s">
        <v>127</v>
      </c>
      <c r="B75" s="490">
        <v>902</v>
      </c>
      <c r="C75" s="492" t="s">
        <v>118</v>
      </c>
      <c r="D75" s="492" t="s">
        <v>150</v>
      </c>
      <c r="E75" s="492" t="s">
        <v>920</v>
      </c>
      <c r="F75" s="492" t="s">
        <v>128</v>
      </c>
      <c r="G75" s="497">
        <f>G76</f>
        <v>563.20000000000005</v>
      </c>
      <c r="H75" s="497">
        <f>H76</f>
        <v>347.7</v>
      </c>
      <c r="I75" s="204"/>
    </row>
    <row r="76" spans="1:9" ht="31.5" x14ac:dyDescent="0.25">
      <c r="A76" s="496" t="s">
        <v>129</v>
      </c>
      <c r="B76" s="490">
        <v>902</v>
      </c>
      <c r="C76" s="492" t="s">
        <v>118</v>
      </c>
      <c r="D76" s="492" t="s">
        <v>150</v>
      </c>
      <c r="E76" s="492" t="s">
        <v>920</v>
      </c>
      <c r="F76" s="492" t="s">
        <v>130</v>
      </c>
      <c r="G76" s="497">
        <v>563.20000000000005</v>
      </c>
      <c r="H76" s="497">
        <v>347.7</v>
      </c>
      <c r="I76" s="204"/>
    </row>
    <row r="77" spans="1:9" ht="31.5" hidden="1" x14ac:dyDescent="0.25">
      <c r="A77" s="496" t="s">
        <v>131</v>
      </c>
      <c r="B77" s="490">
        <v>902</v>
      </c>
      <c r="C77" s="492" t="s">
        <v>118</v>
      </c>
      <c r="D77" s="492" t="s">
        <v>150</v>
      </c>
      <c r="E77" s="492" t="s">
        <v>920</v>
      </c>
      <c r="F77" s="492" t="s">
        <v>132</v>
      </c>
      <c r="G77" s="497">
        <f>G78</f>
        <v>0</v>
      </c>
      <c r="H77" s="497">
        <f>H78</f>
        <v>0</v>
      </c>
      <c r="I77" s="204"/>
    </row>
    <row r="78" spans="1:9" ht="31.5" hidden="1" x14ac:dyDescent="0.25">
      <c r="A78" s="496" t="s">
        <v>133</v>
      </c>
      <c r="B78" s="490">
        <v>902</v>
      </c>
      <c r="C78" s="492" t="s">
        <v>118</v>
      </c>
      <c r="D78" s="492" t="s">
        <v>150</v>
      </c>
      <c r="E78" s="492" t="s">
        <v>920</v>
      </c>
      <c r="F78" s="492" t="s">
        <v>134</v>
      </c>
      <c r="G78" s="393">
        <v>0</v>
      </c>
      <c r="H78" s="393">
        <v>0</v>
      </c>
      <c r="I78" s="204"/>
    </row>
    <row r="79" spans="1:9" ht="47.25" x14ac:dyDescent="0.25">
      <c r="A79" s="31" t="s">
        <v>194</v>
      </c>
      <c r="B79" s="490">
        <v>902</v>
      </c>
      <c r="C79" s="492" t="s">
        <v>118</v>
      </c>
      <c r="D79" s="492" t="s">
        <v>150</v>
      </c>
      <c r="E79" s="492" t="s">
        <v>1028</v>
      </c>
      <c r="F79" s="492"/>
      <c r="G79" s="497">
        <f>G80+G82</f>
        <v>1411.1</v>
      </c>
      <c r="H79" s="497">
        <f>H80+H82</f>
        <v>1411.1</v>
      </c>
      <c r="I79" s="204"/>
    </row>
    <row r="80" spans="1:9" ht="78.75" x14ac:dyDescent="0.25">
      <c r="A80" s="496" t="s">
        <v>127</v>
      </c>
      <c r="B80" s="490">
        <v>902</v>
      </c>
      <c r="C80" s="492" t="s">
        <v>118</v>
      </c>
      <c r="D80" s="492" t="s">
        <v>150</v>
      </c>
      <c r="E80" s="492" t="s">
        <v>1028</v>
      </c>
      <c r="F80" s="492" t="s">
        <v>128</v>
      </c>
      <c r="G80" s="497">
        <f>G81</f>
        <v>1372.1</v>
      </c>
      <c r="H80" s="497">
        <f>H81</f>
        <v>1372.1</v>
      </c>
      <c r="I80" s="204"/>
    </row>
    <row r="81" spans="1:9" ht="31.5" x14ac:dyDescent="0.25">
      <c r="A81" s="496" t="s">
        <v>129</v>
      </c>
      <c r="B81" s="490">
        <v>902</v>
      </c>
      <c r="C81" s="492" t="s">
        <v>118</v>
      </c>
      <c r="D81" s="492" t="s">
        <v>150</v>
      </c>
      <c r="E81" s="492" t="s">
        <v>1028</v>
      </c>
      <c r="F81" s="492" t="s">
        <v>130</v>
      </c>
      <c r="G81" s="497">
        <f>1372.1</f>
        <v>1372.1</v>
      </c>
      <c r="H81" s="497">
        <f t="shared" si="1"/>
        <v>1372.1</v>
      </c>
      <c r="I81" s="204"/>
    </row>
    <row r="82" spans="1:9" ht="31.5" x14ac:dyDescent="0.25">
      <c r="A82" s="496" t="s">
        <v>131</v>
      </c>
      <c r="B82" s="490">
        <v>902</v>
      </c>
      <c r="C82" s="492" t="s">
        <v>118</v>
      </c>
      <c r="D82" s="492" t="s">
        <v>150</v>
      </c>
      <c r="E82" s="492" t="s">
        <v>1028</v>
      </c>
      <c r="F82" s="492" t="s">
        <v>132</v>
      </c>
      <c r="G82" s="497">
        <f>G83</f>
        <v>39</v>
      </c>
      <c r="H82" s="497">
        <f>H83</f>
        <v>39</v>
      </c>
      <c r="I82" s="204"/>
    </row>
    <row r="83" spans="1:9" ht="31.5" x14ac:dyDescent="0.25">
      <c r="A83" s="496" t="s">
        <v>133</v>
      </c>
      <c r="B83" s="490">
        <v>902</v>
      </c>
      <c r="C83" s="492" t="s">
        <v>118</v>
      </c>
      <c r="D83" s="492" t="s">
        <v>150</v>
      </c>
      <c r="E83" s="492" t="s">
        <v>1028</v>
      </c>
      <c r="F83" s="492" t="s">
        <v>134</v>
      </c>
      <c r="G83" s="497">
        <f>61.2-19.5-2.7</f>
        <v>39</v>
      </c>
      <c r="H83" s="497">
        <f t="shared" si="1"/>
        <v>39</v>
      </c>
      <c r="I83" s="204"/>
    </row>
    <row r="84" spans="1:9" ht="47.25" x14ac:dyDescent="0.25">
      <c r="A84" s="31" t="s">
        <v>196</v>
      </c>
      <c r="B84" s="490">
        <v>902</v>
      </c>
      <c r="C84" s="492" t="s">
        <v>118</v>
      </c>
      <c r="D84" s="492" t="s">
        <v>150</v>
      </c>
      <c r="E84" s="492" t="s">
        <v>921</v>
      </c>
      <c r="F84" s="492"/>
      <c r="G84" s="497">
        <f>G85+G87</f>
        <v>1334.3</v>
      </c>
      <c r="H84" s="497">
        <f>H85+H87</f>
        <v>1334.3</v>
      </c>
      <c r="I84" s="204"/>
    </row>
    <row r="85" spans="1:9" ht="78.75" x14ac:dyDescent="0.25">
      <c r="A85" s="496" t="s">
        <v>127</v>
      </c>
      <c r="B85" s="490">
        <v>902</v>
      </c>
      <c r="C85" s="492" t="s">
        <v>118</v>
      </c>
      <c r="D85" s="492" t="s">
        <v>150</v>
      </c>
      <c r="E85" s="492" t="s">
        <v>921</v>
      </c>
      <c r="F85" s="492" t="s">
        <v>128</v>
      </c>
      <c r="G85" s="497">
        <f>G86</f>
        <v>1300.3</v>
      </c>
      <c r="H85" s="497">
        <f>H86</f>
        <v>1300.3</v>
      </c>
      <c r="I85" s="204"/>
    </row>
    <row r="86" spans="1:9" ht="31.5" x14ac:dyDescent="0.25">
      <c r="A86" s="496" t="s">
        <v>129</v>
      </c>
      <c r="B86" s="490">
        <v>902</v>
      </c>
      <c r="C86" s="492" t="s">
        <v>118</v>
      </c>
      <c r="D86" s="492" t="s">
        <v>150</v>
      </c>
      <c r="E86" s="492" t="s">
        <v>921</v>
      </c>
      <c r="F86" s="492" t="s">
        <v>130</v>
      </c>
      <c r="G86" s="497">
        <v>1300.3</v>
      </c>
      <c r="H86" s="497">
        <f t="shared" si="1"/>
        <v>1300.3</v>
      </c>
      <c r="I86" s="204"/>
    </row>
    <row r="87" spans="1:9" ht="31.5" x14ac:dyDescent="0.25">
      <c r="A87" s="496" t="s">
        <v>198</v>
      </c>
      <c r="B87" s="490">
        <v>902</v>
      </c>
      <c r="C87" s="492" t="s">
        <v>118</v>
      </c>
      <c r="D87" s="492" t="s">
        <v>150</v>
      </c>
      <c r="E87" s="492" t="s">
        <v>921</v>
      </c>
      <c r="F87" s="492" t="s">
        <v>132</v>
      </c>
      <c r="G87" s="497">
        <f>G88</f>
        <v>34</v>
      </c>
      <c r="H87" s="497">
        <f>H88</f>
        <v>34</v>
      </c>
      <c r="I87" s="204"/>
    </row>
    <row r="88" spans="1:9" ht="31.5" x14ac:dyDescent="0.25">
      <c r="A88" s="496" t="s">
        <v>133</v>
      </c>
      <c r="B88" s="490">
        <v>902</v>
      </c>
      <c r="C88" s="492" t="s">
        <v>118</v>
      </c>
      <c r="D88" s="492" t="s">
        <v>150</v>
      </c>
      <c r="E88" s="492" t="s">
        <v>921</v>
      </c>
      <c r="F88" s="492" t="s">
        <v>134</v>
      </c>
      <c r="G88" s="497">
        <v>34</v>
      </c>
      <c r="H88" s="497">
        <f t="shared" si="1"/>
        <v>34</v>
      </c>
      <c r="I88" s="204"/>
    </row>
    <row r="89" spans="1:9" ht="47.25" x14ac:dyDescent="0.25">
      <c r="A89" s="494" t="s">
        <v>1364</v>
      </c>
      <c r="B89" s="491">
        <v>902</v>
      </c>
      <c r="C89" s="495" t="s">
        <v>118</v>
      </c>
      <c r="D89" s="495" t="s">
        <v>150</v>
      </c>
      <c r="E89" s="495" t="s">
        <v>162</v>
      </c>
      <c r="F89" s="495"/>
      <c r="G89" s="493">
        <f>G90+G94+G106</f>
        <v>683.5</v>
      </c>
      <c r="H89" s="493">
        <f>H90+H94+H106</f>
        <v>683.5</v>
      </c>
      <c r="I89" s="204"/>
    </row>
    <row r="90" spans="1:9" ht="63" x14ac:dyDescent="0.25">
      <c r="A90" s="305" t="s">
        <v>1339</v>
      </c>
      <c r="B90" s="491">
        <v>902</v>
      </c>
      <c r="C90" s="495" t="s">
        <v>118</v>
      </c>
      <c r="D90" s="495" t="s">
        <v>150</v>
      </c>
      <c r="E90" s="7" t="s">
        <v>849</v>
      </c>
      <c r="F90" s="495"/>
      <c r="G90" s="493">
        <f t="shared" ref="G90:H92" si="3">G91</f>
        <v>606</v>
      </c>
      <c r="H90" s="493">
        <f t="shared" si="3"/>
        <v>606</v>
      </c>
      <c r="I90" s="204"/>
    </row>
    <row r="91" spans="1:9" ht="47.25" x14ac:dyDescent="0.25">
      <c r="A91" s="29" t="s">
        <v>1308</v>
      </c>
      <c r="B91" s="490">
        <v>902</v>
      </c>
      <c r="C91" s="492" t="s">
        <v>118</v>
      </c>
      <c r="D91" s="492" t="s">
        <v>150</v>
      </c>
      <c r="E91" s="499" t="s">
        <v>841</v>
      </c>
      <c r="F91" s="492"/>
      <c r="G91" s="497">
        <f t="shared" si="3"/>
        <v>606</v>
      </c>
      <c r="H91" s="497">
        <f t="shared" si="3"/>
        <v>606</v>
      </c>
      <c r="I91" s="204"/>
    </row>
    <row r="92" spans="1:9" ht="31.5" x14ac:dyDescent="0.25">
      <c r="A92" s="496" t="s">
        <v>131</v>
      </c>
      <c r="B92" s="490">
        <v>902</v>
      </c>
      <c r="C92" s="492" t="s">
        <v>118</v>
      </c>
      <c r="D92" s="492" t="s">
        <v>150</v>
      </c>
      <c r="E92" s="499" t="s">
        <v>841</v>
      </c>
      <c r="F92" s="492" t="s">
        <v>132</v>
      </c>
      <c r="G92" s="497">
        <f t="shared" si="3"/>
        <v>606</v>
      </c>
      <c r="H92" s="497">
        <f t="shared" si="3"/>
        <v>606</v>
      </c>
      <c r="I92" s="204"/>
    </row>
    <row r="93" spans="1:9" ht="31.5" x14ac:dyDescent="0.25">
      <c r="A93" s="496" t="s">
        <v>133</v>
      </c>
      <c r="B93" s="490">
        <v>902</v>
      </c>
      <c r="C93" s="492" t="s">
        <v>118</v>
      </c>
      <c r="D93" s="492" t="s">
        <v>150</v>
      </c>
      <c r="E93" s="499" t="s">
        <v>841</v>
      </c>
      <c r="F93" s="492" t="s">
        <v>134</v>
      </c>
      <c r="G93" s="497">
        <v>606</v>
      </c>
      <c r="H93" s="497">
        <f t="shared" si="1"/>
        <v>606</v>
      </c>
      <c r="I93" s="204"/>
    </row>
    <row r="94" spans="1:9" ht="63" x14ac:dyDescent="0.25">
      <c r="A94" s="220" t="s">
        <v>843</v>
      </c>
      <c r="B94" s="491">
        <v>902</v>
      </c>
      <c r="C94" s="495" t="s">
        <v>118</v>
      </c>
      <c r="D94" s="495" t="s">
        <v>150</v>
      </c>
      <c r="E94" s="7" t="s">
        <v>850</v>
      </c>
      <c r="F94" s="495"/>
      <c r="G94" s="493">
        <f>G95+G100+G103</f>
        <v>77</v>
      </c>
      <c r="H94" s="493">
        <f>H95+H100+H103</f>
        <v>77</v>
      </c>
      <c r="I94" s="204"/>
    </row>
    <row r="95" spans="1:9" ht="47.25" x14ac:dyDescent="0.25">
      <c r="A95" s="174" t="s">
        <v>165</v>
      </c>
      <c r="B95" s="490">
        <v>902</v>
      </c>
      <c r="C95" s="492" t="s">
        <v>118</v>
      </c>
      <c r="D95" s="492" t="s">
        <v>150</v>
      </c>
      <c r="E95" s="499" t="s">
        <v>842</v>
      </c>
      <c r="F95" s="492"/>
      <c r="G95" s="497">
        <f>G96+G98</f>
        <v>77</v>
      </c>
      <c r="H95" s="497">
        <f>H96+H98</f>
        <v>77</v>
      </c>
      <c r="I95" s="204"/>
    </row>
    <row r="96" spans="1:9" ht="78.75" x14ac:dyDescent="0.25">
      <c r="A96" s="496" t="s">
        <v>127</v>
      </c>
      <c r="B96" s="490">
        <v>902</v>
      </c>
      <c r="C96" s="492" t="s">
        <v>118</v>
      </c>
      <c r="D96" s="492" t="s">
        <v>150</v>
      </c>
      <c r="E96" s="499" t="s">
        <v>842</v>
      </c>
      <c r="F96" s="492" t="s">
        <v>128</v>
      </c>
      <c r="G96" s="497">
        <f>G97</f>
        <v>37</v>
      </c>
      <c r="H96" s="497">
        <f>H97</f>
        <v>37</v>
      </c>
      <c r="I96" s="204"/>
    </row>
    <row r="97" spans="1:9" ht="31.5" x14ac:dyDescent="0.25">
      <c r="A97" s="496" t="s">
        <v>129</v>
      </c>
      <c r="B97" s="490">
        <v>902</v>
      </c>
      <c r="C97" s="492" t="s">
        <v>118</v>
      </c>
      <c r="D97" s="492" t="s">
        <v>150</v>
      </c>
      <c r="E97" s="499" t="s">
        <v>842</v>
      </c>
      <c r="F97" s="492" t="s">
        <v>130</v>
      </c>
      <c r="G97" s="497">
        <f>37</f>
        <v>37</v>
      </c>
      <c r="H97" s="497">
        <f t="shared" si="1"/>
        <v>37</v>
      </c>
      <c r="I97" s="204"/>
    </row>
    <row r="98" spans="1:9" ht="31.5" x14ac:dyDescent="0.25">
      <c r="A98" s="496" t="s">
        <v>131</v>
      </c>
      <c r="B98" s="490">
        <v>902</v>
      </c>
      <c r="C98" s="492" t="s">
        <v>118</v>
      </c>
      <c r="D98" s="492" t="s">
        <v>150</v>
      </c>
      <c r="E98" s="499" t="s">
        <v>842</v>
      </c>
      <c r="F98" s="492" t="s">
        <v>132</v>
      </c>
      <c r="G98" s="497">
        <f>G99</f>
        <v>40</v>
      </c>
      <c r="H98" s="497">
        <f>H99</f>
        <v>40</v>
      </c>
      <c r="I98" s="204"/>
    </row>
    <row r="99" spans="1:9" ht="31.5" x14ac:dyDescent="0.25">
      <c r="A99" s="496" t="s">
        <v>133</v>
      </c>
      <c r="B99" s="490">
        <v>902</v>
      </c>
      <c r="C99" s="492" t="s">
        <v>118</v>
      </c>
      <c r="D99" s="492" t="s">
        <v>150</v>
      </c>
      <c r="E99" s="499" t="s">
        <v>842</v>
      </c>
      <c r="F99" s="492" t="s">
        <v>134</v>
      </c>
      <c r="G99" s="497">
        <f>40</f>
        <v>40</v>
      </c>
      <c r="H99" s="497">
        <f t="shared" ref="H99:H178" si="4">G99</f>
        <v>40</v>
      </c>
      <c r="I99" s="204"/>
    </row>
    <row r="100" spans="1:9" ht="47.25" hidden="1" x14ac:dyDescent="0.25">
      <c r="A100" s="31" t="s">
        <v>1094</v>
      </c>
      <c r="B100" s="490">
        <v>902</v>
      </c>
      <c r="C100" s="492" t="s">
        <v>118</v>
      </c>
      <c r="D100" s="492" t="s">
        <v>150</v>
      </c>
      <c r="E100" s="499" t="s">
        <v>993</v>
      </c>
      <c r="F100" s="492"/>
      <c r="G100" s="497">
        <f>G101</f>
        <v>0</v>
      </c>
      <c r="H100" s="497">
        <f>H101</f>
        <v>0</v>
      </c>
      <c r="I100" s="204"/>
    </row>
    <row r="101" spans="1:9" ht="31.5" hidden="1" x14ac:dyDescent="0.25">
      <c r="A101" s="496" t="s">
        <v>131</v>
      </c>
      <c r="B101" s="490">
        <v>902</v>
      </c>
      <c r="C101" s="492" t="s">
        <v>118</v>
      </c>
      <c r="D101" s="492" t="s">
        <v>150</v>
      </c>
      <c r="E101" s="499" t="s">
        <v>993</v>
      </c>
      <c r="F101" s="492" t="s">
        <v>132</v>
      </c>
      <c r="G101" s="497">
        <f>G102</f>
        <v>0</v>
      </c>
      <c r="H101" s="497">
        <f>H102</f>
        <v>0</v>
      </c>
      <c r="I101" s="204"/>
    </row>
    <row r="102" spans="1:9" ht="31.5" hidden="1" x14ac:dyDescent="0.25">
      <c r="A102" s="496" t="s">
        <v>133</v>
      </c>
      <c r="B102" s="490">
        <v>902</v>
      </c>
      <c r="C102" s="492" t="s">
        <v>118</v>
      </c>
      <c r="D102" s="492" t="s">
        <v>150</v>
      </c>
      <c r="E102" s="499" t="s">
        <v>696</v>
      </c>
      <c r="F102" s="492" t="s">
        <v>134</v>
      </c>
      <c r="G102" s="497">
        <v>0</v>
      </c>
      <c r="H102" s="497">
        <v>0</v>
      </c>
      <c r="I102" s="204"/>
    </row>
    <row r="103" spans="1:9" ht="47.25" hidden="1" x14ac:dyDescent="0.25">
      <c r="A103" s="31" t="s">
        <v>695</v>
      </c>
      <c r="B103" s="490">
        <v>902</v>
      </c>
      <c r="C103" s="492" t="s">
        <v>118</v>
      </c>
      <c r="D103" s="492" t="s">
        <v>150</v>
      </c>
      <c r="E103" s="492" t="s">
        <v>992</v>
      </c>
      <c r="F103" s="492"/>
      <c r="G103" s="497">
        <f>G104</f>
        <v>0</v>
      </c>
      <c r="H103" s="497">
        <f>H104</f>
        <v>0</v>
      </c>
      <c r="I103" s="204"/>
    </row>
    <row r="104" spans="1:9" ht="31.5" hidden="1" x14ac:dyDescent="0.25">
      <c r="A104" s="496" t="s">
        <v>131</v>
      </c>
      <c r="B104" s="490">
        <v>902</v>
      </c>
      <c r="C104" s="492" t="s">
        <v>118</v>
      </c>
      <c r="D104" s="492" t="s">
        <v>150</v>
      </c>
      <c r="E104" s="492" t="s">
        <v>992</v>
      </c>
      <c r="F104" s="492" t="s">
        <v>132</v>
      </c>
      <c r="G104" s="497">
        <f>G105</f>
        <v>0</v>
      </c>
      <c r="H104" s="497">
        <f>H105</f>
        <v>0</v>
      </c>
      <c r="I104" s="204"/>
    </row>
    <row r="105" spans="1:9" ht="31.5" hidden="1" x14ac:dyDescent="0.25">
      <c r="A105" s="496" t="s">
        <v>133</v>
      </c>
      <c r="B105" s="490">
        <v>902</v>
      </c>
      <c r="C105" s="492" t="s">
        <v>118</v>
      </c>
      <c r="D105" s="492" t="s">
        <v>150</v>
      </c>
      <c r="E105" s="492" t="s">
        <v>992</v>
      </c>
      <c r="F105" s="492" t="s">
        <v>134</v>
      </c>
      <c r="G105" s="497">
        <v>0</v>
      </c>
      <c r="H105" s="497">
        <v>0</v>
      </c>
      <c r="I105" s="204"/>
    </row>
    <row r="106" spans="1:9" ht="63" x14ac:dyDescent="0.25">
      <c r="A106" s="221" t="s">
        <v>1003</v>
      </c>
      <c r="B106" s="491">
        <v>902</v>
      </c>
      <c r="C106" s="495" t="s">
        <v>118</v>
      </c>
      <c r="D106" s="495" t="s">
        <v>150</v>
      </c>
      <c r="E106" s="7" t="s">
        <v>851</v>
      </c>
      <c r="F106" s="495"/>
      <c r="G106" s="493">
        <f>G107+G110</f>
        <v>0.5</v>
      </c>
      <c r="H106" s="493">
        <f>H107+H110</f>
        <v>0.5</v>
      </c>
      <c r="I106" s="204"/>
    </row>
    <row r="107" spans="1:9" ht="47.25" x14ac:dyDescent="0.25">
      <c r="A107" s="33" t="s">
        <v>191</v>
      </c>
      <c r="B107" s="490">
        <v>902</v>
      </c>
      <c r="C107" s="492" t="s">
        <v>118</v>
      </c>
      <c r="D107" s="492" t="s">
        <v>150</v>
      </c>
      <c r="E107" s="499" t="s">
        <v>844</v>
      </c>
      <c r="F107" s="492"/>
      <c r="G107" s="497">
        <f>G108</f>
        <v>0.5</v>
      </c>
      <c r="H107" s="497">
        <f>H108</f>
        <v>0.5</v>
      </c>
      <c r="I107" s="204"/>
    </row>
    <row r="108" spans="1:9" ht="31.5" x14ac:dyDescent="0.25">
      <c r="A108" s="496" t="s">
        <v>131</v>
      </c>
      <c r="B108" s="490">
        <v>902</v>
      </c>
      <c r="C108" s="492" t="s">
        <v>118</v>
      </c>
      <c r="D108" s="492" t="s">
        <v>150</v>
      </c>
      <c r="E108" s="499" t="s">
        <v>844</v>
      </c>
      <c r="F108" s="492" t="s">
        <v>132</v>
      </c>
      <c r="G108" s="497">
        <f>G109</f>
        <v>0.5</v>
      </c>
      <c r="H108" s="497">
        <f>H109</f>
        <v>0.5</v>
      </c>
      <c r="I108" s="204"/>
    </row>
    <row r="109" spans="1:9" ht="31.5" x14ac:dyDescent="0.25">
      <c r="A109" s="496" t="s">
        <v>133</v>
      </c>
      <c r="B109" s="490">
        <v>902</v>
      </c>
      <c r="C109" s="492" t="s">
        <v>118</v>
      </c>
      <c r="D109" s="492" t="s">
        <v>150</v>
      </c>
      <c r="E109" s="499" t="s">
        <v>844</v>
      </c>
      <c r="F109" s="492" t="s">
        <v>134</v>
      </c>
      <c r="G109" s="497">
        <f>0.5</f>
        <v>0.5</v>
      </c>
      <c r="H109" s="497">
        <f t="shared" si="4"/>
        <v>0.5</v>
      </c>
      <c r="I109" s="204"/>
    </row>
    <row r="110" spans="1:9" ht="47.25" hidden="1" x14ac:dyDescent="0.25">
      <c r="A110" s="33" t="s">
        <v>191</v>
      </c>
      <c r="B110" s="490">
        <v>902</v>
      </c>
      <c r="C110" s="492" t="s">
        <v>118</v>
      </c>
      <c r="D110" s="492" t="s">
        <v>150</v>
      </c>
      <c r="E110" s="492" t="s">
        <v>845</v>
      </c>
      <c r="F110" s="492"/>
      <c r="G110" s="497">
        <f>'[1]Пр.5 ведом.21'!G106</f>
        <v>0</v>
      </c>
      <c r="H110" s="497">
        <f t="shared" si="4"/>
        <v>0</v>
      </c>
      <c r="I110" s="204"/>
    </row>
    <row r="111" spans="1:9" ht="31.5" hidden="1" x14ac:dyDescent="0.25">
      <c r="A111" s="496" t="s">
        <v>131</v>
      </c>
      <c r="B111" s="490">
        <v>902</v>
      </c>
      <c r="C111" s="492" t="s">
        <v>118</v>
      </c>
      <c r="D111" s="492" t="s">
        <v>150</v>
      </c>
      <c r="E111" s="492" t="s">
        <v>845</v>
      </c>
      <c r="F111" s="492" t="s">
        <v>132</v>
      </c>
      <c r="G111" s="497">
        <f>'[1]Пр.5 ведом.21'!G107</f>
        <v>0</v>
      </c>
      <c r="H111" s="497">
        <f t="shared" si="4"/>
        <v>0</v>
      </c>
      <c r="I111" s="204"/>
    </row>
    <row r="112" spans="1:9" ht="31.5" hidden="1" x14ac:dyDescent="0.25">
      <c r="A112" s="496" t="s">
        <v>133</v>
      </c>
      <c r="B112" s="490">
        <v>902</v>
      </c>
      <c r="C112" s="492" t="s">
        <v>118</v>
      </c>
      <c r="D112" s="492" t="s">
        <v>150</v>
      </c>
      <c r="E112" s="492" t="s">
        <v>845</v>
      </c>
      <c r="F112" s="492" t="s">
        <v>134</v>
      </c>
      <c r="G112" s="497">
        <f>'[1]Пр.5 ведом.21'!G108</f>
        <v>0</v>
      </c>
      <c r="H112" s="497">
        <f t="shared" si="4"/>
        <v>0</v>
      </c>
      <c r="I112" s="204"/>
    </row>
    <row r="113" spans="1:9" ht="47.25" x14ac:dyDescent="0.25">
      <c r="A113" s="494" t="s">
        <v>119</v>
      </c>
      <c r="B113" s="491">
        <v>902</v>
      </c>
      <c r="C113" s="495" t="s">
        <v>118</v>
      </c>
      <c r="D113" s="495" t="s">
        <v>120</v>
      </c>
      <c r="E113" s="495"/>
      <c r="F113" s="492"/>
      <c r="G113" s="493">
        <f>G114</f>
        <v>1332.2</v>
      </c>
      <c r="H113" s="493">
        <f>H114</f>
        <v>1332.2</v>
      </c>
      <c r="I113" s="204"/>
    </row>
    <row r="114" spans="1:9" ht="31.5" x14ac:dyDescent="0.25">
      <c r="A114" s="494" t="s">
        <v>917</v>
      </c>
      <c r="B114" s="491">
        <v>902</v>
      </c>
      <c r="C114" s="495" t="s">
        <v>118</v>
      </c>
      <c r="D114" s="495" t="s">
        <v>120</v>
      </c>
      <c r="E114" s="495" t="s">
        <v>858</v>
      </c>
      <c r="F114" s="495"/>
      <c r="G114" s="493">
        <f>G115</f>
        <v>1332.2</v>
      </c>
      <c r="H114" s="493">
        <f>H115</f>
        <v>1332.2</v>
      </c>
      <c r="I114" s="204"/>
    </row>
    <row r="115" spans="1:9" ht="15.75" x14ac:dyDescent="0.25">
      <c r="A115" s="494" t="s">
        <v>918</v>
      </c>
      <c r="B115" s="491">
        <v>902</v>
      </c>
      <c r="C115" s="495" t="s">
        <v>118</v>
      </c>
      <c r="D115" s="495" t="s">
        <v>120</v>
      </c>
      <c r="E115" s="495" t="s">
        <v>859</v>
      </c>
      <c r="F115" s="495"/>
      <c r="G115" s="493">
        <f>G116+G119</f>
        <v>1332.2</v>
      </c>
      <c r="H115" s="493">
        <f>H116+H119</f>
        <v>1332.2</v>
      </c>
      <c r="I115" s="204"/>
    </row>
    <row r="116" spans="1:9" ht="31.5" x14ac:dyDescent="0.25">
      <c r="A116" s="496" t="s">
        <v>897</v>
      </c>
      <c r="B116" s="490">
        <v>902</v>
      </c>
      <c r="C116" s="492" t="s">
        <v>118</v>
      </c>
      <c r="D116" s="492" t="s">
        <v>120</v>
      </c>
      <c r="E116" s="492" t="s">
        <v>860</v>
      </c>
      <c r="F116" s="492"/>
      <c r="G116" s="497">
        <f>G117</f>
        <v>1286.2</v>
      </c>
      <c r="H116" s="497">
        <f>H117</f>
        <v>1286.2</v>
      </c>
      <c r="I116" s="204"/>
    </row>
    <row r="117" spans="1:9" ht="78.75" x14ac:dyDescent="0.25">
      <c r="A117" s="496" t="s">
        <v>127</v>
      </c>
      <c r="B117" s="490">
        <v>902</v>
      </c>
      <c r="C117" s="492" t="s">
        <v>118</v>
      </c>
      <c r="D117" s="492" t="s">
        <v>120</v>
      </c>
      <c r="E117" s="492" t="s">
        <v>860</v>
      </c>
      <c r="F117" s="492" t="s">
        <v>128</v>
      </c>
      <c r="G117" s="497">
        <f>G118</f>
        <v>1286.2</v>
      </c>
      <c r="H117" s="497">
        <f>H118</f>
        <v>1286.2</v>
      </c>
      <c r="I117" s="204"/>
    </row>
    <row r="118" spans="1:9" ht="31.5" x14ac:dyDescent="0.25">
      <c r="A118" s="496" t="s">
        <v>129</v>
      </c>
      <c r="B118" s="490">
        <v>902</v>
      </c>
      <c r="C118" s="492" t="s">
        <v>118</v>
      </c>
      <c r="D118" s="492" t="s">
        <v>120</v>
      </c>
      <c r="E118" s="492" t="s">
        <v>860</v>
      </c>
      <c r="F118" s="492" t="s">
        <v>130</v>
      </c>
      <c r="G118" s="497">
        <v>1286.2</v>
      </c>
      <c r="H118" s="497">
        <f t="shared" si="4"/>
        <v>1286.2</v>
      </c>
      <c r="I118" s="204"/>
    </row>
    <row r="119" spans="1:9" ht="47.25" x14ac:dyDescent="0.25">
      <c r="A119" s="496" t="s">
        <v>839</v>
      </c>
      <c r="B119" s="490">
        <v>902</v>
      </c>
      <c r="C119" s="492" t="s">
        <v>118</v>
      </c>
      <c r="D119" s="492" t="s">
        <v>120</v>
      </c>
      <c r="E119" s="492" t="s">
        <v>862</v>
      </c>
      <c r="F119" s="492"/>
      <c r="G119" s="497">
        <f>G120</f>
        <v>46</v>
      </c>
      <c r="H119" s="497">
        <f>H120</f>
        <v>46</v>
      </c>
      <c r="I119" s="204"/>
    </row>
    <row r="120" spans="1:9" ht="78.75" x14ac:dyDescent="0.25">
      <c r="A120" s="496" t="s">
        <v>127</v>
      </c>
      <c r="B120" s="490">
        <v>902</v>
      </c>
      <c r="C120" s="492" t="s">
        <v>118</v>
      </c>
      <c r="D120" s="492" t="s">
        <v>120</v>
      </c>
      <c r="E120" s="492" t="s">
        <v>862</v>
      </c>
      <c r="F120" s="492" t="s">
        <v>128</v>
      </c>
      <c r="G120" s="497">
        <f>G121</f>
        <v>46</v>
      </c>
      <c r="H120" s="497">
        <f>H121</f>
        <v>46</v>
      </c>
      <c r="I120" s="204"/>
    </row>
    <row r="121" spans="1:9" ht="31.5" x14ac:dyDescent="0.25">
      <c r="A121" s="496" t="s">
        <v>129</v>
      </c>
      <c r="B121" s="490">
        <v>902</v>
      </c>
      <c r="C121" s="492" t="s">
        <v>118</v>
      </c>
      <c r="D121" s="492" t="s">
        <v>120</v>
      </c>
      <c r="E121" s="492" t="s">
        <v>862</v>
      </c>
      <c r="F121" s="492" t="s">
        <v>130</v>
      </c>
      <c r="G121" s="497">
        <v>46</v>
      </c>
      <c r="H121" s="497">
        <f t="shared" si="4"/>
        <v>46</v>
      </c>
      <c r="I121" s="204"/>
    </row>
    <row r="122" spans="1:9" ht="15.75" hidden="1" x14ac:dyDescent="0.25">
      <c r="A122" s="494" t="s">
        <v>1147</v>
      </c>
      <c r="B122" s="491">
        <v>902</v>
      </c>
      <c r="C122" s="495" t="s">
        <v>118</v>
      </c>
      <c r="D122" s="495" t="s">
        <v>264</v>
      </c>
      <c r="E122" s="495"/>
      <c r="F122" s="492"/>
      <c r="G122" s="493">
        <f t="shared" ref="G122:H124" si="5">G123</f>
        <v>0</v>
      </c>
      <c r="H122" s="493">
        <f t="shared" si="5"/>
        <v>0</v>
      </c>
      <c r="I122" s="204"/>
    </row>
    <row r="123" spans="1:9" ht="15.75" hidden="1" x14ac:dyDescent="0.25">
      <c r="A123" s="494" t="s">
        <v>141</v>
      </c>
      <c r="B123" s="491">
        <v>902</v>
      </c>
      <c r="C123" s="495" t="s">
        <v>118</v>
      </c>
      <c r="D123" s="495" t="s">
        <v>264</v>
      </c>
      <c r="E123" s="495" t="s">
        <v>866</v>
      </c>
      <c r="F123" s="492"/>
      <c r="G123" s="493">
        <f t="shared" si="5"/>
        <v>0</v>
      </c>
      <c r="H123" s="493">
        <f t="shared" si="5"/>
        <v>0</v>
      </c>
      <c r="I123" s="204"/>
    </row>
    <row r="124" spans="1:9" ht="31.5" hidden="1" x14ac:dyDescent="0.25">
      <c r="A124" s="494" t="s">
        <v>870</v>
      </c>
      <c r="B124" s="491">
        <v>902</v>
      </c>
      <c r="C124" s="495" t="s">
        <v>118</v>
      </c>
      <c r="D124" s="495" t="s">
        <v>264</v>
      </c>
      <c r="E124" s="495" t="s">
        <v>865</v>
      </c>
      <c r="F124" s="492"/>
      <c r="G124" s="493">
        <f t="shared" si="5"/>
        <v>0</v>
      </c>
      <c r="H124" s="493">
        <f t="shared" si="5"/>
        <v>0</v>
      </c>
      <c r="I124" s="204"/>
    </row>
    <row r="125" spans="1:9" ht="15.75" hidden="1" x14ac:dyDescent="0.25">
      <c r="A125" s="45" t="s">
        <v>199</v>
      </c>
      <c r="B125" s="490">
        <v>902</v>
      </c>
      <c r="C125" s="492" t="s">
        <v>118</v>
      </c>
      <c r="D125" s="492" t="s">
        <v>264</v>
      </c>
      <c r="E125" s="492" t="s">
        <v>1146</v>
      </c>
      <c r="F125" s="492"/>
      <c r="G125" s="497">
        <f>G126+G128</f>
        <v>0</v>
      </c>
      <c r="H125" s="497">
        <f>H126+H128</f>
        <v>0</v>
      </c>
      <c r="I125" s="204"/>
    </row>
    <row r="126" spans="1:9" ht="78.75" hidden="1" x14ac:dyDescent="0.25">
      <c r="A126" s="496" t="s">
        <v>127</v>
      </c>
      <c r="B126" s="490">
        <v>902</v>
      </c>
      <c r="C126" s="492" t="s">
        <v>118</v>
      </c>
      <c r="D126" s="492" t="s">
        <v>264</v>
      </c>
      <c r="E126" s="492" t="s">
        <v>1146</v>
      </c>
      <c r="F126" s="492" t="s">
        <v>128</v>
      </c>
      <c r="G126" s="497">
        <f>G127</f>
        <v>0</v>
      </c>
      <c r="H126" s="497">
        <f>H127</f>
        <v>0</v>
      </c>
      <c r="I126" s="204"/>
    </row>
    <row r="127" spans="1:9" ht="31.5" hidden="1" x14ac:dyDescent="0.25">
      <c r="A127" s="496" t="s">
        <v>129</v>
      </c>
      <c r="B127" s="490">
        <v>902</v>
      </c>
      <c r="C127" s="492" t="s">
        <v>118</v>
      </c>
      <c r="D127" s="492" t="s">
        <v>264</v>
      </c>
      <c r="E127" s="492" t="s">
        <v>1146</v>
      </c>
      <c r="F127" s="492" t="s">
        <v>130</v>
      </c>
      <c r="G127" s="497">
        <v>0</v>
      </c>
      <c r="H127" s="497">
        <v>0</v>
      </c>
      <c r="I127" s="204"/>
    </row>
    <row r="128" spans="1:9" ht="31.5" hidden="1" x14ac:dyDescent="0.25">
      <c r="A128" s="496" t="s">
        <v>198</v>
      </c>
      <c r="B128" s="490">
        <v>902</v>
      </c>
      <c r="C128" s="492" t="s">
        <v>118</v>
      </c>
      <c r="D128" s="492" t="s">
        <v>264</v>
      </c>
      <c r="E128" s="492" t="s">
        <v>1146</v>
      </c>
      <c r="F128" s="492" t="s">
        <v>132</v>
      </c>
      <c r="G128" s="497">
        <f>G129</f>
        <v>0</v>
      </c>
      <c r="H128" s="497">
        <f>H129</f>
        <v>0</v>
      </c>
      <c r="I128" s="204"/>
    </row>
    <row r="129" spans="1:9" ht="31.5" hidden="1" x14ac:dyDescent="0.25">
      <c r="A129" s="496" t="s">
        <v>133</v>
      </c>
      <c r="B129" s="490">
        <v>902</v>
      </c>
      <c r="C129" s="492" t="s">
        <v>118</v>
      </c>
      <c r="D129" s="492" t="s">
        <v>264</v>
      </c>
      <c r="E129" s="492" t="s">
        <v>1146</v>
      </c>
      <c r="F129" s="492" t="s">
        <v>134</v>
      </c>
      <c r="G129" s="497">
        <v>0</v>
      </c>
      <c r="H129" s="497">
        <v>0</v>
      </c>
      <c r="I129" s="204"/>
    </row>
    <row r="130" spans="1:9" ht="15.75" x14ac:dyDescent="0.25">
      <c r="A130" s="494" t="s">
        <v>139</v>
      </c>
      <c r="B130" s="491">
        <v>902</v>
      </c>
      <c r="C130" s="495" t="s">
        <v>118</v>
      </c>
      <c r="D130" s="495" t="s">
        <v>140</v>
      </c>
      <c r="E130" s="495"/>
      <c r="F130" s="495"/>
      <c r="G130" s="493">
        <f>G146+G155+G131+G160+G141</f>
        <v>6009</v>
      </c>
      <c r="H130" s="493">
        <f>H146+H155+H131+H160+H141</f>
        <v>6052</v>
      </c>
      <c r="I130" s="204"/>
    </row>
    <row r="131" spans="1:9" ht="15.75" x14ac:dyDescent="0.25">
      <c r="A131" s="494" t="s">
        <v>141</v>
      </c>
      <c r="B131" s="491">
        <v>902</v>
      </c>
      <c r="C131" s="495" t="s">
        <v>118</v>
      </c>
      <c r="D131" s="495" t="s">
        <v>140</v>
      </c>
      <c r="E131" s="495" t="s">
        <v>866</v>
      </c>
      <c r="F131" s="495"/>
      <c r="G131" s="493">
        <f>G132</f>
        <v>5829</v>
      </c>
      <c r="H131" s="493">
        <f>H132</f>
        <v>5829</v>
      </c>
      <c r="I131" s="204"/>
    </row>
    <row r="132" spans="1:9" ht="31.5" x14ac:dyDescent="0.25">
      <c r="A132" s="494" t="s">
        <v>922</v>
      </c>
      <c r="B132" s="491">
        <v>902</v>
      </c>
      <c r="C132" s="495" t="s">
        <v>118</v>
      </c>
      <c r="D132" s="495" t="s">
        <v>140</v>
      </c>
      <c r="E132" s="495" t="s">
        <v>867</v>
      </c>
      <c r="F132" s="495"/>
      <c r="G132" s="493">
        <f>G133+G138</f>
        <v>5829</v>
      </c>
      <c r="H132" s="493">
        <f>H133+H138</f>
        <v>5829</v>
      </c>
      <c r="I132" s="204"/>
    </row>
    <row r="133" spans="1:9" ht="31.5" x14ac:dyDescent="0.25">
      <c r="A133" s="496" t="s">
        <v>928</v>
      </c>
      <c r="B133" s="490">
        <v>902</v>
      </c>
      <c r="C133" s="492" t="s">
        <v>118</v>
      </c>
      <c r="D133" s="492" t="s">
        <v>140</v>
      </c>
      <c r="E133" s="492" t="s">
        <v>868</v>
      </c>
      <c r="F133" s="492"/>
      <c r="G133" s="497">
        <f>G134+G136</f>
        <v>5701</v>
      </c>
      <c r="H133" s="497">
        <f>H134+H136</f>
        <v>5701</v>
      </c>
      <c r="I133" s="204"/>
    </row>
    <row r="134" spans="1:9" ht="78.75" x14ac:dyDescent="0.25">
      <c r="A134" s="496" t="s">
        <v>127</v>
      </c>
      <c r="B134" s="490">
        <v>902</v>
      </c>
      <c r="C134" s="492" t="s">
        <v>118</v>
      </c>
      <c r="D134" s="492" t="s">
        <v>140</v>
      </c>
      <c r="E134" s="492" t="s">
        <v>868</v>
      </c>
      <c r="F134" s="492" t="s">
        <v>128</v>
      </c>
      <c r="G134" s="497">
        <f>G135</f>
        <v>4501</v>
      </c>
      <c r="H134" s="497">
        <f>H135</f>
        <v>4501</v>
      </c>
      <c r="I134" s="204"/>
    </row>
    <row r="135" spans="1:9" ht="15.75" x14ac:dyDescent="0.25">
      <c r="A135" s="496" t="s">
        <v>208</v>
      </c>
      <c r="B135" s="490">
        <v>902</v>
      </c>
      <c r="C135" s="492" t="s">
        <v>118</v>
      </c>
      <c r="D135" s="492" t="s">
        <v>140</v>
      </c>
      <c r="E135" s="492" t="s">
        <v>868</v>
      </c>
      <c r="F135" s="492" t="s">
        <v>209</v>
      </c>
      <c r="G135" s="497">
        <v>4501</v>
      </c>
      <c r="H135" s="497">
        <f t="shared" si="4"/>
        <v>4501</v>
      </c>
      <c r="I135" s="204"/>
    </row>
    <row r="136" spans="1:9" ht="31.5" x14ac:dyDescent="0.25">
      <c r="A136" s="496" t="s">
        <v>198</v>
      </c>
      <c r="B136" s="490">
        <v>902</v>
      </c>
      <c r="C136" s="492" t="s">
        <v>118</v>
      </c>
      <c r="D136" s="492" t="s">
        <v>140</v>
      </c>
      <c r="E136" s="492" t="s">
        <v>868</v>
      </c>
      <c r="F136" s="492" t="s">
        <v>132</v>
      </c>
      <c r="G136" s="497">
        <f>G137</f>
        <v>1200</v>
      </c>
      <c r="H136" s="497">
        <f>H137</f>
        <v>1200</v>
      </c>
      <c r="I136" s="204"/>
    </row>
    <row r="137" spans="1:9" ht="31.5" x14ac:dyDescent="0.25">
      <c r="A137" s="496" t="s">
        <v>133</v>
      </c>
      <c r="B137" s="490">
        <v>902</v>
      </c>
      <c r="C137" s="492" t="s">
        <v>118</v>
      </c>
      <c r="D137" s="492" t="s">
        <v>140</v>
      </c>
      <c r="E137" s="492" t="s">
        <v>868</v>
      </c>
      <c r="F137" s="492" t="s">
        <v>134</v>
      </c>
      <c r="G137" s="497">
        <v>1200</v>
      </c>
      <c r="H137" s="497">
        <f t="shared" si="4"/>
        <v>1200</v>
      </c>
      <c r="I137" s="204"/>
    </row>
    <row r="138" spans="1:9" ht="47.25" x14ac:dyDescent="0.25">
      <c r="A138" s="496" t="s">
        <v>839</v>
      </c>
      <c r="B138" s="490">
        <v>902</v>
      </c>
      <c r="C138" s="492" t="s">
        <v>118</v>
      </c>
      <c r="D138" s="492" t="s">
        <v>140</v>
      </c>
      <c r="E138" s="492" t="s">
        <v>869</v>
      </c>
      <c r="F138" s="492"/>
      <c r="G138" s="497">
        <f>G139</f>
        <v>128</v>
      </c>
      <c r="H138" s="497">
        <f>H139</f>
        <v>128</v>
      </c>
      <c r="I138" s="204"/>
    </row>
    <row r="139" spans="1:9" ht="78.75" x14ac:dyDescent="0.25">
      <c r="A139" s="496" t="s">
        <v>127</v>
      </c>
      <c r="B139" s="490">
        <v>902</v>
      </c>
      <c r="C139" s="492" t="s">
        <v>118</v>
      </c>
      <c r="D139" s="492" t="s">
        <v>140</v>
      </c>
      <c r="E139" s="492" t="s">
        <v>869</v>
      </c>
      <c r="F139" s="492" t="s">
        <v>128</v>
      </c>
      <c r="G139" s="497">
        <f>G140</f>
        <v>128</v>
      </c>
      <c r="H139" s="497">
        <f>H140</f>
        <v>128</v>
      </c>
      <c r="I139" s="204"/>
    </row>
    <row r="140" spans="1:9" ht="15.75" x14ac:dyDescent="0.25">
      <c r="A140" s="496" t="s">
        <v>208</v>
      </c>
      <c r="B140" s="490">
        <v>902</v>
      </c>
      <c r="C140" s="492" t="s">
        <v>118</v>
      </c>
      <c r="D140" s="492" t="s">
        <v>140</v>
      </c>
      <c r="E140" s="492" t="s">
        <v>869</v>
      </c>
      <c r="F140" s="492" t="s">
        <v>209</v>
      </c>
      <c r="G140" s="497">
        <v>128</v>
      </c>
      <c r="H140" s="497">
        <f t="shared" si="4"/>
        <v>128</v>
      </c>
      <c r="I140" s="204"/>
    </row>
    <row r="141" spans="1:9" ht="47.25" x14ac:dyDescent="0.25">
      <c r="A141" s="34" t="s">
        <v>1220</v>
      </c>
      <c r="B141" s="491">
        <v>902</v>
      </c>
      <c r="C141" s="495" t="s">
        <v>118</v>
      </c>
      <c r="D141" s="495" t="s">
        <v>140</v>
      </c>
      <c r="E141" s="495" t="s">
        <v>324</v>
      </c>
      <c r="F141" s="495"/>
      <c r="G141" s="493">
        <f>G143</f>
        <v>12</v>
      </c>
      <c r="H141" s="493">
        <f>H143</f>
        <v>40</v>
      </c>
      <c r="I141" s="204"/>
    </row>
    <row r="142" spans="1:9" ht="63" x14ac:dyDescent="0.25">
      <c r="A142" s="34" t="s">
        <v>1025</v>
      </c>
      <c r="B142" s="491">
        <v>902</v>
      </c>
      <c r="C142" s="495" t="s">
        <v>118</v>
      </c>
      <c r="D142" s="495" t="s">
        <v>140</v>
      </c>
      <c r="E142" s="495" t="s">
        <v>934</v>
      </c>
      <c r="F142" s="495"/>
      <c r="G142" s="493">
        <f>G145</f>
        <v>12</v>
      </c>
      <c r="H142" s="493">
        <f>H145</f>
        <v>40</v>
      </c>
      <c r="I142" s="204"/>
    </row>
    <row r="143" spans="1:9" ht="47.25" x14ac:dyDescent="0.25">
      <c r="A143" s="31" t="s">
        <v>1080</v>
      </c>
      <c r="B143" s="490">
        <v>902</v>
      </c>
      <c r="C143" s="492" t="s">
        <v>118</v>
      </c>
      <c r="D143" s="492" t="s">
        <v>140</v>
      </c>
      <c r="E143" s="492" t="s">
        <v>1026</v>
      </c>
      <c r="F143" s="492"/>
      <c r="G143" s="497">
        <f>G144</f>
        <v>12</v>
      </c>
      <c r="H143" s="497">
        <f>H144</f>
        <v>40</v>
      </c>
      <c r="I143" s="204"/>
    </row>
    <row r="144" spans="1:9" ht="31.5" x14ac:dyDescent="0.25">
      <c r="A144" s="496" t="s">
        <v>131</v>
      </c>
      <c r="B144" s="490">
        <v>902</v>
      </c>
      <c r="C144" s="492" t="s">
        <v>118</v>
      </c>
      <c r="D144" s="492" t="s">
        <v>140</v>
      </c>
      <c r="E144" s="492" t="s">
        <v>1026</v>
      </c>
      <c r="F144" s="492" t="s">
        <v>132</v>
      </c>
      <c r="G144" s="497">
        <f>G145</f>
        <v>12</v>
      </c>
      <c r="H144" s="497">
        <f>H145</f>
        <v>40</v>
      </c>
      <c r="I144" s="204"/>
    </row>
    <row r="145" spans="1:9" ht="31.5" x14ac:dyDescent="0.25">
      <c r="A145" s="496" t="s">
        <v>133</v>
      </c>
      <c r="B145" s="490">
        <v>902</v>
      </c>
      <c r="C145" s="492" t="s">
        <v>118</v>
      </c>
      <c r="D145" s="492" t="s">
        <v>140</v>
      </c>
      <c r="E145" s="492" t="s">
        <v>1026</v>
      </c>
      <c r="F145" s="492" t="s">
        <v>134</v>
      </c>
      <c r="G145" s="497">
        <v>12</v>
      </c>
      <c r="H145" s="497">
        <v>40</v>
      </c>
      <c r="I145" s="204"/>
    </row>
    <row r="146" spans="1:9" ht="54.75" customHeight="1" x14ac:dyDescent="0.25">
      <c r="A146" s="500" t="s">
        <v>1341</v>
      </c>
      <c r="B146" s="491">
        <v>902</v>
      </c>
      <c r="C146" s="495" t="s">
        <v>118</v>
      </c>
      <c r="D146" s="495" t="s">
        <v>140</v>
      </c>
      <c r="E146" s="495" t="s">
        <v>705</v>
      </c>
      <c r="F146" s="504"/>
      <c r="G146" s="493">
        <f>G147+G151</f>
        <v>43</v>
      </c>
      <c r="H146" s="493">
        <f>H147+H151</f>
        <v>43</v>
      </c>
      <c r="I146" s="204"/>
    </row>
    <row r="147" spans="1:9" ht="47.25" x14ac:dyDescent="0.25">
      <c r="A147" s="211" t="s">
        <v>846</v>
      </c>
      <c r="B147" s="491">
        <v>902</v>
      </c>
      <c r="C147" s="495" t="s">
        <v>118</v>
      </c>
      <c r="D147" s="495" t="s">
        <v>140</v>
      </c>
      <c r="E147" s="495" t="s">
        <v>852</v>
      </c>
      <c r="F147" s="504"/>
      <c r="G147" s="493">
        <f t="shared" ref="G147:H149" si="6">G148</f>
        <v>28</v>
      </c>
      <c r="H147" s="493">
        <f t="shared" si="6"/>
        <v>28</v>
      </c>
      <c r="I147" s="204"/>
    </row>
    <row r="148" spans="1:9" ht="31.5" x14ac:dyDescent="0.25">
      <c r="A148" s="98" t="s">
        <v>776</v>
      </c>
      <c r="B148" s="490">
        <v>902</v>
      </c>
      <c r="C148" s="492" t="s">
        <v>118</v>
      </c>
      <c r="D148" s="492" t="s">
        <v>140</v>
      </c>
      <c r="E148" s="492" t="s">
        <v>847</v>
      </c>
      <c r="F148" s="498"/>
      <c r="G148" s="497">
        <f t="shared" si="6"/>
        <v>28</v>
      </c>
      <c r="H148" s="497">
        <f t="shared" si="6"/>
        <v>28</v>
      </c>
      <c r="I148" s="204"/>
    </row>
    <row r="149" spans="1:9" ht="31.5" x14ac:dyDescent="0.25">
      <c r="A149" s="496" t="s">
        <v>131</v>
      </c>
      <c r="B149" s="490">
        <v>902</v>
      </c>
      <c r="C149" s="492" t="s">
        <v>118</v>
      </c>
      <c r="D149" s="492" t="s">
        <v>140</v>
      </c>
      <c r="E149" s="492" t="s">
        <v>847</v>
      </c>
      <c r="F149" s="498" t="s">
        <v>132</v>
      </c>
      <c r="G149" s="497">
        <f t="shared" si="6"/>
        <v>28</v>
      </c>
      <c r="H149" s="497">
        <f t="shared" si="6"/>
        <v>28</v>
      </c>
      <c r="I149" s="204"/>
    </row>
    <row r="150" spans="1:9" ht="31.5" x14ac:dyDescent="0.25">
      <c r="A150" s="496" t="s">
        <v>133</v>
      </c>
      <c r="B150" s="490">
        <v>902</v>
      </c>
      <c r="C150" s="492" t="s">
        <v>118</v>
      </c>
      <c r="D150" s="492" t="s">
        <v>140</v>
      </c>
      <c r="E150" s="492" t="s">
        <v>847</v>
      </c>
      <c r="F150" s="498" t="s">
        <v>134</v>
      </c>
      <c r="G150" s="497">
        <v>28</v>
      </c>
      <c r="H150" s="497">
        <v>28</v>
      </c>
      <c r="I150" s="204"/>
    </row>
    <row r="151" spans="1:9" ht="31.5" x14ac:dyDescent="0.25">
      <c r="A151" s="503" t="s">
        <v>1023</v>
      </c>
      <c r="B151" s="491">
        <v>902</v>
      </c>
      <c r="C151" s="495" t="s">
        <v>118</v>
      </c>
      <c r="D151" s="495" t="s">
        <v>140</v>
      </c>
      <c r="E151" s="495" t="s">
        <v>853</v>
      </c>
      <c r="F151" s="504"/>
      <c r="G151" s="493">
        <f t="shared" ref="G151:H153" si="7">G152</f>
        <v>15</v>
      </c>
      <c r="H151" s="493">
        <f t="shared" si="7"/>
        <v>15</v>
      </c>
      <c r="I151" s="204"/>
    </row>
    <row r="152" spans="1:9" ht="31.5" x14ac:dyDescent="0.25">
      <c r="A152" s="98" t="s">
        <v>777</v>
      </c>
      <c r="B152" s="490">
        <v>902</v>
      </c>
      <c r="C152" s="492" t="s">
        <v>118</v>
      </c>
      <c r="D152" s="492" t="s">
        <v>140</v>
      </c>
      <c r="E152" s="492" t="s">
        <v>848</v>
      </c>
      <c r="F152" s="498"/>
      <c r="G152" s="497">
        <f t="shared" si="7"/>
        <v>15</v>
      </c>
      <c r="H152" s="497">
        <f t="shared" si="7"/>
        <v>15</v>
      </c>
      <c r="I152" s="204"/>
    </row>
    <row r="153" spans="1:9" ht="31.5" x14ac:dyDescent="0.25">
      <c r="A153" s="496" t="s">
        <v>131</v>
      </c>
      <c r="B153" s="490">
        <v>902</v>
      </c>
      <c r="C153" s="492" t="s">
        <v>118</v>
      </c>
      <c r="D153" s="492" t="s">
        <v>140</v>
      </c>
      <c r="E153" s="492" t="s">
        <v>848</v>
      </c>
      <c r="F153" s="498" t="s">
        <v>132</v>
      </c>
      <c r="G153" s="497">
        <f t="shared" si="7"/>
        <v>15</v>
      </c>
      <c r="H153" s="497">
        <f t="shared" si="7"/>
        <v>15</v>
      </c>
      <c r="I153" s="204"/>
    </row>
    <row r="154" spans="1:9" ht="31.5" x14ac:dyDescent="0.25">
      <c r="A154" s="496" t="s">
        <v>133</v>
      </c>
      <c r="B154" s="490">
        <v>902</v>
      </c>
      <c r="C154" s="492" t="s">
        <v>118</v>
      </c>
      <c r="D154" s="492" t="s">
        <v>140</v>
      </c>
      <c r="E154" s="492" t="s">
        <v>848</v>
      </c>
      <c r="F154" s="498" t="s">
        <v>134</v>
      </c>
      <c r="G154" s="497">
        <f>15</f>
        <v>15</v>
      </c>
      <c r="H154" s="497">
        <f t="shared" si="4"/>
        <v>15</v>
      </c>
      <c r="I154" s="204"/>
    </row>
    <row r="155" spans="1:9" ht="78.75" x14ac:dyDescent="0.25">
      <c r="A155" s="500" t="s">
        <v>1365</v>
      </c>
      <c r="B155" s="491">
        <v>902</v>
      </c>
      <c r="C155" s="8" t="s">
        <v>118</v>
      </c>
      <c r="D155" s="8" t="s">
        <v>140</v>
      </c>
      <c r="E155" s="546" t="s">
        <v>817</v>
      </c>
      <c r="F155" s="8"/>
      <c r="G155" s="493">
        <f t="shared" ref="G155:H158" si="8">G156</f>
        <v>45</v>
      </c>
      <c r="H155" s="493">
        <f t="shared" si="8"/>
        <v>50</v>
      </c>
      <c r="I155" s="204"/>
    </row>
    <row r="156" spans="1:9" ht="47.25" x14ac:dyDescent="0.25">
      <c r="A156" s="213" t="s">
        <v>854</v>
      </c>
      <c r="B156" s="491">
        <v>902</v>
      </c>
      <c r="C156" s="8" t="s">
        <v>118</v>
      </c>
      <c r="D156" s="8" t="s">
        <v>140</v>
      </c>
      <c r="E156" s="194" t="s">
        <v>1075</v>
      </c>
      <c r="F156" s="8"/>
      <c r="G156" s="493">
        <f t="shared" si="8"/>
        <v>45</v>
      </c>
      <c r="H156" s="493">
        <f t="shared" si="8"/>
        <v>50</v>
      </c>
      <c r="I156" s="204"/>
    </row>
    <row r="157" spans="1:9" ht="31.5" x14ac:dyDescent="0.25">
      <c r="A157" s="97" t="s">
        <v>171</v>
      </c>
      <c r="B157" s="490">
        <v>902</v>
      </c>
      <c r="C157" s="9" t="s">
        <v>118</v>
      </c>
      <c r="D157" s="9" t="s">
        <v>140</v>
      </c>
      <c r="E157" s="5" t="s">
        <v>855</v>
      </c>
      <c r="F157" s="9"/>
      <c r="G157" s="497">
        <f t="shared" si="8"/>
        <v>45</v>
      </c>
      <c r="H157" s="497">
        <f t="shared" si="8"/>
        <v>50</v>
      </c>
      <c r="I157" s="204"/>
    </row>
    <row r="158" spans="1:9" ht="31.5" x14ac:dyDescent="0.25">
      <c r="A158" s="496" t="s">
        <v>131</v>
      </c>
      <c r="B158" s="490">
        <v>902</v>
      </c>
      <c r="C158" s="9" t="s">
        <v>118</v>
      </c>
      <c r="D158" s="9" t="s">
        <v>140</v>
      </c>
      <c r="E158" s="5" t="s">
        <v>855</v>
      </c>
      <c r="F158" s="9" t="s">
        <v>132</v>
      </c>
      <c r="G158" s="497">
        <f t="shared" si="8"/>
        <v>45</v>
      </c>
      <c r="H158" s="497">
        <f t="shared" si="8"/>
        <v>50</v>
      </c>
      <c r="I158" s="204"/>
    </row>
    <row r="159" spans="1:9" ht="35.450000000000003" customHeight="1" x14ac:dyDescent="0.25">
      <c r="A159" s="496" t="s">
        <v>133</v>
      </c>
      <c r="B159" s="490">
        <v>902</v>
      </c>
      <c r="C159" s="9" t="s">
        <v>118</v>
      </c>
      <c r="D159" s="9" t="s">
        <v>140</v>
      </c>
      <c r="E159" s="5" t="s">
        <v>855</v>
      </c>
      <c r="F159" s="9" t="s">
        <v>134</v>
      </c>
      <c r="G159" s="497">
        <v>45</v>
      </c>
      <c r="H159" s="497">
        <v>50</v>
      </c>
      <c r="I159" s="204"/>
    </row>
    <row r="160" spans="1:9" ht="63" x14ac:dyDescent="0.25">
      <c r="A160" s="500" t="s">
        <v>1343</v>
      </c>
      <c r="B160" s="491">
        <v>902</v>
      </c>
      <c r="C160" s="8" t="s">
        <v>118</v>
      </c>
      <c r="D160" s="8" t="s">
        <v>140</v>
      </c>
      <c r="E160" s="194" t="s">
        <v>818</v>
      </c>
      <c r="F160" s="8"/>
      <c r="G160" s="493">
        <f>G162</f>
        <v>80</v>
      </c>
      <c r="H160" s="493">
        <f>H162</f>
        <v>90</v>
      </c>
      <c r="I160" s="204"/>
    </row>
    <row r="161" spans="1:9" ht="31.5" x14ac:dyDescent="0.25">
      <c r="A161" s="58" t="s">
        <v>856</v>
      </c>
      <c r="B161" s="491">
        <v>902</v>
      </c>
      <c r="C161" s="8" t="s">
        <v>118</v>
      </c>
      <c r="D161" s="8" t="s">
        <v>140</v>
      </c>
      <c r="E161" s="194" t="s">
        <v>864</v>
      </c>
      <c r="F161" s="8"/>
      <c r="G161" s="493">
        <f t="shared" ref="G161:H163" si="9">G162</f>
        <v>80</v>
      </c>
      <c r="H161" s="493">
        <f t="shared" si="9"/>
        <v>90</v>
      </c>
      <c r="I161" s="204"/>
    </row>
    <row r="162" spans="1:9" ht="15.75" x14ac:dyDescent="0.25">
      <c r="A162" s="45" t="s">
        <v>822</v>
      </c>
      <c r="B162" s="490">
        <v>902</v>
      </c>
      <c r="C162" s="9" t="s">
        <v>118</v>
      </c>
      <c r="D162" s="9" t="s">
        <v>140</v>
      </c>
      <c r="E162" s="5" t="s">
        <v>857</v>
      </c>
      <c r="F162" s="9"/>
      <c r="G162" s="497">
        <f t="shared" si="9"/>
        <v>80</v>
      </c>
      <c r="H162" s="497">
        <f t="shared" si="9"/>
        <v>90</v>
      </c>
      <c r="I162" s="204"/>
    </row>
    <row r="163" spans="1:9" ht="31.5" x14ac:dyDescent="0.25">
      <c r="A163" s="496" t="s">
        <v>131</v>
      </c>
      <c r="B163" s="490">
        <v>902</v>
      </c>
      <c r="C163" s="9" t="s">
        <v>118</v>
      </c>
      <c r="D163" s="9" t="s">
        <v>140</v>
      </c>
      <c r="E163" s="5" t="s">
        <v>857</v>
      </c>
      <c r="F163" s="9" t="s">
        <v>132</v>
      </c>
      <c r="G163" s="497">
        <f t="shared" si="9"/>
        <v>80</v>
      </c>
      <c r="H163" s="497">
        <f t="shared" si="9"/>
        <v>90</v>
      </c>
      <c r="I163" s="204"/>
    </row>
    <row r="164" spans="1:9" ht="31.5" x14ac:dyDescent="0.25">
      <c r="A164" s="496" t="s">
        <v>133</v>
      </c>
      <c r="B164" s="490">
        <v>902</v>
      </c>
      <c r="C164" s="9" t="s">
        <v>118</v>
      </c>
      <c r="D164" s="9" t="s">
        <v>140</v>
      </c>
      <c r="E164" s="5" t="s">
        <v>857</v>
      </c>
      <c r="F164" s="9" t="s">
        <v>134</v>
      </c>
      <c r="G164" s="497">
        <v>80</v>
      </c>
      <c r="H164" s="497">
        <v>90</v>
      </c>
      <c r="I164" s="204"/>
    </row>
    <row r="165" spans="1:9" ht="15.75" hidden="1" x14ac:dyDescent="0.25">
      <c r="A165" s="494" t="s">
        <v>212</v>
      </c>
      <c r="B165" s="491">
        <v>902</v>
      </c>
      <c r="C165" s="495" t="s">
        <v>213</v>
      </c>
      <c r="D165" s="495"/>
      <c r="E165" s="495"/>
      <c r="F165" s="495"/>
      <c r="G165" s="493">
        <f t="shared" ref="G165:H168" si="10">G166</f>
        <v>0</v>
      </c>
      <c r="H165" s="493">
        <f t="shared" si="10"/>
        <v>0</v>
      </c>
      <c r="I165" s="204"/>
    </row>
    <row r="166" spans="1:9" ht="17.100000000000001" hidden="1" customHeight="1" x14ac:dyDescent="0.25">
      <c r="A166" s="494" t="s">
        <v>218</v>
      </c>
      <c r="B166" s="491">
        <v>902</v>
      </c>
      <c r="C166" s="495" t="s">
        <v>213</v>
      </c>
      <c r="D166" s="495" t="s">
        <v>219</v>
      </c>
      <c r="E166" s="495"/>
      <c r="F166" s="495"/>
      <c r="G166" s="493">
        <f t="shared" si="10"/>
        <v>0</v>
      </c>
      <c r="H166" s="493">
        <f t="shared" si="10"/>
        <v>0</v>
      </c>
      <c r="I166" s="204"/>
    </row>
    <row r="167" spans="1:9" ht="15.75" hidden="1" x14ac:dyDescent="0.25">
      <c r="A167" s="494" t="s">
        <v>141</v>
      </c>
      <c r="B167" s="491">
        <v>902</v>
      </c>
      <c r="C167" s="495" t="s">
        <v>213</v>
      </c>
      <c r="D167" s="495" t="s">
        <v>219</v>
      </c>
      <c r="E167" s="495" t="s">
        <v>866</v>
      </c>
      <c r="F167" s="495"/>
      <c r="G167" s="493">
        <f t="shared" si="10"/>
        <v>0</v>
      </c>
      <c r="H167" s="493">
        <f t="shared" si="10"/>
        <v>0</v>
      </c>
      <c r="I167" s="204"/>
    </row>
    <row r="168" spans="1:9" ht="31.5" hidden="1" x14ac:dyDescent="0.25">
      <c r="A168" s="494" t="s">
        <v>870</v>
      </c>
      <c r="B168" s="491">
        <v>902</v>
      </c>
      <c r="C168" s="495" t="s">
        <v>213</v>
      </c>
      <c r="D168" s="495" t="s">
        <v>219</v>
      </c>
      <c r="E168" s="495" t="s">
        <v>865</v>
      </c>
      <c r="F168" s="495"/>
      <c r="G168" s="493">
        <f t="shared" si="10"/>
        <v>0</v>
      </c>
      <c r="H168" s="493">
        <f t="shared" si="10"/>
        <v>0</v>
      </c>
      <c r="I168" s="204"/>
    </row>
    <row r="169" spans="1:9" ht="15.75" hidden="1" x14ac:dyDescent="0.25">
      <c r="A169" s="496" t="s">
        <v>220</v>
      </c>
      <c r="B169" s="490">
        <v>902</v>
      </c>
      <c r="C169" s="492" t="s">
        <v>213</v>
      </c>
      <c r="D169" s="492" t="s">
        <v>219</v>
      </c>
      <c r="E169" s="492" t="s">
        <v>871</v>
      </c>
      <c r="F169" s="492"/>
      <c r="G169" s="497">
        <f>'[1]Пр.5 ведом.21'!G160</f>
        <v>0</v>
      </c>
      <c r="H169" s="497">
        <f t="shared" si="4"/>
        <v>0</v>
      </c>
      <c r="I169" s="204"/>
    </row>
    <row r="170" spans="1:9" ht="31.5" hidden="1" x14ac:dyDescent="0.25">
      <c r="A170" s="496" t="s">
        <v>198</v>
      </c>
      <c r="B170" s="490">
        <v>902</v>
      </c>
      <c r="C170" s="492" t="s">
        <v>213</v>
      </c>
      <c r="D170" s="492" t="s">
        <v>219</v>
      </c>
      <c r="E170" s="492" t="s">
        <v>871</v>
      </c>
      <c r="F170" s="492" t="s">
        <v>132</v>
      </c>
      <c r="G170" s="497">
        <f>'[1]Пр.5 ведом.21'!G161</f>
        <v>0</v>
      </c>
      <c r="H170" s="497">
        <f t="shared" si="4"/>
        <v>0</v>
      </c>
      <c r="I170" s="204"/>
    </row>
    <row r="171" spans="1:9" ht="31.5" hidden="1" x14ac:dyDescent="0.25">
      <c r="A171" s="496" t="s">
        <v>133</v>
      </c>
      <c r="B171" s="490">
        <v>902</v>
      </c>
      <c r="C171" s="492" t="s">
        <v>213</v>
      </c>
      <c r="D171" s="492" t="s">
        <v>219</v>
      </c>
      <c r="E171" s="492" t="s">
        <v>871</v>
      </c>
      <c r="F171" s="492" t="s">
        <v>134</v>
      </c>
      <c r="G171" s="497">
        <f>'[1]Пр.5 ведом.21'!G162</f>
        <v>0</v>
      </c>
      <c r="H171" s="497">
        <f t="shared" si="4"/>
        <v>0</v>
      </c>
      <c r="I171" s="204"/>
    </row>
    <row r="172" spans="1:9" ht="31.5" x14ac:dyDescent="0.25">
      <c r="A172" s="494" t="s">
        <v>222</v>
      </c>
      <c r="B172" s="491">
        <v>902</v>
      </c>
      <c r="C172" s="495" t="s">
        <v>215</v>
      </c>
      <c r="D172" s="495"/>
      <c r="E172" s="495"/>
      <c r="F172" s="495"/>
      <c r="G172" s="493">
        <f>G173</f>
        <v>8090.1</v>
      </c>
      <c r="H172" s="493">
        <f>H173</f>
        <v>8090.1</v>
      </c>
      <c r="I172" s="204"/>
    </row>
    <row r="173" spans="1:9" ht="47.25" x14ac:dyDescent="0.25">
      <c r="A173" s="494" t="s">
        <v>1345</v>
      </c>
      <c r="B173" s="491">
        <v>902</v>
      </c>
      <c r="C173" s="495" t="s">
        <v>215</v>
      </c>
      <c r="D173" s="495" t="s">
        <v>244</v>
      </c>
      <c r="E173" s="492"/>
      <c r="F173" s="492"/>
      <c r="G173" s="493">
        <f>G174</f>
        <v>8090.1</v>
      </c>
      <c r="H173" s="493">
        <f>H174</f>
        <v>8090.1</v>
      </c>
      <c r="I173" s="204"/>
    </row>
    <row r="174" spans="1:9" ht="15.75" x14ac:dyDescent="0.25">
      <c r="A174" s="494" t="s">
        <v>141</v>
      </c>
      <c r="B174" s="491">
        <v>902</v>
      </c>
      <c r="C174" s="495" t="s">
        <v>215</v>
      </c>
      <c r="D174" s="495" t="s">
        <v>244</v>
      </c>
      <c r="E174" s="495" t="s">
        <v>866</v>
      </c>
      <c r="F174" s="495"/>
      <c r="G174" s="493">
        <f>G175+G182</f>
        <v>8090.1</v>
      </c>
      <c r="H174" s="493">
        <f>H175+H182</f>
        <v>8090.1</v>
      </c>
      <c r="I174" s="204"/>
    </row>
    <row r="175" spans="1:9" ht="31.5" x14ac:dyDescent="0.25">
      <c r="A175" s="494" t="s">
        <v>870</v>
      </c>
      <c r="B175" s="491">
        <v>902</v>
      </c>
      <c r="C175" s="495" t="s">
        <v>215</v>
      </c>
      <c r="D175" s="495" t="s">
        <v>244</v>
      </c>
      <c r="E175" s="495" t="s">
        <v>865</v>
      </c>
      <c r="F175" s="495"/>
      <c r="G175" s="493">
        <f>G176+G179</f>
        <v>1982</v>
      </c>
      <c r="H175" s="493">
        <f>H176+H179</f>
        <v>1982</v>
      </c>
      <c r="I175" s="204"/>
    </row>
    <row r="176" spans="1:9" ht="47.25" x14ac:dyDescent="0.25">
      <c r="A176" s="496" t="s">
        <v>224</v>
      </c>
      <c r="B176" s="490">
        <v>902</v>
      </c>
      <c r="C176" s="492" t="s">
        <v>215</v>
      </c>
      <c r="D176" s="492" t="s">
        <v>244</v>
      </c>
      <c r="E176" s="492" t="s">
        <v>875</v>
      </c>
      <c r="F176" s="492"/>
      <c r="G176" s="497">
        <f>G177</f>
        <v>1785</v>
      </c>
      <c r="H176" s="497">
        <f>H177</f>
        <v>1785</v>
      </c>
      <c r="I176" s="204"/>
    </row>
    <row r="177" spans="1:9" ht="31.5" x14ac:dyDescent="0.25">
      <c r="A177" s="496" t="s">
        <v>198</v>
      </c>
      <c r="B177" s="490">
        <v>902</v>
      </c>
      <c r="C177" s="492" t="s">
        <v>215</v>
      </c>
      <c r="D177" s="492" t="s">
        <v>244</v>
      </c>
      <c r="E177" s="492" t="s">
        <v>875</v>
      </c>
      <c r="F177" s="492" t="s">
        <v>132</v>
      </c>
      <c r="G177" s="497">
        <f>G178</f>
        <v>1785</v>
      </c>
      <c r="H177" s="497">
        <f>H178</f>
        <v>1785</v>
      </c>
      <c r="I177" s="204"/>
    </row>
    <row r="178" spans="1:9" ht="31.5" x14ac:dyDescent="0.25">
      <c r="A178" s="496" t="s">
        <v>133</v>
      </c>
      <c r="B178" s="490">
        <v>902</v>
      </c>
      <c r="C178" s="492" t="s">
        <v>215</v>
      </c>
      <c r="D178" s="492" t="s">
        <v>244</v>
      </c>
      <c r="E178" s="492" t="s">
        <v>875</v>
      </c>
      <c r="F178" s="492" t="s">
        <v>134</v>
      </c>
      <c r="G178" s="497">
        <f>1785</f>
        <v>1785</v>
      </c>
      <c r="H178" s="497">
        <f t="shared" si="4"/>
        <v>1785</v>
      </c>
      <c r="I178" s="204"/>
    </row>
    <row r="179" spans="1:9" ht="15.75" x14ac:dyDescent="0.25">
      <c r="A179" s="496" t="s">
        <v>230</v>
      </c>
      <c r="B179" s="490">
        <v>902</v>
      </c>
      <c r="C179" s="492" t="s">
        <v>215</v>
      </c>
      <c r="D179" s="492" t="s">
        <v>244</v>
      </c>
      <c r="E179" s="492" t="s">
        <v>876</v>
      </c>
      <c r="F179" s="492"/>
      <c r="G179" s="497">
        <f>G180</f>
        <v>197</v>
      </c>
      <c r="H179" s="497">
        <f>H180</f>
        <v>197</v>
      </c>
      <c r="I179" s="204"/>
    </row>
    <row r="180" spans="1:9" ht="31.5" x14ac:dyDescent="0.25">
      <c r="A180" s="496" t="s">
        <v>198</v>
      </c>
      <c r="B180" s="490">
        <v>902</v>
      </c>
      <c r="C180" s="492" t="s">
        <v>215</v>
      </c>
      <c r="D180" s="492" t="s">
        <v>244</v>
      </c>
      <c r="E180" s="492" t="s">
        <v>876</v>
      </c>
      <c r="F180" s="492" t="s">
        <v>132</v>
      </c>
      <c r="G180" s="497">
        <f>G181</f>
        <v>197</v>
      </c>
      <c r="H180" s="497">
        <f>H181</f>
        <v>197</v>
      </c>
      <c r="I180" s="204"/>
    </row>
    <row r="181" spans="1:9" ht="31.5" x14ac:dyDescent="0.25">
      <c r="A181" s="496" t="s">
        <v>133</v>
      </c>
      <c r="B181" s="490">
        <v>902</v>
      </c>
      <c r="C181" s="492" t="s">
        <v>215</v>
      </c>
      <c r="D181" s="492" t="s">
        <v>244</v>
      </c>
      <c r="E181" s="492" t="s">
        <v>876</v>
      </c>
      <c r="F181" s="492" t="s">
        <v>134</v>
      </c>
      <c r="G181" s="497">
        <f>197</f>
        <v>197</v>
      </c>
      <c r="H181" s="497">
        <f t="shared" ref="H181:H241" si="11">G181</f>
        <v>197</v>
      </c>
      <c r="I181" s="204"/>
    </row>
    <row r="182" spans="1:9" ht="31.5" x14ac:dyDescent="0.25">
      <c r="A182" s="494" t="s">
        <v>923</v>
      </c>
      <c r="B182" s="491">
        <v>902</v>
      </c>
      <c r="C182" s="495" t="s">
        <v>215</v>
      </c>
      <c r="D182" s="495" t="s">
        <v>244</v>
      </c>
      <c r="E182" s="495" t="s">
        <v>872</v>
      </c>
      <c r="F182" s="495"/>
      <c r="G182" s="493">
        <f>G183+G188</f>
        <v>6108.1</v>
      </c>
      <c r="H182" s="493">
        <f>H183+H188</f>
        <v>6108.1</v>
      </c>
      <c r="I182" s="204"/>
    </row>
    <row r="183" spans="1:9" ht="31.5" x14ac:dyDescent="0.25">
      <c r="A183" s="496" t="s">
        <v>927</v>
      </c>
      <c r="B183" s="490">
        <v>902</v>
      </c>
      <c r="C183" s="492" t="s">
        <v>215</v>
      </c>
      <c r="D183" s="492" t="s">
        <v>244</v>
      </c>
      <c r="E183" s="492" t="s">
        <v>873</v>
      </c>
      <c r="F183" s="492"/>
      <c r="G183" s="497">
        <f>G184+G186</f>
        <v>5856.1</v>
      </c>
      <c r="H183" s="497">
        <f>H184+H186</f>
        <v>5856.1</v>
      </c>
      <c r="I183" s="204"/>
    </row>
    <row r="184" spans="1:9" ht="78.75" x14ac:dyDescent="0.25">
      <c r="A184" s="496" t="s">
        <v>127</v>
      </c>
      <c r="B184" s="490">
        <v>902</v>
      </c>
      <c r="C184" s="492" t="s">
        <v>215</v>
      </c>
      <c r="D184" s="492" t="s">
        <v>244</v>
      </c>
      <c r="E184" s="492" t="s">
        <v>873</v>
      </c>
      <c r="F184" s="492" t="s">
        <v>128</v>
      </c>
      <c r="G184" s="497">
        <f>G185</f>
        <v>5693.1</v>
      </c>
      <c r="H184" s="497">
        <f t="shared" si="11"/>
        <v>5693.1</v>
      </c>
      <c r="I184" s="204"/>
    </row>
    <row r="185" spans="1:9" ht="15.75" x14ac:dyDescent="0.25">
      <c r="A185" s="496" t="s">
        <v>208</v>
      </c>
      <c r="B185" s="490">
        <v>902</v>
      </c>
      <c r="C185" s="492" t="s">
        <v>215</v>
      </c>
      <c r="D185" s="492" t="s">
        <v>244</v>
      </c>
      <c r="E185" s="492" t="s">
        <v>873</v>
      </c>
      <c r="F185" s="492" t="s">
        <v>209</v>
      </c>
      <c r="G185" s="497">
        <v>5693.1</v>
      </c>
      <c r="H185" s="497">
        <f t="shared" si="11"/>
        <v>5693.1</v>
      </c>
      <c r="I185" s="204"/>
    </row>
    <row r="186" spans="1:9" ht="31.5" x14ac:dyDescent="0.25">
      <c r="A186" s="496" t="s">
        <v>198</v>
      </c>
      <c r="B186" s="490">
        <v>902</v>
      </c>
      <c r="C186" s="492" t="s">
        <v>215</v>
      </c>
      <c r="D186" s="492" t="s">
        <v>244</v>
      </c>
      <c r="E186" s="492" t="s">
        <v>873</v>
      </c>
      <c r="F186" s="492" t="s">
        <v>132</v>
      </c>
      <c r="G186" s="497">
        <f>G187</f>
        <v>163</v>
      </c>
      <c r="H186" s="497">
        <f>H187</f>
        <v>163</v>
      </c>
      <c r="I186" s="204"/>
    </row>
    <row r="187" spans="1:9" ht="31.5" x14ac:dyDescent="0.25">
      <c r="A187" s="496" t="s">
        <v>133</v>
      </c>
      <c r="B187" s="490">
        <v>902</v>
      </c>
      <c r="C187" s="492" t="s">
        <v>215</v>
      </c>
      <c r="D187" s="492" t="s">
        <v>244</v>
      </c>
      <c r="E187" s="492" t="s">
        <v>873</v>
      </c>
      <c r="F187" s="492" t="s">
        <v>134</v>
      </c>
      <c r="G187" s="497">
        <f>163</f>
        <v>163</v>
      </c>
      <c r="H187" s="497">
        <f t="shared" si="11"/>
        <v>163</v>
      </c>
      <c r="I187" s="204"/>
    </row>
    <row r="188" spans="1:9" ht="47.25" x14ac:dyDescent="0.25">
      <c r="A188" s="496" t="s">
        <v>839</v>
      </c>
      <c r="B188" s="490">
        <v>902</v>
      </c>
      <c r="C188" s="492" t="s">
        <v>215</v>
      </c>
      <c r="D188" s="492" t="s">
        <v>244</v>
      </c>
      <c r="E188" s="492" t="s">
        <v>874</v>
      </c>
      <c r="F188" s="492"/>
      <c r="G188" s="497">
        <f>G189</f>
        <v>252</v>
      </c>
      <c r="H188" s="497">
        <f>H189</f>
        <v>252</v>
      </c>
      <c r="I188" s="204"/>
    </row>
    <row r="189" spans="1:9" ht="78.75" x14ac:dyDescent="0.25">
      <c r="A189" s="496" t="s">
        <v>127</v>
      </c>
      <c r="B189" s="490">
        <v>902</v>
      </c>
      <c r="C189" s="492" t="s">
        <v>215</v>
      </c>
      <c r="D189" s="492" t="s">
        <v>244</v>
      </c>
      <c r="E189" s="492" t="s">
        <v>874</v>
      </c>
      <c r="F189" s="492" t="s">
        <v>128</v>
      </c>
      <c r="G189" s="497">
        <f>G190</f>
        <v>252</v>
      </c>
      <c r="H189" s="497">
        <f>H190</f>
        <v>252</v>
      </c>
      <c r="I189" s="204"/>
    </row>
    <row r="190" spans="1:9" ht="19.5" customHeight="1" x14ac:dyDescent="0.25">
      <c r="A190" s="496" t="s">
        <v>208</v>
      </c>
      <c r="B190" s="490">
        <v>902</v>
      </c>
      <c r="C190" s="492" t="s">
        <v>215</v>
      </c>
      <c r="D190" s="492" t="s">
        <v>244</v>
      </c>
      <c r="E190" s="492" t="s">
        <v>874</v>
      </c>
      <c r="F190" s="492" t="s">
        <v>209</v>
      </c>
      <c r="G190" s="497">
        <f>252</f>
        <v>252</v>
      </c>
      <c r="H190" s="497">
        <f t="shared" si="11"/>
        <v>252</v>
      </c>
      <c r="I190" s="204"/>
    </row>
    <row r="191" spans="1:9" ht="15.75" x14ac:dyDescent="0.25">
      <c r="A191" s="494" t="s">
        <v>232</v>
      </c>
      <c r="B191" s="491">
        <v>902</v>
      </c>
      <c r="C191" s="495" t="s">
        <v>150</v>
      </c>
      <c r="D191" s="495"/>
      <c r="E191" s="495"/>
      <c r="F191" s="492"/>
      <c r="G191" s="493">
        <f>G205+G192</f>
        <v>688.2</v>
      </c>
      <c r="H191" s="493">
        <f>H205+H192</f>
        <v>698.8</v>
      </c>
      <c r="I191" s="204"/>
    </row>
    <row r="192" spans="1:9" ht="15.75" x14ac:dyDescent="0.25">
      <c r="A192" s="494" t="s">
        <v>233</v>
      </c>
      <c r="B192" s="491">
        <v>902</v>
      </c>
      <c r="C192" s="495" t="s">
        <v>150</v>
      </c>
      <c r="D192" s="495" t="s">
        <v>234</v>
      </c>
      <c r="E192" s="495"/>
      <c r="F192" s="492"/>
      <c r="G192" s="493">
        <f>G193</f>
        <v>274</v>
      </c>
      <c r="H192" s="493">
        <f>H193</f>
        <v>274</v>
      </c>
      <c r="I192" s="204"/>
    </row>
    <row r="193" spans="1:9" ht="31.5" x14ac:dyDescent="0.25">
      <c r="A193" s="34" t="s">
        <v>1344</v>
      </c>
      <c r="B193" s="491">
        <v>902</v>
      </c>
      <c r="C193" s="495" t="s">
        <v>150</v>
      </c>
      <c r="D193" s="495" t="s">
        <v>234</v>
      </c>
      <c r="E193" s="194" t="s">
        <v>182</v>
      </c>
      <c r="F193" s="504"/>
      <c r="G193" s="493">
        <f>G194+G201</f>
        <v>274</v>
      </c>
      <c r="H193" s="493">
        <f>H194+H201</f>
        <v>274</v>
      </c>
      <c r="I193" s="204"/>
    </row>
    <row r="194" spans="1:9" ht="31.5" x14ac:dyDescent="0.25">
      <c r="A194" s="34" t="s">
        <v>1006</v>
      </c>
      <c r="B194" s="491">
        <v>902</v>
      </c>
      <c r="C194" s="495" t="s">
        <v>150</v>
      </c>
      <c r="D194" s="495" t="s">
        <v>234</v>
      </c>
      <c r="E194" s="251" t="s">
        <v>877</v>
      </c>
      <c r="F194" s="504"/>
      <c r="G194" s="493">
        <f>G195+G198</f>
        <v>274</v>
      </c>
      <c r="H194" s="493">
        <f>H195+H198</f>
        <v>274</v>
      </c>
      <c r="I194" s="204"/>
    </row>
    <row r="195" spans="1:9" ht="31.5" x14ac:dyDescent="0.25">
      <c r="A195" s="496" t="s">
        <v>235</v>
      </c>
      <c r="B195" s="490">
        <v>902</v>
      </c>
      <c r="C195" s="492" t="s">
        <v>150</v>
      </c>
      <c r="D195" s="492" t="s">
        <v>234</v>
      </c>
      <c r="E195" s="492" t="s">
        <v>898</v>
      </c>
      <c r="F195" s="498"/>
      <c r="G195" s="497">
        <f>G196</f>
        <v>274</v>
      </c>
      <c r="H195" s="497">
        <f>H196</f>
        <v>274</v>
      </c>
      <c r="I195" s="204"/>
    </row>
    <row r="196" spans="1:9" ht="15.75" x14ac:dyDescent="0.25">
      <c r="A196" s="29" t="s">
        <v>135</v>
      </c>
      <c r="B196" s="490">
        <v>902</v>
      </c>
      <c r="C196" s="492" t="s">
        <v>150</v>
      </c>
      <c r="D196" s="492" t="s">
        <v>234</v>
      </c>
      <c r="E196" s="492" t="s">
        <v>898</v>
      </c>
      <c r="F196" s="498" t="s">
        <v>145</v>
      </c>
      <c r="G196" s="497">
        <f>G197</f>
        <v>274</v>
      </c>
      <c r="H196" s="497">
        <f>H197</f>
        <v>274</v>
      </c>
      <c r="I196" s="204"/>
    </row>
    <row r="197" spans="1:9" ht="47.25" x14ac:dyDescent="0.25">
      <c r="A197" s="29" t="s">
        <v>184</v>
      </c>
      <c r="B197" s="490">
        <v>902</v>
      </c>
      <c r="C197" s="492" t="s">
        <v>150</v>
      </c>
      <c r="D197" s="492" t="s">
        <v>234</v>
      </c>
      <c r="E197" s="492" t="s">
        <v>898</v>
      </c>
      <c r="F197" s="498" t="s">
        <v>160</v>
      </c>
      <c r="G197" s="497">
        <f>19+255</f>
        <v>274</v>
      </c>
      <c r="H197" s="497">
        <f>19+255</f>
        <v>274</v>
      </c>
      <c r="I197" s="204"/>
    </row>
    <row r="198" spans="1:9" ht="31.5" hidden="1" x14ac:dyDescent="0.25">
      <c r="A198" s="496" t="s">
        <v>235</v>
      </c>
      <c r="B198" s="490">
        <v>902</v>
      </c>
      <c r="C198" s="492" t="s">
        <v>150</v>
      </c>
      <c r="D198" s="492" t="s">
        <v>234</v>
      </c>
      <c r="E198" s="492" t="s">
        <v>880</v>
      </c>
      <c r="F198" s="492"/>
      <c r="G198" s="497">
        <f>G199</f>
        <v>0</v>
      </c>
      <c r="H198" s="497">
        <f>H199</f>
        <v>0</v>
      </c>
      <c r="I198" s="204"/>
    </row>
    <row r="199" spans="1:9" ht="15.75" hidden="1" x14ac:dyDescent="0.25">
      <c r="A199" s="496" t="s">
        <v>135</v>
      </c>
      <c r="B199" s="490">
        <v>902</v>
      </c>
      <c r="C199" s="492" t="s">
        <v>150</v>
      </c>
      <c r="D199" s="492" t="s">
        <v>234</v>
      </c>
      <c r="E199" s="492" t="s">
        <v>880</v>
      </c>
      <c r="F199" s="492" t="s">
        <v>145</v>
      </c>
      <c r="G199" s="497">
        <f>G200</f>
        <v>0</v>
      </c>
      <c r="H199" s="497">
        <f>H200</f>
        <v>0</v>
      </c>
      <c r="I199" s="204"/>
    </row>
    <row r="200" spans="1:9" ht="47.25" hidden="1" x14ac:dyDescent="0.25">
      <c r="A200" s="496" t="s">
        <v>184</v>
      </c>
      <c r="B200" s="490">
        <v>902</v>
      </c>
      <c r="C200" s="492" t="s">
        <v>150</v>
      </c>
      <c r="D200" s="492" t="s">
        <v>234</v>
      </c>
      <c r="E200" s="492" t="s">
        <v>880</v>
      </c>
      <c r="F200" s="492" t="s">
        <v>160</v>
      </c>
      <c r="G200" s="497"/>
      <c r="H200" s="497"/>
      <c r="I200" s="204"/>
    </row>
    <row r="201" spans="1:9" ht="47.25" hidden="1" x14ac:dyDescent="0.25">
      <c r="A201" s="214" t="s">
        <v>1007</v>
      </c>
      <c r="B201" s="491">
        <v>902</v>
      </c>
      <c r="C201" s="495" t="s">
        <v>150</v>
      </c>
      <c r="D201" s="495" t="s">
        <v>234</v>
      </c>
      <c r="E201" s="194" t="s">
        <v>879</v>
      </c>
      <c r="F201" s="504"/>
      <c r="G201" s="493">
        <f t="shared" ref="G201:H203" si="12">G202</f>
        <v>0</v>
      </c>
      <c r="H201" s="493">
        <f t="shared" si="12"/>
        <v>0</v>
      </c>
      <c r="I201" s="204"/>
    </row>
    <row r="202" spans="1:9" ht="15.75" hidden="1" x14ac:dyDescent="0.25">
      <c r="A202" s="496" t="s">
        <v>878</v>
      </c>
      <c r="B202" s="490">
        <v>902</v>
      </c>
      <c r="C202" s="492" t="s">
        <v>150</v>
      </c>
      <c r="D202" s="492" t="s">
        <v>234</v>
      </c>
      <c r="E202" s="5" t="s">
        <v>899</v>
      </c>
      <c r="F202" s="498"/>
      <c r="G202" s="497">
        <f t="shared" si="12"/>
        <v>0</v>
      </c>
      <c r="H202" s="497">
        <f t="shared" si="12"/>
        <v>0</v>
      </c>
      <c r="I202" s="204"/>
    </row>
    <row r="203" spans="1:9" ht="15.75" hidden="1" x14ac:dyDescent="0.25">
      <c r="A203" s="29" t="s">
        <v>135</v>
      </c>
      <c r="B203" s="490">
        <v>902</v>
      </c>
      <c r="C203" s="492" t="s">
        <v>150</v>
      </c>
      <c r="D203" s="492" t="s">
        <v>234</v>
      </c>
      <c r="E203" s="5" t="s">
        <v>899</v>
      </c>
      <c r="F203" s="498" t="s">
        <v>145</v>
      </c>
      <c r="G203" s="497">
        <f t="shared" si="12"/>
        <v>0</v>
      </c>
      <c r="H203" s="497">
        <f t="shared" si="12"/>
        <v>0</v>
      </c>
      <c r="I203" s="204"/>
    </row>
    <row r="204" spans="1:9" ht="47.25" hidden="1" x14ac:dyDescent="0.25">
      <c r="A204" s="29" t="s">
        <v>184</v>
      </c>
      <c r="B204" s="490">
        <v>902</v>
      </c>
      <c r="C204" s="492" t="s">
        <v>150</v>
      </c>
      <c r="D204" s="492" t="s">
        <v>234</v>
      </c>
      <c r="E204" s="5" t="s">
        <v>899</v>
      </c>
      <c r="F204" s="498" t="s">
        <v>160</v>
      </c>
      <c r="G204" s="497">
        <v>0</v>
      </c>
      <c r="H204" s="497">
        <v>0</v>
      </c>
      <c r="I204" s="204"/>
    </row>
    <row r="205" spans="1:9" ht="31.5" x14ac:dyDescent="0.25">
      <c r="A205" s="494" t="s">
        <v>237</v>
      </c>
      <c r="B205" s="491">
        <v>902</v>
      </c>
      <c r="C205" s="495" t="s">
        <v>150</v>
      </c>
      <c r="D205" s="495" t="s">
        <v>238</v>
      </c>
      <c r="E205" s="495"/>
      <c r="F205" s="495"/>
      <c r="G205" s="493">
        <f>G206+G213</f>
        <v>414.2</v>
      </c>
      <c r="H205" s="493">
        <f>H206+H213</f>
        <v>424.8</v>
      </c>
      <c r="I205" s="204"/>
    </row>
    <row r="206" spans="1:9" ht="31.5" x14ac:dyDescent="0.25">
      <c r="A206" s="494" t="s">
        <v>917</v>
      </c>
      <c r="B206" s="491">
        <v>902</v>
      </c>
      <c r="C206" s="495" t="s">
        <v>150</v>
      </c>
      <c r="D206" s="495" t="s">
        <v>238</v>
      </c>
      <c r="E206" s="495" t="s">
        <v>858</v>
      </c>
      <c r="F206" s="495"/>
      <c r="G206" s="493">
        <f>G207</f>
        <v>264.2</v>
      </c>
      <c r="H206" s="493">
        <f>H207</f>
        <v>274.8</v>
      </c>
      <c r="I206" s="204"/>
    </row>
    <row r="207" spans="1:9" ht="31.5" x14ac:dyDescent="0.25">
      <c r="A207" s="494" t="s">
        <v>885</v>
      </c>
      <c r="B207" s="491">
        <v>902</v>
      </c>
      <c r="C207" s="495" t="s">
        <v>150</v>
      </c>
      <c r="D207" s="495" t="s">
        <v>238</v>
      </c>
      <c r="E207" s="495" t="s">
        <v>863</v>
      </c>
      <c r="F207" s="495"/>
      <c r="G207" s="493">
        <f>G208</f>
        <v>264.2</v>
      </c>
      <c r="H207" s="493">
        <f>H208</f>
        <v>274.8</v>
      </c>
      <c r="I207" s="204"/>
    </row>
    <row r="208" spans="1:9" ht="63" x14ac:dyDescent="0.25">
      <c r="A208" s="31" t="s">
        <v>241</v>
      </c>
      <c r="B208" s="490">
        <v>902</v>
      </c>
      <c r="C208" s="492" t="s">
        <v>150</v>
      </c>
      <c r="D208" s="492" t="s">
        <v>238</v>
      </c>
      <c r="E208" s="492" t="s">
        <v>924</v>
      </c>
      <c r="F208" s="492"/>
      <c r="G208" s="497">
        <f>G209+G211</f>
        <v>264.2</v>
      </c>
      <c r="H208" s="497">
        <f>H209+H211</f>
        <v>274.8</v>
      </c>
      <c r="I208" s="204"/>
    </row>
    <row r="209" spans="1:9" ht="78.75" x14ac:dyDescent="0.25">
      <c r="A209" s="496" t="s">
        <v>127</v>
      </c>
      <c r="B209" s="490">
        <v>902</v>
      </c>
      <c r="C209" s="492" t="s">
        <v>150</v>
      </c>
      <c r="D209" s="492" t="s">
        <v>238</v>
      </c>
      <c r="E209" s="492" t="s">
        <v>924</v>
      </c>
      <c r="F209" s="492" t="s">
        <v>128</v>
      </c>
      <c r="G209" s="497">
        <f>G210</f>
        <v>205.8</v>
      </c>
      <c r="H209" s="497">
        <f>H210</f>
        <v>205.8</v>
      </c>
      <c r="I209" s="204"/>
    </row>
    <row r="210" spans="1:9" ht="31.5" x14ac:dyDescent="0.25">
      <c r="A210" s="496" t="s">
        <v>129</v>
      </c>
      <c r="B210" s="490">
        <v>902</v>
      </c>
      <c r="C210" s="492" t="s">
        <v>150</v>
      </c>
      <c r="D210" s="492" t="s">
        <v>238</v>
      </c>
      <c r="E210" s="492" t="s">
        <v>924</v>
      </c>
      <c r="F210" s="492" t="s">
        <v>130</v>
      </c>
      <c r="G210" s="497">
        <f>187+18.8</f>
        <v>205.8</v>
      </c>
      <c r="H210" s="497">
        <f t="shared" si="11"/>
        <v>205.8</v>
      </c>
      <c r="I210" s="204"/>
    </row>
    <row r="211" spans="1:9" ht="31.5" x14ac:dyDescent="0.25">
      <c r="A211" s="496" t="s">
        <v>131</v>
      </c>
      <c r="B211" s="490">
        <v>902</v>
      </c>
      <c r="C211" s="492" t="s">
        <v>150</v>
      </c>
      <c r="D211" s="492" t="s">
        <v>238</v>
      </c>
      <c r="E211" s="492" t="s">
        <v>924</v>
      </c>
      <c r="F211" s="492" t="s">
        <v>132</v>
      </c>
      <c r="G211" s="497">
        <f>G212</f>
        <v>58.4</v>
      </c>
      <c r="H211" s="497">
        <f>H212</f>
        <v>69</v>
      </c>
      <c r="I211" s="204"/>
    </row>
    <row r="212" spans="1:9" ht="31.5" x14ac:dyDescent="0.25">
      <c r="A212" s="496" t="s">
        <v>133</v>
      </c>
      <c r="B212" s="490">
        <v>902</v>
      </c>
      <c r="C212" s="492" t="s">
        <v>150</v>
      </c>
      <c r="D212" s="492" t="s">
        <v>238</v>
      </c>
      <c r="E212" s="492" t="s">
        <v>924</v>
      </c>
      <c r="F212" s="492" t="s">
        <v>134</v>
      </c>
      <c r="G212" s="497">
        <f>101.8-43.4</f>
        <v>58.4</v>
      </c>
      <c r="H212" s="497">
        <v>69</v>
      </c>
      <c r="I212" s="204"/>
    </row>
    <row r="213" spans="1:9" ht="47.25" x14ac:dyDescent="0.25">
      <c r="A213" s="494" t="s">
        <v>1336</v>
      </c>
      <c r="B213" s="491">
        <v>902</v>
      </c>
      <c r="C213" s="495" t="s">
        <v>150</v>
      </c>
      <c r="D213" s="495" t="s">
        <v>238</v>
      </c>
      <c r="E213" s="495" t="s">
        <v>156</v>
      </c>
      <c r="F213" s="495"/>
      <c r="G213" s="493">
        <f t="shared" ref="G213:H215" si="13">G214</f>
        <v>150</v>
      </c>
      <c r="H213" s="493">
        <f t="shared" si="13"/>
        <v>150</v>
      </c>
      <c r="I213" s="204"/>
    </row>
    <row r="214" spans="1:9" ht="47.25" x14ac:dyDescent="0.25">
      <c r="A214" s="494" t="s">
        <v>1064</v>
      </c>
      <c r="B214" s="491">
        <v>902</v>
      </c>
      <c r="C214" s="495" t="s">
        <v>150</v>
      </c>
      <c r="D214" s="495" t="s">
        <v>238</v>
      </c>
      <c r="E214" s="495" t="s">
        <v>1061</v>
      </c>
      <c r="F214" s="495"/>
      <c r="G214" s="493">
        <f t="shared" si="13"/>
        <v>150</v>
      </c>
      <c r="H214" s="493">
        <f t="shared" si="13"/>
        <v>150</v>
      </c>
      <c r="I214" s="204"/>
    </row>
    <row r="215" spans="1:9" ht="31.5" x14ac:dyDescent="0.25">
      <c r="A215" s="496" t="s">
        <v>1065</v>
      </c>
      <c r="B215" s="490">
        <v>902</v>
      </c>
      <c r="C215" s="492" t="s">
        <v>150</v>
      </c>
      <c r="D215" s="492" t="s">
        <v>238</v>
      </c>
      <c r="E215" s="492" t="s">
        <v>1062</v>
      </c>
      <c r="F215" s="492"/>
      <c r="G215" s="497">
        <f t="shared" si="13"/>
        <v>150</v>
      </c>
      <c r="H215" s="497">
        <f t="shared" si="13"/>
        <v>150</v>
      </c>
      <c r="I215" s="204"/>
    </row>
    <row r="216" spans="1:9" ht="15.75" x14ac:dyDescent="0.25">
      <c r="A216" s="496" t="s">
        <v>135</v>
      </c>
      <c r="B216" s="490">
        <v>902</v>
      </c>
      <c r="C216" s="492" t="s">
        <v>150</v>
      </c>
      <c r="D216" s="492" t="s">
        <v>238</v>
      </c>
      <c r="E216" s="492" t="s">
        <v>1062</v>
      </c>
      <c r="F216" s="492" t="s">
        <v>145</v>
      </c>
      <c r="G216" s="497">
        <f>G217</f>
        <v>150</v>
      </c>
      <c r="H216" s="497">
        <f t="shared" si="11"/>
        <v>150</v>
      </c>
      <c r="I216" s="204"/>
    </row>
    <row r="217" spans="1:9" ht="47.25" x14ac:dyDescent="0.25">
      <c r="A217" s="496" t="s">
        <v>184</v>
      </c>
      <c r="B217" s="490">
        <v>902</v>
      </c>
      <c r="C217" s="492" t="s">
        <v>150</v>
      </c>
      <c r="D217" s="492" t="s">
        <v>238</v>
      </c>
      <c r="E217" s="492" t="s">
        <v>1062</v>
      </c>
      <c r="F217" s="492" t="s">
        <v>160</v>
      </c>
      <c r="G217" s="159">
        <v>150</v>
      </c>
      <c r="H217" s="159">
        <f t="shared" si="11"/>
        <v>150</v>
      </c>
      <c r="I217" s="204"/>
    </row>
    <row r="218" spans="1:9" ht="15.75" x14ac:dyDescent="0.25">
      <c r="A218" s="494" t="s">
        <v>243</v>
      </c>
      <c r="B218" s="491">
        <v>902</v>
      </c>
      <c r="C218" s="495" t="s">
        <v>244</v>
      </c>
      <c r="D218" s="495"/>
      <c r="E218" s="495"/>
      <c r="F218" s="495"/>
      <c r="G218" s="493">
        <f>G219+G225+G234</f>
        <v>13475.699999999999</v>
      </c>
      <c r="H218" s="493">
        <f>H219+H225+H234</f>
        <v>13431.699999999999</v>
      </c>
      <c r="I218" s="204"/>
    </row>
    <row r="219" spans="1:9" ht="15.75" x14ac:dyDescent="0.25">
      <c r="A219" s="494" t="s">
        <v>245</v>
      </c>
      <c r="B219" s="491">
        <v>902</v>
      </c>
      <c r="C219" s="495" t="s">
        <v>244</v>
      </c>
      <c r="D219" s="495" t="s">
        <v>118</v>
      </c>
      <c r="E219" s="495"/>
      <c r="F219" s="495"/>
      <c r="G219" s="493">
        <f t="shared" ref="G219:H223" si="14">G220</f>
        <v>9815.2999999999993</v>
      </c>
      <c r="H219" s="493">
        <f t="shared" si="14"/>
        <v>9815.2999999999993</v>
      </c>
      <c r="I219" s="204"/>
    </row>
    <row r="220" spans="1:9" ht="15.75" x14ac:dyDescent="0.25">
      <c r="A220" s="494" t="s">
        <v>141</v>
      </c>
      <c r="B220" s="491">
        <v>902</v>
      </c>
      <c r="C220" s="495" t="s">
        <v>244</v>
      </c>
      <c r="D220" s="495" t="s">
        <v>118</v>
      </c>
      <c r="E220" s="495" t="s">
        <v>866</v>
      </c>
      <c r="F220" s="495"/>
      <c r="G220" s="493">
        <f t="shared" si="14"/>
        <v>9815.2999999999993</v>
      </c>
      <c r="H220" s="493">
        <f t="shared" si="14"/>
        <v>9815.2999999999993</v>
      </c>
      <c r="I220" s="204"/>
    </row>
    <row r="221" spans="1:9" ht="31.5" x14ac:dyDescent="0.25">
      <c r="A221" s="494" t="s">
        <v>870</v>
      </c>
      <c r="B221" s="491">
        <v>902</v>
      </c>
      <c r="C221" s="495" t="s">
        <v>244</v>
      </c>
      <c r="D221" s="495" t="s">
        <v>118</v>
      </c>
      <c r="E221" s="495" t="s">
        <v>865</v>
      </c>
      <c r="F221" s="495"/>
      <c r="G221" s="493">
        <f t="shared" si="14"/>
        <v>9815.2999999999993</v>
      </c>
      <c r="H221" s="493">
        <f t="shared" si="14"/>
        <v>9815.2999999999993</v>
      </c>
      <c r="I221" s="204"/>
    </row>
    <row r="222" spans="1:9" ht="15.75" x14ac:dyDescent="0.25">
      <c r="A222" s="496" t="s">
        <v>246</v>
      </c>
      <c r="B222" s="490">
        <v>902</v>
      </c>
      <c r="C222" s="492" t="s">
        <v>244</v>
      </c>
      <c r="D222" s="492" t="s">
        <v>118</v>
      </c>
      <c r="E222" s="492" t="s">
        <v>881</v>
      </c>
      <c r="F222" s="492"/>
      <c r="G222" s="497">
        <f t="shared" si="14"/>
        <v>9815.2999999999993</v>
      </c>
      <c r="H222" s="497">
        <f t="shared" si="14"/>
        <v>9815.2999999999993</v>
      </c>
      <c r="I222" s="204"/>
    </row>
    <row r="223" spans="1:9" ht="22.7" customHeight="1" x14ac:dyDescent="0.25">
      <c r="A223" s="496" t="s">
        <v>248</v>
      </c>
      <c r="B223" s="490">
        <v>902</v>
      </c>
      <c r="C223" s="492" t="s">
        <v>244</v>
      </c>
      <c r="D223" s="492" t="s">
        <v>118</v>
      </c>
      <c r="E223" s="492" t="s">
        <v>881</v>
      </c>
      <c r="F223" s="492" t="s">
        <v>249</v>
      </c>
      <c r="G223" s="497">
        <f t="shared" si="14"/>
        <v>9815.2999999999993</v>
      </c>
      <c r="H223" s="497">
        <f t="shared" si="14"/>
        <v>9815.2999999999993</v>
      </c>
      <c r="I223" s="204"/>
    </row>
    <row r="224" spans="1:9" ht="31.5" x14ac:dyDescent="0.25">
      <c r="A224" s="496" t="s">
        <v>348</v>
      </c>
      <c r="B224" s="490">
        <v>902</v>
      </c>
      <c r="C224" s="492" t="s">
        <v>244</v>
      </c>
      <c r="D224" s="492" t="s">
        <v>118</v>
      </c>
      <c r="E224" s="492" t="s">
        <v>881</v>
      </c>
      <c r="F224" s="492" t="s">
        <v>349</v>
      </c>
      <c r="G224" s="497">
        <v>9815.2999999999993</v>
      </c>
      <c r="H224" s="497">
        <f t="shared" si="11"/>
        <v>9815.2999999999993</v>
      </c>
      <c r="I224" s="204"/>
    </row>
    <row r="225" spans="1:9" ht="15.75" x14ac:dyDescent="0.25">
      <c r="A225" s="494" t="s">
        <v>252</v>
      </c>
      <c r="B225" s="491">
        <v>902</v>
      </c>
      <c r="C225" s="495" t="s">
        <v>244</v>
      </c>
      <c r="D225" s="495" t="s">
        <v>215</v>
      </c>
      <c r="E225" s="492"/>
      <c r="F225" s="492"/>
      <c r="G225" s="493">
        <f>G226</f>
        <v>10</v>
      </c>
      <c r="H225" s="493">
        <f>H226</f>
        <v>10</v>
      </c>
      <c r="I225" s="204"/>
    </row>
    <row r="226" spans="1:9" ht="63" x14ac:dyDescent="0.25">
      <c r="A226" s="494" t="s">
        <v>1346</v>
      </c>
      <c r="B226" s="491">
        <v>902</v>
      </c>
      <c r="C226" s="495" t="s">
        <v>244</v>
      </c>
      <c r="D226" s="495" t="s">
        <v>215</v>
      </c>
      <c r="E226" s="495" t="s">
        <v>254</v>
      </c>
      <c r="F226" s="495"/>
      <c r="G226" s="493">
        <f>G227</f>
        <v>10</v>
      </c>
      <c r="H226" s="493">
        <f>H227</f>
        <v>10</v>
      </c>
      <c r="I226" s="204"/>
    </row>
    <row r="227" spans="1:9" ht="47.25" x14ac:dyDescent="0.25">
      <c r="A227" s="494" t="s">
        <v>884</v>
      </c>
      <c r="B227" s="491">
        <v>902</v>
      </c>
      <c r="C227" s="495" t="s">
        <v>244</v>
      </c>
      <c r="D227" s="495" t="s">
        <v>215</v>
      </c>
      <c r="E227" s="495" t="s">
        <v>882</v>
      </c>
      <c r="F227" s="495"/>
      <c r="G227" s="493">
        <f>G228+G231</f>
        <v>10</v>
      </c>
      <c r="H227" s="493">
        <f>H228+H231</f>
        <v>10</v>
      </c>
      <c r="I227" s="204"/>
    </row>
    <row r="228" spans="1:9" ht="31.5" x14ac:dyDescent="0.25">
      <c r="A228" s="496" t="s">
        <v>883</v>
      </c>
      <c r="B228" s="490">
        <v>902</v>
      </c>
      <c r="C228" s="492" t="s">
        <v>244</v>
      </c>
      <c r="D228" s="492" t="s">
        <v>215</v>
      </c>
      <c r="E228" s="492" t="s">
        <v>1188</v>
      </c>
      <c r="F228" s="492"/>
      <c r="G228" s="497">
        <f>G229</f>
        <v>10</v>
      </c>
      <c r="H228" s="497">
        <f>H229</f>
        <v>10</v>
      </c>
      <c r="I228" s="204"/>
    </row>
    <row r="229" spans="1:9" ht="19.5" customHeight="1" x14ac:dyDescent="0.25">
      <c r="A229" s="496" t="s">
        <v>248</v>
      </c>
      <c r="B229" s="490">
        <v>902</v>
      </c>
      <c r="C229" s="492" t="s">
        <v>244</v>
      </c>
      <c r="D229" s="492" t="s">
        <v>215</v>
      </c>
      <c r="E229" s="492" t="s">
        <v>1188</v>
      </c>
      <c r="F229" s="492" t="s">
        <v>249</v>
      </c>
      <c r="G229" s="497">
        <f>G230</f>
        <v>10</v>
      </c>
      <c r="H229" s="497">
        <f>H230</f>
        <v>10</v>
      </c>
      <c r="I229" s="204"/>
    </row>
    <row r="230" spans="1:9" ht="31.5" x14ac:dyDescent="0.25">
      <c r="A230" s="496" t="s">
        <v>250</v>
      </c>
      <c r="B230" s="490">
        <v>902</v>
      </c>
      <c r="C230" s="492" t="s">
        <v>244</v>
      </c>
      <c r="D230" s="492" t="s">
        <v>215</v>
      </c>
      <c r="E230" s="492" t="s">
        <v>1188</v>
      </c>
      <c r="F230" s="492" t="s">
        <v>251</v>
      </c>
      <c r="G230" s="497">
        <f>10</f>
        <v>10</v>
      </c>
      <c r="H230" s="497">
        <f t="shared" si="11"/>
        <v>10</v>
      </c>
      <c r="I230" s="204"/>
    </row>
    <row r="231" spans="1:9" ht="63" hidden="1" x14ac:dyDescent="0.25">
      <c r="A231" s="496" t="s">
        <v>1187</v>
      </c>
      <c r="B231" s="490">
        <v>902</v>
      </c>
      <c r="C231" s="492" t="s">
        <v>244</v>
      </c>
      <c r="D231" s="492" t="s">
        <v>215</v>
      </c>
      <c r="E231" s="492" t="s">
        <v>1175</v>
      </c>
      <c r="F231" s="492"/>
      <c r="G231" s="497">
        <f>G232</f>
        <v>0</v>
      </c>
      <c r="H231" s="497">
        <f>H232</f>
        <v>0</v>
      </c>
      <c r="I231" s="204"/>
    </row>
    <row r="232" spans="1:9" ht="20.25" hidden="1" customHeight="1" x14ac:dyDescent="0.25">
      <c r="A232" s="496" t="s">
        <v>248</v>
      </c>
      <c r="B232" s="490">
        <v>902</v>
      </c>
      <c r="C232" s="492" t="s">
        <v>244</v>
      </c>
      <c r="D232" s="492" t="s">
        <v>215</v>
      </c>
      <c r="E232" s="492" t="s">
        <v>1175</v>
      </c>
      <c r="F232" s="492" t="s">
        <v>249</v>
      </c>
      <c r="G232" s="497">
        <f>G233</f>
        <v>0</v>
      </c>
      <c r="H232" s="497">
        <f>H233</f>
        <v>0</v>
      </c>
      <c r="I232" s="204"/>
    </row>
    <row r="233" spans="1:9" ht="31.5" hidden="1" x14ac:dyDescent="0.25">
      <c r="A233" s="496" t="s">
        <v>250</v>
      </c>
      <c r="B233" s="490">
        <v>902</v>
      </c>
      <c r="C233" s="492" t="s">
        <v>244</v>
      </c>
      <c r="D233" s="492" t="s">
        <v>215</v>
      </c>
      <c r="E233" s="492" t="s">
        <v>1175</v>
      </c>
      <c r="F233" s="492" t="s">
        <v>251</v>
      </c>
      <c r="G233" s="497">
        <v>0</v>
      </c>
      <c r="H233" s="497">
        <v>0</v>
      </c>
      <c r="I233" s="204"/>
    </row>
    <row r="234" spans="1:9" ht="15.75" x14ac:dyDescent="0.25">
      <c r="A234" s="494" t="s">
        <v>258</v>
      </c>
      <c r="B234" s="491">
        <v>902</v>
      </c>
      <c r="C234" s="495" t="s">
        <v>244</v>
      </c>
      <c r="D234" s="495" t="s">
        <v>120</v>
      </c>
      <c r="E234" s="495"/>
      <c r="F234" s="495"/>
      <c r="G234" s="493">
        <f t="shared" ref="G234:H236" si="15">G235</f>
        <v>3650.4</v>
      </c>
      <c r="H234" s="493">
        <f t="shared" si="15"/>
        <v>3606.4</v>
      </c>
      <c r="I234" s="204"/>
    </row>
    <row r="235" spans="1:9" ht="31.5" x14ac:dyDescent="0.25">
      <c r="A235" s="494" t="s">
        <v>917</v>
      </c>
      <c r="B235" s="491">
        <v>902</v>
      </c>
      <c r="C235" s="495" t="s">
        <v>244</v>
      </c>
      <c r="D235" s="495" t="s">
        <v>120</v>
      </c>
      <c r="E235" s="495" t="s">
        <v>858</v>
      </c>
      <c r="F235" s="495"/>
      <c r="G235" s="493">
        <f t="shared" si="15"/>
        <v>3650.4</v>
      </c>
      <c r="H235" s="493">
        <f t="shared" si="15"/>
        <v>3606.4</v>
      </c>
      <c r="I235" s="204"/>
    </row>
    <row r="236" spans="1:9" ht="31.5" x14ac:dyDescent="0.25">
      <c r="A236" s="494" t="s">
        <v>885</v>
      </c>
      <c r="B236" s="491">
        <v>902</v>
      </c>
      <c r="C236" s="495" t="s">
        <v>244</v>
      </c>
      <c r="D236" s="495" t="s">
        <v>120</v>
      </c>
      <c r="E236" s="495" t="s">
        <v>863</v>
      </c>
      <c r="F236" s="495"/>
      <c r="G236" s="493">
        <f t="shared" si="15"/>
        <v>3650.4</v>
      </c>
      <c r="H236" s="493">
        <f t="shared" si="15"/>
        <v>3606.4</v>
      </c>
      <c r="I236" s="204"/>
    </row>
    <row r="237" spans="1:9" ht="47.25" x14ac:dyDescent="0.25">
      <c r="A237" s="31" t="s">
        <v>259</v>
      </c>
      <c r="B237" s="490">
        <v>902</v>
      </c>
      <c r="C237" s="492" t="s">
        <v>244</v>
      </c>
      <c r="D237" s="492" t="s">
        <v>120</v>
      </c>
      <c r="E237" s="492" t="s">
        <v>925</v>
      </c>
      <c r="F237" s="492"/>
      <c r="G237" s="497">
        <f>G238+G240</f>
        <v>3650.4</v>
      </c>
      <c r="H237" s="497">
        <f>H238+H240</f>
        <v>3606.4</v>
      </c>
      <c r="I237" s="204"/>
    </row>
    <row r="238" spans="1:9" ht="78.75" x14ac:dyDescent="0.25">
      <c r="A238" s="496" t="s">
        <v>127</v>
      </c>
      <c r="B238" s="490">
        <v>902</v>
      </c>
      <c r="C238" s="492" t="s">
        <v>244</v>
      </c>
      <c r="D238" s="492" t="s">
        <v>120</v>
      </c>
      <c r="E238" s="492" t="s">
        <v>925</v>
      </c>
      <c r="F238" s="492" t="s">
        <v>128</v>
      </c>
      <c r="G238" s="497">
        <f>G239</f>
        <v>3249.8</v>
      </c>
      <c r="H238" s="497">
        <f>H239</f>
        <v>3205.8</v>
      </c>
      <c r="I238" s="204"/>
    </row>
    <row r="239" spans="1:9" ht="31.5" x14ac:dyDescent="0.25">
      <c r="A239" s="496" t="s">
        <v>129</v>
      </c>
      <c r="B239" s="490">
        <v>902</v>
      </c>
      <c r="C239" s="492" t="s">
        <v>244</v>
      </c>
      <c r="D239" s="492" t="s">
        <v>120</v>
      </c>
      <c r="E239" s="492" t="s">
        <v>925</v>
      </c>
      <c r="F239" s="492" t="s">
        <v>130</v>
      </c>
      <c r="G239" s="497">
        <v>3249.8</v>
      </c>
      <c r="H239" s="497">
        <v>3205.8</v>
      </c>
      <c r="I239" s="204"/>
    </row>
    <row r="240" spans="1:9" ht="31.5" x14ac:dyDescent="0.25">
      <c r="A240" s="496" t="s">
        <v>131</v>
      </c>
      <c r="B240" s="490">
        <v>902</v>
      </c>
      <c r="C240" s="492" t="s">
        <v>244</v>
      </c>
      <c r="D240" s="492" t="s">
        <v>120</v>
      </c>
      <c r="E240" s="492" t="s">
        <v>925</v>
      </c>
      <c r="F240" s="492" t="s">
        <v>132</v>
      </c>
      <c r="G240" s="497">
        <f>G241</f>
        <v>400.6</v>
      </c>
      <c r="H240" s="497">
        <f>H241</f>
        <v>400.6</v>
      </c>
      <c r="I240" s="204"/>
    </row>
    <row r="241" spans="1:12" ht="31.5" x14ac:dyDescent="0.25">
      <c r="A241" s="496" t="s">
        <v>133</v>
      </c>
      <c r="B241" s="490">
        <v>902</v>
      </c>
      <c r="C241" s="492" t="s">
        <v>244</v>
      </c>
      <c r="D241" s="492" t="s">
        <v>120</v>
      </c>
      <c r="E241" s="492" t="s">
        <v>925</v>
      </c>
      <c r="F241" s="492" t="s">
        <v>134</v>
      </c>
      <c r="G241" s="497">
        <v>400.6</v>
      </c>
      <c r="H241" s="497">
        <f t="shared" si="11"/>
        <v>400.6</v>
      </c>
      <c r="I241" s="204"/>
    </row>
    <row r="242" spans="1:12" ht="47.25" x14ac:dyDescent="0.25">
      <c r="A242" s="491" t="s">
        <v>261</v>
      </c>
      <c r="B242" s="491">
        <v>903</v>
      </c>
      <c r="C242" s="492"/>
      <c r="D242" s="492"/>
      <c r="E242" s="492"/>
      <c r="F242" s="492"/>
      <c r="G242" s="493">
        <f>G293+G357+G445+G243+G273+G468</f>
        <v>104757.7</v>
      </c>
      <c r="H242" s="493">
        <f>H293+H357+H445+H243+H273+H468</f>
        <v>106518</v>
      </c>
      <c r="I242" s="204"/>
    </row>
    <row r="243" spans="1:12" ht="15.75" x14ac:dyDescent="0.25">
      <c r="A243" s="494" t="s">
        <v>117</v>
      </c>
      <c r="B243" s="491">
        <v>903</v>
      </c>
      <c r="C243" s="495" t="s">
        <v>118</v>
      </c>
      <c r="D243" s="492"/>
      <c r="E243" s="492"/>
      <c r="F243" s="492"/>
      <c r="G243" s="493">
        <f>G244</f>
        <v>225</v>
      </c>
      <c r="H243" s="493">
        <f>H244</f>
        <v>625</v>
      </c>
      <c r="I243" s="204"/>
    </row>
    <row r="244" spans="1:12" ht="15.75" x14ac:dyDescent="0.25">
      <c r="A244" s="494" t="s">
        <v>139</v>
      </c>
      <c r="B244" s="491">
        <v>903</v>
      </c>
      <c r="C244" s="495" t="s">
        <v>118</v>
      </c>
      <c r="D244" s="495" t="s">
        <v>140</v>
      </c>
      <c r="E244" s="492"/>
      <c r="F244" s="492"/>
      <c r="G244" s="493">
        <f>G245+G251+G268</f>
        <v>225</v>
      </c>
      <c r="H244" s="493">
        <f>H245+H251+H268</f>
        <v>625</v>
      </c>
      <c r="I244" s="204"/>
    </row>
    <row r="245" spans="1:12" ht="47.25" x14ac:dyDescent="0.25">
      <c r="A245" s="494" t="s">
        <v>1366</v>
      </c>
      <c r="B245" s="491">
        <v>903</v>
      </c>
      <c r="C245" s="8" t="s">
        <v>118</v>
      </c>
      <c r="D245" s="8" t="s">
        <v>140</v>
      </c>
      <c r="E245" s="194" t="s">
        <v>344</v>
      </c>
      <c r="F245" s="8"/>
      <c r="G245" s="493">
        <f t="shared" ref="G245:H249" si="16">G246</f>
        <v>200</v>
      </c>
      <c r="H245" s="493">
        <f t="shared" si="16"/>
        <v>500</v>
      </c>
      <c r="I245" s="204"/>
      <c r="L245" s="232"/>
    </row>
    <row r="246" spans="1:12" ht="78.75" x14ac:dyDescent="0.25">
      <c r="A246" s="500" t="s">
        <v>1348</v>
      </c>
      <c r="B246" s="491">
        <v>903</v>
      </c>
      <c r="C246" s="7" t="s">
        <v>118</v>
      </c>
      <c r="D246" s="7" t="s">
        <v>140</v>
      </c>
      <c r="E246" s="7" t="s">
        <v>359</v>
      </c>
      <c r="F246" s="7"/>
      <c r="G246" s="493">
        <f t="shared" si="16"/>
        <v>200</v>
      </c>
      <c r="H246" s="493">
        <f t="shared" si="16"/>
        <v>500</v>
      </c>
      <c r="I246" s="204"/>
    </row>
    <row r="247" spans="1:12" ht="63" x14ac:dyDescent="0.25">
      <c r="A247" s="250" t="s">
        <v>1044</v>
      </c>
      <c r="B247" s="491">
        <v>903</v>
      </c>
      <c r="C247" s="7" t="s">
        <v>118</v>
      </c>
      <c r="D247" s="7" t="s">
        <v>140</v>
      </c>
      <c r="E247" s="7" t="s">
        <v>909</v>
      </c>
      <c r="F247" s="7"/>
      <c r="G247" s="493">
        <f t="shared" si="16"/>
        <v>200</v>
      </c>
      <c r="H247" s="493">
        <f t="shared" si="16"/>
        <v>500</v>
      </c>
      <c r="I247" s="204"/>
    </row>
    <row r="248" spans="1:12" ht="31.5" x14ac:dyDescent="0.25">
      <c r="A248" s="98" t="s">
        <v>1045</v>
      </c>
      <c r="B248" s="490">
        <v>903</v>
      </c>
      <c r="C248" s="499" t="s">
        <v>118</v>
      </c>
      <c r="D248" s="499" t="s">
        <v>140</v>
      </c>
      <c r="E248" s="499" t="s">
        <v>1198</v>
      </c>
      <c r="F248" s="499"/>
      <c r="G248" s="497">
        <f t="shared" si="16"/>
        <v>200</v>
      </c>
      <c r="H248" s="497">
        <f t="shared" si="16"/>
        <v>500</v>
      </c>
      <c r="I248" s="204"/>
    </row>
    <row r="249" spans="1:12" ht="31.5" x14ac:dyDescent="0.25">
      <c r="A249" s="29" t="s">
        <v>131</v>
      </c>
      <c r="B249" s="490">
        <v>903</v>
      </c>
      <c r="C249" s="499" t="s">
        <v>118</v>
      </c>
      <c r="D249" s="499" t="s">
        <v>140</v>
      </c>
      <c r="E249" s="499" t="s">
        <v>1198</v>
      </c>
      <c r="F249" s="499" t="s">
        <v>132</v>
      </c>
      <c r="G249" s="497">
        <f t="shared" si="16"/>
        <v>200</v>
      </c>
      <c r="H249" s="497">
        <f t="shared" si="16"/>
        <v>500</v>
      </c>
      <c r="I249" s="204"/>
    </row>
    <row r="250" spans="1:12" ht="31.5" x14ac:dyDescent="0.25">
      <c r="A250" s="29" t="s">
        <v>133</v>
      </c>
      <c r="B250" s="490">
        <v>903</v>
      </c>
      <c r="C250" s="499" t="s">
        <v>118</v>
      </c>
      <c r="D250" s="499" t="s">
        <v>140</v>
      </c>
      <c r="E250" s="499" t="s">
        <v>1198</v>
      </c>
      <c r="F250" s="499" t="s">
        <v>134</v>
      </c>
      <c r="G250" s="497">
        <v>200</v>
      </c>
      <c r="H250" s="497">
        <v>500</v>
      </c>
      <c r="I250" s="204"/>
    </row>
    <row r="251" spans="1:12" ht="47.25" x14ac:dyDescent="0.25">
      <c r="A251" s="494" t="s">
        <v>1349</v>
      </c>
      <c r="B251" s="491">
        <v>903</v>
      </c>
      <c r="C251" s="495" t="s">
        <v>118</v>
      </c>
      <c r="D251" s="495" t="s">
        <v>140</v>
      </c>
      <c r="E251" s="495" t="s">
        <v>335</v>
      </c>
      <c r="F251" s="495"/>
      <c r="G251" s="493">
        <f>G252</f>
        <v>20</v>
      </c>
      <c r="H251" s="493">
        <f>H252</f>
        <v>120</v>
      </c>
      <c r="I251" s="204"/>
    </row>
    <row r="252" spans="1:12" ht="31.5" x14ac:dyDescent="0.25">
      <c r="A252" s="494" t="s">
        <v>1049</v>
      </c>
      <c r="B252" s="491">
        <v>903</v>
      </c>
      <c r="C252" s="495" t="s">
        <v>118</v>
      </c>
      <c r="D252" s="495" t="s">
        <v>140</v>
      </c>
      <c r="E252" s="495" t="s">
        <v>1050</v>
      </c>
      <c r="F252" s="495"/>
      <c r="G252" s="493">
        <f>G253+G262+G256+G259+G265</f>
        <v>20</v>
      </c>
      <c r="H252" s="493">
        <f>H253+H262+H256+H259+H265</f>
        <v>120</v>
      </c>
      <c r="I252" s="204"/>
    </row>
    <row r="253" spans="1:12" ht="31.5" x14ac:dyDescent="0.25">
      <c r="A253" s="97" t="s">
        <v>336</v>
      </c>
      <c r="B253" s="490">
        <v>903</v>
      </c>
      <c r="C253" s="492" t="s">
        <v>118</v>
      </c>
      <c r="D253" s="492" t="s">
        <v>140</v>
      </c>
      <c r="E253" s="492" t="s">
        <v>1051</v>
      </c>
      <c r="F253" s="492"/>
      <c r="G253" s="497">
        <f>'[1]Пр.5 ведом.21'!G238</f>
        <v>0</v>
      </c>
      <c r="H253" s="497">
        <f>H254</f>
        <v>100</v>
      </c>
      <c r="I253" s="204"/>
    </row>
    <row r="254" spans="1:12" ht="31.5" x14ac:dyDescent="0.25">
      <c r="A254" s="496" t="s">
        <v>131</v>
      </c>
      <c r="B254" s="490">
        <v>903</v>
      </c>
      <c r="C254" s="492" t="s">
        <v>118</v>
      </c>
      <c r="D254" s="492" t="s">
        <v>140</v>
      </c>
      <c r="E254" s="492" t="s">
        <v>1051</v>
      </c>
      <c r="F254" s="492" t="s">
        <v>132</v>
      </c>
      <c r="G254" s="497">
        <f>'[1]Пр.5 ведом.21'!G239</f>
        <v>0</v>
      </c>
      <c r="H254" s="497">
        <f>H255</f>
        <v>100</v>
      </c>
      <c r="I254" s="204"/>
    </row>
    <row r="255" spans="1:12" ht="31.5" x14ac:dyDescent="0.25">
      <c r="A255" s="496" t="s">
        <v>133</v>
      </c>
      <c r="B255" s="490">
        <v>903</v>
      </c>
      <c r="C255" s="492" t="s">
        <v>118</v>
      </c>
      <c r="D255" s="492" t="s">
        <v>140</v>
      </c>
      <c r="E255" s="492" t="s">
        <v>1051</v>
      </c>
      <c r="F255" s="492" t="s">
        <v>134</v>
      </c>
      <c r="G255" s="497">
        <f>'[1]Пр.5 ведом.21'!G240</f>
        <v>0</v>
      </c>
      <c r="H255" s="497">
        <v>100</v>
      </c>
      <c r="I255" s="204"/>
    </row>
    <row r="256" spans="1:12" ht="31.5" hidden="1" x14ac:dyDescent="0.25">
      <c r="A256" s="97" t="s">
        <v>336</v>
      </c>
      <c r="B256" s="490">
        <v>906</v>
      </c>
      <c r="C256" s="492" t="s">
        <v>118</v>
      </c>
      <c r="D256" s="492" t="s">
        <v>140</v>
      </c>
      <c r="E256" s="492" t="s">
        <v>1051</v>
      </c>
      <c r="F256" s="492"/>
      <c r="G256" s="497">
        <f>G257</f>
        <v>0</v>
      </c>
      <c r="H256" s="497">
        <f>H257</f>
        <v>0</v>
      </c>
      <c r="I256" s="204"/>
    </row>
    <row r="257" spans="1:9" ht="31.5" hidden="1" x14ac:dyDescent="0.25">
      <c r="A257" s="496" t="s">
        <v>131</v>
      </c>
      <c r="B257" s="490">
        <v>906</v>
      </c>
      <c r="C257" s="492" t="s">
        <v>118</v>
      </c>
      <c r="D257" s="492" t="s">
        <v>140</v>
      </c>
      <c r="E257" s="492" t="s">
        <v>1051</v>
      </c>
      <c r="F257" s="492" t="s">
        <v>132</v>
      </c>
      <c r="G257" s="497">
        <f>G258</f>
        <v>0</v>
      </c>
      <c r="H257" s="497">
        <f>H258</f>
        <v>0</v>
      </c>
      <c r="I257" s="204"/>
    </row>
    <row r="258" spans="1:9" ht="31.5" hidden="1" x14ac:dyDescent="0.25">
      <c r="A258" s="496" t="s">
        <v>133</v>
      </c>
      <c r="B258" s="490">
        <v>906</v>
      </c>
      <c r="C258" s="492" t="s">
        <v>118</v>
      </c>
      <c r="D258" s="492" t="s">
        <v>140</v>
      </c>
      <c r="E258" s="492" t="s">
        <v>1051</v>
      </c>
      <c r="F258" s="492" t="s">
        <v>134</v>
      </c>
      <c r="G258" s="497">
        <v>0</v>
      </c>
      <c r="H258" s="497">
        <v>0</v>
      </c>
      <c r="I258" s="204"/>
    </row>
    <row r="259" spans="1:9" ht="15.75" hidden="1" x14ac:dyDescent="0.25">
      <c r="A259" s="496" t="s">
        <v>994</v>
      </c>
      <c r="B259" s="490">
        <v>903</v>
      </c>
      <c r="C259" s="492" t="s">
        <v>118</v>
      </c>
      <c r="D259" s="492" t="s">
        <v>140</v>
      </c>
      <c r="E259" s="492" t="s">
        <v>1054</v>
      </c>
      <c r="F259" s="492"/>
      <c r="G259" s="497">
        <f>'[1]Пр.5 ведом.21'!G247</f>
        <v>0</v>
      </c>
      <c r="H259" s="497">
        <f t="shared" ref="H259:H299" si="17">G259</f>
        <v>0</v>
      </c>
      <c r="I259" s="204"/>
    </row>
    <row r="260" spans="1:9" ht="31.5" hidden="1" x14ac:dyDescent="0.25">
      <c r="A260" s="496" t="s">
        <v>131</v>
      </c>
      <c r="B260" s="490">
        <v>903</v>
      </c>
      <c r="C260" s="492" t="s">
        <v>118</v>
      </c>
      <c r="D260" s="492" t="s">
        <v>140</v>
      </c>
      <c r="E260" s="492" t="s">
        <v>1054</v>
      </c>
      <c r="F260" s="492" t="s">
        <v>132</v>
      </c>
      <c r="G260" s="497">
        <f>'[1]Пр.5 ведом.21'!G248</f>
        <v>0</v>
      </c>
      <c r="H260" s="497">
        <f t="shared" si="17"/>
        <v>0</v>
      </c>
      <c r="I260" s="204"/>
    </row>
    <row r="261" spans="1:9" ht="31.5" hidden="1" x14ac:dyDescent="0.25">
      <c r="A261" s="496" t="s">
        <v>133</v>
      </c>
      <c r="B261" s="490">
        <v>903</v>
      </c>
      <c r="C261" s="492" t="s">
        <v>118</v>
      </c>
      <c r="D261" s="492" t="s">
        <v>140</v>
      </c>
      <c r="E261" s="492" t="s">
        <v>1054</v>
      </c>
      <c r="F261" s="492" t="s">
        <v>134</v>
      </c>
      <c r="G261" s="497">
        <f>'[1]Пр.5 ведом.21'!G249</f>
        <v>0</v>
      </c>
      <c r="H261" s="497">
        <f t="shared" si="17"/>
        <v>0</v>
      </c>
      <c r="I261" s="204"/>
    </row>
    <row r="262" spans="1:9" ht="31.5" x14ac:dyDescent="0.25">
      <c r="A262" s="496" t="s">
        <v>338</v>
      </c>
      <c r="B262" s="490">
        <v>903</v>
      </c>
      <c r="C262" s="492" t="s">
        <v>118</v>
      </c>
      <c r="D262" s="492" t="s">
        <v>140</v>
      </c>
      <c r="E262" s="492" t="s">
        <v>1052</v>
      </c>
      <c r="F262" s="492"/>
      <c r="G262" s="497">
        <f>G263</f>
        <v>20</v>
      </c>
      <c r="H262" s="497">
        <f>H263</f>
        <v>20</v>
      </c>
      <c r="I262" s="204"/>
    </row>
    <row r="263" spans="1:9" ht="31.5" x14ac:dyDescent="0.25">
      <c r="A263" s="496" t="s">
        <v>131</v>
      </c>
      <c r="B263" s="490">
        <v>903</v>
      </c>
      <c r="C263" s="492" t="s">
        <v>118</v>
      </c>
      <c r="D263" s="492" t="s">
        <v>140</v>
      </c>
      <c r="E263" s="492" t="s">
        <v>1052</v>
      </c>
      <c r="F263" s="492" t="s">
        <v>132</v>
      </c>
      <c r="G263" s="497">
        <f>G264</f>
        <v>20</v>
      </c>
      <c r="H263" s="497">
        <f>H264</f>
        <v>20</v>
      </c>
      <c r="I263" s="204"/>
    </row>
    <row r="264" spans="1:9" ht="31.5" x14ac:dyDescent="0.25">
      <c r="A264" s="496" t="s">
        <v>133</v>
      </c>
      <c r="B264" s="490">
        <v>903</v>
      </c>
      <c r="C264" s="492" t="s">
        <v>118</v>
      </c>
      <c r="D264" s="492" t="s">
        <v>140</v>
      </c>
      <c r="E264" s="492" t="s">
        <v>1052</v>
      </c>
      <c r="F264" s="492" t="s">
        <v>134</v>
      </c>
      <c r="G264" s="497">
        <v>20</v>
      </c>
      <c r="H264" s="497">
        <v>20</v>
      </c>
      <c r="I264" s="204"/>
    </row>
    <row r="265" spans="1:9" ht="31.5" hidden="1" x14ac:dyDescent="0.25">
      <c r="A265" s="31" t="s">
        <v>772</v>
      </c>
      <c r="B265" s="490">
        <v>903</v>
      </c>
      <c r="C265" s="492" t="s">
        <v>118</v>
      </c>
      <c r="D265" s="492" t="s">
        <v>140</v>
      </c>
      <c r="E265" s="492" t="s">
        <v>1055</v>
      </c>
      <c r="F265" s="492"/>
      <c r="G265" s="497">
        <f>G266</f>
        <v>0</v>
      </c>
      <c r="H265" s="497">
        <f>H266</f>
        <v>0</v>
      </c>
      <c r="I265" s="204"/>
    </row>
    <row r="266" spans="1:9" ht="31.5" hidden="1" x14ac:dyDescent="0.25">
      <c r="A266" s="496" t="s">
        <v>131</v>
      </c>
      <c r="B266" s="490">
        <v>903</v>
      </c>
      <c r="C266" s="492" t="s">
        <v>118</v>
      </c>
      <c r="D266" s="492" t="s">
        <v>140</v>
      </c>
      <c r="E266" s="492" t="s">
        <v>1055</v>
      </c>
      <c r="F266" s="492" t="s">
        <v>132</v>
      </c>
      <c r="G266" s="497">
        <f>G267</f>
        <v>0</v>
      </c>
      <c r="H266" s="497">
        <f>H267</f>
        <v>0</v>
      </c>
      <c r="I266" s="204"/>
    </row>
    <row r="267" spans="1:9" ht="31.5" hidden="1" x14ac:dyDescent="0.25">
      <c r="A267" s="496" t="s">
        <v>133</v>
      </c>
      <c r="B267" s="490">
        <v>903</v>
      </c>
      <c r="C267" s="492" t="s">
        <v>118</v>
      </c>
      <c r="D267" s="492" t="s">
        <v>140</v>
      </c>
      <c r="E267" s="492" t="s">
        <v>1055</v>
      </c>
      <c r="F267" s="492" t="s">
        <v>134</v>
      </c>
      <c r="G267" s="497">
        <v>0</v>
      </c>
      <c r="H267" s="497">
        <f t="shared" si="17"/>
        <v>0</v>
      </c>
      <c r="I267" s="204"/>
    </row>
    <row r="268" spans="1:9" ht="47.25" x14ac:dyDescent="0.25">
      <c r="A268" s="500" t="s">
        <v>1352</v>
      </c>
      <c r="B268" s="491">
        <v>903</v>
      </c>
      <c r="C268" s="495" t="s">
        <v>118</v>
      </c>
      <c r="D268" s="495" t="s">
        <v>140</v>
      </c>
      <c r="E268" s="495" t="s">
        <v>705</v>
      </c>
      <c r="F268" s="495"/>
      <c r="G268" s="493">
        <f>G270</f>
        <v>5</v>
      </c>
      <c r="H268" s="493">
        <f>H270</f>
        <v>5</v>
      </c>
      <c r="I268" s="204"/>
    </row>
    <row r="269" spans="1:9" ht="47.25" x14ac:dyDescent="0.25">
      <c r="A269" s="211" t="s">
        <v>846</v>
      </c>
      <c r="B269" s="491">
        <v>903</v>
      </c>
      <c r="C269" s="495" t="s">
        <v>118</v>
      </c>
      <c r="D269" s="495" t="s">
        <v>140</v>
      </c>
      <c r="E269" s="495" t="s">
        <v>852</v>
      </c>
      <c r="F269" s="495"/>
      <c r="G269" s="493">
        <f t="shared" ref="G269:H271" si="18">G270</f>
        <v>5</v>
      </c>
      <c r="H269" s="493">
        <f t="shared" si="18"/>
        <v>5</v>
      </c>
      <c r="I269" s="204"/>
    </row>
    <row r="270" spans="1:9" ht="31.5" x14ac:dyDescent="0.25">
      <c r="A270" s="98" t="s">
        <v>776</v>
      </c>
      <c r="B270" s="490">
        <v>903</v>
      </c>
      <c r="C270" s="492" t="s">
        <v>118</v>
      </c>
      <c r="D270" s="492" t="s">
        <v>140</v>
      </c>
      <c r="E270" s="492" t="s">
        <v>847</v>
      </c>
      <c r="F270" s="492"/>
      <c r="G270" s="497">
        <f t="shared" si="18"/>
        <v>5</v>
      </c>
      <c r="H270" s="497">
        <f t="shared" si="18"/>
        <v>5</v>
      </c>
      <c r="I270" s="204"/>
    </row>
    <row r="271" spans="1:9" ht="31.5" x14ac:dyDescent="0.25">
      <c r="A271" s="496" t="s">
        <v>131</v>
      </c>
      <c r="B271" s="490">
        <v>903</v>
      </c>
      <c r="C271" s="492" t="s">
        <v>118</v>
      </c>
      <c r="D271" s="492" t="s">
        <v>140</v>
      </c>
      <c r="E271" s="492" t="s">
        <v>847</v>
      </c>
      <c r="F271" s="492" t="s">
        <v>132</v>
      </c>
      <c r="G271" s="497">
        <f t="shared" si="18"/>
        <v>5</v>
      </c>
      <c r="H271" s="497">
        <f t="shared" si="18"/>
        <v>5</v>
      </c>
      <c r="I271" s="204"/>
    </row>
    <row r="272" spans="1:9" ht="31.5" x14ac:dyDescent="0.25">
      <c r="A272" s="496" t="s">
        <v>133</v>
      </c>
      <c r="B272" s="490">
        <v>903</v>
      </c>
      <c r="C272" s="492" t="s">
        <v>118</v>
      </c>
      <c r="D272" s="492" t="s">
        <v>140</v>
      </c>
      <c r="E272" s="492" t="s">
        <v>847</v>
      </c>
      <c r="F272" s="492" t="s">
        <v>134</v>
      </c>
      <c r="G272" s="497">
        <f>5</f>
        <v>5</v>
      </c>
      <c r="H272" s="497">
        <f t="shared" si="17"/>
        <v>5</v>
      </c>
      <c r="I272" s="204"/>
    </row>
    <row r="273" spans="1:9" ht="15.75" x14ac:dyDescent="0.25">
      <c r="A273" s="217" t="s">
        <v>232</v>
      </c>
      <c r="B273" s="491">
        <v>903</v>
      </c>
      <c r="C273" s="495" t="s">
        <v>150</v>
      </c>
      <c r="D273" s="492"/>
      <c r="E273" s="492"/>
      <c r="F273" s="498"/>
      <c r="G273" s="493">
        <f t="shared" ref="G273:H275" si="19">G274</f>
        <v>260</v>
      </c>
      <c r="H273" s="493">
        <f t="shared" si="19"/>
        <v>260</v>
      </c>
      <c r="I273" s="204"/>
    </row>
    <row r="274" spans="1:9" ht="31.5" x14ac:dyDescent="0.25">
      <c r="A274" s="494" t="s">
        <v>237</v>
      </c>
      <c r="B274" s="491">
        <v>903</v>
      </c>
      <c r="C274" s="495" t="s">
        <v>150</v>
      </c>
      <c r="D274" s="495" t="s">
        <v>238</v>
      </c>
      <c r="E274" s="492"/>
      <c r="F274" s="498"/>
      <c r="G274" s="493">
        <f t="shared" si="19"/>
        <v>260</v>
      </c>
      <c r="H274" s="493">
        <f t="shared" si="19"/>
        <v>260</v>
      </c>
      <c r="I274" s="204"/>
    </row>
    <row r="275" spans="1:9" ht="47.25" x14ac:dyDescent="0.25">
      <c r="A275" s="494" t="s">
        <v>1366</v>
      </c>
      <c r="B275" s="491">
        <v>903</v>
      </c>
      <c r="C275" s="495" t="s">
        <v>150</v>
      </c>
      <c r="D275" s="495" t="s">
        <v>238</v>
      </c>
      <c r="E275" s="495" t="s">
        <v>344</v>
      </c>
      <c r="F275" s="504"/>
      <c r="G275" s="493">
        <f t="shared" si="19"/>
        <v>260</v>
      </c>
      <c r="H275" s="493">
        <f t="shared" si="19"/>
        <v>260</v>
      </c>
      <c r="I275" s="204"/>
    </row>
    <row r="276" spans="1:9" ht="64.5" customHeight="1" x14ac:dyDescent="0.25">
      <c r="A276" s="494" t="s">
        <v>367</v>
      </c>
      <c r="B276" s="491">
        <v>903</v>
      </c>
      <c r="C276" s="495" t="s">
        <v>150</v>
      </c>
      <c r="D276" s="495" t="s">
        <v>238</v>
      </c>
      <c r="E276" s="495" t="s">
        <v>356</v>
      </c>
      <c r="F276" s="495"/>
      <c r="G276" s="493">
        <f>G277+G281+G285+G289</f>
        <v>260</v>
      </c>
      <c r="H276" s="493">
        <f>H277+H281+H285+H289</f>
        <v>260</v>
      </c>
      <c r="I276" s="204"/>
    </row>
    <row r="277" spans="1:9" ht="47.25" hidden="1" x14ac:dyDescent="0.25">
      <c r="A277" s="215" t="s">
        <v>1042</v>
      </c>
      <c r="B277" s="491">
        <v>903</v>
      </c>
      <c r="C277" s="495" t="s">
        <v>150</v>
      </c>
      <c r="D277" s="495" t="s">
        <v>238</v>
      </c>
      <c r="E277" s="495" t="s">
        <v>907</v>
      </c>
      <c r="F277" s="495"/>
      <c r="G277" s="493">
        <f>G278</f>
        <v>0</v>
      </c>
      <c r="H277" s="493">
        <f>H278</f>
        <v>0</v>
      </c>
      <c r="I277" s="204"/>
    </row>
    <row r="278" spans="1:9" ht="47.25" hidden="1" x14ac:dyDescent="0.25">
      <c r="A278" s="496" t="s">
        <v>375</v>
      </c>
      <c r="B278" s="490">
        <v>903</v>
      </c>
      <c r="C278" s="492" t="s">
        <v>150</v>
      </c>
      <c r="D278" s="492" t="s">
        <v>238</v>
      </c>
      <c r="E278" s="492" t="s">
        <v>1316</v>
      </c>
      <c r="F278" s="492"/>
      <c r="G278" s="497">
        <f>'[1]Пр.5 ведом.21'!G263</f>
        <v>0</v>
      </c>
      <c r="H278" s="497">
        <f t="shared" si="17"/>
        <v>0</v>
      </c>
      <c r="I278" s="204"/>
    </row>
    <row r="279" spans="1:9" ht="31.5" hidden="1" x14ac:dyDescent="0.25">
      <c r="A279" s="496" t="s">
        <v>248</v>
      </c>
      <c r="B279" s="490">
        <v>903</v>
      </c>
      <c r="C279" s="492" t="s">
        <v>150</v>
      </c>
      <c r="D279" s="492" t="s">
        <v>238</v>
      </c>
      <c r="E279" s="492" t="s">
        <v>1316</v>
      </c>
      <c r="F279" s="492" t="s">
        <v>249</v>
      </c>
      <c r="G279" s="497">
        <f>'[1]Пр.5 ведом.21'!G264</f>
        <v>0</v>
      </c>
      <c r="H279" s="497">
        <f t="shared" si="17"/>
        <v>0</v>
      </c>
      <c r="I279" s="204"/>
    </row>
    <row r="280" spans="1:9" ht="31.5" hidden="1" x14ac:dyDescent="0.25">
      <c r="A280" s="496" t="s">
        <v>250</v>
      </c>
      <c r="B280" s="490">
        <v>903</v>
      </c>
      <c r="C280" s="492" t="s">
        <v>150</v>
      </c>
      <c r="D280" s="492" t="s">
        <v>238</v>
      </c>
      <c r="E280" s="492" t="s">
        <v>1316</v>
      </c>
      <c r="F280" s="492" t="s">
        <v>251</v>
      </c>
      <c r="G280" s="497">
        <f>'[1]Пр.5 ведом.21'!G265</f>
        <v>0</v>
      </c>
      <c r="H280" s="497">
        <f t="shared" si="17"/>
        <v>0</v>
      </c>
      <c r="I280" s="204"/>
    </row>
    <row r="281" spans="1:9" ht="31.5" x14ac:dyDescent="0.25">
      <c r="A281" s="494" t="s">
        <v>1041</v>
      </c>
      <c r="B281" s="491">
        <v>903</v>
      </c>
      <c r="C281" s="495" t="s">
        <v>150</v>
      </c>
      <c r="D281" s="495" t="s">
        <v>238</v>
      </c>
      <c r="E281" s="495" t="s">
        <v>1199</v>
      </c>
      <c r="F281" s="495"/>
      <c r="G281" s="493">
        <f t="shared" ref="G281:H283" si="20">G282</f>
        <v>260</v>
      </c>
      <c r="H281" s="493">
        <f t="shared" si="20"/>
        <v>260</v>
      </c>
      <c r="I281" s="204"/>
    </row>
    <row r="282" spans="1:9" ht="110.25" x14ac:dyDescent="0.25">
      <c r="A282" s="496" t="s">
        <v>1501</v>
      </c>
      <c r="B282" s="490">
        <v>903</v>
      </c>
      <c r="C282" s="492" t="s">
        <v>150</v>
      </c>
      <c r="D282" s="492" t="s">
        <v>238</v>
      </c>
      <c r="E282" s="492" t="s">
        <v>1200</v>
      </c>
      <c r="F282" s="492"/>
      <c r="G282" s="497">
        <f t="shared" si="20"/>
        <v>260</v>
      </c>
      <c r="H282" s="497">
        <f t="shared" si="20"/>
        <v>260</v>
      </c>
      <c r="I282" s="204"/>
    </row>
    <row r="283" spans="1:9" ht="31.5" x14ac:dyDescent="0.25">
      <c r="A283" s="496" t="s">
        <v>272</v>
      </c>
      <c r="B283" s="490">
        <v>903</v>
      </c>
      <c r="C283" s="492" t="s">
        <v>150</v>
      </c>
      <c r="D283" s="492" t="s">
        <v>238</v>
      </c>
      <c r="E283" s="492" t="s">
        <v>1200</v>
      </c>
      <c r="F283" s="492" t="s">
        <v>273</v>
      </c>
      <c r="G283" s="497">
        <f t="shared" si="20"/>
        <v>260</v>
      </c>
      <c r="H283" s="497">
        <f t="shared" si="20"/>
        <v>260</v>
      </c>
      <c r="I283" s="204"/>
    </row>
    <row r="284" spans="1:9" ht="63" x14ac:dyDescent="0.25">
      <c r="A284" s="496" t="s">
        <v>1089</v>
      </c>
      <c r="B284" s="490">
        <v>903</v>
      </c>
      <c r="C284" s="492" t="s">
        <v>150</v>
      </c>
      <c r="D284" s="492" t="s">
        <v>238</v>
      </c>
      <c r="E284" s="492" t="s">
        <v>1200</v>
      </c>
      <c r="F284" s="492" t="s">
        <v>372</v>
      </c>
      <c r="G284" s="497">
        <f>60+200</f>
        <v>260</v>
      </c>
      <c r="H284" s="497">
        <f t="shared" si="17"/>
        <v>260</v>
      </c>
      <c r="I284" s="204"/>
    </row>
    <row r="285" spans="1:9" ht="31.5" hidden="1" x14ac:dyDescent="0.25">
      <c r="A285" s="494" t="s">
        <v>995</v>
      </c>
      <c r="B285" s="491">
        <v>903</v>
      </c>
      <c r="C285" s="495" t="s">
        <v>150</v>
      </c>
      <c r="D285" s="495" t="s">
        <v>238</v>
      </c>
      <c r="E285" s="495" t="s">
        <v>1309</v>
      </c>
      <c r="F285" s="495"/>
      <c r="G285" s="493">
        <f>G286</f>
        <v>0</v>
      </c>
      <c r="H285" s="493">
        <f>H286</f>
        <v>0</v>
      </c>
      <c r="I285" s="204"/>
    </row>
    <row r="286" spans="1:9" ht="31.5" hidden="1" x14ac:dyDescent="0.25">
      <c r="A286" s="252" t="s">
        <v>1043</v>
      </c>
      <c r="B286" s="490">
        <v>903</v>
      </c>
      <c r="C286" s="492" t="s">
        <v>150</v>
      </c>
      <c r="D286" s="492" t="s">
        <v>238</v>
      </c>
      <c r="E286" s="492" t="s">
        <v>1310</v>
      </c>
      <c r="F286" s="492"/>
      <c r="G286" s="497">
        <f>'[1]Пр.5 ведом.21'!G271</f>
        <v>0</v>
      </c>
      <c r="H286" s="497">
        <f t="shared" si="17"/>
        <v>0</v>
      </c>
      <c r="I286" s="204"/>
    </row>
    <row r="287" spans="1:9" ht="31.5" hidden="1" x14ac:dyDescent="0.25">
      <c r="A287" s="496" t="s">
        <v>131</v>
      </c>
      <c r="B287" s="490">
        <v>903</v>
      </c>
      <c r="C287" s="492" t="s">
        <v>150</v>
      </c>
      <c r="D287" s="492" t="s">
        <v>238</v>
      </c>
      <c r="E287" s="492" t="s">
        <v>1310</v>
      </c>
      <c r="F287" s="492" t="s">
        <v>132</v>
      </c>
      <c r="G287" s="497">
        <f>'[1]Пр.5 ведом.21'!G272</f>
        <v>0</v>
      </c>
      <c r="H287" s="497">
        <f t="shared" si="17"/>
        <v>0</v>
      </c>
      <c r="I287" s="204"/>
    </row>
    <row r="288" spans="1:9" ht="31.5" hidden="1" x14ac:dyDescent="0.25">
      <c r="A288" s="496" t="s">
        <v>133</v>
      </c>
      <c r="B288" s="490">
        <v>903</v>
      </c>
      <c r="C288" s="492" t="s">
        <v>150</v>
      </c>
      <c r="D288" s="492" t="s">
        <v>238</v>
      </c>
      <c r="E288" s="492" t="s">
        <v>1310</v>
      </c>
      <c r="F288" s="492" t="s">
        <v>134</v>
      </c>
      <c r="G288" s="497">
        <f>'[1]Пр.5 ведом.21'!G273</f>
        <v>0</v>
      </c>
      <c r="H288" s="497">
        <f t="shared" si="17"/>
        <v>0</v>
      </c>
      <c r="I288" s="204"/>
    </row>
    <row r="289" spans="1:9" ht="31.5" hidden="1" x14ac:dyDescent="0.25">
      <c r="A289" s="503" t="s">
        <v>1102</v>
      </c>
      <c r="B289" s="491">
        <v>903</v>
      </c>
      <c r="C289" s="495" t="s">
        <v>150</v>
      </c>
      <c r="D289" s="495" t="s">
        <v>238</v>
      </c>
      <c r="E289" s="495" t="s">
        <v>1201</v>
      </c>
      <c r="F289" s="495"/>
      <c r="G289" s="493">
        <f t="shared" ref="G289:H291" si="21">G290</f>
        <v>0</v>
      </c>
      <c r="H289" s="493">
        <f t="shared" si="21"/>
        <v>0</v>
      </c>
      <c r="I289" s="204"/>
    </row>
    <row r="290" spans="1:9" ht="31.5" hidden="1" x14ac:dyDescent="0.25">
      <c r="A290" s="231" t="s">
        <v>1103</v>
      </c>
      <c r="B290" s="490">
        <v>903</v>
      </c>
      <c r="C290" s="492" t="s">
        <v>150</v>
      </c>
      <c r="D290" s="492" t="s">
        <v>238</v>
      </c>
      <c r="E290" s="492" t="s">
        <v>1202</v>
      </c>
      <c r="F290" s="492"/>
      <c r="G290" s="497">
        <f t="shared" si="21"/>
        <v>0</v>
      </c>
      <c r="H290" s="497">
        <f t="shared" si="21"/>
        <v>0</v>
      </c>
      <c r="I290" s="204"/>
    </row>
    <row r="291" spans="1:9" ht="31.5" hidden="1" x14ac:dyDescent="0.25">
      <c r="A291" s="496" t="s">
        <v>131</v>
      </c>
      <c r="B291" s="490">
        <v>903</v>
      </c>
      <c r="C291" s="492" t="s">
        <v>150</v>
      </c>
      <c r="D291" s="492" t="s">
        <v>238</v>
      </c>
      <c r="E291" s="492" t="s">
        <v>1202</v>
      </c>
      <c r="F291" s="492" t="s">
        <v>132</v>
      </c>
      <c r="G291" s="497">
        <f t="shared" si="21"/>
        <v>0</v>
      </c>
      <c r="H291" s="497">
        <f t="shared" si="21"/>
        <v>0</v>
      </c>
      <c r="I291" s="204"/>
    </row>
    <row r="292" spans="1:9" ht="31.5" hidden="1" x14ac:dyDescent="0.25">
      <c r="A292" s="496" t="s">
        <v>133</v>
      </c>
      <c r="B292" s="490">
        <v>903</v>
      </c>
      <c r="C292" s="492" t="s">
        <v>150</v>
      </c>
      <c r="D292" s="492" t="s">
        <v>238</v>
      </c>
      <c r="E292" s="492" t="s">
        <v>1202</v>
      </c>
      <c r="F292" s="492" t="s">
        <v>134</v>
      </c>
      <c r="G292" s="497">
        <v>0</v>
      </c>
      <c r="H292" s="497">
        <v>0</v>
      </c>
      <c r="I292" s="204"/>
    </row>
    <row r="293" spans="1:9" ht="15.75" x14ac:dyDescent="0.25">
      <c r="A293" s="494" t="s">
        <v>263</v>
      </c>
      <c r="B293" s="491">
        <v>903</v>
      </c>
      <c r="C293" s="495" t="s">
        <v>264</v>
      </c>
      <c r="D293" s="492"/>
      <c r="E293" s="492"/>
      <c r="F293" s="492"/>
      <c r="G293" s="493">
        <f>G294+G337</f>
        <v>19986.610000000004</v>
      </c>
      <c r="H293" s="493">
        <f>H294+H337</f>
        <v>20065.210000000003</v>
      </c>
      <c r="I293" s="204"/>
    </row>
    <row r="294" spans="1:9" ht="15.75" x14ac:dyDescent="0.25">
      <c r="A294" s="494" t="s">
        <v>265</v>
      </c>
      <c r="B294" s="491">
        <v>903</v>
      </c>
      <c r="C294" s="495" t="s">
        <v>264</v>
      </c>
      <c r="D294" s="495" t="s">
        <v>215</v>
      </c>
      <c r="E294" s="495"/>
      <c r="F294" s="495"/>
      <c r="G294" s="493">
        <f>G295+G332+G327</f>
        <v>19226.610000000004</v>
      </c>
      <c r="H294" s="493">
        <f>H295+H332+H327</f>
        <v>19240.210000000003</v>
      </c>
      <c r="I294" s="204"/>
    </row>
    <row r="295" spans="1:9" ht="31.5" x14ac:dyDescent="0.25">
      <c r="A295" s="494" t="s">
        <v>1351</v>
      </c>
      <c r="B295" s="491">
        <v>903</v>
      </c>
      <c r="C295" s="495" t="s">
        <v>264</v>
      </c>
      <c r="D295" s="495" t="s">
        <v>215</v>
      </c>
      <c r="E295" s="495" t="s">
        <v>267</v>
      </c>
      <c r="F295" s="495"/>
      <c r="G295" s="493">
        <f>G296+G304+G313+G317</f>
        <v>18730.410000000003</v>
      </c>
      <c r="H295" s="493">
        <f>H296+H304+H313+H317</f>
        <v>18730.410000000003</v>
      </c>
      <c r="I295" s="204"/>
    </row>
    <row r="296" spans="1:9" ht="36" customHeight="1" x14ac:dyDescent="0.25">
      <c r="A296" s="494" t="s">
        <v>895</v>
      </c>
      <c r="B296" s="491">
        <v>903</v>
      </c>
      <c r="C296" s="495" t="s">
        <v>264</v>
      </c>
      <c r="D296" s="495" t="s">
        <v>215</v>
      </c>
      <c r="E296" s="495" t="s">
        <v>1203</v>
      </c>
      <c r="F296" s="495"/>
      <c r="G296" s="44">
        <f>G297</f>
        <v>15854.01</v>
      </c>
      <c r="H296" s="44">
        <f>H297</f>
        <v>15854.01</v>
      </c>
      <c r="I296" s="204"/>
    </row>
    <row r="297" spans="1:9" ht="15.75" x14ac:dyDescent="0.25">
      <c r="A297" s="496" t="s">
        <v>800</v>
      </c>
      <c r="B297" s="490">
        <v>903</v>
      </c>
      <c r="C297" s="492" t="s">
        <v>264</v>
      </c>
      <c r="D297" s="492" t="s">
        <v>215</v>
      </c>
      <c r="E297" s="492" t="s">
        <v>1204</v>
      </c>
      <c r="F297" s="492"/>
      <c r="G297" s="497">
        <f>G298+G300+G303</f>
        <v>15854.01</v>
      </c>
      <c r="H297" s="497">
        <f>H298+H300+H303</f>
        <v>15854.01</v>
      </c>
      <c r="I297" s="204"/>
    </row>
    <row r="298" spans="1:9" ht="78.75" x14ac:dyDescent="0.25">
      <c r="A298" s="496" t="s">
        <v>127</v>
      </c>
      <c r="B298" s="490">
        <v>903</v>
      </c>
      <c r="C298" s="492" t="s">
        <v>264</v>
      </c>
      <c r="D298" s="492" t="s">
        <v>215</v>
      </c>
      <c r="E298" s="492" t="s">
        <v>1204</v>
      </c>
      <c r="F298" s="492" t="s">
        <v>128</v>
      </c>
      <c r="G298" s="497">
        <f>G299</f>
        <v>14172.31</v>
      </c>
      <c r="H298" s="497">
        <f>H299</f>
        <v>14172.31</v>
      </c>
      <c r="I298" s="204"/>
    </row>
    <row r="299" spans="1:9" ht="21.2" customHeight="1" x14ac:dyDescent="0.25">
      <c r="A299" s="46" t="s">
        <v>342</v>
      </c>
      <c r="B299" s="490">
        <v>903</v>
      </c>
      <c r="C299" s="492" t="s">
        <v>264</v>
      </c>
      <c r="D299" s="492" t="s">
        <v>215</v>
      </c>
      <c r="E299" s="492" t="s">
        <v>1204</v>
      </c>
      <c r="F299" s="492" t="s">
        <v>209</v>
      </c>
      <c r="G299" s="497">
        <v>14172.31</v>
      </c>
      <c r="H299" s="497">
        <f t="shared" si="17"/>
        <v>14172.31</v>
      </c>
      <c r="I299" s="204"/>
    </row>
    <row r="300" spans="1:9" ht="31.5" x14ac:dyDescent="0.25">
      <c r="A300" s="496" t="s">
        <v>131</v>
      </c>
      <c r="B300" s="490">
        <v>903</v>
      </c>
      <c r="C300" s="492" t="s">
        <v>264</v>
      </c>
      <c r="D300" s="492" t="s">
        <v>215</v>
      </c>
      <c r="E300" s="492" t="s">
        <v>1204</v>
      </c>
      <c r="F300" s="492" t="s">
        <v>132</v>
      </c>
      <c r="G300" s="497">
        <f>G301</f>
        <v>1603.7</v>
      </c>
      <c r="H300" s="497">
        <f>H301</f>
        <v>1603.7</v>
      </c>
      <c r="I300" s="204"/>
    </row>
    <row r="301" spans="1:9" ht="31.5" x14ac:dyDescent="0.25">
      <c r="A301" s="496" t="s">
        <v>133</v>
      </c>
      <c r="B301" s="490">
        <v>903</v>
      </c>
      <c r="C301" s="492" t="s">
        <v>264</v>
      </c>
      <c r="D301" s="492" t="s">
        <v>215</v>
      </c>
      <c r="E301" s="492" t="s">
        <v>1204</v>
      </c>
      <c r="F301" s="492" t="s">
        <v>134</v>
      </c>
      <c r="G301" s="497">
        <v>1603.7</v>
      </c>
      <c r="H301" s="497">
        <f t="shared" ref="H301:H365" si="22">G301</f>
        <v>1603.7</v>
      </c>
      <c r="I301" s="204"/>
    </row>
    <row r="302" spans="1:9" ht="15.75" x14ac:dyDescent="0.25">
      <c r="A302" s="496" t="s">
        <v>135</v>
      </c>
      <c r="B302" s="490">
        <v>903</v>
      </c>
      <c r="C302" s="492" t="s">
        <v>264</v>
      </c>
      <c r="D302" s="492" t="s">
        <v>215</v>
      </c>
      <c r="E302" s="492" t="s">
        <v>1204</v>
      </c>
      <c r="F302" s="492" t="s">
        <v>145</v>
      </c>
      <c r="G302" s="497">
        <f>G303</f>
        <v>78</v>
      </c>
      <c r="H302" s="497">
        <f>H303</f>
        <v>78</v>
      </c>
      <c r="I302" s="204"/>
    </row>
    <row r="303" spans="1:9" ht="15.75" x14ac:dyDescent="0.25">
      <c r="A303" s="496" t="s">
        <v>704</v>
      </c>
      <c r="B303" s="490">
        <v>903</v>
      </c>
      <c r="C303" s="492" t="s">
        <v>264</v>
      </c>
      <c r="D303" s="492" t="s">
        <v>215</v>
      </c>
      <c r="E303" s="492" t="s">
        <v>1204</v>
      </c>
      <c r="F303" s="492" t="s">
        <v>138</v>
      </c>
      <c r="G303" s="497">
        <f>78</f>
        <v>78</v>
      </c>
      <c r="H303" s="497">
        <f t="shared" si="22"/>
        <v>78</v>
      </c>
      <c r="I303" s="204"/>
    </row>
    <row r="304" spans="1:9" ht="31.5" x14ac:dyDescent="0.25">
      <c r="A304" s="216" t="s">
        <v>1302</v>
      </c>
      <c r="B304" s="491">
        <v>903</v>
      </c>
      <c r="C304" s="495" t="s">
        <v>264</v>
      </c>
      <c r="D304" s="495" t="s">
        <v>215</v>
      </c>
      <c r="E304" s="495" t="s">
        <v>1205</v>
      </c>
      <c r="F304" s="495"/>
      <c r="G304" s="44">
        <f>G305+G308</f>
        <v>1295</v>
      </c>
      <c r="H304" s="44">
        <f>H305+H308</f>
        <v>1295</v>
      </c>
      <c r="I304" s="204"/>
    </row>
    <row r="305" spans="1:9" ht="39.200000000000003" customHeight="1" x14ac:dyDescent="0.25">
      <c r="A305" s="195" t="s">
        <v>799</v>
      </c>
      <c r="B305" s="490">
        <v>903</v>
      </c>
      <c r="C305" s="492" t="s">
        <v>264</v>
      </c>
      <c r="D305" s="492" t="s">
        <v>215</v>
      </c>
      <c r="E305" s="492" t="s">
        <v>1206</v>
      </c>
      <c r="F305" s="492"/>
      <c r="G305" s="497">
        <f t="shared" ref="G305:H306" si="23">G306</f>
        <v>45</v>
      </c>
      <c r="H305" s="497">
        <f t="shared" si="23"/>
        <v>45</v>
      </c>
      <c r="I305" s="204"/>
    </row>
    <row r="306" spans="1:9" ht="20.25" customHeight="1" x14ac:dyDescent="0.25">
      <c r="A306" s="496" t="s">
        <v>248</v>
      </c>
      <c r="B306" s="490">
        <v>903</v>
      </c>
      <c r="C306" s="492" t="s">
        <v>264</v>
      </c>
      <c r="D306" s="492" t="s">
        <v>215</v>
      </c>
      <c r="E306" s="492" t="s">
        <v>1206</v>
      </c>
      <c r="F306" s="492" t="s">
        <v>249</v>
      </c>
      <c r="G306" s="497">
        <f t="shared" si="23"/>
        <v>45</v>
      </c>
      <c r="H306" s="497">
        <f t="shared" si="23"/>
        <v>45</v>
      </c>
      <c r="I306" s="204"/>
    </row>
    <row r="307" spans="1:9" ht="15.75" x14ac:dyDescent="0.25">
      <c r="A307" s="496" t="s">
        <v>820</v>
      </c>
      <c r="B307" s="490">
        <v>903</v>
      </c>
      <c r="C307" s="492" t="s">
        <v>264</v>
      </c>
      <c r="D307" s="492" t="s">
        <v>215</v>
      </c>
      <c r="E307" s="492" t="s">
        <v>1206</v>
      </c>
      <c r="F307" s="492" t="s">
        <v>819</v>
      </c>
      <c r="G307" s="497">
        <f>45</f>
        <v>45</v>
      </c>
      <c r="H307" s="497">
        <f t="shared" si="22"/>
        <v>45</v>
      </c>
      <c r="I307" s="204"/>
    </row>
    <row r="308" spans="1:9" ht="31.5" x14ac:dyDescent="0.25">
      <c r="A308" s="31" t="s">
        <v>816</v>
      </c>
      <c r="B308" s="490">
        <v>903</v>
      </c>
      <c r="C308" s="492" t="s">
        <v>264</v>
      </c>
      <c r="D308" s="492" t="s">
        <v>215</v>
      </c>
      <c r="E308" s="492" t="s">
        <v>1207</v>
      </c>
      <c r="F308" s="492"/>
      <c r="G308" s="497">
        <f t="shared" ref="G308:H309" si="24">G309</f>
        <v>1250</v>
      </c>
      <c r="H308" s="497">
        <f t="shared" si="24"/>
        <v>1250</v>
      </c>
      <c r="I308" s="204"/>
    </row>
    <row r="309" spans="1:9" ht="78.75" x14ac:dyDescent="0.25">
      <c r="A309" s="496" t="s">
        <v>127</v>
      </c>
      <c r="B309" s="490">
        <v>903</v>
      </c>
      <c r="C309" s="492" t="s">
        <v>264</v>
      </c>
      <c r="D309" s="492" t="s">
        <v>215</v>
      </c>
      <c r="E309" s="492" t="s">
        <v>1207</v>
      </c>
      <c r="F309" s="492" t="s">
        <v>128</v>
      </c>
      <c r="G309" s="497">
        <f t="shared" si="24"/>
        <v>1250</v>
      </c>
      <c r="H309" s="497">
        <f t="shared" si="24"/>
        <v>1250</v>
      </c>
      <c r="I309" s="204"/>
    </row>
    <row r="310" spans="1:9" ht="24" customHeight="1" x14ac:dyDescent="0.25">
      <c r="A310" s="46" t="s">
        <v>342</v>
      </c>
      <c r="B310" s="490">
        <v>903</v>
      </c>
      <c r="C310" s="492" t="s">
        <v>264</v>
      </c>
      <c r="D310" s="492" t="s">
        <v>215</v>
      </c>
      <c r="E310" s="492" t="s">
        <v>1207</v>
      </c>
      <c r="F310" s="492" t="s">
        <v>209</v>
      </c>
      <c r="G310" s="497">
        <f>250+1000</f>
        <v>1250</v>
      </c>
      <c r="H310" s="497">
        <f t="shared" si="22"/>
        <v>1250</v>
      </c>
      <c r="I310" s="204"/>
    </row>
    <row r="311" spans="1:9" ht="31.5" hidden="1" x14ac:dyDescent="0.25">
      <c r="A311" s="496" t="s">
        <v>131</v>
      </c>
      <c r="B311" s="490">
        <v>903</v>
      </c>
      <c r="C311" s="492" t="s">
        <v>264</v>
      </c>
      <c r="D311" s="492" t="s">
        <v>215</v>
      </c>
      <c r="E311" s="492" t="s">
        <v>887</v>
      </c>
      <c r="F311" s="492" t="s">
        <v>132</v>
      </c>
      <c r="G311" s="497">
        <f>'[1]Пр.5 ведом.21'!G299</f>
        <v>0</v>
      </c>
      <c r="H311" s="497">
        <f t="shared" si="22"/>
        <v>0</v>
      </c>
      <c r="I311" s="204"/>
    </row>
    <row r="312" spans="1:9" ht="31.5" hidden="1" x14ac:dyDescent="0.25">
      <c r="A312" s="496" t="s">
        <v>133</v>
      </c>
      <c r="B312" s="490">
        <v>903</v>
      </c>
      <c r="C312" s="492" t="s">
        <v>264</v>
      </c>
      <c r="D312" s="492" t="s">
        <v>215</v>
      </c>
      <c r="E312" s="492" t="s">
        <v>887</v>
      </c>
      <c r="F312" s="492" t="s">
        <v>134</v>
      </c>
      <c r="G312" s="497">
        <f>'[1]Пр.5 ведом.21'!G300</f>
        <v>0</v>
      </c>
      <c r="H312" s="497">
        <f t="shared" si="22"/>
        <v>0</v>
      </c>
      <c r="I312" s="204"/>
    </row>
    <row r="313" spans="1:9" ht="31.5" x14ac:dyDescent="0.25">
      <c r="A313" s="494" t="s">
        <v>947</v>
      </c>
      <c r="B313" s="491">
        <v>903</v>
      </c>
      <c r="C313" s="495" t="s">
        <v>264</v>
      </c>
      <c r="D313" s="495" t="s">
        <v>215</v>
      </c>
      <c r="E313" s="495" t="s">
        <v>1208</v>
      </c>
      <c r="F313" s="495"/>
      <c r="G313" s="44">
        <f t="shared" ref="G313:H315" si="25">G314</f>
        <v>506</v>
      </c>
      <c r="H313" s="44">
        <f t="shared" si="25"/>
        <v>506</v>
      </c>
      <c r="I313" s="204"/>
    </row>
    <row r="314" spans="1:9" ht="47.25" x14ac:dyDescent="0.25">
      <c r="A314" s="496" t="s">
        <v>839</v>
      </c>
      <c r="B314" s="490">
        <v>903</v>
      </c>
      <c r="C314" s="492" t="s">
        <v>264</v>
      </c>
      <c r="D314" s="492" t="s">
        <v>215</v>
      </c>
      <c r="E314" s="492" t="s">
        <v>1209</v>
      </c>
      <c r="F314" s="492"/>
      <c r="G314" s="497">
        <f t="shared" si="25"/>
        <v>506</v>
      </c>
      <c r="H314" s="497">
        <f t="shared" si="25"/>
        <v>506</v>
      </c>
      <c r="I314" s="204"/>
    </row>
    <row r="315" spans="1:9" ht="78.75" x14ac:dyDescent="0.25">
      <c r="A315" s="496" t="s">
        <v>127</v>
      </c>
      <c r="B315" s="490">
        <v>903</v>
      </c>
      <c r="C315" s="492" t="s">
        <v>264</v>
      </c>
      <c r="D315" s="492" t="s">
        <v>215</v>
      </c>
      <c r="E315" s="492" t="s">
        <v>1209</v>
      </c>
      <c r="F315" s="492" t="s">
        <v>128</v>
      </c>
      <c r="G315" s="497">
        <f t="shared" si="25"/>
        <v>506</v>
      </c>
      <c r="H315" s="497">
        <f t="shared" si="25"/>
        <v>506</v>
      </c>
      <c r="I315" s="204"/>
    </row>
    <row r="316" spans="1:9" ht="31.5" x14ac:dyDescent="0.25">
      <c r="A316" s="496" t="s">
        <v>342</v>
      </c>
      <c r="B316" s="490">
        <v>903</v>
      </c>
      <c r="C316" s="492" t="s">
        <v>264</v>
      </c>
      <c r="D316" s="492" t="s">
        <v>215</v>
      </c>
      <c r="E316" s="492" t="s">
        <v>1209</v>
      </c>
      <c r="F316" s="492" t="s">
        <v>209</v>
      </c>
      <c r="G316" s="497">
        <v>506</v>
      </c>
      <c r="H316" s="497">
        <f t="shared" si="22"/>
        <v>506</v>
      </c>
      <c r="I316" s="204"/>
    </row>
    <row r="317" spans="1:9" ht="47.25" x14ac:dyDescent="0.25">
      <c r="A317" s="494" t="s">
        <v>900</v>
      </c>
      <c r="B317" s="491">
        <v>903</v>
      </c>
      <c r="C317" s="495" t="s">
        <v>264</v>
      </c>
      <c r="D317" s="495" t="s">
        <v>215</v>
      </c>
      <c r="E317" s="495" t="s">
        <v>1210</v>
      </c>
      <c r="F317" s="495"/>
      <c r="G317" s="44">
        <f>G321+G324+G318</f>
        <v>1075.4000000000001</v>
      </c>
      <c r="H317" s="44">
        <f>H321+H324+H318</f>
        <v>1075.4000000000001</v>
      </c>
      <c r="I317" s="204"/>
    </row>
    <row r="318" spans="1:9" ht="94.5" x14ac:dyDescent="0.25">
      <c r="A318" s="31" t="s">
        <v>293</v>
      </c>
      <c r="B318" s="490">
        <v>903</v>
      </c>
      <c r="C318" s="492" t="s">
        <v>264</v>
      </c>
      <c r="D318" s="492" t="s">
        <v>215</v>
      </c>
      <c r="E318" s="492" t="s">
        <v>1403</v>
      </c>
      <c r="F318" s="492"/>
      <c r="G318" s="497">
        <f>G319</f>
        <v>671</v>
      </c>
      <c r="H318" s="497">
        <f>H319</f>
        <v>671</v>
      </c>
      <c r="I318" s="204"/>
    </row>
    <row r="319" spans="1:9" ht="78.75" x14ac:dyDescent="0.25">
      <c r="A319" s="496" t="s">
        <v>127</v>
      </c>
      <c r="B319" s="490">
        <v>903</v>
      </c>
      <c r="C319" s="492" t="s">
        <v>264</v>
      </c>
      <c r="D319" s="492" t="s">
        <v>215</v>
      </c>
      <c r="E319" s="492" t="s">
        <v>1403</v>
      </c>
      <c r="F319" s="492" t="s">
        <v>128</v>
      </c>
      <c r="G319" s="497">
        <f>G320</f>
        <v>671</v>
      </c>
      <c r="H319" s="497">
        <f>H320</f>
        <v>671</v>
      </c>
      <c r="I319" s="204"/>
    </row>
    <row r="320" spans="1:9" ht="31.5" x14ac:dyDescent="0.25">
      <c r="A320" s="46" t="s">
        <v>342</v>
      </c>
      <c r="B320" s="490">
        <v>903</v>
      </c>
      <c r="C320" s="492" t="s">
        <v>264</v>
      </c>
      <c r="D320" s="492" t="s">
        <v>215</v>
      </c>
      <c r="E320" s="492" t="s">
        <v>1403</v>
      </c>
      <c r="F320" s="492" t="s">
        <v>209</v>
      </c>
      <c r="G320" s="497">
        <v>671</v>
      </c>
      <c r="H320" s="497">
        <f>G320</f>
        <v>671</v>
      </c>
      <c r="I320" s="204"/>
    </row>
    <row r="321" spans="1:9" ht="63" x14ac:dyDescent="0.25">
      <c r="A321" s="31" t="s">
        <v>289</v>
      </c>
      <c r="B321" s="490">
        <v>903</v>
      </c>
      <c r="C321" s="492" t="s">
        <v>264</v>
      </c>
      <c r="D321" s="492" t="s">
        <v>215</v>
      </c>
      <c r="E321" s="492" t="s">
        <v>1211</v>
      </c>
      <c r="F321" s="492"/>
      <c r="G321" s="497">
        <f>G322</f>
        <v>106</v>
      </c>
      <c r="H321" s="497">
        <f>H322</f>
        <v>106</v>
      </c>
      <c r="I321" s="204"/>
    </row>
    <row r="322" spans="1:9" ht="78.75" x14ac:dyDescent="0.25">
      <c r="A322" s="496" t="s">
        <v>127</v>
      </c>
      <c r="B322" s="490">
        <v>903</v>
      </c>
      <c r="C322" s="492" t="s">
        <v>264</v>
      </c>
      <c r="D322" s="492" t="s">
        <v>215</v>
      </c>
      <c r="E322" s="492" t="s">
        <v>1211</v>
      </c>
      <c r="F322" s="492" t="s">
        <v>128</v>
      </c>
      <c r="G322" s="497">
        <f>G323</f>
        <v>106</v>
      </c>
      <c r="H322" s="497">
        <f>H323</f>
        <v>106</v>
      </c>
      <c r="I322" s="204"/>
    </row>
    <row r="323" spans="1:9" ht="31.5" x14ac:dyDescent="0.25">
      <c r="A323" s="46" t="s">
        <v>342</v>
      </c>
      <c r="B323" s="490">
        <v>903</v>
      </c>
      <c r="C323" s="492" t="s">
        <v>264</v>
      </c>
      <c r="D323" s="492" t="s">
        <v>215</v>
      </c>
      <c r="E323" s="492" t="s">
        <v>1211</v>
      </c>
      <c r="F323" s="492" t="s">
        <v>209</v>
      </c>
      <c r="G323" s="497">
        <v>106</v>
      </c>
      <c r="H323" s="497">
        <f t="shared" si="22"/>
        <v>106</v>
      </c>
      <c r="I323" s="204"/>
    </row>
    <row r="324" spans="1:9" ht="63" x14ac:dyDescent="0.25">
      <c r="A324" s="31" t="s">
        <v>291</v>
      </c>
      <c r="B324" s="490">
        <v>903</v>
      </c>
      <c r="C324" s="492" t="s">
        <v>264</v>
      </c>
      <c r="D324" s="492" t="s">
        <v>215</v>
      </c>
      <c r="E324" s="492" t="s">
        <v>1212</v>
      </c>
      <c r="F324" s="492"/>
      <c r="G324" s="497">
        <f>G325</f>
        <v>298.39999999999998</v>
      </c>
      <c r="H324" s="497">
        <f t="shared" si="22"/>
        <v>298.39999999999998</v>
      </c>
      <c r="I324" s="204"/>
    </row>
    <row r="325" spans="1:9" ht="78.75" x14ac:dyDescent="0.25">
      <c r="A325" s="496" t="s">
        <v>127</v>
      </c>
      <c r="B325" s="490">
        <v>903</v>
      </c>
      <c r="C325" s="492" t="s">
        <v>264</v>
      </c>
      <c r="D325" s="492" t="s">
        <v>215</v>
      </c>
      <c r="E325" s="492" t="s">
        <v>1212</v>
      </c>
      <c r="F325" s="492" t="s">
        <v>128</v>
      </c>
      <c r="G325" s="497">
        <f>G326</f>
        <v>298.39999999999998</v>
      </c>
      <c r="H325" s="497">
        <f>H326</f>
        <v>298.39999999999998</v>
      </c>
      <c r="I325" s="204"/>
    </row>
    <row r="326" spans="1:9" ht="31.5" x14ac:dyDescent="0.25">
      <c r="A326" s="46" t="s">
        <v>342</v>
      </c>
      <c r="B326" s="490">
        <v>903</v>
      </c>
      <c r="C326" s="492" t="s">
        <v>264</v>
      </c>
      <c r="D326" s="492" t="s">
        <v>215</v>
      </c>
      <c r="E326" s="492" t="s">
        <v>1212</v>
      </c>
      <c r="F326" s="492" t="s">
        <v>209</v>
      </c>
      <c r="G326" s="497">
        <f>298.4</f>
        <v>298.39999999999998</v>
      </c>
      <c r="H326" s="497">
        <f t="shared" si="22"/>
        <v>298.39999999999998</v>
      </c>
      <c r="I326" s="204"/>
    </row>
    <row r="327" spans="1:9" ht="47.25" x14ac:dyDescent="0.25">
      <c r="A327" s="34" t="s">
        <v>1220</v>
      </c>
      <c r="B327" s="491">
        <v>903</v>
      </c>
      <c r="C327" s="495" t="s">
        <v>264</v>
      </c>
      <c r="D327" s="495" t="s">
        <v>215</v>
      </c>
      <c r="E327" s="495" t="s">
        <v>324</v>
      </c>
      <c r="F327" s="495"/>
      <c r="G327" s="493">
        <f>G329</f>
        <v>6</v>
      </c>
      <c r="H327" s="493">
        <f>H329</f>
        <v>0</v>
      </c>
      <c r="I327" s="204"/>
    </row>
    <row r="328" spans="1:9" ht="63" x14ac:dyDescent="0.25">
      <c r="A328" s="34" t="s">
        <v>1025</v>
      </c>
      <c r="B328" s="491">
        <v>903</v>
      </c>
      <c r="C328" s="495" t="s">
        <v>264</v>
      </c>
      <c r="D328" s="495" t="s">
        <v>215</v>
      </c>
      <c r="E328" s="495" t="s">
        <v>934</v>
      </c>
      <c r="F328" s="495"/>
      <c r="G328" s="493">
        <f>G331</f>
        <v>6</v>
      </c>
      <c r="H328" s="493">
        <f>H331</f>
        <v>0</v>
      </c>
      <c r="I328" s="204"/>
    </row>
    <row r="329" spans="1:9" ht="47.25" x14ac:dyDescent="0.25">
      <c r="A329" s="31" t="s">
        <v>1080</v>
      </c>
      <c r="B329" s="490">
        <v>903</v>
      </c>
      <c r="C329" s="492" t="s">
        <v>264</v>
      </c>
      <c r="D329" s="492" t="s">
        <v>215</v>
      </c>
      <c r="E329" s="492" t="s">
        <v>1026</v>
      </c>
      <c r="F329" s="492"/>
      <c r="G329" s="497">
        <f>G330</f>
        <v>6</v>
      </c>
      <c r="H329" s="497">
        <f>H330</f>
        <v>0</v>
      </c>
      <c r="I329" s="204"/>
    </row>
    <row r="330" spans="1:9" ht="31.5" x14ac:dyDescent="0.25">
      <c r="A330" s="496" t="s">
        <v>131</v>
      </c>
      <c r="B330" s="490">
        <v>903</v>
      </c>
      <c r="C330" s="492" t="s">
        <v>264</v>
      </c>
      <c r="D330" s="492" t="s">
        <v>215</v>
      </c>
      <c r="E330" s="492" t="s">
        <v>1026</v>
      </c>
      <c r="F330" s="492" t="s">
        <v>132</v>
      </c>
      <c r="G330" s="497">
        <f>G331</f>
        <v>6</v>
      </c>
      <c r="H330" s="497">
        <f>H331</f>
        <v>0</v>
      </c>
      <c r="I330" s="204"/>
    </row>
    <row r="331" spans="1:9" ht="31.5" x14ac:dyDescent="0.25">
      <c r="A331" s="496" t="s">
        <v>133</v>
      </c>
      <c r="B331" s="490">
        <v>903</v>
      </c>
      <c r="C331" s="492" t="s">
        <v>264</v>
      </c>
      <c r="D331" s="492" t="s">
        <v>215</v>
      </c>
      <c r="E331" s="492" t="s">
        <v>1026</v>
      </c>
      <c r="F331" s="492" t="s">
        <v>134</v>
      </c>
      <c r="G331" s="497">
        <v>6</v>
      </c>
      <c r="H331" s="497">
        <v>0</v>
      </c>
      <c r="I331" s="204"/>
    </row>
    <row r="332" spans="1:9" ht="47.25" x14ac:dyDescent="0.25">
      <c r="A332" s="500" t="s">
        <v>1352</v>
      </c>
      <c r="B332" s="491">
        <v>903</v>
      </c>
      <c r="C332" s="495" t="s">
        <v>264</v>
      </c>
      <c r="D332" s="495" t="s">
        <v>215</v>
      </c>
      <c r="E332" s="495" t="s">
        <v>705</v>
      </c>
      <c r="F332" s="495"/>
      <c r="G332" s="493">
        <f>G334</f>
        <v>490.2</v>
      </c>
      <c r="H332" s="493">
        <f>H334</f>
        <v>509.8</v>
      </c>
      <c r="I332" s="204"/>
    </row>
    <row r="333" spans="1:9" ht="47.25" x14ac:dyDescent="0.25">
      <c r="A333" s="500" t="s">
        <v>890</v>
      </c>
      <c r="B333" s="491">
        <v>903</v>
      </c>
      <c r="C333" s="495" t="s">
        <v>264</v>
      </c>
      <c r="D333" s="495" t="s">
        <v>215</v>
      </c>
      <c r="E333" s="495" t="s">
        <v>888</v>
      </c>
      <c r="F333" s="495"/>
      <c r="G333" s="493">
        <f t="shared" ref="G333:H335" si="26">G334</f>
        <v>490.2</v>
      </c>
      <c r="H333" s="493">
        <f t="shared" si="26"/>
        <v>509.8</v>
      </c>
      <c r="I333" s="204"/>
    </row>
    <row r="334" spans="1:9" ht="47.25" x14ac:dyDescent="0.25">
      <c r="A334" s="98" t="s">
        <v>1004</v>
      </c>
      <c r="B334" s="492" t="s">
        <v>627</v>
      </c>
      <c r="C334" s="492" t="s">
        <v>264</v>
      </c>
      <c r="D334" s="492" t="s">
        <v>215</v>
      </c>
      <c r="E334" s="492" t="s">
        <v>889</v>
      </c>
      <c r="F334" s="498"/>
      <c r="G334" s="497">
        <f t="shared" si="26"/>
        <v>490.2</v>
      </c>
      <c r="H334" s="497">
        <f t="shared" si="26"/>
        <v>509.8</v>
      </c>
      <c r="I334" s="204"/>
    </row>
    <row r="335" spans="1:9" ht="31.5" x14ac:dyDescent="0.25">
      <c r="A335" s="496" t="s">
        <v>131</v>
      </c>
      <c r="B335" s="490">
        <v>903</v>
      </c>
      <c r="C335" s="492" t="s">
        <v>264</v>
      </c>
      <c r="D335" s="492" t="s">
        <v>215</v>
      </c>
      <c r="E335" s="492" t="s">
        <v>889</v>
      </c>
      <c r="F335" s="498" t="s">
        <v>132</v>
      </c>
      <c r="G335" s="497">
        <f t="shared" si="26"/>
        <v>490.2</v>
      </c>
      <c r="H335" s="497">
        <f t="shared" si="26"/>
        <v>509.8</v>
      </c>
      <c r="I335" s="204"/>
    </row>
    <row r="336" spans="1:9" ht="31.5" x14ac:dyDescent="0.25">
      <c r="A336" s="496" t="s">
        <v>133</v>
      </c>
      <c r="B336" s="490">
        <v>903</v>
      </c>
      <c r="C336" s="492" t="s">
        <v>264</v>
      </c>
      <c r="D336" s="492" t="s">
        <v>215</v>
      </c>
      <c r="E336" s="492" t="s">
        <v>889</v>
      </c>
      <c r="F336" s="498" t="s">
        <v>134</v>
      </c>
      <c r="G336" s="497">
        <v>490.2</v>
      </c>
      <c r="H336" s="497">
        <v>509.8</v>
      </c>
      <c r="I336" s="204"/>
    </row>
    <row r="337" spans="1:9" ht="15.75" x14ac:dyDescent="0.25">
      <c r="A337" s="494" t="s">
        <v>466</v>
      </c>
      <c r="B337" s="491">
        <v>903</v>
      </c>
      <c r="C337" s="495" t="s">
        <v>264</v>
      </c>
      <c r="D337" s="495" t="s">
        <v>264</v>
      </c>
      <c r="E337" s="492"/>
      <c r="F337" s="492"/>
      <c r="G337" s="493">
        <f>G338</f>
        <v>760</v>
      </c>
      <c r="H337" s="493">
        <f>H338</f>
        <v>825</v>
      </c>
      <c r="I337" s="204"/>
    </row>
    <row r="338" spans="1:9" ht="47.25" x14ac:dyDescent="0.25">
      <c r="A338" s="494" t="s">
        <v>1366</v>
      </c>
      <c r="B338" s="491">
        <v>903</v>
      </c>
      <c r="C338" s="495" t="s">
        <v>264</v>
      </c>
      <c r="D338" s="495" t="s">
        <v>264</v>
      </c>
      <c r="E338" s="495" t="s">
        <v>344</v>
      </c>
      <c r="F338" s="495"/>
      <c r="G338" s="493">
        <f>G339</f>
        <v>760</v>
      </c>
      <c r="H338" s="493">
        <f>H339</f>
        <v>825</v>
      </c>
      <c r="I338" s="204"/>
    </row>
    <row r="339" spans="1:9" ht="31.5" x14ac:dyDescent="0.25">
      <c r="A339" s="494" t="s">
        <v>345</v>
      </c>
      <c r="B339" s="491">
        <v>903</v>
      </c>
      <c r="C339" s="495" t="s">
        <v>264</v>
      </c>
      <c r="D339" s="495" t="s">
        <v>264</v>
      </c>
      <c r="E339" s="495" t="s">
        <v>346</v>
      </c>
      <c r="F339" s="495"/>
      <c r="G339" s="493">
        <f>G340+G347+G353</f>
        <v>760</v>
      </c>
      <c r="H339" s="493">
        <f>H340+H347+H353</f>
        <v>825</v>
      </c>
      <c r="I339" s="204"/>
    </row>
    <row r="340" spans="1:9" ht="47.25" x14ac:dyDescent="0.25">
      <c r="A340" s="211" t="s">
        <v>1029</v>
      </c>
      <c r="B340" s="491">
        <v>903</v>
      </c>
      <c r="C340" s="495" t="s">
        <v>264</v>
      </c>
      <c r="D340" s="495" t="s">
        <v>264</v>
      </c>
      <c r="E340" s="495" t="s">
        <v>892</v>
      </c>
      <c r="F340" s="495"/>
      <c r="G340" s="493">
        <f>G341+G344</f>
        <v>280</v>
      </c>
      <c r="H340" s="493">
        <f>H341+H344</f>
        <v>280</v>
      </c>
      <c r="I340" s="204"/>
    </row>
    <row r="341" spans="1:9" ht="31.5" x14ac:dyDescent="0.25">
      <c r="A341" s="98" t="s">
        <v>1035</v>
      </c>
      <c r="B341" s="490">
        <v>903</v>
      </c>
      <c r="C341" s="492" t="s">
        <v>264</v>
      </c>
      <c r="D341" s="492" t="s">
        <v>264</v>
      </c>
      <c r="E341" s="492" t="s">
        <v>893</v>
      </c>
      <c r="F341" s="492"/>
      <c r="G341" s="497">
        <f>G342</f>
        <v>280</v>
      </c>
      <c r="H341" s="497">
        <f>H342</f>
        <v>280</v>
      </c>
      <c r="I341" s="204"/>
    </row>
    <row r="342" spans="1:9" ht="78.75" x14ac:dyDescent="0.25">
      <c r="A342" s="496" t="s">
        <v>127</v>
      </c>
      <c r="B342" s="490">
        <v>903</v>
      </c>
      <c r="C342" s="492" t="s">
        <v>264</v>
      </c>
      <c r="D342" s="492" t="s">
        <v>264</v>
      </c>
      <c r="E342" s="492" t="s">
        <v>893</v>
      </c>
      <c r="F342" s="492" t="s">
        <v>128</v>
      </c>
      <c r="G342" s="497">
        <f>G343</f>
        <v>280</v>
      </c>
      <c r="H342" s="497">
        <f>H343</f>
        <v>280</v>
      </c>
      <c r="I342" s="204"/>
    </row>
    <row r="343" spans="1:9" ht="31.5" x14ac:dyDescent="0.25">
      <c r="A343" s="496" t="s">
        <v>342</v>
      </c>
      <c r="B343" s="490">
        <v>903</v>
      </c>
      <c r="C343" s="492" t="s">
        <v>264</v>
      </c>
      <c r="D343" s="492" t="s">
        <v>264</v>
      </c>
      <c r="E343" s="492" t="s">
        <v>893</v>
      </c>
      <c r="F343" s="492" t="s">
        <v>209</v>
      </c>
      <c r="G343" s="497">
        <f>280</f>
        <v>280</v>
      </c>
      <c r="H343" s="497">
        <f t="shared" si="22"/>
        <v>280</v>
      </c>
      <c r="I343" s="204"/>
    </row>
    <row r="344" spans="1:9" ht="31.5" hidden="1" x14ac:dyDescent="0.25">
      <c r="A344" s="496" t="s">
        <v>1030</v>
      </c>
      <c r="B344" s="490">
        <v>903</v>
      </c>
      <c r="C344" s="492" t="s">
        <v>264</v>
      </c>
      <c r="D344" s="492" t="s">
        <v>264</v>
      </c>
      <c r="E344" s="492" t="s">
        <v>1046</v>
      </c>
      <c r="F344" s="492"/>
      <c r="G344" s="497">
        <f>'[1]Пр.5 ведом.21'!G332</f>
        <v>0</v>
      </c>
      <c r="H344" s="497">
        <f t="shared" si="22"/>
        <v>0</v>
      </c>
      <c r="I344" s="204"/>
    </row>
    <row r="345" spans="1:9" ht="31.5" hidden="1" x14ac:dyDescent="0.25">
      <c r="A345" s="496" t="s">
        <v>131</v>
      </c>
      <c r="B345" s="490">
        <v>903</v>
      </c>
      <c r="C345" s="492" t="s">
        <v>264</v>
      </c>
      <c r="D345" s="492" t="s">
        <v>264</v>
      </c>
      <c r="E345" s="492" t="s">
        <v>1046</v>
      </c>
      <c r="F345" s="492" t="s">
        <v>132</v>
      </c>
      <c r="G345" s="497">
        <f>'[1]Пр.5 ведом.21'!G333</f>
        <v>0</v>
      </c>
      <c r="H345" s="497">
        <f t="shared" si="22"/>
        <v>0</v>
      </c>
      <c r="I345" s="204"/>
    </row>
    <row r="346" spans="1:9" ht="31.5" hidden="1" x14ac:dyDescent="0.25">
      <c r="A346" s="496" t="s">
        <v>133</v>
      </c>
      <c r="B346" s="490">
        <v>903</v>
      </c>
      <c r="C346" s="492" t="s">
        <v>264</v>
      </c>
      <c r="D346" s="492" t="s">
        <v>264</v>
      </c>
      <c r="E346" s="492" t="s">
        <v>1046</v>
      </c>
      <c r="F346" s="492" t="s">
        <v>134</v>
      </c>
      <c r="G346" s="497">
        <f>'[1]Пр.5 ведом.21'!G334</f>
        <v>0</v>
      </c>
      <c r="H346" s="497">
        <f t="shared" si="22"/>
        <v>0</v>
      </c>
      <c r="I346" s="204"/>
    </row>
    <row r="347" spans="1:9" ht="63" x14ac:dyDescent="0.25">
      <c r="A347" s="494" t="s">
        <v>1031</v>
      </c>
      <c r="B347" s="491">
        <v>903</v>
      </c>
      <c r="C347" s="495" t="s">
        <v>264</v>
      </c>
      <c r="D347" s="495" t="s">
        <v>264</v>
      </c>
      <c r="E347" s="495" t="s">
        <v>894</v>
      </c>
      <c r="F347" s="495"/>
      <c r="G347" s="493">
        <f>G348</f>
        <v>455</v>
      </c>
      <c r="H347" s="493">
        <f>H348</f>
        <v>520</v>
      </c>
      <c r="I347" s="204"/>
    </row>
    <row r="348" spans="1:9" ht="15.75" x14ac:dyDescent="0.25">
      <c r="A348" s="496" t="s">
        <v>1032</v>
      </c>
      <c r="B348" s="490">
        <v>903</v>
      </c>
      <c r="C348" s="492" t="s">
        <v>264</v>
      </c>
      <c r="D348" s="492" t="s">
        <v>264</v>
      </c>
      <c r="E348" s="492" t="s">
        <v>901</v>
      </c>
      <c r="F348" s="492"/>
      <c r="G348" s="497">
        <f>G349+G351</f>
        <v>455</v>
      </c>
      <c r="H348" s="497">
        <f>H349+H351</f>
        <v>520</v>
      </c>
      <c r="I348" s="204"/>
    </row>
    <row r="349" spans="1:9" ht="78.75" x14ac:dyDescent="0.25">
      <c r="A349" s="496" t="s">
        <v>127</v>
      </c>
      <c r="B349" s="490">
        <v>903</v>
      </c>
      <c r="C349" s="492" t="s">
        <v>264</v>
      </c>
      <c r="D349" s="492" t="s">
        <v>264</v>
      </c>
      <c r="E349" s="492" t="s">
        <v>901</v>
      </c>
      <c r="F349" s="492" t="s">
        <v>128</v>
      </c>
      <c r="G349" s="497">
        <f>G350</f>
        <v>40</v>
      </c>
      <c r="H349" s="497">
        <f>H350</f>
        <v>40</v>
      </c>
      <c r="I349" s="204"/>
    </row>
    <row r="350" spans="1:9" ht="31.5" x14ac:dyDescent="0.25">
      <c r="A350" s="496" t="s">
        <v>342</v>
      </c>
      <c r="B350" s="490">
        <v>903</v>
      </c>
      <c r="C350" s="492" t="s">
        <v>264</v>
      </c>
      <c r="D350" s="492" t="s">
        <v>264</v>
      </c>
      <c r="E350" s="492" t="s">
        <v>901</v>
      </c>
      <c r="F350" s="492" t="s">
        <v>209</v>
      </c>
      <c r="G350" s="497">
        <f>40</f>
        <v>40</v>
      </c>
      <c r="H350" s="497">
        <f t="shared" si="22"/>
        <v>40</v>
      </c>
      <c r="I350" s="204"/>
    </row>
    <row r="351" spans="1:9" ht="31.5" x14ac:dyDescent="0.25">
      <c r="A351" s="496" t="s">
        <v>131</v>
      </c>
      <c r="B351" s="490">
        <v>903</v>
      </c>
      <c r="C351" s="492" t="s">
        <v>264</v>
      </c>
      <c r="D351" s="492" t="s">
        <v>264</v>
      </c>
      <c r="E351" s="492" t="s">
        <v>901</v>
      </c>
      <c r="F351" s="492" t="s">
        <v>132</v>
      </c>
      <c r="G351" s="497">
        <f>G352</f>
        <v>415</v>
      </c>
      <c r="H351" s="497">
        <f>H352</f>
        <v>480</v>
      </c>
      <c r="I351" s="204"/>
    </row>
    <row r="352" spans="1:9" ht="31.5" x14ac:dyDescent="0.25">
      <c r="A352" s="496" t="s">
        <v>133</v>
      </c>
      <c r="B352" s="490">
        <v>903</v>
      </c>
      <c r="C352" s="492" t="s">
        <v>264</v>
      </c>
      <c r="D352" s="492" t="s">
        <v>264</v>
      </c>
      <c r="E352" s="492" t="s">
        <v>901</v>
      </c>
      <c r="F352" s="492" t="s">
        <v>134</v>
      </c>
      <c r="G352" s="497">
        <f>415</f>
        <v>415</v>
      </c>
      <c r="H352" s="497">
        <v>480</v>
      </c>
      <c r="I352" s="204"/>
    </row>
    <row r="353" spans="1:13" ht="31.5" x14ac:dyDescent="0.25">
      <c r="A353" s="494" t="s">
        <v>1037</v>
      </c>
      <c r="B353" s="491">
        <v>903</v>
      </c>
      <c r="C353" s="495" t="s">
        <v>264</v>
      </c>
      <c r="D353" s="495" t="s">
        <v>264</v>
      </c>
      <c r="E353" s="495" t="s">
        <v>1033</v>
      </c>
      <c r="F353" s="495"/>
      <c r="G353" s="493">
        <f t="shared" ref="G353:H355" si="27">G354</f>
        <v>25</v>
      </c>
      <c r="H353" s="493">
        <f t="shared" si="27"/>
        <v>25</v>
      </c>
      <c r="I353" s="204"/>
    </row>
    <row r="354" spans="1:13" ht="47.25" x14ac:dyDescent="0.25">
      <c r="A354" s="231" t="s">
        <v>1034</v>
      </c>
      <c r="B354" s="490">
        <v>903</v>
      </c>
      <c r="C354" s="492" t="s">
        <v>264</v>
      </c>
      <c r="D354" s="492" t="s">
        <v>264</v>
      </c>
      <c r="E354" s="492" t="s">
        <v>1047</v>
      </c>
      <c r="F354" s="492"/>
      <c r="G354" s="497">
        <f t="shared" si="27"/>
        <v>25</v>
      </c>
      <c r="H354" s="497">
        <f t="shared" si="27"/>
        <v>25</v>
      </c>
      <c r="I354" s="204"/>
    </row>
    <row r="355" spans="1:13" ht="31.5" x14ac:dyDescent="0.25">
      <c r="A355" s="496" t="s">
        <v>248</v>
      </c>
      <c r="B355" s="490">
        <v>903</v>
      </c>
      <c r="C355" s="492" t="s">
        <v>264</v>
      </c>
      <c r="D355" s="492" t="s">
        <v>264</v>
      </c>
      <c r="E355" s="492" t="s">
        <v>1047</v>
      </c>
      <c r="F355" s="492" t="s">
        <v>249</v>
      </c>
      <c r="G355" s="497">
        <f t="shared" si="27"/>
        <v>25</v>
      </c>
      <c r="H355" s="497">
        <f t="shared" si="27"/>
        <v>25</v>
      </c>
      <c r="I355" s="204"/>
    </row>
    <row r="356" spans="1:13" ht="31.5" x14ac:dyDescent="0.25">
      <c r="A356" s="496" t="s">
        <v>1196</v>
      </c>
      <c r="B356" s="490">
        <v>903</v>
      </c>
      <c r="C356" s="492" t="s">
        <v>264</v>
      </c>
      <c r="D356" s="492" t="s">
        <v>264</v>
      </c>
      <c r="E356" s="492" t="s">
        <v>1047</v>
      </c>
      <c r="F356" s="492" t="s">
        <v>1195</v>
      </c>
      <c r="G356" s="497">
        <f>25</f>
        <v>25</v>
      </c>
      <c r="H356" s="497">
        <f t="shared" si="22"/>
        <v>25</v>
      </c>
      <c r="I356" s="204"/>
    </row>
    <row r="357" spans="1:13" ht="15.75" x14ac:dyDescent="0.25">
      <c r="A357" s="494" t="s">
        <v>298</v>
      </c>
      <c r="B357" s="491">
        <v>903</v>
      </c>
      <c r="C357" s="495" t="s">
        <v>299</v>
      </c>
      <c r="D357" s="495"/>
      <c r="E357" s="495"/>
      <c r="F357" s="495"/>
      <c r="G357" s="493">
        <f>G358+G411</f>
        <v>76411.28</v>
      </c>
      <c r="H357" s="493">
        <f>H358+H411</f>
        <v>77665.48</v>
      </c>
      <c r="I357" s="204"/>
    </row>
    <row r="358" spans="1:13" ht="15.75" x14ac:dyDescent="0.25">
      <c r="A358" s="494" t="s">
        <v>300</v>
      </c>
      <c r="B358" s="491">
        <v>903</v>
      </c>
      <c r="C358" s="495" t="s">
        <v>299</v>
      </c>
      <c r="D358" s="495" t="s">
        <v>118</v>
      </c>
      <c r="E358" s="495"/>
      <c r="F358" s="495"/>
      <c r="G358" s="493">
        <f>G359+G406+G401</f>
        <v>57844.87999999999</v>
      </c>
      <c r="H358" s="493">
        <f>H359+H406+H401</f>
        <v>59070.079999999994</v>
      </c>
      <c r="I358" s="204"/>
    </row>
    <row r="359" spans="1:13" ht="39.200000000000003" customHeight="1" x14ac:dyDescent="0.25">
      <c r="A359" s="494" t="s">
        <v>1367</v>
      </c>
      <c r="B359" s="491">
        <v>903</v>
      </c>
      <c r="C359" s="495" t="s">
        <v>299</v>
      </c>
      <c r="D359" s="495" t="s">
        <v>118</v>
      </c>
      <c r="E359" s="495" t="s">
        <v>267</v>
      </c>
      <c r="F359" s="495"/>
      <c r="G359" s="493">
        <f>G360+G368+G374+G378+G385+G393+G389+G397</f>
        <v>56956.179999999993</v>
      </c>
      <c r="H359" s="493">
        <f>H360+H368+H374+H378+H385+H393+H389+H397</f>
        <v>58156.179999999993</v>
      </c>
      <c r="I359" s="204"/>
    </row>
    <row r="360" spans="1:13" ht="33.75" customHeight="1" x14ac:dyDescent="0.25">
      <c r="A360" s="494" t="s">
        <v>895</v>
      </c>
      <c r="B360" s="491">
        <v>903</v>
      </c>
      <c r="C360" s="495" t="s">
        <v>299</v>
      </c>
      <c r="D360" s="495" t="s">
        <v>118</v>
      </c>
      <c r="E360" s="495" t="s">
        <v>1203</v>
      </c>
      <c r="F360" s="495"/>
      <c r="G360" s="493">
        <f>G361</f>
        <v>51840.479999999996</v>
      </c>
      <c r="H360" s="493">
        <f>H361</f>
        <v>51840.479999999996</v>
      </c>
      <c r="I360" s="204"/>
    </row>
    <row r="361" spans="1:13" ht="15.75" x14ac:dyDescent="0.25">
      <c r="A361" s="496" t="s">
        <v>800</v>
      </c>
      <c r="B361" s="490">
        <v>903</v>
      </c>
      <c r="C361" s="492" t="s">
        <v>299</v>
      </c>
      <c r="D361" s="492" t="s">
        <v>118</v>
      </c>
      <c r="E361" s="492" t="s">
        <v>1204</v>
      </c>
      <c r="F361" s="492"/>
      <c r="G361" s="497">
        <f>G362+G364+G366</f>
        <v>51840.479999999996</v>
      </c>
      <c r="H361" s="497">
        <f>H362+H364+H366</f>
        <v>51840.479999999996</v>
      </c>
      <c r="I361" s="204"/>
      <c r="M361" s="487">
        <v>51840.58</v>
      </c>
    </row>
    <row r="362" spans="1:13" ht="78.75" x14ac:dyDescent="0.25">
      <c r="A362" s="496" t="s">
        <v>127</v>
      </c>
      <c r="B362" s="490">
        <v>903</v>
      </c>
      <c r="C362" s="492" t="s">
        <v>299</v>
      </c>
      <c r="D362" s="492" t="s">
        <v>118</v>
      </c>
      <c r="E362" s="492" t="s">
        <v>1204</v>
      </c>
      <c r="F362" s="492" t="s">
        <v>128</v>
      </c>
      <c r="G362" s="497">
        <f>G363</f>
        <v>43271.28</v>
      </c>
      <c r="H362" s="497">
        <f>H363</f>
        <v>43271.28</v>
      </c>
      <c r="I362" s="204"/>
    </row>
    <row r="363" spans="1:13" ht="15.75" x14ac:dyDescent="0.25">
      <c r="A363" s="496" t="s">
        <v>208</v>
      </c>
      <c r="B363" s="490">
        <v>903</v>
      </c>
      <c r="C363" s="492" t="s">
        <v>299</v>
      </c>
      <c r="D363" s="492" t="s">
        <v>118</v>
      </c>
      <c r="E363" s="492" t="s">
        <v>1204</v>
      </c>
      <c r="F363" s="492" t="s">
        <v>209</v>
      </c>
      <c r="G363" s="497">
        <v>43271.28</v>
      </c>
      <c r="H363" s="497">
        <f t="shared" si="22"/>
        <v>43271.28</v>
      </c>
      <c r="I363" s="204"/>
    </row>
    <row r="364" spans="1:13" ht="31.5" x14ac:dyDescent="0.25">
      <c r="A364" s="496" t="s">
        <v>131</v>
      </c>
      <c r="B364" s="490">
        <v>903</v>
      </c>
      <c r="C364" s="492" t="s">
        <v>299</v>
      </c>
      <c r="D364" s="492" t="s">
        <v>118</v>
      </c>
      <c r="E364" s="492" t="s">
        <v>1204</v>
      </c>
      <c r="F364" s="492" t="s">
        <v>132</v>
      </c>
      <c r="G364" s="497">
        <f>G365</f>
        <v>8506.2000000000007</v>
      </c>
      <c r="H364" s="497">
        <f>H365</f>
        <v>8506.2000000000007</v>
      </c>
      <c r="I364" s="204"/>
    </row>
    <row r="365" spans="1:13" ht="29.85" customHeight="1" x14ac:dyDescent="0.25">
      <c r="A365" s="496" t="s">
        <v>133</v>
      </c>
      <c r="B365" s="490">
        <v>903</v>
      </c>
      <c r="C365" s="492" t="s">
        <v>299</v>
      </c>
      <c r="D365" s="492" t="s">
        <v>118</v>
      </c>
      <c r="E365" s="492" t="s">
        <v>1204</v>
      </c>
      <c r="F365" s="492" t="s">
        <v>134</v>
      </c>
      <c r="G365" s="497">
        <v>8506.2000000000007</v>
      </c>
      <c r="H365" s="497">
        <f t="shared" si="22"/>
        <v>8506.2000000000007</v>
      </c>
      <c r="I365" s="204"/>
    </row>
    <row r="366" spans="1:13" ht="15.75" x14ac:dyDescent="0.25">
      <c r="A366" s="496" t="s">
        <v>135</v>
      </c>
      <c r="B366" s="490">
        <v>903</v>
      </c>
      <c r="C366" s="492" t="s">
        <v>299</v>
      </c>
      <c r="D366" s="492" t="s">
        <v>118</v>
      </c>
      <c r="E366" s="492" t="s">
        <v>1204</v>
      </c>
      <c r="F366" s="492" t="s">
        <v>145</v>
      </c>
      <c r="G366" s="497">
        <f>G367</f>
        <v>63</v>
      </c>
      <c r="H366" s="497">
        <f>H367</f>
        <v>63</v>
      </c>
      <c r="I366" s="204"/>
    </row>
    <row r="367" spans="1:13" ht="15.75" x14ac:dyDescent="0.25">
      <c r="A367" s="496" t="s">
        <v>568</v>
      </c>
      <c r="B367" s="490">
        <v>903</v>
      </c>
      <c r="C367" s="492" t="s">
        <v>299</v>
      </c>
      <c r="D367" s="492" t="s">
        <v>118</v>
      </c>
      <c r="E367" s="492" t="s">
        <v>1204</v>
      </c>
      <c r="F367" s="492" t="s">
        <v>138</v>
      </c>
      <c r="G367" s="497">
        <v>63</v>
      </c>
      <c r="H367" s="497">
        <f t="shared" ref="H367:H377" si="28">G367</f>
        <v>63</v>
      </c>
      <c r="I367" s="204"/>
    </row>
    <row r="368" spans="1:13" ht="31.5" x14ac:dyDescent="0.25">
      <c r="A368" s="217" t="s">
        <v>1303</v>
      </c>
      <c r="B368" s="491">
        <v>903</v>
      </c>
      <c r="C368" s="495" t="s">
        <v>299</v>
      </c>
      <c r="D368" s="495" t="s">
        <v>118</v>
      </c>
      <c r="E368" s="495" t="s">
        <v>1205</v>
      </c>
      <c r="F368" s="495"/>
      <c r="G368" s="493">
        <f>G369</f>
        <v>1380</v>
      </c>
      <c r="H368" s="493">
        <f>H369</f>
        <v>1380</v>
      </c>
      <c r="I368" s="204"/>
    </row>
    <row r="369" spans="1:9" ht="31.5" x14ac:dyDescent="0.25">
      <c r="A369" s="31" t="s">
        <v>816</v>
      </c>
      <c r="B369" s="490">
        <v>903</v>
      </c>
      <c r="C369" s="492" t="s">
        <v>299</v>
      </c>
      <c r="D369" s="492" t="s">
        <v>118</v>
      </c>
      <c r="E369" s="492" t="s">
        <v>1207</v>
      </c>
      <c r="F369" s="492"/>
      <c r="G369" s="497">
        <f>G370+G372</f>
        <v>1380</v>
      </c>
      <c r="H369" s="497">
        <f>H370+H372</f>
        <v>1380</v>
      </c>
      <c r="I369" s="204"/>
    </row>
    <row r="370" spans="1:9" ht="78.75" x14ac:dyDescent="0.25">
      <c r="A370" s="496" t="s">
        <v>127</v>
      </c>
      <c r="B370" s="490">
        <v>903</v>
      </c>
      <c r="C370" s="492" t="s">
        <v>299</v>
      </c>
      <c r="D370" s="492" t="s">
        <v>118</v>
      </c>
      <c r="E370" s="492" t="s">
        <v>896</v>
      </c>
      <c r="F370" s="492" t="s">
        <v>128</v>
      </c>
      <c r="G370" s="497">
        <f>G371</f>
        <v>0</v>
      </c>
      <c r="H370" s="497">
        <f>H371</f>
        <v>0</v>
      </c>
      <c r="I370" s="204"/>
    </row>
    <row r="371" spans="1:9" ht="15.75" x14ac:dyDescent="0.25">
      <c r="A371" s="496" t="s">
        <v>208</v>
      </c>
      <c r="B371" s="490">
        <v>903</v>
      </c>
      <c r="C371" s="492" t="s">
        <v>299</v>
      </c>
      <c r="D371" s="492" t="s">
        <v>118</v>
      </c>
      <c r="E371" s="492" t="s">
        <v>896</v>
      </c>
      <c r="F371" s="492" t="s">
        <v>209</v>
      </c>
      <c r="G371" s="497">
        <v>0</v>
      </c>
      <c r="H371" s="497">
        <v>0</v>
      </c>
      <c r="I371" s="204"/>
    </row>
    <row r="372" spans="1:9" ht="31.5" x14ac:dyDescent="0.25">
      <c r="A372" s="496" t="s">
        <v>131</v>
      </c>
      <c r="B372" s="490">
        <v>903</v>
      </c>
      <c r="C372" s="492" t="s">
        <v>299</v>
      </c>
      <c r="D372" s="492" t="s">
        <v>118</v>
      </c>
      <c r="E372" s="492" t="s">
        <v>1207</v>
      </c>
      <c r="F372" s="492" t="s">
        <v>132</v>
      </c>
      <c r="G372" s="497">
        <f>G373</f>
        <v>1380</v>
      </c>
      <c r="H372" s="497">
        <f>H373</f>
        <v>1380</v>
      </c>
      <c r="I372" s="204"/>
    </row>
    <row r="373" spans="1:9" ht="31.9" customHeight="1" x14ac:dyDescent="0.25">
      <c r="A373" s="496" t="s">
        <v>133</v>
      </c>
      <c r="B373" s="490">
        <v>903</v>
      </c>
      <c r="C373" s="492" t="s">
        <v>299</v>
      </c>
      <c r="D373" s="492" t="s">
        <v>118</v>
      </c>
      <c r="E373" s="492" t="s">
        <v>1207</v>
      </c>
      <c r="F373" s="492" t="s">
        <v>134</v>
      </c>
      <c r="G373" s="497">
        <f>380+1000</f>
        <v>1380</v>
      </c>
      <c r="H373" s="497">
        <f t="shared" si="28"/>
        <v>1380</v>
      </c>
      <c r="I373" s="204"/>
    </row>
    <row r="374" spans="1:9" ht="31.5" x14ac:dyDescent="0.25">
      <c r="A374" s="494" t="s">
        <v>947</v>
      </c>
      <c r="B374" s="491">
        <v>903</v>
      </c>
      <c r="C374" s="495" t="s">
        <v>299</v>
      </c>
      <c r="D374" s="495" t="s">
        <v>118</v>
      </c>
      <c r="E374" s="495" t="s">
        <v>1208</v>
      </c>
      <c r="F374" s="495"/>
      <c r="G374" s="44">
        <f t="shared" ref="G374:H376" si="29">G375</f>
        <v>875</v>
      </c>
      <c r="H374" s="44">
        <f t="shared" si="29"/>
        <v>875</v>
      </c>
      <c r="I374" s="204"/>
    </row>
    <row r="375" spans="1:9" ht="47.25" x14ac:dyDescent="0.25">
      <c r="A375" s="496" t="s">
        <v>839</v>
      </c>
      <c r="B375" s="490">
        <v>903</v>
      </c>
      <c r="C375" s="492" t="s">
        <v>299</v>
      </c>
      <c r="D375" s="492" t="s">
        <v>118</v>
      </c>
      <c r="E375" s="492" t="s">
        <v>1209</v>
      </c>
      <c r="F375" s="492"/>
      <c r="G375" s="497">
        <f t="shared" si="29"/>
        <v>875</v>
      </c>
      <c r="H375" s="497">
        <f t="shared" si="29"/>
        <v>875</v>
      </c>
      <c r="I375" s="204"/>
    </row>
    <row r="376" spans="1:9" ht="78.75" x14ac:dyDescent="0.25">
      <c r="A376" s="496" t="s">
        <v>127</v>
      </c>
      <c r="B376" s="490">
        <v>903</v>
      </c>
      <c r="C376" s="492" t="s">
        <v>299</v>
      </c>
      <c r="D376" s="492" t="s">
        <v>118</v>
      </c>
      <c r="E376" s="492" t="s">
        <v>1209</v>
      </c>
      <c r="F376" s="492" t="s">
        <v>128</v>
      </c>
      <c r="G376" s="497">
        <f t="shared" si="29"/>
        <v>875</v>
      </c>
      <c r="H376" s="497">
        <f t="shared" si="29"/>
        <v>875</v>
      </c>
      <c r="I376" s="204"/>
    </row>
    <row r="377" spans="1:9" ht="31.5" x14ac:dyDescent="0.25">
      <c r="A377" s="496" t="s">
        <v>129</v>
      </c>
      <c r="B377" s="490">
        <v>903</v>
      </c>
      <c r="C377" s="492" t="s">
        <v>299</v>
      </c>
      <c r="D377" s="492" t="s">
        <v>118</v>
      </c>
      <c r="E377" s="492" t="s">
        <v>1209</v>
      </c>
      <c r="F377" s="492" t="s">
        <v>209</v>
      </c>
      <c r="G377" s="497">
        <v>875</v>
      </c>
      <c r="H377" s="497">
        <f t="shared" si="28"/>
        <v>875</v>
      </c>
      <c r="I377" s="204"/>
    </row>
    <row r="378" spans="1:9" ht="47.25" x14ac:dyDescent="0.25">
      <c r="A378" s="218" t="s">
        <v>900</v>
      </c>
      <c r="B378" s="491">
        <v>903</v>
      </c>
      <c r="C378" s="495" t="s">
        <v>299</v>
      </c>
      <c r="D378" s="495" t="s">
        <v>118</v>
      </c>
      <c r="E378" s="495" t="s">
        <v>1210</v>
      </c>
      <c r="F378" s="495"/>
      <c r="G378" s="493">
        <f>G379+G382</f>
        <v>2442</v>
      </c>
      <c r="H378" s="493">
        <f>H379+H382</f>
        <v>2442</v>
      </c>
      <c r="I378" s="204"/>
    </row>
    <row r="379" spans="1:9" ht="94.5" x14ac:dyDescent="0.25">
      <c r="A379" s="31" t="s">
        <v>293</v>
      </c>
      <c r="B379" s="490">
        <v>903</v>
      </c>
      <c r="C379" s="492" t="s">
        <v>299</v>
      </c>
      <c r="D379" s="492" t="s">
        <v>118</v>
      </c>
      <c r="E379" s="492" t="s">
        <v>1403</v>
      </c>
      <c r="F379" s="492"/>
      <c r="G379" s="497">
        <f t="shared" ref="G379:H380" si="30">G380</f>
        <v>2100.6</v>
      </c>
      <c r="H379" s="497">
        <f t="shared" si="30"/>
        <v>2100.6</v>
      </c>
      <c r="I379" s="204"/>
    </row>
    <row r="380" spans="1:9" ht="78.75" x14ac:dyDescent="0.25">
      <c r="A380" s="496" t="s">
        <v>127</v>
      </c>
      <c r="B380" s="490">
        <v>903</v>
      </c>
      <c r="C380" s="492" t="s">
        <v>299</v>
      </c>
      <c r="D380" s="492" t="s">
        <v>118</v>
      </c>
      <c r="E380" s="492" t="s">
        <v>1403</v>
      </c>
      <c r="F380" s="492" t="s">
        <v>128</v>
      </c>
      <c r="G380" s="497">
        <f t="shared" si="30"/>
        <v>2100.6</v>
      </c>
      <c r="H380" s="497">
        <f t="shared" si="30"/>
        <v>2100.6</v>
      </c>
      <c r="I380" s="204"/>
    </row>
    <row r="381" spans="1:9" ht="15.75" x14ac:dyDescent="0.25">
      <c r="A381" s="496" t="s">
        <v>208</v>
      </c>
      <c r="B381" s="490">
        <v>903</v>
      </c>
      <c r="C381" s="492" t="s">
        <v>299</v>
      </c>
      <c r="D381" s="492" t="s">
        <v>118</v>
      </c>
      <c r="E381" s="492" t="s">
        <v>1403</v>
      </c>
      <c r="F381" s="492" t="s">
        <v>209</v>
      </c>
      <c r="G381" s="497">
        <v>2100.6</v>
      </c>
      <c r="H381" s="497">
        <f>G381</f>
        <v>2100.6</v>
      </c>
      <c r="I381" s="204"/>
    </row>
    <row r="382" spans="1:9" ht="78.75" x14ac:dyDescent="0.25">
      <c r="A382" s="496" t="s">
        <v>331</v>
      </c>
      <c r="B382" s="490">
        <v>903</v>
      </c>
      <c r="C382" s="492" t="s">
        <v>299</v>
      </c>
      <c r="D382" s="492" t="s">
        <v>118</v>
      </c>
      <c r="E382" s="492" t="s">
        <v>1291</v>
      </c>
      <c r="F382" s="492"/>
      <c r="G382" s="497">
        <f>G383</f>
        <v>341.4</v>
      </c>
      <c r="H382" s="497">
        <f>H383</f>
        <v>341.4</v>
      </c>
      <c r="I382" s="204"/>
    </row>
    <row r="383" spans="1:9" ht="78.75" x14ac:dyDescent="0.25">
      <c r="A383" s="496" t="s">
        <v>127</v>
      </c>
      <c r="B383" s="490">
        <v>903</v>
      </c>
      <c r="C383" s="492" t="s">
        <v>299</v>
      </c>
      <c r="D383" s="492" t="s">
        <v>118</v>
      </c>
      <c r="E383" s="492" t="s">
        <v>1291</v>
      </c>
      <c r="F383" s="492" t="s">
        <v>128</v>
      </c>
      <c r="G383" s="497">
        <f>G384</f>
        <v>341.4</v>
      </c>
      <c r="H383" s="497">
        <f>H384</f>
        <v>341.4</v>
      </c>
      <c r="I383" s="204"/>
    </row>
    <row r="384" spans="1:9" ht="15.75" x14ac:dyDescent="0.25">
      <c r="A384" s="496" t="s">
        <v>208</v>
      </c>
      <c r="B384" s="490">
        <v>903</v>
      </c>
      <c r="C384" s="492" t="s">
        <v>299</v>
      </c>
      <c r="D384" s="492" t="s">
        <v>118</v>
      </c>
      <c r="E384" s="492" t="s">
        <v>1291</v>
      </c>
      <c r="F384" s="492" t="s">
        <v>209</v>
      </c>
      <c r="G384" s="497">
        <v>341.4</v>
      </c>
      <c r="H384" s="497">
        <f>G384</f>
        <v>341.4</v>
      </c>
      <c r="I384" s="204"/>
    </row>
    <row r="385" spans="1:9" ht="31.5" x14ac:dyDescent="0.25">
      <c r="A385" s="494" t="s">
        <v>902</v>
      </c>
      <c r="B385" s="491">
        <v>903</v>
      </c>
      <c r="C385" s="495" t="s">
        <v>299</v>
      </c>
      <c r="D385" s="495" t="s">
        <v>118</v>
      </c>
      <c r="E385" s="495" t="s">
        <v>1215</v>
      </c>
      <c r="F385" s="495"/>
      <c r="G385" s="493">
        <f t="shared" ref="G385:H387" si="31">G386</f>
        <v>50</v>
      </c>
      <c r="H385" s="493">
        <f t="shared" si="31"/>
        <v>50</v>
      </c>
      <c r="I385" s="204"/>
    </row>
    <row r="386" spans="1:9" ht="31.5" x14ac:dyDescent="0.25">
      <c r="A386" s="496" t="s">
        <v>821</v>
      </c>
      <c r="B386" s="490">
        <v>903</v>
      </c>
      <c r="C386" s="492" t="s">
        <v>299</v>
      </c>
      <c r="D386" s="492" t="s">
        <v>118</v>
      </c>
      <c r="E386" s="492" t="s">
        <v>1216</v>
      </c>
      <c r="F386" s="492"/>
      <c r="G386" s="497">
        <f t="shared" si="31"/>
        <v>50</v>
      </c>
      <c r="H386" s="497">
        <f t="shared" si="31"/>
        <v>50</v>
      </c>
      <c r="I386" s="204"/>
    </row>
    <row r="387" spans="1:9" ht="31.5" x14ac:dyDescent="0.25">
      <c r="A387" s="496" t="s">
        <v>131</v>
      </c>
      <c r="B387" s="490">
        <v>903</v>
      </c>
      <c r="C387" s="492" t="s">
        <v>299</v>
      </c>
      <c r="D387" s="492" t="s">
        <v>118</v>
      </c>
      <c r="E387" s="492" t="s">
        <v>1216</v>
      </c>
      <c r="F387" s="492" t="s">
        <v>132</v>
      </c>
      <c r="G387" s="497">
        <f t="shared" si="31"/>
        <v>50</v>
      </c>
      <c r="H387" s="497">
        <f t="shared" si="31"/>
        <v>50</v>
      </c>
      <c r="I387" s="204"/>
    </row>
    <row r="388" spans="1:9" ht="31.5" x14ac:dyDescent="0.25">
      <c r="A388" s="496" t="s">
        <v>133</v>
      </c>
      <c r="B388" s="490">
        <v>903</v>
      </c>
      <c r="C388" s="492" t="s">
        <v>299</v>
      </c>
      <c r="D388" s="492" t="s">
        <v>118</v>
      </c>
      <c r="E388" s="492" t="s">
        <v>1216</v>
      </c>
      <c r="F388" s="492" t="s">
        <v>134</v>
      </c>
      <c r="G388" s="497">
        <v>50</v>
      </c>
      <c r="H388" s="497">
        <v>50</v>
      </c>
      <c r="I388" s="204"/>
    </row>
    <row r="389" spans="1:9" ht="31.5" x14ac:dyDescent="0.25">
      <c r="A389" s="494" t="s">
        <v>1010</v>
      </c>
      <c r="B389" s="491">
        <v>903</v>
      </c>
      <c r="C389" s="495" t="s">
        <v>299</v>
      </c>
      <c r="D389" s="495" t="s">
        <v>118</v>
      </c>
      <c r="E389" s="495" t="s">
        <v>1217</v>
      </c>
      <c r="F389" s="495"/>
      <c r="G389" s="493">
        <f t="shared" ref="G389:H391" si="32">G390</f>
        <v>68.7</v>
      </c>
      <c r="H389" s="493">
        <f t="shared" si="32"/>
        <v>68.7</v>
      </c>
      <c r="I389" s="204"/>
    </row>
    <row r="390" spans="1:9" ht="31.5" x14ac:dyDescent="0.25">
      <c r="A390" s="496" t="s">
        <v>1484</v>
      </c>
      <c r="B390" s="490">
        <v>903</v>
      </c>
      <c r="C390" s="492" t="s">
        <v>299</v>
      </c>
      <c r="D390" s="492" t="s">
        <v>118</v>
      </c>
      <c r="E390" s="492" t="s">
        <v>1218</v>
      </c>
      <c r="F390" s="492"/>
      <c r="G390" s="497">
        <f t="shared" si="32"/>
        <v>68.7</v>
      </c>
      <c r="H390" s="497">
        <f t="shared" si="32"/>
        <v>68.7</v>
      </c>
      <c r="I390" s="204"/>
    </row>
    <row r="391" spans="1:9" ht="31.5" x14ac:dyDescent="0.25">
      <c r="A391" s="496" t="s">
        <v>131</v>
      </c>
      <c r="B391" s="490">
        <v>903</v>
      </c>
      <c r="C391" s="492" t="s">
        <v>299</v>
      </c>
      <c r="D391" s="492" t="s">
        <v>118</v>
      </c>
      <c r="E391" s="492" t="s">
        <v>1218</v>
      </c>
      <c r="F391" s="492" t="s">
        <v>132</v>
      </c>
      <c r="G391" s="497">
        <f t="shared" si="32"/>
        <v>68.7</v>
      </c>
      <c r="H391" s="497">
        <f t="shared" si="32"/>
        <v>68.7</v>
      </c>
      <c r="I391" s="204"/>
    </row>
    <row r="392" spans="1:9" ht="31.5" x14ac:dyDescent="0.25">
      <c r="A392" s="496" t="s">
        <v>133</v>
      </c>
      <c r="B392" s="490">
        <v>903</v>
      </c>
      <c r="C392" s="492" t="s">
        <v>299</v>
      </c>
      <c r="D392" s="492" t="s">
        <v>118</v>
      </c>
      <c r="E392" s="492" t="s">
        <v>1218</v>
      </c>
      <c r="F392" s="492" t="s">
        <v>134</v>
      </c>
      <c r="G392" s="497">
        <f>3.5+65.2</f>
        <v>68.7</v>
      </c>
      <c r="H392" s="497">
        <f t="shared" ref="H392" si="33">G392</f>
        <v>68.7</v>
      </c>
      <c r="I392" s="204"/>
    </row>
    <row r="393" spans="1:9" ht="31.5" x14ac:dyDescent="0.25">
      <c r="A393" s="211" t="s">
        <v>1179</v>
      </c>
      <c r="B393" s="491">
        <v>903</v>
      </c>
      <c r="C393" s="495" t="s">
        <v>299</v>
      </c>
      <c r="D393" s="495" t="s">
        <v>118</v>
      </c>
      <c r="E393" s="495" t="s">
        <v>1213</v>
      </c>
      <c r="F393" s="495"/>
      <c r="G393" s="493">
        <f t="shared" ref="G393:H395" si="34">G394</f>
        <v>300</v>
      </c>
      <c r="H393" s="493">
        <f t="shared" si="34"/>
        <v>1500</v>
      </c>
      <c r="I393" s="204"/>
    </row>
    <row r="394" spans="1:9" ht="15.75" x14ac:dyDescent="0.25">
      <c r="A394" s="98" t="s">
        <v>1186</v>
      </c>
      <c r="B394" s="490">
        <v>903</v>
      </c>
      <c r="C394" s="492" t="s">
        <v>299</v>
      </c>
      <c r="D394" s="492" t="s">
        <v>118</v>
      </c>
      <c r="E394" s="492" t="s">
        <v>1214</v>
      </c>
      <c r="F394" s="492"/>
      <c r="G394" s="497">
        <f t="shared" si="34"/>
        <v>300</v>
      </c>
      <c r="H394" s="497">
        <f t="shared" si="34"/>
        <v>1500</v>
      </c>
      <c r="I394" s="204"/>
    </row>
    <row r="395" spans="1:9" ht="31.5" x14ac:dyDescent="0.25">
      <c r="A395" s="496" t="s">
        <v>131</v>
      </c>
      <c r="B395" s="490">
        <v>903</v>
      </c>
      <c r="C395" s="492" t="s">
        <v>299</v>
      </c>
      <c r="D395" s="492" t="s">
        <v>118</v>
      </c>
      <c r="E395" s="492" t="s">
        <v>1214</v>
      </c>
      <c r="F395" s="492" t="s">
        <v>132</v>
      </c>
      <c r="G395" s="497">
        <f>G396</f>
        <v>300</v>
      </c>
      <c r="H395" s="497">
        <f t="shared" si="34"/>
        <v>1500</v>
      </c>
      <c r="I395" s="204"/>
    </row>
    <row r="396" spans="1:9" ht="31.5" x14ac:dyDescent="0.25">
      <c r="A396" s="496" t="s">
        <v>133</v>
      </c>
      <c r="B396" s="490">
        <v>903</v>
      </c>
      <c r="C396" s="492" t="s">
        <v>299</v>
      </c>
      <c r="D396" s="492" t="s">
        <v>118</v>
      </c>
      <c r="E396" s="492" t="s">
        <v>1214</v>
      </c>
      <c r="F396" s="492" t="s">
        <v>134</v>
      </c>
      <c r="G396" s="497">
        <v>300</v>
      </c>
      <c r="H396" s="497">
        <v>1500</v>
      </c>
      <c r="I396" s="204"/>
    </row>
    <row r="397" spans="1:9" ht="31.5" hidden="1" x14ac:dyDescent="0.25">
      <c r="A397" s="354" t="s">
        <v>1332</v>
      </c>
      <c r="B397" s="491">
        <v>903</v>
      </c>
      <c r="C397" s="495" t="s">
        <v>299</v>
      </c>
      <c r="D397" s="495" t="s">
        <v>118</v>
      </c>
      <c r="E397" s="495"/>
      <c r="F397" s="495"/>
      <c r="G397" s="493">
        <f t="shared" ref="G397:H399" si="35">G398</f>
        <v>0</v>
      </c>
      <c r="H397" s="493">
        <f t="shared" si="35"/>
        <v>0</v>
      </c>
      <c r="I397" s="204"/>
    </row>
    <row r="398" spans="1:9" ht="15.75" hidden="1" x14ac:dyDescent="0.25">
      <c r="A398" s="496"/>
      <c r="B398" s="490">
        <v>903</v>
      </c>
      <c r="C398" s="492" t="s">
        <v>299</v>
      </c>
      <c r="D398" s="492" t="s">
        <v>118</v>
      </c>
      <c r="E398" s="492"/>
      <c r="F398" s="492"/>
      <c r="G398" s="497">
        <f t="shared" si="35"/>
        <v>0</v>
      </c>
      <c r="H398" s="497">
        <f t="shared" si="35"/>
        <v>0</v>
      </c>
      <c r="I398" s="204"/>
    </row>
    <row r="399" spans="1:9" ht="31.5" hidden="1" x14ac:dyDescent="0.25">
      <c r="A399" s="496" t="s">
        <v>131</v>
      </c>
      <c r="B399" s="490">
        <v>903</v>
      </c>
      <c r="C399" s="492" t="s">
        <v>299</v>
      </c>
      <c r="D399" s="492" t="s">
        <v>118</v>
      </c>
      <c r="E399" s="492"/>
      <c r="F399" s="492" t="s">
        <v>132</v>
      </c>
      <c r="G399" s="497">
        <f t="shared" si="35"/>
        <v>0</v>
      </c>
      <c r="H399" s="497">
        <f t="shared" si="35"/>
        <v>0</v>
      </c>
      <c r="I399" s="204"/>
    </row>
    <row r="400" spans="1:9" ht="31.5" hidden="1" x14ac:dyDescent="0.25">
      <c r="A400" s="496" t="s">
        <v>133</v>
      </c>
      <c r="B400" s="490">
        <v>903</v>
      </c>
      <c r="C400" s="492" t="s">
        <v>299</v>
      </c>
      <c r="D400" s="492" t="s">
        <v>118</v>
      </c>
      <c r="E400" s="492"/>
      <c r="F400" s="492" t="s">
        <v>134</v>
      </c>
      <c r="G400" s="497">
        <v>0</v>
      </c>
      <c r="H400" s="497">
        <v>0</v>
      </c>
      <c r="I400" s="204"/>
    </row>
    <row r="401" spans="1:9" ht="63" x14ac:dyDescent="0.25">
      <c r="A401" s="34" t="s">
        <v>781</v>
      </c>
      <c r="B401" s="491">
        <v>903</v>
      </c>
      <c r="C401" s="495" t="s">
        <v>299</v>
      </c>
      <c r="D401" s="495" t="s">
        <v>118</v>
      </c>
      <c r="E401" s="495" t="s">
        <v>324</v>
      </c>
      <c r="F401" s="495"/>
      <c r="G401" s="493">
        <f>G403</f>
        <v>10</v>
      </c>
      <c r="H401" s="493">
        <f>H403</f>
        <v>0</v>
      </c>
      <c r="I401" s="204"/>
    </row>
    <row r="402" spans="1:9" ht="63" x14ac:dyDescent="0.25">
      <c r="A402" s="34" t="s">
        <v>1025</v>
      </c>
      <c r="B402" s="491">
        <v>903</v>
      </c>
      <c r="C402" s="495" t="s">
        <v>299</v>
      </c>
      <c r="D402" s="495" t="s">
        <v>118</v>
      </c>
      <c r="E402" s="495" t="s">
        <v>934</v>
      </c>
      <c r="F402" s="495"/>
      <c r="G402" s="493">
        <f>G405</f>
        <v>10</v>
      </c>
      <c r="H402" s="493">
        <f>H405</f>
        <v>0</v>
      </c>
      <c r="I402" s="204"/>
    </row>
    <row r="403" spans="1:9" ht="47.25" x14ac:dyDescent="0.25">
      <c r="A403" s="31" t="s">
        <v>1080</v>
      </c>
      <c r="B403" s="490">
        <v>903</v>
      </c>
      <c r="C403" s="492" t="s">
        <v>299</v>
      </c>
      <c r="D403" s="492" t="s">
        <v>118</v>
      </c>
      <c r="E403" s="492" t="s">
        <v>1026</v>
      </c>
      <c r="F403" s="492"/>
      <c r="G403" s="497">
        <f>G404</f>
        <v>10</v>
      </c>
      <c r="H403" s="497">
        <f>H404</f>
        <v>0</v>
      </c>
      <c r="I403" s="204"/>
    </row>
    <row r="404" spans="1:9" ht="31.5" x14ac:dyDescent="0.25">
      <c r="A404" s="496" t="s">
        <v>131</v>
      </c>
      <c r="B404" s="490">
        <v>903</v>
      </c>
      <c r="C404" s="492" t="s">
        <v>299</v>
      </c>
      <c r="D404" s="492" t="s">
        <v>118</v>
      </c>
      <c r="E404" s="492" t="s">
        <v>1026</v>
      </c>
      <c r="F404" s="492" t="s">
        <v>132</v>
      </c>
      <c r="G404" s="497">
        <f>G405</f>
        <v>10</v>
      </c>
      <c r="H404" s="497">
        <f>H405</f>
        <v>0</v>
      </c>
      <c r="I404" s="204"/>
    </row>
    <row r="405" spans="1:9" ht="31.5" x14ac:dyDescent="0.25">
      <c r="A405" s="496" t="s">
        <v>133</v>
      </c>
      <c r="B405" s="490">
        <v>903</v>
      </c>
      <c r="C405" s="492" t="s">
        <v>299</v>
      </c>
      <c r="D405" s="492" t="s">
        <v>118</v>
      </c>
      <c r="E405" s="492" t="s">
        <v>1026</v>
      </c>
      <c r="F405" s="492" t="s">
        <v>134</v>
      </c>
      <c r="G405" s="497">
        <v>10</v>
      </c>
      <c r="H405" s="497">
        <v>0</v>
      </c>
      <c r="I405" s="204"/>
    </row>
    <row r="406" spans="1:9" ht="47.25" x14ac:dyDescent="0.25">
      <c r="A406" s="500" t="s">
        <v>1350</v>
      </c>
      <c r="B406" s="491">
        <v>903</v>
      </c>
      <c r="C406" s="495" t="s">
        <v>299</v>
      </c>
      <c r="D406" s="495" t="s">
        <v>118</v>
      </c>
      <c r="E406" s="495" t="s">
        <v>705</v>
      </c>
      <c r="F406" s="504"/>
      <c r="G406" s="493">
        <f t="shared" ref="G406:H409" si="36">G407</f>
        <v>878.7</v>
      </c>
      <c r="H406" s="493">
        <f t="shared" si="36"/>
        <v>913.9</v>
      </c>
      <c r="I406" s="204"/>
    </row>
    <row r="407" spans="1:9" ht="47.25" x14ac:dyDescent="0.25">
      <c r="A407" s="500" t="s">
        <v>890</v>
      </c>
      <c r="B407" s="491">
        <v>903</v>
      </c>
      <c r="C407" s="495" t="s">
        <v>299</v>
      </c>
      <c r="D407" s="495" t="s">
        <v>118</v>
      </c>
      <c r="E407" s="495" t="s">
        <v>888</v>
      </c>
      <c r="F407" s="504"/>
      <c r="G407" s="493">
        <f t="shared" si="36"/>
        <v>878.7</v>
      </c>
      <c r="H407" s="493">
        <f t="shared" si="36"/>
        <v>913.9</v>
      </c>
      <c r="I407" s="204"/>
    </row>
    <row r="408" spans="1:9" ht="41.25" customHeight="1" x14ac:dyDescent="0.25">
      <c r="A408" s="98" t="s">
        <v>1022</v>
      </c>
      <c r="B408" s="490">
        <v>903</v>
      </c>
      <c r="C408" s="492" t="s">
        <v>299</v>
      </c>
      <c r="D408" s="492" t="s">
        <v>118</v>
      </c>
      <c r="E408" s="492" t="s">
        <v>889</v>
      </c>
      <c r="F408" s="498"/>
      <c r="G408" s="497">
        <f t="shared" si="36"/>
        <v>878.7</v>
      </c>
      <c r="H408" s="497">
        <f t="shared" si="36"/>
        <v>913.9</v>
      </c>
      <c r="I408" s="204"/>
    </row>
    <row r="409" spans="1:9" ht="31.5" x14ac:dyDescent="0.25">
      <c r="A409" s="496" t="s">
        <v>131</v>
      </c>
      <c r="B409" s="490">
        <v>903</v>
      </c>
      <c r="C409" s="492" t="s">
        <v>299</v>
      </c>
      <c r="D409" s="492" t="s">
        <v>118</v>
      </c>
      <c r="E409" s="492" t="s">
        <v>889</v>
      </c>
      <c r="F409" s="498" t="s">
        <v>132</v>
      </c>
      <c r="G409" s="497">
        <f t="shared" si="36"/>
        <v>878.7</v>
      </c>
      <c r="H409" s="497">
        <f t="shared" si="36"/>
        <v>913.9</v>
      </c>
      <c r="I409" s="204"/>
    </row>
    <row r="410" spans="1:9" ht="31.5" x14ac:dyDescent="0.25">
      <c r="A410" s="496" t="s">
        <v>133</v>
      </c>
      <c r="B410" s="490">
        <v>903</v>
      </c>
      <c r="C410" s="492" t="s">
        <v>299</v>
      </c>
      <c r="D410" s="492" t="s">
        <v>118</v>
      </c>
      <c r="E410" s="492" t="s">
        <v>889</v>
      </c>
      <c r="F410" s="498" t="s">
        <v>134</v>
      </c>
      <c r="G410" s="497">
        <v>878.7</v>
      </c>
      <c r="H410" s="497">
        <v>913.9</v>
      </c>
      <c r="I410" s="204"/>
    </row>
    <row r="411" spans="1:9" ht="31.5" x14ac:dyDescent="0.25">
      <c r="A411" s="494" t="s">
        <v>333</v>
      </c>
      <c r="B411" s="491">
        <v>903</v>
      </c>
      <c r="C411" s="495" t="s">
        <v>299</v>
      </c>
      <c r="D411" s="495" t="s">
        <v>150</v>
      </c>
      <c r="E411" s="495"/>
      <c r="F411" s="495"/>
      <c r="G411" s="493">
        <f>G412+G422+G434+G440</f>
        <v>18566.400000000001</v>
      </c>
      <c r="H411" s="493">
        <f>H412+H422+H434+H440</f>
        <v>18595.400000000001</v>
      </c>
      <c r="I411" s="204"/>
    </row>
    <row r="412" spans="1:9" ht="31.5" x14ac:dyDescent="0.25">
      <c r="A412" s="494" t="s">
        <v>917</v>
      </c>
      <c r="B412" s="491">
        <v>903</v>
      </c>
      <c r="C412" s="495" t="s">
        <v>299</v>
      </c>
      <c r="D412" s="495" t="s">
        <v>150</v>
      </c>
      <c r="E412" s="495" t="s">
        <v>858</v>
      </c>
      <c r="F412" s="495"/>
      <c r="G412" s="493">
        <f>G413</f>
        <v>7291.6</v>
      </c>
      <c r="H412" s="493">
        <f>H413</f>
        <v>7291.6</v>
      </c>
      <c r="I412" s="204"/>
    </row>
    <row r="413" spans="1:9" ht="15.75" x14ac:dyDescent="0.25">
      <c r="A413" s="494" t="s">
        <v>918</v>
      </c>
      <c r="B413" s="491">
        <v>903</v>
      </c>
      <c r="C413" s="495" t="s">
        <v>299</v>
      </c>
      <c r="D413" s="495" t="s">
        <v>150</v>
      </c>
      <c r="E413" s="495" t="s">
        <v>859</v>
      </c>
      <c r="F413" s="495"/>
      <c r="G413" s="493">
        <f>G414+G419</f>
        <v>7291.6</v>
      </c>
      <c r="H413" s="493">
        <f>H414+H419</f>
        <v>7291.6</v>
      </c>
      <c r="I413" s="204"/>
    </row>
    <row r="414" spans="1:9" ht="31.5" x14ac:dyDescent="0.25">
      <c r="A414" s="496" t="s">
        <v>897</v>
      </c>
      <c r="B414" s="490">
        <v>903</v>
      </c>
      <c r="C414" s="492" t="s">
        <v>299</v>
      </c>
      <c r="D414" s="492" t="s">
        <v>150</v>
      </c>
      <c r="E414" s="492" t="s">
        <v>860</v>
      </c>
      <c r="F414" s="492"/>
      <c r="G414" s="497">
        <f>G415</f>
        <v>7015.6</v>
      </c>
      <c r="H414" s="497">
        <f>H415</f>
        <v>7015.6</v>
      </c>
      <c r="I414" s="204"/>
    </row>
    <row r="415" spans="1:9" ht="78.75" x14ac:dyDescent="0.25">
      <c r="A415" s="496" t="s">
        <v>127</v>
      </c>
      <c r="B415" s="490">
        <v>903</v>
      </c>
      <c r="C415" s="492" t="s">
        <v>299</v>
      </c>
      <c r="D415" s="492" t="s">
        <v>150</v>
      </c>
      <c r="E415" s="492" t="s">
        <v>860</v>
      </c>
      <c r="F415" s="492" t="s">
        <v>128</v>
      </c>
      <c r="G415" s="497">
        <f>G416</f>
        <v>7015.6</v>
      </c>
      <c r="H415" s="497">
        <f>H416</f>
        <v>7015.6</v>
      </c>
      <c r="I415" s="204"/>
    </row>
    <row r="416" spans="1:9" ht="31.5" x14ac:dyDescent="0.25">
      <c r="A416" s="496" t="s">
        <v>129</v>
      </c>
      <c r="B416" s="490">
        <v>903</v>
      </c>
      <c r="C416" s="492" t="s">
        <v>299</v>
      </c>
      <c r="D416" s="492" t="s">
        <v>150</v>
      </c>
      <c r="E416" s="492" t="s">
        <v>860</v>
      </c>
      <c r="F416" s="492" t="s">
        <v>130</v>
      </c>
      <c r="G416" s="497">
        <v>7015.6</v>
      </c>
      <c r="H416" s="497">
        <f t="shared" ref="H416:H499" si="37">G416</f>
        <v>7015.6</v>
      </c>
      <c r="I416" s="204"/>
    </row>
    <row r="417" spans="1:9" ht="31.5" hidden="1" x14ac:dyDescent="0.25">
      <c r="A417" s="496" t="s">
        <v>131</v>
      </c>
      <c r="B417" s="490">
        <v>903</v>
      </c>
      <c r="C417" s="492" t="s">
        <v>299</v>
      </c>
      <c r="D417" s="492" t="s">
        <v>150</v>
      </c>
      <c r="E417" s="492" t="s">
        <v>860</v>
      </c>
      <c r="F417" s="492" t="s">
        <v>132</v>
      </c>
      <c r="G417" s="497">
        <f>'[1]Пр.5 ведом.21'!G408</f>
        <v>0</v>
      </c>
      <c r="H417" s="497">
        <f t="shared" si="37"/>
        <v>0</v>
      </c>
      <c r="I417" s="204"/>
    </row>
    <row r="418" spans="1:9" ht="31.5" hidden="1" x14ac:dyDescent="0.25">
      <c r="A418" s="496" t="s">
        <v>133</v>
      </c>
      <c r="B418" s="490">
        <v>903</v>
      </c>
      <c r="C418" s="492" t="s">
        <v>299</v>
      </c>
      <c r="D418" s="492" t="s">
        <v>150</v>
      </c>
      <c r="E418" s="492" t="s">
        <v>860</v>
      </c>
      <c r="F418" s="492" t="s">
        <v>134</v>
      </c>
      <c r="G418" s="497">
        <f>'[1]Пр.5 ведом.21'!G409</f>
        <v>0</v>
      </c>
      <c r="H418" s="497">
        <f t="shared" si="37"/>
        <v>0</v>
      </c>
      <c r="I418" s="204"/>
    </row>
    <row r="419" spans="1:9" ht="47.25" x14ac:dyDescent="0.25">
      <c r="A419" s="496" t="s">
        <v>839</v>
      </c>
      <c r="B419" s="490">
        <v>903</v>
      </c>
      <c r="C419" s="492" t="s">
        <v>299</v>
      </c>
      <c r="D419" s="492" t="s">
        <v>150</v>
      </c>
      <c r="E419" s="492" t="s">
        <v>862</v>
      </c>
      <c r="F419" s="492"/>
      <c r="G419" s="497">
        <f>G420</f>
        <v>276</v>
      </c>
      <c r="H419" s="497">
        <f>H420</f>
        <v>276</v>
      </c>
      <c r="I419" s="204"/>
    </row>
    <row r="420" spans="1:9" ht="78.75" x14ac:dyDescent="0.25">
      <c r="A420" s="496" t="s">
        <v>127</v>
      </c>
      <c r="B420" s="490">
        <v>903</v>
      </c>
      <c r="C420" s="492" t="s">
        <v>299</v>
      </c>
      <c r="D420" s="492" t="s">
        <v>150</v>
      </c>
      <c r="E420" s="492" t="s">
        <v>862</v>
      </c>
      <c r="F420" s="492" t="s">
        <v>128</v>
      </c>
      <c r="G420" s="497">
        <f>G421</f>
        <v>276</v>
      </c>
      <c r="H420" s="497">
        <f>H421</f>
        <v>276</v>
      </c>
      <c r="I420" s="204"/>
    </row>
    <row r="421" spans="1:9" ht="31.5" x14ac:dyDescent="0.25">
      <c r="A421" s="496" t="s">
        <v>129</v>
      </c>
      <c r="B421" s="490">
        <v>903</v>
      </c>
      <c r="C421" s="492" t="s">
        <v>299</v>
      </c>
      <c r="D421" s="492" t="s">
        <v>150</v>
      </c>
      <c r="E421" s="492" t="s">
        <v>862</v>
      </c>
      <c r="F421" s="492" t="s">
        <v>130</v>
      </c>
      <c r="G421" s="497">
        <v>276</v>
      </c>
      <c r="H421" s="497">
        <f t="shared" si="37"/>
        <v>276</v>
      </c>
      <c r="I421" s="204"/>
    </row>
    <row r="422" spans="1:9" ht="15.75" x14ac:dyDescent="0.25">
      <c r="A422" s="494" t="s">
        <v>926</v>
      </c>
      <c r="B422" s="491">
        <v>903</v>
      </c>
      <c r="C422" s="495" t="s">
        <v>299</v>
      </c>
      <c r="D422" s="495" t="s">
        <v>150</v>
      </c>
      <c r="E422" s="495" t="s">
        <v>866</v>
      </c>
      <c r="F422" s="495"/>
      <c r="G422" s="493">
        <f>G423</f>
        <v>11014.8</v>
      </c>
      <c r="H422" s="493">
        <f>H423</f>
        <v>11014.8</v>
      </c>
      <c r="I422" s="204"/>
    </row>
    <row r="423" spans="1:9" ht="31.5" x14ac:dyDescent="0.25">
      <c r="A423" s="494" t="s">
        <v>929</v>
      </c>
      <c r="B423" s="491">
        <v>903</v>
      </c>
      <c r="C423" s="495" t="s">
        <v>299</v>
      </c>
      <c r="D423" s="495" t="s">
        <v>150</v>
      </c>
      <c r="E423" s="495" t="s">
        <v>914</v>
      </c>
      <c r="F423" s="495"/>
      <c r="G423" s="493">
        <f>G424+G431</f>
        <v>11014.8</v>
      </c>
      <c r="H423" s="493">
        <f>H424+H431</f>
        <v>11014.8</v>
      </c>
      <c r="I423" s="204"/>
    </row>
    <row r="424" spans="1:9" ht="31.5" x14ac:dyDescent="0.25">
      <c r="A424" s="496" t="s">
        <v>903</v>
      </c>
      <c r="B424" s="490">
        <v>903</v>
      </c>
      <c r="C424" s="492" t="s">
        <v>299</v>
      </c>
      <c r="D424" s="492" t="s">
        <v>150</v>
      </c>
      <c r="E424" s="492" t="s">
        <v>915</v>
      </c>
      <c r="F424" s="492"/>
      <c r="G424" s="497">
        <f>G425+G427+G429</f>
        <v>10804.8</v>
      </c>
      <c r="H424" s="497">
        <f>H425+H427+H429</f>
        <v>10804.8</v>
      </c>
      <c r="I424" s="204"/>
    </row>
    <row r="425" spans="1:9" ht="78.75" x14ac:dyDescent="0.25">
      <c r="A425" s="496" t="s">
        <v>127</v>
      </c>
      <c r="B425" s="490">
        <v>903</v>
      </c>
      <c r="C425" s="492" t="s">
        <v>299</v>
      </c>
      <c r="D425" s="492" t="s">
        <v>150</v>
      </c>
      <c r="E425" s="492" t="s">
        <v>915</v>
      </c>
      <c r="F425" s="492" t="s">
        <v>128</v>
      </c>
      <c r="G425" s="497">
        <f>G426</f>
        <v>8853.7999999999993</v>
      </c>
      <c r="H425" s="497">
        <f>H426</f>
        <v>8853.7999999999993</v>
      </c>
      <c r="I425" s="204"/>
    </row>
    <row r="426" spans="1:9" ht="24.75" customHeight="1" x14ac:dyDescent="0.25">
      <c r="A426" s="496" t="s">
        <v>342</v>
      </c>
      <c r="B426" s="490">
        <v>903</v>
      </c>
      <c r="C426" s="492" t="s">
        <v>299</v>
      </c>
      <c r="D426" s="492" t="s">
        <v>150</v>
      </c>
      <c r="E426" s="492" t="s">
        <v>915</v>
      </c>
      <c r="F426" s="492" t="s">
        <v>209</v>
      </c>
      <c r="G426" s="497">
        <v>8853.7999999999993</v>
      </c>
      <c r="H426" s="497">
        <f t="shared" si="37"/>
        <v>8853.7999999999993</v>
      </c>
      <c r="I426" s="204"/>
    </row>
    <row r="427" spans="1:9" ht="31.5" x14ac:dyDescent="0.25">
      <c r="A427" s="496" t="s">
        <v>131</v>
      </c>
      <c r="B427" s="490">
        <v>903</v>
      </c>
      <c r="C427" s="492" t="s">
        <v>299</v>
      </c>
      <c r="D427" s="492" t="s">
        <v>150</v>
      </c>
      <c r="E427" s="492" t="s">
        <v>915</v>
      </c>
      <c r="F427" s="492" t="s">
        <v>132</v>
      </c>
      <c r="G427" s="497">
        <f>G428</f>
        <v>1937</v>
      </c>
      <c r="H427" s="497">
        <f>H428</f>
        <v>1937</v>
      </c>
      <c r="I427" s="204"/>
    </row>
    <row r="428" spans="1:9" ht="31.5" x14ac:dyDescent="0.25">
      <c r="A428" s="496" t="s">
        <v>133</v>
      </c>
      <c r="B428" s="490">
        <v>903</v>
      </c>
      <c r="C428" s="492" t="s">
        <v>299</v>
      </c>
      <c r="D428" s="492" t="s">
        <v>150</v>
      </c>
      <c r="E428" s="492" t="s">
        <v>915</v>
      </c>
      <c r="F428" s="492" t="s">
        <v>134</v>
      </c>
      <c r="G428" s="497">
        <f>1937</f>
        <v>1937</v>
      </c>
      <c r="H428" s="497">
        <f t="shared" si="37"/>
        <v>1937</v>
      </c>
      <c r="I428" s="204"/>
    </row>
    <row r="429" spans="1:9" ht="15.75" x14ac:dyDescent="0.25">
      <c r="A429" s="496" t="s">
        <v>135</v>
      </c>
      <c r="B429" s="490">
        <v>903</v>
      </c>
      <c r="C429" s="492" t="s">
        <v>299</v>
      </c>
      <c r="D429" s="492" t="s">
        <v>150</v>
      </c>
      <c r="E429" s="492" t="s">
        <v>915</v>
      </c>
      <c r="F429" s="492" t="s">
        <v>145</v>
      </c>
      <c r="G429" s="497">
        <f>G430</f>
        <v>14</v>
      </c>
      <c r="H429" s="497">
        <f>H430</f>
        <v>14</v>
      </c>
      <c r="I429" s="204"/>
    </row>
    <row r="430" spans="1:9" ht="15.75" x14ac:dyDescent="0.25">
      <c r="A430" s="496" t="s">
        <v>568</v>
      </c>
      <c r="B430" s="490">
        <v>903</v>
      </c>
      <c r="C430" s="492" t="s">
        <v>299</v>
      </c>
      <c r="D430" s="492" t="s">
        <v>150</v>
      </c>
      <c r="E430" s="492" t="s">
        <v>915</v>
      </c>
      <c r="F430" s="492" t="s">
        <v>138</v>
      </c>
      <c r="G430" s="497">
        <f>14</f>
        <v>14</v>
      </c>
      <c r="H430" s="497">
        <f t="shared" si="37"/>
        <v>14</v>
      </c>
      <c r="I430" s="204"/>
    </row>
    <row r="431" spans="1:9" ht="47.25" x14ac:dyDescent="0.25">
      <c r="A431" s="496" t="s">
        <v>839</v>
      </c>
      <c r="B431" s="490">
        <v>903</v>
      </c>
      <c r="C431" s="492" t="s">
        <v>299</v>
      </c>
      <c r="D431" s="492" t="s">
        <v>150</v>
      </c>
      <c r="E431" s="492" t="s">
        <v>916</v>
      </c>
      <c r="F431" s="492"/>
      <c r="G431" s="497">
        <f>G432</f>
        <v>210</v>
      </c>
      <c r="H431" s="497">
        <f>H432</f>
        <v>210</v>
      </c>
      <c r="I431" s="204"/>
    </row>
    <row r="432" spans="1:9" ht="78.75" x14ac:dyDescent="0.25">
      <c r="A432" s="496" t="s">
        <v>127</v>
      </c>
      <c r="B432" s="490">
        <v>903</v>
      </c>
      <c r="C432" s="492" t="s">
        <v>299</v>
      </c>
      <c r="D432" s="492" t="s">
        <v>150</v>
      </c>
      <c r="E432" s="492" t="s">
        <v>916</v>
      </c>
      <c r="F432" s="492" t="s">
        <v>128</v>
      </c>
      <c r="G432" s="497">
        <f>G433</f>
        <v>210</v>
      </c>
      <c r="H432" s="497">
        <f>H433</f>
        <v>210</v>
      </c>
      <c r="I432" s="204"/>
    </row>
    <row r="433" spans="1:9" ht="25.5" customHeight="1" x14ac:dyDescent="0.25">
      <c r="A433" s="496" t="s">
        <v>342</v>
      </c>
      <c r="B433" s="490">
        <v>903</v>
      </c>
      <c r="C433" s="492" t="s">
        <v>299</v>
      </c>
      <c r="D433" s="492" t="s">
        <v>150</v>
      </c>
      <c r="E433" s="492" t="s">
        <v>916</v>
      </c>
      <c r="F433" s="492" t="s">
        <v>209</v>
      </c>
      <c r="G433" s="497">
        <f>210</f>
        <v>210</v>
      </c>
      <c r="H433" s="497">
        <f t="shared" si="37"/>
        <v>210</v>
      </c>
      <c r="I433" s="204"/>
    </row>
    <row r="434" spans="1:9" ht="47.25" x14ac:dyDescent="0.25">
      <c r="A434" s="494" t="s">
        <v>1366</v>
      </c>
      <c r="B434" s="491">
        <v>903</v>
      </c>
      <c r="C434" s="495" t="s">
        <v>299</v>
      </c>
      <c r="D434" s="495" t="s">
        <v>150</v>
      </c>
      <c r="E434" s="495" t="s">
        <v>344</v>
      </c>
      <c r="F434" s="495"/>
      <c r="G434" s="493">
        <f>G435</f>
        <v>260</v>
      </c>
      <c r="H434" s="493">
        <f>H435</f>
        <v>285</v>
      </c>
      <c r="I434" s="204"/>
    </row>
    <row r="435" spans="1:9" ht="33.950000000000003" customHeight="1" x14ac:dyDescent="0.25">
      <c r="A435" s="494" t="s">
        <v>1353</v>
      </c>
      <c r="B435" s="491">
        <v>903</v>
      </c>
      <c r="C435" s="495" t="s">
        <v>299</v>
      </c>
      <c r="D435" s="495" t="s">
        <v>150</v>
      </c>
      <c r="E435" s="495" t="s">
        <v>362</v>
      </c>
      <c r="F435" s="495"/>
      <c r="G435" s="493">
        <f t="shared" ref="G435:H436" si="38">G436</f>
        <v>260</v>
      </c>
      <c r="H435" s="493">
        <f t="shared" si="38"/>
        <v>285</v>
      </c>
      <c r="I435" s="204"/>
    </row>
    <row r="436" spans="1:9" ht="31.5" x14ac:dyDescent="0.25">
      <c r="A436" s="494" t="s">
        <v>997</v>
      </c>
      <c r="B436" s="491">
        <v>903</v>
      </c>
      <c r="C436" s="495" t="s">
        <v>299</v>
      </c>
      <c r="D436" s="495" t="s">
        <v>150</v>
      </c>
      <c r="E436" s="495" t="s">
        <v>1221</v>
      </c>
      <c r="F436" s="495"/>
      <c r="G436" s="493">
        <f t="shared" si="38"/>
        <v>260</v>
      </c>
      <c r="H436" s="493">
        <f t="shared" si="38"/>
        <v>285</v>
      </c>
      <c r="I436" s="204"/>
    </row>
    <row r="437" spans="1:9" ht="31.5" x14ac:dyDescent="0.25">
      <c r="A437" s="496" t="s">
        <v>996</v>
      </c>
      <c r="B437" s="490">
        <v>903</v>
      </c>
      <c r="C437" s="492" t="s">
        <v>299</v>
      </c>
      <c r="D437" s="492" t="s">
        <v>150</v>
      </c>
      <c r="E437" s="492" t="s">
        <v>1222</v>
      </c>
      <c r="F437" s="492"/>
      <c r="G437" s="497">
        <f>G438</f>
        <v>260</v>
      </c>
      <c r="H437" s="497">
        <f>H438</f>
        <v>285</v>
      </c>
      <c r="I437" s="204"/>
    </row>
    <row r="438" spans="1:9" ht="31.5" x14ac:dyDescent="0.25">
      <c r="A438" s="496" t="s">
        <v>131</v>
      </c>
      <c r="B438" s="490">
        <v>903</v>
      </c>
      <c r="C438" s="492" t="s">
        <v>299</v>
      </c>
      <c r="D438" s="492" t="s">
        <v>150</v>
      </c>
      <c r="E438" s="492" t="s">
        <v>1222</v>
      </c>
      <c r="F438" s="492" t="s">
        <v>132</v>
      </c>
      <c r="G438" s="497">
        <f>G439</f>
        <v>260</v>
      </c>
      <c r="H438" s="497">
        <f>H439</f>
        <v>285</v>
      </c>
      <c r="I438" s="204"/>
    </row>
    <row r="439" spans="1:9" ht="37.35" customHeight="1" x14ac:dyDescent="0.25">
      <c r="A439" s="496" t="s">
        <v>133</v>
      </c>
      <c r="B439" s="490">
        <v>903</v>
      </c>
      <c r="C439" s="492" t="s">
        <v>299</v>
      </c>
      <c r="D439" s="492" t="s">
        <v>150</v>
      </c>
      <c r="E439" s="492" t="s">
        <v>1222</v>
      </c>
      <c r="F439" s="492" t="s">
        <v>134</v>
      </c>
      <c r="G439" s="497">
        <f>260</f>
        <v>260</v>
      </c>
      <c r="H439" s="497">
        <v>285</v>
      </c>
      <c r="I439" s="204"/>
    </row>
    <row r="440" spans="1:9" ht="51" customHeight="1" x14ac:dyDescent="0.25">
      <c r="A440" s="34" t="s">
        <v>1434</v>
      </c>
      <c r="B440" s="491">
        <v>903</v>
      </c>
      <c r="C440" s="495" t="s">
        <v>299</v>
      </c>
      <c r="D440" s="495" t="s">
        <v>150</v>
      </c>
      <c r="E440" s="495" t="s">
        <v>324</v>
      </c>
      <c r="F440" s="495"/>
      <c r="G440" s="493">
        <f>G442</f>
        <v>0</v>
      </c>
      <c r="H440" s="493">
        <f>H441</f>
        <v>4</v>
      </c>
      <c r="I440" s="204"/>
    </row>
    <row r="441" spans="1:9" ht="59.1" customHeight="1" x14ac:dyDescent="0.25">
      <c r="A441" s="34" t="s">
        <v>1025</v>
      </c>
      <c r="B441" s="491">
        <v>903</v>
      </c>
      <c r="C441" s="495" t="s">
        <v>299</v>
      </c>
      <c r="D441" s="495" t="s">
        <v>150</v>
      </c>
      <c r="E441" s="495" t="s">
        <v>934</v>
      </c>
      <c r="F441" s="495"/>
      <c r="G441" s="493">
        <f>G444</f>
        <v>0</v>
      </c>
      <c r="H441" s="493">
        <f>H442</f>
        <v>4</v>
      </c>
      <c r="I441" s="204"/>
    </row>
    <row r="442" spans="1:9" ht="53.1" customHeight="1" x14ac:dyDescent="0.25">
      <c r="A442" s="31" t="s">
        <v>1080</v>
      </c>
      <c r="B442" s="490">
        <v>903</v>
      </c>
      <c r="C442" s="492" t="s">
        <v>299</v>
      </c>
      <c r="D442" s="492" t="s">
        <v>150</v>
      </c>
      <c r="E442" s="492" t="s">
        <v>1026</v>
      </c>
      <c r="F442" s="492"/>
      <c r="G442" s="497">
        <f>G443</f>
        <v>0</v>
      </c>
      <c r="H442" s="497">
        <f>H443</f>
        <v>4</v>
      </c>
      <c r="I442" s="204"/>
    </row>
    <row r="443" spans="1:9" ht="37.35" customHeight="1" x14ac:dyDescent="0.25">
      <c r="A443" s="496" t="s">
        <v>131</v>
      </c>
      <c r="B443" s="490">
        <v>903</v>
      </c>
      <c r="C443" s="492" t="s">
        <v>299</v>
      </c>
      <c r="D443" s="492" t="s">
        <v>150</v>
      </c>
      <c r="E443" s="492" t="s">
        <v>1026</v>
      </c>
      <c r="F443" s="492" t="s">
        <v>132</v>
      </c>
      <c r="G443" s="497">
        <f>G444</f>
        <v>0</v>
      </c>
      <c r="H443" s="497">
        <f>H444</f>
        <v>4</v>
      </c>
      <c r="I443" s="204"/>
    </row>
    <row r="444" spans="1:9" ht="37.35" customHeight="1" x14ac:dyDescent="0.25">
      <c r="A444" s="496" t="s">
        <v>133</v>
      </c>
      <c r="B444" s="490">
        <v>903</v>
      </c>
      <c r="C444" s="492" t="s">
        <v>299</v>
      </c>
      <c r="D444" s="492" t="s">
        <v>150</v>
      </c>
      <c r="E444" s="492" t="s">
        <v>1026</v>
      </c>
      <c r="F444" s="492" t="s">
        <v>134</v>
      </c>
      <c r="G444" s="497">
        <v>0</v>
      </c>
      <c r="H444" s="497">
        <v>4</v>
      </c>
      <c r="I444" s="204"/>
    </row>
    <row r="445" spans="1:9" ht="15.75" x14ac:dyDescent="0.25">
      <c r="A445" s="494" t="s">
        <v>243</v>
      </c>
      <c r="B445" s="491">
        <v>903</v>
      </c>
      <c r="C445" s="495" t="s">
        <v>244</v>
      </c>
      <c r="D445" s="495"/>
      <c r="E445" s="495"/>
      <c r="F445" s="495"/>
      <c r="G445" s="493">
        <f>G446</f>
        <v>2001.6100000000001</v>
      </c>
      <c r="H445" s="493">
        <f>H446</f>
        <v>2026.1100000000001</v>
      </c>
      <c r="I445" s="204"/>
    </row>
    <row r="446" spans="1:9" ht="15.75" x14ac:dyDescent="0.25">
      <c r="A446" s="494" t="s">
        <v>252</v>
      </c>
      <c r="B446" s="491">
        <v>903</v>
      </c>
      <c r="C446" s="495" t="s">
        <v>244</v>
      </c>
      <c r="D446" s="495" t="s">
        <v>215</v>
      </c>
      <c r="E446" s="495"/>
      <c r="F446" s="495"/>
      <c r="G446" s="493">
        <f>G447</f>
        <v>2001.6100000000001</v>
      </c>
      <c r="H446" s="493">
        <f>H447</f>
        <v>2026.1100000000001</v>
      </c>
      <c r="I446" s="204"/>
    </row>
    <row r="447" spans="1:9" ht="47.25" x14ac:dyDescent="0.25">
      <c r="A447" s="494" t="s">
        <v>1366</v>
      </c>
      <c r="B447" s="491">
        <v>903</v>
      </c>
      <c r="C447" s="495" t="s">
        <v>244</v>
      </c>
      <c r="D447" s="495" t="s">
        <v>215</v>
      </c>
      <c r="E447" s="495" t="s">
        <v>344</v>
      </c>
      <c r="F447" s="495"/>
      <c r="G447" s="493">
        <f>G448+G453</f>
        <v>2001.6100000000001</v>
      </c>
      <c r="H447" s="493">
        <f>H448+H453</f>
        <v>2026.1100000000001</v>
      </c>
      <c r="I447" s="204"/>
    </row>
    <row r="448" spans="1:9" ht="31.5" x14ac:dyDescent="0.25">
      <c r="A448" s="494" t="s">
        <v>352</v>
      </c>
      <c r="B448" s="491">
        <v>903</v>
      </c>
      <c r="C448" s="495" t="s">
        <v>244</v>
      </c>
      <c r="D448" s="495" t="s">
        <v>215</v>
      </c>
      <c r="E448" s="495" t="s">
        <v>353</v>
      </c>
      <c r="F448" s="495"/>
      <c r="G448" s="493">
        <f t="shared" ref="G448:H451" si="39">G449</f>
        <v>294.61</v>
      </c>
      <c r="H448" s="493">
        <f t="shared" si="39"/>
        <v>289.11</v>
      </c>
      <c r="I448" s="204"/>
    </row>
    <row r="449" spans="1:13" ht="31.5" x14ac:dyDescent="0.25">
      <c r="A449" s="494" t="s">
        <v>905</v>
      </c>
      <c r="B449" s="491">
        <v>903</v>
      </c>
      <c r="C449" s="495" t="s">
        <v>244</v>
      </c>
      <c r="D449" s="495" t="s">
        <v>215</v>
      </c>
      <c r="E449" s="495" t="s">
        <v>904</v>
      </c>
      <c r="F449" s="495"/>
      <c r="G449" s="493">
        <f t="shared" si="39"/>
        <v>294.61</v>
      </c>
      <c r="H449" s="493">
        <f t="shared" si="39"/>
        <v>289.11</v>
      </c>
      <c r="I449" s="204"/>
    </row>
    <row r="450" spans="1:13" ht="31.5" x14ac:dyDescent="0.25">
      <c r="A450" s="496" t="s">
        <v>824</v>
      </c>
      <c r="B450" s="490">
        <v>903</v>
      </c>
      <c r="C450" s="492" t="s">
        <v>244</v>
      </c>
      <c r="D450" s="492" t="s">
        <v>215</v>
      </c>
      <c r="E450" s="492" t="s">
        <v>906</v>
      </c>
      <c r="F450" s="492"/>
      <c r="G450" s="497">
        <f t="shared" si="39"/>
        <v>294.61</v>
      </c>
      <c r="H450" s="497">
        <f t="shared" si="39"/>
        <v>289.11</v>
      </c>
      <c r="I450" s="204"/>
    </row>
    <row r="451" spans="1:13" ht="21.2" customHeight="1" x14ac:dyDescent="0.25">
      <c r="A451" s="496" t="s">
        <v>248</v>
      </c>
      <c r="B451" s="490">
        <v>903</v>
      </c>
      <c r="C451" s="492" t="s">
        <v>244</v>
      </c>
      <c r="D451" s="492" t="s">
        <v>215</v>
      </c>
      <c r="E451" s="492" t="s">
        <v>906</v>
      </c>
      <c r="F451" s="492" t="s">
        <v>249</v>
      </c>
      <c r="G451" s="497">
        <f>G452</f>
        <v>294.61</v>
      </c>
      <c r="H451" s="497">
        <f t="shared" si="39"/>
        <v>289.11</v>
      </c>
      <c r="I451" s="204"/>
    </row>
    <row r="452" spans="1:13" ht="31.5" x14ac:dyDescent="0.25">
      <c r="A452" s="496" t="s">
        <v>250</v>
      </c>
      <c r="B452" s="490">
        <v>903</v>
      </c>
      <c r="C452" s="492" t="s">
        <v>244</v>
      </c>
      <c r="D452" s="492" t="s">
        <v>215</v>
      </c>
      <c r="E452" s="492" t="s">
        <v>906</v>
      </c>
      <c r="F452" s="492" t="s">
        <v>251</v>
      </c>
      <c r="G452" s="497">
        <f>267.8+26.81</f>
        <v>294.61</v>
      </c>
      <c r="H452" s="497">
        <f>262.8+26.31</f>
        <v>289.11</v>
      </c>
      <c r="I452" s="204"/>
      <c r="L452" s="487">
        <v>26.81</v>
      </c>
      <c r="M452" s="487">
        <v>26.31</v>
      </c>
    </row>
    <row r="453" spans="1:13" ht="31.5" x14ac:dyDescent="0.25">
      <c r="A453" s="494" t="s">
        <v>355</v>
      </c>
      <c r="B453" s="491">
        <v>903</v>
      </c>
      <c r="C453" s="491">
        <v>10</v>
      </c>
      <c r="D453" s="495" t="s">
        <v>215</v>
      </c>
      <c r="E453" s="495" t="s">
        <v>362</v>
      </c>
      <c r="F453" s="495"/>
      <c r="G453" s="493">
        <f>G455+G458+G464</f>
        <v>1707</v>
      </c>
      <c r="H453" s="493">
        <f>H455+H458+H464</f>
        <v>1737</v>
      </c>
      <c r="I453" s="204"/>
    </row>
    <row r="454" spans="1:13" ht="31.5" x14ac:dyDescent="0.25">
      <c r="A454" s="494" t="s">
        <v>1038</v>
      </c>
      <c r="B454" s="491">
        <v>903</v>
      </c>
      <c r="C454" s="491">
        <v>10</v>
      </c>
      <c r="D454" s="495" t="s">
        <v>215</v>
      </c>
      <c r="E454" s="495" t="s">
        <v>913</v>
      </c>
      <c r="F454" s="495"/>
      <c r="G454" s="493">
        <f t="shared" ref="G454:H456" si="40">G455</f>
        <v>630</v>
      </c>
      <c r="H454" s="493">
        <f t="shared" si="40"/>
        <v>630</v>
      </c>
      <c r="I454" s="204"/>
    </row>
    <row r="455" spans="1:13" ht="47.25" x14ac:dyDescent="0.25">
      <c r="A455" s="98" t="s">
        <v>1039</v>
      </c>
      <c r="B455" s="490">
        <v>903</v>
      </c>
      <c r="C455" s="492" t="s">
        <v>244</v>
      </c>
      <c r="D455" s="492" t="s">
        <v>215</v>
      </c>
      <c r="E455" s="492" t="s">
        <v>1224</v>
      </c>
      <c r="F455" s="492"/>
      <c r="G455" s="497">
        <f t="shared" si="40"/>
        <v>630</v>
      </c>
      <c r="H455" s="497">
        <f t="shared" si="40"/>
        <v>630</v>
      </c>
      <c r="I455" s="204"/>
    </row>
    <row r="456" spans="1:13" ht="22.7" customHeight="1" x14ac:dyDescent="0.25">
      <c r="A456" s="496" t="s">
        <v>248</v>
      </c>
      <c r="B456" s="490">
        <v>903</v>
      </c>
      <c r="C456" s="492" t="s">
        <v>244</v>
      </c>
      <c r="D456" s="492" t="s">
        <v>215</v>
      </c>
      <c r="E456" s="492" t="s">
        <v>1224</v>
      </c>
      <c r="F456" s="492" t="s">
        <v>249</v>
      </c>
      <c r="G456" s="497">
        <f t="shared" si="40"/>
        <v>630</v>
      </c>
      <c r="H456" s="497">
        <f t="shared" si="40"/>
        <v>630</v>
      </c>
      <c r="I456" s="204"/>
    </row>
    <row r="457" spans="1:13" ht="31.5" x14ac:dyDescent="0.25">
      <c r="A457" s="496" t="s">
        <v>348</v>
      </c>
      <c r="B457" s="490">
        <v>903</v>
      </c>
      <c r="C457" s="492" t="s">
        <v>244</v>
      </c>
      <c r="D457" s="492" t="s">
        <v>215</v>
      </c>
      <c r="E457" s="492" t="s">
        <v>1224</v>
      </c>
      <c r="F457" s="492" t="s">
        <v>349</v>
      </c>
      <c r="G457" s="497">
        <v>630</v>
      </c>
      <c r="H457" s="497">
        <f t="shared" si="37"/>
        <v>630</v>
      </c>
      <c r="I457" s="204"/>
    </row>
    <row r="458" spans="1:13" ht="31.5" x14ac:dyDescent="0.25">
      <c r="A458" s="494" t="s">
        <v>1228</v>
      </c>
      <c r="B458" s="491">
        <v>903</v>
      </c>
      <c r="C458" s="491">
        <v>10</v>
      </c>
      <c r="D458" s="495" t="s">
        <v>215</v>
      </c>
      <c r="E458" s="495" t="s">
        <v>1226</v>
      </c>
      <c r="F458" s="495"/>
      <c r="G458" s="493">
        <f>G459+G462</f>
        <v>657</v>
      </c>
      <c r="H458" s="493">
        <f>H459+H462</f>
        <v>657</v>
      </c>
      <c r="I458" s="204"/>
    </row>
    <row r="459" spans="1:13" ht="31.5" x14ac:dyDescent="0.25">
      <c r="A459" s="496" t="s">
        <v>1225</v>
      </c>
      <c r="B459" s="490">
        <v>903</v>
      </c>
      <c r="C459" s="492" t="s">
        <v>244</v>
      </c>
      <c r="D459" s="492" t="s">
        <v>215</v>
      </c>
      <c r="E459" s="492" t="s">
        <v>1227</v>
      </c>
      <c r="F459" s="492"/>
      <c r="G459" s="497">
        <f>G460</f>
        <v>400</v>
      </c>
      <c r="H459" s="497">
        <f>H460</f>
        <v>400</v>
      </c>
      <c r="I459" s="204"/>
    </row>
    <row r="460" spans="1:13" ht="31.5" x14ac:dyDescent="0.25">
      <c r="A460" s="496" t="s">
        <v>131</v>
      </c>
      <c r="B460" s="490">
        <v>903</v>
      </c>
      <c r="C460" s="492" t="s">
        <v>244</v>
      </c>
      <c r="D460" s="492" t="s">
        <v>215</v>
      </c>
      <c r="E460" s="492" t="s">
        <v>1227</v>
      </c>
      <c r="F460" s="492" t="s">
        <v>132</v>
      </c>
      <c r="G460" s="497">
        <f>G461</f>
        <v>400</v>
      </c>
      <c r="H460" s="497">
        <f>H461</f>
        <v>400</v>
      </c>
      <c r="I460" s="204"/>
    </row>
    <row r="461" spans="1:13" ht="31.5" x14ac:dyDescent="0.25">
      <c r="A461" s="496" t="s">
        <v>133</v>
      </c>
      <c r="B461" s="490">
        <v>903</v>
      </c>
      <c r="C461" s="492" t="s">
        <v>244</v>
      </c>
      <c r="D461" s="492" t="s">
        <v>215</v>
      </c>
      <c r="E461" s="492" t="s">
        <v>1227</v>
      </c>
      <c r="F461" s="492" t="s">
        <v>134</v>
      </c>
      <c r="G461" s="497">
        <v>400</v>
      </c>
      <c r="H461" s="497">
        <f t="shared" si="37"/>
        <v>400</v>
      </c>
      <c r="I461" s="204"/>
    </row>
    <row r="462" spans="1:13" ht="31.5" x14ac:dyDescent="0.25">
      <c r="A462" s="496" t="s">
        <v>248</v>
      </c>
      <c r="B462" s="490">
        <v>903</v>
      </c>
      <c r="C462" s="492" t="s">
        <v>244</v>
      </c>
      <c r="D462" s="492" t="s">
        <v>215</v>
      </c>
      <c r="E462" s="492" t="s">
        <v>1227</v>
      </c>
      <c r="F462" s="492" t="s">
        <v>249</v>
      </c>
      <c r="G462" s="497">
        <f>G463</f>
        <v>257</v>
      </c>
      <c r="H462" s="497">
        <f>H463</f>
        <v>257</v>
      </c>
      <c r="I462" s="204"/>
    </row>
    <row r="463" spans="1:13" ht="31.5" x14ac:dyDescent="0.25">
      <c r="A463" s="496" t="s">
        <v>348</v>
      </c>
      <c r="B463" s="490">
        <v>903</v>
      </c>
      <c r="C463" s="492" t="s">
        <v>244</v>
      </c>
      <c r="D463" s="492" t="s">
        <v>215</v>
      </c>
      <c r="E463" s="492" t="s">
        <v>1227</v>
      </c>
      <c r="F463" s="492" t="s">
        <v>349</v>
      </c>
      <c r="G463" s="497">
        <v>257</v>
      </c>
      <c r="H463" s="497">
        <f t="shared" si="37"/>
        <v>257</v>
      </c>
      <c r="I463" s="204"/>
    </row>
    <row r="464" spans="1:13" ht="31.5" x14ac:dyDescent="0.25">
      <c r="A464" s="494" t="s">
        <v>997</v>
      </c>
      <c r="B464" s="491">
        <v>903</v>
      </c>
      <c r="C464" s="491">
        <v>10</v>
      </c>
      <c r="D464" s="495" t="s">
        <v>215</v>
      </c>
      <c r="E464" s="495" t="s">
        <v>1221</v>
      </c>
      <c r="F464" s="495"/>
      <c r="G464" s="493">
        <f>G465</f>
        <v>420</v>
      </c>
      <c r="H464" s="493">
        <f t="shared" ref="H464:H466" si="41">H465</f>
        <v>450</v>
      </c>
      <c r="I464" s="204"/>
    </row>
    <row r="465" spans="1:9" ht="15.75" x14ac:dyDescent="0.25">
      <c r="A465" s="496" t="s">
        <v>1036</v>
      </c>
      <c r="B465" s="490">
        <v>903</v>
      </c>
      <c r="C465" s="492" t="s">
        <v>244</v>
      </c>
      <c r="D465" s="492" t="s">
        <v>215</v>
      </c>
      <c r="E465" s="492" t="s">
        <v>1223</v>
      </c>
      <c r="F465" s="492"/>
      <c r="G465" s="497">
        <f>G466</f>
        <v>420</v>
      </c>
      <c r="H465" s="497">
        <f t="shared" si="41"/>
        <v>450</v>
      </c>
      <c r="I465" s="204"/>
    </row>
    <row r="466" spans="1:9" ht="17.45" customHeight="1" x14ac:dyDescent="0.25">
      <c r="A466" s="496" t="s">
        <v>248</v>
      </c>
      <c r="B466" s="490">
        <v>903</v>
      </c>
      <c r="C466" s="492" t="s">
        <v>244</v>
      </c>
      <c r="D466" s="492" t="s">
        <v>215</v>
      </c>
      <c r="E466" s="492" t="s">
        <v>1223</v>
      </c>
      <c r="F466" s="492" t="s">
        <v>249</v>
      </c>
      <c r="G466" s="497">
        <f>G467</f>
        <v>420</v>
      </c>
      <c r="H466" s="497">
        <f t="shared" si="41"/>
        <v>450</v>
      </c>
      <c r="I466" s="204"/>
    </row>
    <row r="467" spans="1:9" ht="31.5" x14ac:dyDescent="0.25">
      <c r="A467" s="496" t="s">
        <v>348</v>
      </c>
      <c r="B467" s="490">
        <v>903</v>
      </c>
      <c r="C467" s="492" t="s">
        <v>244</v>
      </c>
      <c r="D467" s="492" t="s">
        <v>215</v>
      </c>
      <c r="E467" s="492" t="s">
        <v>1223</v>
      </c>
      <c r="F467" s="492" t="s">
        <v>349</v>
      </c>
      <c r="G467" s="497">
        <v>420</v>
      </c>
      <c r="H467" s="497">
        <v>450</v>
      </c>
      <c r="I467" s="204"/>
    </row>
    <row r="468" spans="1:9" ht="15.75" x14ac:dyDescent="0.25">
      <c r="A468" s="494" t="s">
        <v>582</v>
      </c>
      <c r="B468" s="491">
        <v>903</v>
      </c>
      <c r="C468" s="495" t="s">
        <v>238</v>
      </c>
      <c r="D468" s="492"/>
      <c r="E468" s="492"/>
      <c r="F468" s="492"/>
      <c r="G468" s="493">
        <f>G469</f>
        <v>5873.2</v>
      </c>
      <c r="H468" s="493">
        <f>H469</f>
        <v>5876.2</v>
      </c>
      <c r="I468" s="204"/>
    </row>
    <row r="469" spans="1:9" ht="15.75" x14ac:dyDescent="0.25">
      <c r="A469" s="494" t="s">
        <v>583</v>
      </c>
      <c r="B469" s="491">
        <v>903</v>
      </c>
      <c r="C469" s="495" t="s">
        <v>238</v>
      </c>
      <c r="D469" s="495" t="s">
        <v>213</v>
      </c>
      <c r="E469" s="495"/>
      <c r="F469" s="495"/>
      <c r="G469" s="493">
        <f>G470+G483</f>
        <v>5873.2</v>
      </c>
      <c r="H469" s="493">
        <f>H470+H483</f>
        <v>5876.2</v>
      </c>
      <c r="I469" s="204"/>
    </row>
    <row r="470" spans="1:9" ht="31.5" x14ac:dyDescent="0.25">
      <c r="A470" s="494" t="s">
        <v>1351</v>
      </c>
      <c r="B470" s="491">
        <v>903</v>
      </c>
      <c r="C470" s="495" t="s">
        <v>238</v>
      </c>
      <c r="D470" s="495" t="s">
        <v>213</v>
      </c>
      <c r="E470" s="495" t="s">
        <v>267</v>
      </c>
      <c r="F470" s="495"/>
      <c r="G470" s="493">
        <f>G471+G479</f>
        <v>5798.3</v>
      </c>
      <c r="H470" s="493">
        <f>H471+H479</f>
        <v>5798.3</v>
      </c>
      <c r="I470" s="204"/>
    </row>
    <row r="471" spans="1:9" ht="31.5" x14ac:dyDescent="0.25">
      <c r="A471" s="494" t="s">
        <v>1300</v>
      </c>
      <c r="B471" s="491">
        <v>903</v>
      </c>
      <c r="C471" s="495" t="s">
        <v>238</v>
      </c>
      <c r="D471" s="495" t="s">
        <v>213</v>
      </c>
      <c r="E471" s="495" t="s">
        <v>1203</v>
      </c>
      <c r="F471" s="495"/>
      <c r="G471" s="493">
        <f>G472</f>
        <v>5522.3</v>
      </c>
      <c r="H471" s="493">
        <f>H472</f>
        <v>5522.3</v>
      </c>
      <c r="I471" s="204"/>
    </row>
    <row r="472" spans="1:9" ht="15.75" x14ac:dyDescent="0.25">
      <c r="A472" s="496" t="s">
        <v>801</v>
      </c>
      <c r="B472" s="490">
        <v>903</v>
      </c>
      <c r="C472" s="492" t="s">
        <v>238</v>
      </c>
      <c r="D472" s="492" t="s">
        <v>213</v>
      </c>
      <c r="E472" s="492" t="s">
        <v>1204</v>
      </c>
      <c r="F472" s="492"/>
      <c r="G472" s="497">
        <f>G473+G475+G477</f>
        <v>5522.3</v>
      </c>
      <c r="H472" s="497">
        <f>H473+H475+H477</f>
        <v>5522.3</v>
      </c>
      <c r="I472" s="204"/>
    </row>
    <row r="473" spans="1:9" ht="78.75" x14ac:dyDescent="0.25">
      <c r="A473" s="496" t="s">
        <v>127</v>
      </c>
      <c r="B473" s="490">
        <v>903</v>
      </c>
      <c r="C473" s="492" t="s">
        <v>238</v>
      </c>
      <c r="D473" s="492" t="s">
        <v>213</v>
      </c>
      <c r="E473" s="492" t="s">
        <v>1204</v>
      </c>
      <c r="F473" s="492" t="s">
        <v>128</v>
      </c>
      <c r="G473" s="497">
        <f>G474</f>
        <v>4897.2</v>
      </c>
      <c r="H473" s="497">
        <f>H474</f>
        <v>4897.2</v>
      </c>
      <c r="I473" s="204"/>
    </row>
    <row r="474" spans="1:9" ht="15.75" x14ac:dyDescent="0.25">
      <c r="A474" s="496" t="s">
        <v>208</v>
      </c>
      <c r="B474" s="490">
        <v>903</v>
      </c>
      <c r="C474" s="492" t="s">
        <v>238</v>
      </c>
      <c r="D474" s="492" t="s">
        <v>213</v>
      </c>
      <c r="E474" s="492" t="s">
        <v>1204</v>
      </c>
      <c r="F474" s="492" t="s">
        <v>209</v>
      </c>
      <c r="G474" s="27">
        <v>4897.2</v>
      </c>
      <c r="H474" s="27">
        <f>G474</f>
        <v>4897.2</v>
      </c>
      <c r="I474" s="204"/>
    </row>
    <row r="475" spans="1:9" ht="31.5" x14ac:dyDescent="0.25">
      <c r="A475" s="496" t="s">
        <v>131</v>
      </c>
      <c r="B475" s="490">
        <v>903</v>
      </c>
      <c r="C475" s="492" t="s">
        <v>238</v>
      </c>
      <c r="D475" s="492" t="s">
        <v>213</v>
      </c>
      <c r="E475" s="492" t="s">
        <v>1204</v>
      </c>
      <c r="F475" s="492" t="s">
        <v>132</v>
      </c>
      <c r="G475" s="497">
        <f>G476</f>
        <v>595.1</v>
      </c>
      <c r="H475" s="497">
        <f>H476</f>
        <v>595.1</v>
      </c>
      <c r="I475" s="204"/>
    </row>
    <row r="476" spans="1:9" ht="33.4" customHeight="1" x14ac:dyDescent="0.25">
      <c r="A476" s="496" t="s">
        <v>133</v>
      </c>
      <c r="B476" s="490">
        <v>903</v>
      </c>
      <c r="C476" s="492" t="s">
        <v>238</v>
      </c>
      <c r="D476" s="492" t="s">
        <v>213</v>
      </c>
      <c r="E476" s="492" t="s">
        <v>1204</v>
      </c>
      <c r="F476" s="492" t="s">
        <v>134</v>
      </c>
      <c r="G476" s="27">
        <v>595.1</v>
      </c>
      <c r="H476" s="27">
        <f>G476</f>
        <v>595.1</v>
      </c>
      <c r="I476" s="204"/>
    </row>
    <row r="477" spans="1:9" ht="15.75" x14ac:dyDescent="0.25">
      <c r="A477" s="496" t="s">
        <v>135</v>
      </c>
      <c r="B477" s="490">
        <v>903</v>
      </c>
      <c r="C477" s="492" t="s">
        <v>238</v>
      </c>
      <c r="D477" s="492" t="s">
        <v>213</v>
      </c>
      <c r="E477" s="492" t="s">
        <v>1204</v>
      </c>
      <c r="F477" s="492" t="s">
        <v>145</v>
      </c>
      <c r="G477" s="497">
        <f>G478</f>
        <v>30</v>
      </c>
      <c r="H477" s="497">
        <f>H478</f>
        <v>30</v>
      </c>
      <c r="I477" s="204"/>
    </row>
    <row r="478" spans="1:9" ht="15.75" x14ac:dyDescent="0.25">
      <c r="A478" s="496" t="s">
        <v>568</v>
      </c>
      <c r="B478" s="490">
        <v>903</v>
      </c>
      <c r="C478" s="492" t="s">
        <v>238</v>
      </c>
      <c r="D478" s="492" t="s">
        <v>213</v>
      </c>
      <c r="E478" s="492" t="s">
        <v>1204</v>
      </c>
      <c r="F478" s="492" t="s">
        <v>138</v>
      </c>
      <c r="G478" s="497">
        <v>30</v>
      </c>
      <c r="H478" s="497">
        <f>G478</f>
        <v>30</v>
      </c>
      <c r="I478" s="204"/>
    </row>
    <row r="479" spans="1:9" ht="31.5" x14ac:dyDescent="0.25">
      <c r="A479" s="494" t="s">
        <v>947</v>
      </c>
      <c r="B479" s="491">
        <v>903</v>
      </c>
      <c r="C479" s="495" t="s">
        <v>238</v>
      </c>
      <c r="D479" s="495" t="s">
        <v>213</v>
      </c>
      <c r="E479" s="495" t="s">
        <v>1208</v>
      </c>
      <c r="F479" s="495"/>
      <c r="G479" s="493">
        <f t="shared" ref="G479:H481" si="42">G480</f>
        <v>276</v>
      </c>
      <c r="H479" s="493">
        <f t="shared" si="42"/>
        <v>276</v>
      </c>
      <c r="I479" s="204"/>
    </row>
    <row r="480" spans="1:9" ht="47.25" x14ac:dyDescent="0.25">
      <c r="A480" s="496" t="s">
        <v>839</v>
      </c>
      <c r="B480" s="490">
        <v>903</v>
      </c>
      <c r="C480" s="492" t="s">
        <v>238</v>
      </c>
      <c r="D480" s="492" t="s">
        <v>213</v>
      </c>
      <c r="E480" s="492" t="s">
        <v>1209</v>
      </c>
      <c r="F480" s="492"/>
      <c r="G480" s="497">
        <f t="shared" si="42"/>
        <v>276</v>
      </c>
      <c r="H480" s="497">
        <f t="shared" si="42"/>
        <v>276</v>
      </c>
      <c r="I480" s="204"/>
    </row>
    <row r="481" spans="1:9" ht="78.75" x14ac:dyDescent="0.25">
      <c r="A481" s="496" t="s">
        <v>127</v>
      </c>
      <c r="B481" s="490">
        <v>903</v>
      </c>
      <c r="C481" s="492" t="s">
        <v>238</v>
      </c>
      <c r="D481" s="492" t="s">
        <v>213</v>
      </c>
      <c r="E481" s="492" t="s">
        <v>1209</v>
      </c>
      <c r="F481" s="492" t="s">
        <v>128</v>
      </c>
      <c r="G481" s="497">
        <f t="shared" si="42"/>
        <v>276</v>
      </c>
      <c r="H481" s="497">
        <f t="shared" si="42"/>
        <v>276</v>
      </c>
      <c r="I481" s="204"/>
    </row>
    <row r="482" spans="1:9" ht="15.75" x14ac:dyDescent="0.25">
      <c r="A482" s="496" t="s">
        <v>208</v>
      </c>
      <c r="B482" s="490">
        <v>903</v>
      </c>
      <c r="C482" s="492" t="s">
        <v>238</v>
      </c>
      <c r="D482" s="492" t="s">
        <v>213</v>
      </c>
      <c r="E482" s="492" t="s">
        <v>1209</v>
      </c>
      <c r="F482" s="492" t="s">
        <v>209</v>
      </c>
      <c r="G482" s="497">
        <v>276</v>
      </c>
      <c r="H482" s="497">
        <f>G482</f>
        <v>276</v>
      </c>
      <c r="I482" s="204"/>
    </row>
    <row r="483" spans="1:9" ht="47.25" x14ac:dyDescent="0.25">
      <c r="A483" s="500" t="s">
        <v>1352</v>
      </c>
      <c r="B483" s="491">
        <v>903</v>
      </c>
      <c r="C483" s="495" t="s">
        <v>238</v>
      </c>
      <c r="D483" s="495" t="s">
        <v>213</v>
      </c>
      <c r="E483" s="495" t="s">
        <v>705</v>
      </c>
      <c r="F483" s="504"/>
      <c r="G483" s="493">
        <f>G485</f>
        <v>74.900000000000006</v>
      </c>
      <c r="H483" s="493">
        <f>H485</f>
        <v>77.900000000000006</v>
      </c>
      <c r="I483" s="204"/>
    </row>
    <row r="484" spans="1:9" ht="47.25" x14ac:dyDescent="0.25">
      <c r="A484" s="500" t="s">
        <v>890</v>
      </c>
      <c r="B484" s="491">
        <v>903</v>
      </c>
      <c r="C484" s="495" t="s">
        <v>238</v>
      </c>
      <c r="D484" s="495" t="s">
        <v>213</v>
      </c>
      <c r="E484" s="495" t="s">
        <v>888</v>
      </c>
      <c r="F484" s="504"/>
      <c r="G484" s="493">
        <f t="shared" ref="G484:H486" si="43">G485</f>
        <v>74.900000000000006</v>
      </c>
      <c r="H484" s="493">
        <f t="shared" si="43"/>
        <v>77.900000000000006</v>
      </c>
      <c r="I484" s="204"/>
    </row>
    <row r="485" spans="1:9" ht="29.25" customHeight="1" x14ac:dyDescent="0.25">
      <c r="A485" s="98" t="s">
        <v>1004</v>
      </c>
      <c r="B485" s="490">
        <v>903</v>
      </c>
      <c r="C485" s="492" t="s">
        <v>238</v>
      </c>
      <c r="D485" s="492" t="s">
        <v>213</v>
      </c>
      <c r="E485" s="492" t="s">
        <v>889</v>
      </c>
      <c r="F485" s="498"/>
      <c r="G485" s="497">
        <f t="shared" si="43"/>
        <v>74.900000000000006</v>
      </c>
      <c r="H485" s="497">
        <f t="shared" si="43"/>
        <v>77.900000000000006</v>
      </c>
      <c r="I485" s="204"/>
    </row>
    <row r="486" spans="1:9" ht="31.5" x14ac:dyDescent="0.25">
      <c r="A486" s="496" t="s">
        <v>131</v>
      </c>
      <c r="B486" s="490">
        <v>903</v>
      </c>
      <c r="C486" s="492" t="s">
        <v>238</v>
      </c>
      <c r="D486" s="492" t="s">
        <v>213</v>
      </c>
      <c r="E486" s="492" t="s">
        <v>889</v>
      </c>
      <c r="F486" s="498" t="s">
        <v>132</v>
      </c>
      <c r="G486" s="497">
        <f t="shared" si="43"/>
        <v>74.900000000000006</v>
      </c>
      <c r="H486" s="497">
        <f t="shared" si="43"/>
        <v>77.900000000000006</v>
      </c>
      <c r="I486" s="204"/>
    </row>
    <row r="487" spans="1:9" ht="30.6" customHeight="1" x14ac:dyDescent="0.25">
      <c r="A487" s="496" t="s">
        <v>133</v>
      </c>
      <c r="B487" s="490">
        <v>903</v>
      </c>
      <c r="C487" s="492" t="s">
        <v>238</v>
      </c>
      <c r="D487" s="492" t="s">
        <v>213</v>
      </c>
      <c r="E487" s="492" t="s">
        <v>889</v>
      </c>
      <c r="F487" s="498" t="s">
        <v>134</v>
      </c>
      <c r="G487" s="497">
        <v>74.900000000000006</v>
      </c>
      <c r="H487" s="497">
        <v>77.900000000000006</v>
      </c>
      <c r="I487" s="204"/>
    </row>
    <row r="488" spans="1:9" ht="47.25" x14ac:dyDescent="0.25">
      <c r="A488" s="491" t="s">
        <v>387</v>
      </c>
      <c r="B488" s="491">
        <v>905</v>
      </c>
      <c r="C488" s="492"/>
      <c r="D488" s="492"/>
      <c r="E488" s="492"/>
      <c r="F488" s="492"/>
      <c r="G488" s="493">
        <f>G489+G521+G531</f>
        <v>20108.5</v>
      </c>
      <c r="H488" s="493">
        <f>H489+H521+H531</f>
        <v>28442.600000000002</v>
      </c>
      <c r="I488" s="204"/>
    </row>
    <row r="489" spans="1:9" ht="15.75" x14ac:dyDescent="0.25">
      <c r="A489" s="494" t="s">
        <v>117</v>
      </c>
      <c r="B489" s="491">
        <v>905</v>
      </c>
      <c r="C489" s="495" t="s">
        <v>118</v>
      </c>
      <c r="D489" s="492"/>
      <c r="E489" s="492"/>
      <c r="F489" s="492"/>
      <c r="G489" s="493">
        <f>G490+G507</f>
        <v>17369</v>
      </c>
      <c r="H489" s="493">
        <f>H490+H507</f>
        <v>17369</v>
      </c>
      <c r="I489" s="204"/>
    </row>
    <row r="490" spans="1:9" ht="63" x14ac:dyDescent="0.25">
      <c r="A490" s="494" t="s">
        <v>149</v>
      </c>
      <c r="B490" s="491">
        <v>905</v>
      </c>
      <c r="C490" s="495" t="s">
        <v>118</v>
      </c>
      <c r="D490" s="495" t="s">
        <v>150</v>
      </c>
      <c r="E490" s="495"/>
      <c r="F490" s="495"/>
      <c r="G490" s="493">
        <f>G491</f>
        <v>12166.9</v>
      </c>
      <c r="H490" s="493">
        <f>H491</f>
        <v>12166.9</v>
      </c>
      <c r="I490" s="204"/>
    </row>
    <row r="491" spans="1:9" ht="31.5" x14ac:dyDescent="0.25">
      <c r="A491" s="494" t="s">
        <v>917</v>
      </c>
      <c r="B491" s="491">
        <v>905</v>
      </c>
      <c r="C491" s="495" t="s">
        <v>118</v>
      </c>
      <c r="D491" s="495" t="s">
        <v>150</v>
      </c>
      <c r="E491" s="495" t="s">
        <v>858</v>
      </c>
      <c r="F491" s="495"/>
      <c r="G491" s="493">
        <f>G492+G503</f>
        <v>12166.9</v>
      </c>
      <c r="H491" s="493">
        <f>H492+H503</f>
        <v>12166.9</v>
      </c>
      <c r="I491" s="204"/>
    </row>
    <row r="492" spans="1:9" ht="15.75" x14ac:dyDescent="0.25">
      <c r="A492" s="494" t="s">
        <v>918</v>
      </c>
      <c r="B492" s="491">
        <v>905</v>
      </c>
      <c r="C492" s="495" t="s">
        <v>118</v>
      </c>
      <c r="D492" s="495" t="s">
        <v>150</v>
      </c>
      <c r="E492" s="495" t="s">
        <v>859</v>
      </c>
      <c r="F492" s="495"/>
      <c r="G492" s="493">
        <f>G493+G500</f>
        <v>12144.6</v>
      </c>
      <c r="H492" s="493">
        <f>H493+H500</f>
        <v>12144.6</v>
      </c>
      <c r="I492" s="204"/>
    </row>
    <row r="493" spans="1:9" ht="31.5" x14ac:dyDescent="0.25">
      <c r="A493" s="496" t="s">
        <v>897</v>
      </c>
      <c r="B493" s="490">
        <v>905</v>
      </c>
      <c r="C493" s="492" t="s">
        <v>118</v>
      </c>
      <c r="D493" s="492" t="s">
        <v>150</v>
      </c>
      <c r="E493" s="492" t="s">
        <v>860</v>
      </c>
      <c r="F493" s="492"/>
      <c r="G493" s="497">
        <f>G494+G496+G498</f>
        <v>11682.6</v>
      </c>
      <c r="H493" s="497">
        <f>H494+H496+H498</f>
        <v>11682.6</v>
      </c>
      <c r="I493" s="204"/>
    </row>
    <row r="494" spans="1:9" ht="78.75" x14ac:dyDescent="0.25">
      <c r="A494" s="496" t="s">
        <v>127</v>
      </c>
      <c r="B494" s="490">
        <v>905</v>
      </c>
      <c r="C494" s="492" t="s">
        <v>118</v>
      </c>
      <c r="D494" s="492" t="s">
        <v>150</v>
      </c>
      <c r="E494" s="492" t="s">
        <v>860</v>
      </c>
      <c r="F494" s="492" t="s">
        <v>128</v>
      </c>
      <c r="G494" s="497">
        <f>G495</f>
        <v>11111.6</v>
      </c>
      <c r="H494" s="497">
        <f>H495</f>
        <v>11111.6</v>
      </c>
      <c r="I494" s="204"/>
    </row>
    <row r="495" spans="1:9" ht="31.5" x14ac:dyDescent="0.25">
      <c r="A495" s="496" t="s">
        <v>129</v>
      </c>
      <c r="B495" s="490">
        <v>905</v>
      </c>
      <c r="C495" s="492" t="s">
        <v>118</v>
      </c>
      <c r="D495" s="492" t="s">
        <v>150</v>
      </c>
      <c r="E495" s="492" t="s">
        <v>860</v>
      </c>
      <c r="F495" s="492" t="s">
        <v>130</v>
      </c>
      <c r="G495" s="497">
        <v>11111.6</v>
      </c>
      <c r="H495" s="497">
        <f t="shared" si="37"/>
        <v>11111.6</v>
      </c>
      <c r="I495" s="204"/>
    </row>
    <row r="496" spans="1:9" ht="31.5" x14ac:dyDescent="0.25">
      <c r="A496" s="496" t="s">
        <v>131</v>
      </c>
      <c r="B496" s="490">
        <v>905</v>
      </c>
      <c r="C496" s="492" t="s">
        <v>118</v>
      </c>
      <c r="D496" s="492" t="s">
        <v>150</v>
      </c>
      <c r="E496" s="492" t="s">
        <v>860</v>
      </c>
      <c r="F496" s="492" t="s">
        <v>132</v>
      </c>
      <c r="G496" s="497">
        <f>G497</f>
        <v>440</v>
      </c>
      <c r="H496" s="497">
        <f>H497</f>
        <v>440</v>
      </c>
      <c r="I496" s="204"/>
    </row>
    <row r="497" spans="1:9" ht="31.5" x14ac:dyDescent="0.25">
      <c r="A497" s="496" t="s">
        <v>133</v>
      </c>
      <c r="B497" s="490">
        <v>905</v>
      </c>
      <c r="C497" s="492" t="s">
        <v>118</v>
      </c>
      <c r="D497" s="492" t="s">
        <v>150</v>
      </c>
      <c r="E497" s="492" t="s">
        <v>860</v>
      </c>
      <c r="F497" s="492" t="s">
        <v>134</v>
      </c>
      <c r="G497" s="497">
        <f>440</f>
        <v>440</v>
      </c>
      <c r="H497" s="497">
        <f t="shared" si="37"/>
        <v>440</v>
      </c>
      <c r="I497" s="204"/>
    </row>
    <row r="498" spans="1:9" ht="15.75" x14ac:dyDescent="0.25">
      <c r="A498" s="496" t="s">
        <v>135</v>
      </c>
      <c r="B498" s="490">
        <v>905</v>
      </c>
      <c r="C498" s="492" t="s">
        <v>118</v>
      </c>
      <c r="D498" s="492" t="s">
        <v>150</v>
      </c>
      <c r="E498" s="492" t="s">
        <v>860</v>
      </c>
      <c r="F498" s="492" t="s">
        <v>145</v>
      </c>
      <c r="G498" s="497">
        <f>G499</f>
        <v>131</v>
      </c>
      <c r="H498" s="497">
        <f>H499</f>
        <v>131</v>
      </c>
      <c r="I498" s="204"/>
    </row>
    <row r="499" spans="1:9" ht="15.75" x14ac:dyDescent="0.25">
      <c r="A499" s="496" t="s">
        <v>568</v>
      </c>
      <c r="B499" s="490">
        <v>905</v>
      </c>
      <c r="C499" s="492" t="s">
        <v>118</v>
      </c>
      <c r="D499" s="492" t="s">
        <v>150</v>
      </c>
      <c r="E499" s="492" t="s">
        <v>860</v>
      </c>
      <c r="F499" s="492" t="s">
        <v>138</v>
      </c>
      <c r="G499" s="497">
        <f>131</f>
        <v>131</v>
      </c>
      <c r="H499" s="497">
        <f t="shared" si="37"/>
        <v>131</v>
      </c>
      <c r="I499" s="204"/>
    </row>
    <row r="500" spans="1:9" ht="47.25" x14ac:dyDescent="0.25">
      <c r="A500" s="496" t="s">
        <v>839</v>
      </c>
      <c r="B500" s="490">
        <v>905</v>
      </c>
      <c r="C500" s="492" t="s">
        <v>118</v>
      </c>
      <c r="D500" s="492" t="s">
        <v>150</v>
      </c>
      <c r="E500" s="492" t="s">
        <v>862</v>
      </c>
      <c r="F500" s="492"/>
      <c r="G500" s="497">
        <f>G501</f>
        <v>462</v>
      </c>
      <c r="H500" s="497">
        <f>H501</f>
        <v>462</v>
      </c>
      <c r="I500" s="204"/>
    </row>
    <row r="501" spans="1:9" ht="78.75" x14ac:dyDescent="0.25">
      <c r="A501" s="496" t="s">
        <v>127</v>
      </c>
      <c r="B501" s="490">
        <v>905</v>
      </c>
      <c r="C501" s="492" t="s">
        <v>118</v>
      </c>
      <c r="D501" s="492" t="s">
        <v>150</v>
      </c>
      <c r="E501" s="492" t="s">
        <v>862</v>
      </c>
      <c r="F501" s="492" t="s">
        <v>128</v>
      </c>
      <c r="G501" s="497">
        <f>G502</f>
        <v>462</v>
      </c>
      <c r="H501" s="497">
        <f>H502</f>
        <v>462</v>
      </c>
      <c r="I501" s="204"/>
    </row>
    <row r="502" spans="1:9" ht="31.5" x14ac:dyDescent="0.25">
      <c r="A502" s="496" t="s">
        <v>129</v>
      </c>
      <c r="B502" s="490">
        <v>905</v>
      </c>
      <c r="C502" s="492" t="s">
        <v>118</v>
      </c>
      <c r="D502" s="492" t="s">
        <v>150</v>
      </c>
      <c r="E502" s="492" t="s">
        <v>862</v>
      </c>
      <c r="F502" s="492" t="s">
        <v>130</v>
      </c>
      <c r="G502" s="497">
        <v>462</v>
      </c>
      <c r="H502" s="497">
        <f t="shared" ref="H502:H569" si="44">G502</f>
        <v>462</v>
      </c>
      <c r="I502" s="204"/>
    </row>
    <row r="503" spans="1:9" ht="31.5" x14ac:dyDescent="0.25">
      <c r="A503" s="494" t="s">
        <v>885</v>
      </c>
      <c r="B503" s="491">
        <v>905</v>
      </c>
      <c r="C503" s="495" t="s">
        <v>118</v>
      </c>
      <c r="D503" s="495" t="s">
        <v>150</v>
      </c>
      <c r="E503" s="495" t="s">
        <v>863</v>
      </c>
      <c r="F503" s="495"/>
      <c r="G503" s="493">
        <f t="shared" ref="G503:H505" si="45">G504</f>
        <v>22.3</v>
      </c>
      <c r="H503" s="493">
        <f t="shared" si="45"/>
        <v>22.3</v>
      </c>
      <c r="I503" s="204"/>
    </row>
    <row r="504" spans="1:9" ht="94.5" x14ac:dyDescent="0.25">
      <c r="A504" s="31" t="s">
        <v>1169</v>
      </c>
      <c r="B504" s="490">
        <v>905</v>
      </c>
      <c r="C504" s="492" t="s">
        <v>118</v>
      </c>
      <c r="D504" s="492" t="s">
        <v>150</v>
      </c>
      <c r="E504" s="492" t="s">
        <v>1168</v>
      </c>
      <c r="F504" s="492"/>
      <c r="G504" s="497">
        <f t="shared" si="45"/>
        <v>22.3</v>
      </c>
      <c r="H504" s="497">
        <f t="shared" si="45"/>
        <v>22.3</v>
      </c>
      <c r="I504" s="204"/>
    </row>
    <row r="505" spans="1:9" ht="78.75" x14ac:dyDescent="0.25">
      <c r="A505" s="496" t="s">
        <v>127</v>
      </c>
      <c r="B505" s="490">
        <v>905</v>
      </c>
      <c r="C505" s="492" t="s">
        <v>118</v>
      </c>
      <c r="D505" s="492" t="s">
        <v>150</v>
      </c>
      <c r="E505" s="492" t="s">
        <v>1168</v>
      </c>
      <c r="F505" s="492" t="s">
        <v>128</v>
      </c>
      <c r="G505" s="497">
        <f>G506</f>
        <v>22.3</v>
      </c>
      <c r="H505" s="497">
        <f t="shared" si="45"/>
        <v>22.3</v>
      </c>
      <c r="I505" s="204"/>
    </row>
    <row r="506" spans="1:9" ht="31.5" x14ac:dyDescent="0.25">
      <c r="A506" s="496" t="s">
        <v>129</v>
      </c>
      <c r="B506" s="490">
        <v>905</v>
      </c>
      <c r="C506" s="492" t="s">
        <v>118</v>
      </c>
      <c r="D506" s="492" t="s">
        <v>150</v>
      </c>
      <c r="E506" s="492" t="s">
        <v>1168</v>
      </c>
      <c r="F506" s="492" t="s">
        <v>130</v>
      </c>
      <c r="G506" s="497">
        <v>22.3</v>
      </c>
      <c r="H506" s="497">
        <v>22.3</v>
      </c>
      <c r="I506" s="204"/>
    </row>
    <row r="507" spans="1:9" ht="15.75" x14ac:dyDescent="0.25">
      <c r="A507" s="494" t="s">
        <v>139</v>
      </c>
      <c r="B507" s="491">
        <v>905</v>
      </c>
      <c r="C507" s="495" t="s">
        <v>118</v>
      </c>
      <c r="D507" s="495" t="s">
        <v>140</v>
      </c>
      <c r="E507" s="495"/>
      <c r="F507" s="495"/>
      <c r="G507" s="493">
        <f>G508+G516</f>
        <v>5202.1000000000004</v>
      </c>
      <c r="H507" s="493">
        <f>H508+H516</f>
        <v>5202.1000000000004</v>
      </c>
      <c r="I507" s="204"/>
    </row>
    <row r="508" spans="1:9" ht="15.75" x14ac:dyDescent="0.25">
      <c r="A508" s="494" t="s">
        <v>141</v>
      </c>
      <c r="B508" s="491">
        <v>905</v>
      </c>
      <c r="C508" s="495" t="s">
        <v>118</v>
      </c>
      <c r="D508" s="495" t="s">
        <v>140</v>
      </c>
      <c r="E508" s="495" t="s">
        <v>866</v>
      </c>
      <c r="F508" s="495"/>
      <c r="G508" s="493">
        <f>G509</f>
        <v>5202.1000000000004</v>
      </c>
      <c r="H508" s="493">
        <f>H509</f>
        <v>5202.1000000000004</v>
      </c>
      <c r="I508" s="204"/>
    </row>
    <row r="509" spans="1:9" ht="31.5" x14ac:dyDescent="0.25">
      <c r="A509" s="494" t="s">
        <v>870</v>
      </c>
      <c r="B509" s="491">
        <v>905</v>
      </c>
      <c r="C509" s="495" t="s">
        <v>118</v>
      </c>
      <c r="D509" s="495" t="s">
        <v>140</v>
      </c>
      <c r="E509" s="495" t="s">
        <v>865</v>
      </c>
      <c r="F509" s="495"/>
      <c r="G509" s="493">
        <f>G510+G513</f>
        <v>5202.1000000000004</v>
      </c>
      <c r="H509" s="493">
        <f>H510+H513</f>
        <v>5202.1000000000004</v>
      </c>
      <c r="I509" s="204"/>
    </row>
    <row r="510" spans="1:9" ht="47.25" x14ac:dyDescent="0.25">
      <c r="A510" s="496" t="s">
        <v>388</v>
      </c>
      <c r="B510" s="490">
        <v>905</v>
      </c>
      <c r="C510" s="492" t="s">
        <v>118</v>
      </c>
      <c r="D510" s="492" t="s">
        <v>140</v>
      </c>
      <c r="E510" s="492" t="s">
        <v>1011</v>
      </c>
      <c r="F510" s="492"/>
      <c r="G510" s="497">
        <f>G511</f>
        <v>5202.1000000000004</v>
      </c>
      <c r="H510" s="497">
        <f>H511</f>
        <v>5202.1000000000004</v>
      </c>
      <c r="I510" s="204"/>
    </row>
    <row r="511" spans="1:9" ht="31.5" x14ac:dyDescent="0.25">
      <c r="A511" s="496" t="s">
        <v>131</v>
      </c>
      <c r="B511" s="490">
        <v>905</v>
      </c>
      <c r="C511" s="492" t="s">
        <v>118</v>
      </c>
      <c r="D511" s="492" t="s">
        <v>140</v>
      </c>
      <c r="E511" s="492" t="s">
        <v>1011</v>
      </c>
      <c r="F511" s="492" t="s">
        <v>132</v>
      </c>
      <c r="G511" s="497">
        <f>G512</f>
        <v>5202.1000000000004</v>
      </c>
      <c r="H511" s="497">
        <f>H512</f>
        <v>5202.1000000000004</v>
      </c>
      <c r="I511" s="204"/>
    </row>
    <row r="512" spans="1:9" ht="35.450000000000003" customHeight="1" x14ac:dyDescent="0.25">
      <c r="A512" s="496" t="s">
        <v>133</v>
      </c>
      <c r="B512" s="490">
        <v>905</v>
      </c>
      <c r="C512" s="492" t="s">
        <v>118</v>
      </c>
      <c r="D512" s="492" t="s">
        <v>140</v>
      </c>
      <c r="E512" s="492" t="s">
        <v>1011</v>
      </c>
      <c r="F512" s="492" t="s">
        <v>134</v>
      </c>
      <c r="G512" s="497">
        <v>5202.1000000000004</v>
      </c>
      <c r="H512" s="497">
        <f t="shared" si="44"/>
        <v>5202.1000000000004</v>
      </c>
      <c r="I512" s="204"/>
    </row>
    <row r="513" spans="1:9" ht="31.5" hidden="1" x14ac:dyDescent="0.25">
      <c r="A513" s="496" t="s">
        <v>931</v>
      </c>
      <c r="B513" s="490">
        <v>905</v>
      </c>
      <c r="C513" s="492" t="s">
        <v>118</v>
      </c>
      <c r="D513" s="492" t="s">
        <v>140</v>
      </c>
      <c r="E513" s="492" t="s">
        <v>1012</v>
      </c>
      <c r="F513" s="492"/>
      <c r="G513" s="497">
        <f>'[1]Пр.5 ведом.21'!G504</f>
        <v>0</v>
      </c>
      <c r="H513" s="497">
        <f t="shared" si="44"/>
        <v>0</v>
      </c>
      <c r="I513" s="204"/>
    </row>
    <row r="514" spans="1:9" ht="31.5" hidden="1" x14ac:dyDescent="0.25">
      <c r="A514" s="496" t="s">
        <v>131</v>
      </c>
      <c r="B514" s="490">
        <v>905</v>
      </c>
      <c r="C514" s="492" t="s">
        <v>118</v>
      </c>
      <c r="D514" s="492" t="s">
        <v>140</v>
      </c>
      <c r="E514" s="492" t="s">
        <v>1012</v>
      </c>
      <c r="F514" s="492" t="s">
        <v>132</v>
      </c>
      <c r="G514" s="497">
        <f>'[1]Пр.5 ведом.21'!G505</f>
        <v>0</v>
      </c>
      <c r="H514" s="497">
        <f t="shared" si="44"/>
        <v>0</v>
      </c>
      <c r="I514" s="204"/>
    </row>
    <row r="515" spans="1:9" ht="31.5" hidden="1" x14ac:dyDescent="0.25">
      <c r="A515" s="496" t="s">
        <v>133</v>
      </c>
      <c r="B515" s="490">
        <v>905</v>
      </c>
      <c r="C515" s="492" t="s">
        <v>118</v>
      </c>
      <c r="D515" s="492" t="s">
        <v>140</v>
      </c>
      <c r="E515" s="492" t="s">
        <v>1012</v>
      </c>
      <c r="F515" s="492" t="s">
        <v>134</v>
      </c>
      <c r="G515" s="497">
        <f>'[1]Пр.5 ведом.21'!G506</f>
        <v>0</v>
      </c>
      <c r="H515" s="497">
        <f t="shared" si="44"/>
        <v>0</v>
      </c>
      <c r="I515" s="204"/>
    </row>
    <row r="516" spans="1:9" ht="63" hidden="1" x14ac:dyDescent="0.25">
      <c r="A516" s="494" t="s">
        <v>1177</v>
      </c>
      <c r="B516" s="491">
        <v>905</v>
      </c>
      <c r="C516" s="495" t="s">
        <v>118</v>
      </c>
      <c r="D516" s="495" t="s">
        <v>140</v>
      </c>
      <c r="E516" s="495" t="s">
        <v>782</v>
      </c>
      <c r="F516" s="495"/>
      <c r="G516" s="493">
        <f t="shared" ref="G516:H519" si="46">G517</f>
        <v>0</v>
      </c>
      <c r="H516" s="493">
        <f t="shared" si="46"/>
        <v>0</v>
      </c>
      <c r="I516" s="204"/>
    </row>
    <row r="517" spans="1:9" ht="31.5" hidden="1" x14ac:dyDescent="0.25">
      <c r="A517" s="494" t="s">
        <v>930</v>
      </c>
      <c r="B517" s="491">
        <v>905</v>
      </c>
      <c r="C517" s="495" t="s">
        <v>118</v>
      </c>
      <c r="D517" s="495" t="s">
        <v>140</v>
      </c>
      <c r="E517" s="495" t="s">
        <v>1020</v>
      </c>
      <c r="F517" s="495"/>
      <c r="G517" s="493">
        <f t="shared" si="46"/>
        <v>0</v>
      </c>
      <c r="H517" s="493">
        <f t="shared" si="46"/>
        <v>0</v>
      </c>
      <c r="I517" s="204"/>
    </row>
    <row r="518" spans="1:9" ht="31.5" hidden="1" x14ac:dyDescent="0.25">
      <c r="A518" s="496" t="s">
        <v>790</v>
      </c>
      <c r="B518" s="490">
        <v>905</v>
      </c>
      <c r="C518" s="492" t="s">
        <v>118</v>
      </c>
      <c r="D518" s="492" t="s">
        <v>140</v>
      </c>
      <c r="E518" s="492" t="s">
        <v>1021</v>
      </c>
      <c r="F518" s="492"/>
      <c r="G518" s="497">
        <f t="shared" si="46"/>
        <v>0</v>
      </c>
      <c r="H518" s="497">
        <f t="shared" si="46"/>
        <v>0</v>
      </c>
      <c r="I518" s="204"/>
    </row>
    <row r="519" spans="1:9" ht="31.5" hidden="1" x14ac:dyDescent="0.25">
      <c r="A519" s="496" t="s">
        <v>131</v>
      </c>
      <c r="B519" s="490">
        <v>905</v>
      </c>
      <c r="C519" s="492" t="s">
        <v>118</v>
      </c>
      <c r="D519" s="492" t="s">
        <v>140</v>
      </c>
      <c r="E519" s="492" t="s">
        <v>1021</v>
      </c>
      <c r="F519" s="492" t="s">
        <v>132</v>
      </c>
      <c r="G519" s="497">
        <f t="shared" si="46"/>
        <v>0</v>
      </c>
      <c r="H519" s="497">
        <f t="shared" si="46"/>
        <v>0</v>
      </c>
      <c r="I519" s="204"/>
    </row>
    <row r="520" spans="1:9" ht="31.5" hidden="1" x14ac:dyDescent="0.25">
      <c r="A520" s="496" t="s">
        <v>133</v>
      </c>
      <c r="B520" s="490">
        <v>905</v>
      </c>
      <c r="C520" s="492" t="s">
        <v>118</v>
      </c>
      <c r="D520" s="492" t="s">
        <v>140</v>
      </c>
      <c r="E520" s="492" t="s">
        <v>1021</v>
      </c>
      <c r="F520" s="492" t="s">
        <v>134</v>
      </c>
      <c r="G520" s="497">
        <v>0</v>
      </c>
      <c r="H520" s="497">
        <v>0</v>
      </c>
      <c r="I520" s="204"/>
    </row>
    <row r="521" spans="1:9" ht="15.75" x14ac:dyDescent="0.25">
      <c r="A521" s="500" t="s">
        <v>390</v>
      </c>
      <c r="B521" s="491">
        <v>905</v>
      </c>
      <c r="C521" s="495" t="s">
        <v>234</v>
      </c>
      <c r="D521" s="495"/>
      <c r="E521" s="495"/>
      <c r="F521" s="495"/>
      <c r="G521" s="493">
        <f t="shared" ref="G521:H523" si="47">G522</f>
        <v>270.39999999999998</v>
      </c>
      <c r="H521" s="493">
        <f t="shared" si="47"/>
        <v>270.39999999999998</v>
      </c>
      <c r="I521" s="204"/>
    </row>
    <row r="522" spans="1:9" ht="15.75" x14ac:dyDescent="0.25">
      <c r="A522" s="500" t="s">
        <v>391</v>
      </c>
      <c r="B522" s="491">
        <v>905</v>
      </c>
      <c r="C522" s="495" t="s">
        <v>234</v>
      </c>
      <c r="D522" s="495" t="s">
        <v>118</v>
      </c>
      <c r="E522" s="495"/>
      <c r="F522" s="495"/>
      <c r="G522" s="493">
        <f t="shared" si="47"/>
        <v>270.39999999999998</v>
      </c>
      <c r="H522" s="493">
        <f t="shared" si="47"/>
        <v>270.39999999999998</v>
      </c>
      <c r="I522" s="204"/>
    </row>
    <row r="523" spans="1:9" ht="15.75" x14ac:dyDescent="0.25">
      <c r="A523" s="494" t="s">
        <v>141</v>
      </c>
      <c r="B523" s="491">
        <v>905</v>
      </c>
      <c r="C523" s="495" t="s">
        <v>234</v>
      </c>
      <c r="D523" s="495" t="s">
        <v>118</v>
      </c>
      <c r="E523" s="495" t="s">
        <v>866</v>
      </c>
      <c r="F523" s="495"/>
      <c r="G523" s="493">
        <f t="shared" si="47"/>
        <v>270.39999999999998</v>
      </c>
      <c r="H523" s="493">
        <f t="shared" si="47"/>
        <v>270.39999999999998</v>
      </c>
      <c r="I523" s="204"/>
    </row>
    <row r="524" spans="1:9" ht="31.5" x14ac:dyDescent="0.25">
      <c r="A524" s="494" t="s">
        <v>870</v>
      </c>
      <c r="B524" s="491">
        <v>905</v>
      </c>
      <c r="C524" s="495" t="s">
        <v>234</v>
      </c>
      <c r="D524" s="495" t="s">
        <v>118</v>
      </c>
      <c r="E524" s="495" t="s">
        <v>865</v>
      </c>
      <c r="F524" s="495"/>
      <c r="G524" s="493">
        <f>G525+G528</f>
        <v>270.39999999999998</v>
      </c>
      <c r="H524" s="493">
        <f>H525+H528</f>
        <v>270.39999999999998</v>
      </c>
      <c r="I524" s="204"/>
    </row>
    <row r="525" spans="1:9" ht="31.5" x14ac:dyDescent="0.25">
      <c r="A525" s="29" t="s">
        <v>398</v>
      </c>
      <c r="B525" s="490">
        <v>905</v>
      </c>
      <c r="C525" s="492" t="s">
        <v>234</v>
      </c>
      <c r="D525" s="492" t="s">
        <v>118</v>
      </c>
      <c r="E525" s="492" t="s">
        <v>961</v>
      </c>
      <c r="F525" s="492"/>
      <c r="G525" s="497">
        <f>G526</f>
        <v>270.39999999999998</v>
      </c>
      <c r="H525" s="497">
        <f>H526</f>
        <v>270.39999999999998</v>
      </c>
      <c r="I525" s="204"/>
    </row>
    <row r="526" spans="1:9" ht="31.5" x14ac:dyDescent="0.25">
      <c r="A526" s="496" t="s">
        <v>131</v>
      </c>
      <c r="B526" s="490">
        <v>905</v>
      </c>
      <c r="C526" s="492" t="s">
        <v>234</v>
      </c>
      <c r="D526" s="492" t="s">
        <v>118</v>
      </c>
      <c r="E526" s="492" t="s">
        <v>961</v>
      </c>
      <c r="F526" s="492" t="s">
        <v>132</v>
      </c>
      <c r="G526" s="497">
        <f>G527</f>
        <v>270.39999999999998</v>
      </c>
      <c r="H526" s="497">
        <f>H527</f>
        <v>270.39999999999998</v>
      </c>
      <c r="I526" s="204"/>
    </row>
    <row r="527" spans="1:9" ht="31.5" x14ac:dyDescent="0.25">
      <c r="A527" s="496" t="s">
        <v>133</v>
      </c>
      <c r="B527" s="490">
        <v>905</v>
      </c>
      <c r="C527" s="492" t="s">
        <v>234</v>
      </c>
      <c r="D527" s="492" t="s">
        <v>118</v>
      </c>
      <c r="E527" s="492" t="s">
        <v>961</v>
      </c>
      <c r="F527" s="492" t="s">
        <v>134</v>
      </c>
      <c r="G527" s="497">
        <f>270.4</f>
        <v>270.39999999999998</v>
      </c>
      <c r="H527" s="497">
        <f t="shared" si="44"/>
        <v>270.39999999999998</v>
      </c>
      <c r="I527" s="204"/>
    </row>
    <row r="528" spans="1:9" ht="31.5" hidden="1" x14ac:dyDescent="0.25">
      <c r="A528" s="29" t="s">
        <v>932</v>
      </c>
      <c r="B528" s="490">
        <v>905</v>
      </c>
      <c r="C528" s="492" t="s">
        <v>234</v>
      </c>
      <c r="D528" s="492" t="s">
        <v>118</v>
      </c>
      <c r="E528" s="492" t="s">
        <v>962</v>
      </c>
      <c r="F528" s="492"/>
      <c r="G528" s="497">
        <f>G529</f>
        <v>0</v>
      </c>
      <c r="H528" s="497">
        <f>H529</f>
        <v>0</v>
      </c>
      <c r="I528" s="204"/>
    </row>
    <row r="529" spans="1:15" ht="31.5" hidden="1" x14ac:dyDescent="0.25">
      <c r="A529" s="496" t="s">
        <v>131</v>
      </c>
      <c r="B529" s="490">
        <v>905</v>
      </c>
      <c r="C529" s="492" t="s">
        <v>234</v>
      </c>
      <c r="D529" s="492" t="s">
        <v>118</v>
      </c>
      <c r="E529" s="492" t="s">
        <v>962</v>
      </c>
      <c r="F529" s="492" t="s">
        <v>132</v>
      </c>
      <c r="G529" s="497">
        <f>G530</f>
        <v>0</v>
      </c>
      <c r="H529" s="497">
        <f>H530</f>
        <v>0</v>
      </c>
      <c r="I529" s="204"/>
    </row>
    <row r="530" spans="1:15" ht="31.5" hidden="1" x14ac:dyDescent="0.25">
      <c r="A530" s="496" t="s">
        <v>133</v>
      </c>
      <c r="B530" s="490">
        <v>905</v>
      </c>
      <c r="C530" s="492" t="s">
        <v>234</v>
      </c>
      <c r="D530" s="492" t="s">
        <v>118</v>
      </c>
      <c r="E530" s="492" t="s">
        <v>962</v>
      </c>
      <c r="F530" s="492" t="s">
        <v>134</v>
      </c>
      <c r="G530" s="497">
        <v>0</v>
      </c>
      <c r="H530" s="497">
        <v>0</v>
      </c>
      <c r="I530" s="204"/>
    </row>
    <row r="531" spans="1:15" ht="15.75" x14ac:dyDescent="0.25">
      <c r="A531" s="494" t="s">
        <v>243</v>
      </c>
      <c r="B531" s="491">
        <v>905</v>
      </c>
      <c r="C531" s="495" t="s">
        <v>244</v>
      </c>
      <c r="D531" s="492"/>
      <c r="E531" s="492"/>
      <c r="F531" s="492"/>
      <c r="G531" s="493">
        <f t="shared" ref="G531:H535" si="48">G532</f>
        <v>2469.1</v>
      </c>
      <c r="H531" s="493">
        <f t="shared" si="48"/>
        <v>10803.2</v>
      </c>
      <c r="I531" s="204"/>
    </row>
    <row r="532" spans="1:15" ht="15.75" x14ac:dyDescent="0.25">
      <c r="A532" s="494" t="s">
        <v>400</v>
      </c>
      <c r="B532" s="491">
        <v>905</v>
      </c>
      <c r="C532" s="495" t="s">
        <v>244</v>
      </c>
      <c r="D532" s="495" t="s">
        <v>150</v>
      </c>
      <c r="E532" s="492"/>
      <c r="F532" s="492"/>
      <c r="G532" s="493">
        <f t="shared" si="48"/>
        <v>2469.1</v>
      </c>
      <c r="H532" s="493">
        <f t="shared" si="48"/>
        <v>10803.2</v>
      </c>
      <c r="I532" s="204"/>
    </row>
    <row r="533" spans="1:15" ht="31.5" x14ac:dyDescent="0.25">
      <c r="A533" s="494" t="s">
        <v>885</v>
      </c>
      <c r="B533" s="491">
        <v>905</v>
      </c>
      <c r="C533" s="495" t="s">
        <v>244</v>
      </c>
      <c r="D533" s="495" t="s">
        <v>150</v>
      </c>
      <c r="E533" s="495" t="s">
        <v>863</v>
      </c>
      <c r="F533" s="492"/>
      <c r="G533" s="493">
        <f t="shared" si="48"/>
        <v>2469.1</v>
      </c>
      <c r="H533" s="493">
        <f t="shared" si="48"/>
        <v>10803.2</v>
      </c>
      <c r="I533" s="204"/>
    </row>
    <row r="534" spans="1:15" ht="47.25" x14ac:dyDescent="0.25">
      <c r="A534" s="496" t="s">
        <v>1171</v>
      </c>
      <c r="B534" s="490">
        <v>905</v>
      </c>
      <c r="C534" s="492" t="s">
        <v>244</v>
      </c>
      <c r="D534" s="492" t="s">
        <v>150</v>
      </c>
      <c r="E534" s="492" t="s">
        <v>1170</v>
      </c>
      <c r="F534" s="492"/>
      <c r="G534" s="497">
        <f t="shared" si="48"/>
        <v>2469.1</v>
      </c>
      <c r="H534" s="497">
        <f t="shared" si="48"/>
        <v>10803.2</v>
      </c>
      <c r="I534" s="204"/>
    </row>
    <row r="535" spans="1:15" ht="31.5" x14ac:dyDescent="0.25">
      <c r="A535" s="496" t="s">
        <v>131</v>
      </c>
      <c r="B535" s="490">
        <v>905</v>
      </c>
      <c r="C535" s="492" t="s">
        <v>244</v>
      </c>
      <c r="D535" s="492" t="s">
        <v>150</v>
      </c>
      <c r="E535" s="492" t="s">
        <v>1170</v>
      </c>
      <c r="F535" s="492" t="s">
        <v>132</v>
      </c>
      <c r="G535" s="497">
        <f t="shared" si="48"/>
        <v>2469.1</v>
      </c>
      <c r="H535" s="497">
        <f t="shared" si="48"/>
        <v>10803.2</v>
      </c>
      <c r="I535" s="204"/>
    </row>
    <row r="536" spans="1:15" ht="32.65" customHeight="1" x14ac:dyDescent="0.25">
      <c r="A536" s="496" t="s">
        <v>133</v>
      </c>
      <c r="B536" s="490">
        <v>905</v>
      </c>
      <c r="C536" s="492" t="s">
        <v>244</v>
      </c>
      <c r="D536" s="492" t="s">
        <v>150</v>
      </c>
      <c r="E536" s="492" t="s">
        <v>1170</v>
      </c>
      <c r="F536" s="492" t="s">
        <v>134</v>
      </c>
      <c r="G536" s="497">
        <v>2469.1</v>
      </c>
      <c r="H536" s="497">
        <v>10803.2</v>
      </c>
      <c r="I536" s="204"/>
    </row>
    <row r="537" spans="1:15" ht="31.5" x14ac:dyDescent="0.25">
      <c r="A537" s="491" t="s">
        <v>403</v>
      </c>
      <c r="B537" s="491">
        <v>906</v>
      </c>
      <c r="C537" s="495"/>
      <c r="D537" s="495"/>
      <c r="E537" s="495"/>
      <c r="F537" s="495"/>
      <c r="G537" s="493">
        <f>G548+G538</f>
        <v>346220.19999999995</v>
      </c>
      <c r="H537" s="493">
        <f>H548+H538</f>
        <v>369274.95</v>
      </c>
      <c r="I537" s="204"/>
      <c r="M537" s="22"/>
      <c r="O537" s="232"/>
    </row>
    <row r="538" spans="1:15" ht="15.75" hidden="1" x14ac:dyDescent="0.25">
      <c r="A538" s="494" t="s">
        <v>117</v>
      </c>
      <c r="B538" s="491">
        <v>906</v>
      </c>
      <c r="C538" s="495" t="s">
        <v>118</v>
      </c>
      <c r="D538" s="495"/>
      <c r="E538" s="495"/>
      <c r="F538" s="495"/>
      <c r="G538" s="493">
        <f t="shared" ref="G538:H541" si="49">G539</f>
        <v>0</v>
      </c>
      <c r="H538" s="493">
        <f t="shared" si="49"/>
        <v>0</v>
      </c>
      <c r="I538" s="204"/>
    </row>
    <row r="539" spans="1:15" ht="15.75" hidden="1" x14ac:dyDescent="0.25">
      <c r="A539" s="34" t="s">
        <v>139</v>
      </c>
      <c r="B539" s="491">
        <v>906</v>
      </c>
      <c r="C539" s="495" t="s">
        <v>118</v>
      </c>
      <c r="D539" s="495" t="s">
        <v>140</v>
      </c>
      <c r="E539" s="495"/>
      <c r="F539" s="495"/>
      <c r="G539" s="493">
        <f t="shared" si="49"/>
        <v>0</v>
      </c>
      <c r="H539" s="493">
        <f t="shared" si="49"/>
        <v>0</v>
      </c>
      <c r="I539" s="204"/>
    </row>
    <row r="540" spans="1:15" ht="47.25" hidden="1" x14ac:dyDescent="0.25">
      <c r="A540" s="494" t="s">
        <v>1355</v>
      </c>
      <c r="B540" s="491">
        <v>906</v>
      </c>
      <c r="C540" s="495" t="s">
        <v>118</v>
      </c>
      <c r="D540" s="495" t="s">
        <v>140</v>
      </c>
      <c r="E540" s="495" t="s">
        <v>335</v>
      </c>
      <c r="F540" s="495"/>
      <c r="G540" s="493">
        <f t="shared" si="49"/>
        <v>0</v>
      </c>
      <c r="H540" s="493">
        <f t="shared" si="49"/>
        <v>0</v>
      </c>
      <c r="I540" s="204"/>
    </row>
    <row r="541" spans="1:15" ht="31.5" hidden="1" x14ac:dyDescent="0.25">
      <c r="A541" s="213" t="s">
        <v>1049</v>
      </c>
      <c r="B541" s="491">
        <v>906</v>
      </c>
      <c r="C541" s="495" t="s">
        <v>118</v>
      </c>
      <c r="D541" s="495" t="s">
        <v>140</v>
      </c>
      <c r="E541" s="495" t="s">
        <v>1050</v>
      </c>
      <c r="F541" s="495"/>
      <c r="G541" s="493">
        <f t="shared" si="49"/>
        <v>0</v>
      </c>
      <c r="H541" s="493">
        <f t="shared" si="49"/>
        <v>0</v>
      </c>
      <c r="I541" s="204"/>
    </row>
    <row r="542" spans="1:15" ht="31.5" hidden="1" x14ac:dyDescent="0.25">
      <c r="A542" s="97" t="s">
        <v>336</v>
      </c>
      <c r="B542" s="490">
        <v>906</v>
      </c>
      <c r="C542" s="492" t="s">
        <v>118</v>
      </c>
      <c r="D542" s="492" t="s">
        <v>140</v>
      </c>
      <c r="E542" s="492" t="s">
        <v>1051</v>
      </c>
      <c r="F542" s="492"/>
      <c r="G542" s="497">
        <f>G543</f>
        <v>0</v>
      </c>
      <c r="H542" s="497">
        <f>H543</f>
        <v>0</v>
      </c>
      <c r="I542" s="204"/>
    </row>
    <row r="543" spans="1:15" ht="31.5" hidden="1" x14ac:dyDescent="0.25">
      <c r="A543" s="496" t="s">
        <v>131</v>
      </c>
      <c r="B543" s="490">
        <v>906</v>
      </c>
      <c r="C543" s="492" t="s">
        <v>118</v>
      </c>
      <c r="D543" s="492" t="s">
        <v>140</v>
      </c>
      <c r="E543" s="492" t="s">
        <v>1051</v>
      </c>
      <c r="F543" s="492" t="s">
        <v>132</v>
      </c>
      <c r="G543" s="497">
        <f>G544</f>
        <v>0</v>
      </c>
      <c r="H543" s="497">
        <f>H544</f>
        <v>0</v>
      </c>
      <c r="I543" s="204"/>
    </row>
    <row r="544" spans="1:15" ht="31.5" hidden="1" x14ac:dyDescent="0.25">
      <c r="A544" s="496" t="s">
        <v>133</v>
      </c>
      <c r="B544" s="490">
        <v>906</v>
      </c>
      <c r="C544" s="492" t="s">
        <v>118</v>
      </c>
      <c r="D544" s="492" t="s">
        <v>140</v>
      </c>
      <c r="E544" s="492" t="s">
        <v>1051</v>
      </c>
      <c r="F544" s="492" t="s">
        <v>134</v>
      </c>
      <c r="G544" s="497">
        <v>0</v>
      </c>
      <c r="H544" s="497">
        <v>0</v>
      </c>
      <c r="I544" s="204"/>
    </row>
    <row r="545" spans="1:9" ht="16.350000000000001" hidden="1" customHeight="1" x14ac:dyDescent="0.25">
      <c r="A545" s="31" t="s">
        <v>773</v>
      </c>
      <c r="B545" s="490">
        <v>906</v>
      </c>
      <c r="C545" s="492" t="s">
        <v>118</v>
      </c>
      <c r="D545" s="492" t="s">
        <v>140</v>
      </c>
      <c r="E545" s="492" t="s">
        <v>1073</v>
      </c>
      <c r="F545" s="492"/>
      <c r="G545" s="497" t="e">
        <f>'[1]Пр.5 ведом.21'!#REF!</f>
        <v>#REF!</v>
      </c>
      <c r="H545" s="497" t="e">
        <f t="shared" si="44"/>
        <v>#REF!</v>
      </c>
      <c r="I545" s="204"/>
    </row>
    <row r="546" spans="1:9" ht="31.5" hidden="1" x14ac:dyDescent="0.25">
      <c r="A546" s="496" t="s">
        <v>131</v>
      </c>
      <c r="B546" s="490">
        <v>906</v>
      </c>
      <c r="C546" s="492" t="s">
        <v>118</v>
      </c>
      <c r="D546" s="492" t="s">
        <v>140</v>
      </c>
      <c r="E546" s="492" t="s">
        <v>1073</v>
      </c>
      <c r="F546" s="492" t="s">
        <v>132</v>
      </c>
      <c r="G546" s="497" t="e">
        <f>'[1]Пр.5 ведом.21'!#REF!</f>
        <v>#REF!</v>
      </c>
      <c r="H546" s="497" t="e">
        <f t="shared" si="44"/>
        <v>#REF!</v>
      </c>
      <c r="I546" s="204"/>
    </row>
    <row r="547" spans="1:9" ht="31.5" hidden="1" x14ac:dyDescent="0.25">
      <c r="A547" s="496" t="s">
        <v>133</v>
      </c>
      <c r="B547" s="490">
        <v>906</v>
      </c>
      <c r="C547" s="492" t="s">
        <v>118</v>
      </c>
      <c r="D547" s="492" t="s">
        <v>140</v>
      </c>
      <c r="E547" s="492" t="s">
        <v>1073</v>
      </c>
      <c r="F547" s="492" t="s">
        <v>134</v>
      </c>
      <c r="G547" s="497" t="e">
        <f>'[1]Пр.5 ведом.21'!#REF!</f>
        <v>#REF!</v>
      </c>
      <c r="H547" s="497" t="e">
        <f t="shared" si="44"/>
        <v>#REF!</v>
      </c>
      <c r="I547" s="204"/>
    </row>
    <row r="548" spans="1:9" ht="15.75" x14ac:dyDescent="0.25">
      <c r="A548" s="494" t="s">
        <v>263</v>
      </c>
      <c r="B548" s="491">
        <v>906</v>
      </c>
      <c r="C548" s="495" t="s">
        <v>264</v>
      </c>
      <c r="D548" s="495"/>
      <c r="E548" s="495"/>
      <c r="F548" s="495"/>
      <c r="G548" s="493">
        <f>G549+G609+G720+G729+G691</f>
        <v>346220.19999999995</v>
      </c>
      <c r="H548" s="493">
        <f>H549+H609+H720+H729+H691</f>
        <v>369274.95</v>
      </c>
      <c r="I548" s="204"/>
    </row>
    <row r="549" spans="1:9" ht="15.75" x14ac:dyDescent="0.25">
      <c r="A549" s="494" t="s">
        <v>404</v>
      </c>
      <c r="B549" s="491">
        <v>906</v>
      </c>
      <c r="C549" s="495" t="s">
        <v>264</v>
      </c>
      <c r="D549" s="495" t="s">
        <v>118</v>
      </c>
      <c r="E549" s="495"/>
      <c r="F549" s="495"/>
      <c r="G549" s="493">
        <f>G550+G599+G604</f>
        <v>102250.3</v>
      </c>
      <c r="H549" s="493">
        <f>H550+H599+H604</f>
        <v>105829.20000000001</v>
      </c>
      <c r="I549" s="204"/>
    </row>
    <row r="550" spans="1:9" ht="31.9" customHeight="1" x14ac:dyDescent="0.25">
      <c r="A550" s="494" t="s">
        <v>1358</v>
      </c>
      <c r="B550" s="491">
        <v>906</v>
      </c>
      <c r="C550" s="495" t="s">
        <v>264</v>
      </c>
      <c r="D550" s="495" t="s">
        <v>118</v>
      </c>
      <c r="E550" s="495" t="s">
        <v>406</v>
      </c>
      <c r="F550" s="495"/>
      <c r="G550" s="493">
        <f>G551+G555+G568+G578+G588+G592</f>
        <v>101599.40000000001</v>
      </c>
      <c r="H550" s="493">
        <f>H551+H555+H568+H578+H588+H592</f>
        <v>105210.40000000001</v>
      </c>
      <c r="I550" s="204"/>
    </row>
    <row r="551" spans="1:9" ht="31.5" x14ac:dyDescent="0.25">
      <c r="A551" s="494" t="s">
        <v>937</v>
      </c>
      <c r="B551" s="491">
        <v>906</v>
      </c>
      <c r="C551" s="495" t="s">
        <v>264</v>
      </c>
      <c r="D551" s="495" t="s">
        <v>118</v>
      </c>
      <c r="E551" s="495" t="s">
        <v>1230</v>
      </c>
      <c r="F551" s="495"/>
      <c r="G551" s="493">
        <f t="shared" ref="G551:H553" si="50">G552</f>
        <v>14795.6</v>
      </c>
      <c r="H551" s="493">
        <f t="shared" si="50"/>
        <v>14795.6</v>
      </c>
      <c r="I551" s="204"/>
    </row>
    <row r="552" spans="1:9" ht="43.5" customHeight="1" x14ac:dyDescent="0.25">
      <c r="A552" s="496" t="s">
        <v>1229</v>
      </c>
      <c r="B552" s="490">
        <v>906</v>
      </c>
      <c r="C552" s="492" t="s">
        <v>264</v>
      </c>
      <c r="D552" s="492" t="s">
        <v>118</v>
      </c>
      <c r="E552" s="492" t="s">
        <v>1231</v>
      </c>
      <c r="F552" s="492"/>
      <c r="G552" s="497">
        <f t="shared" si="50"/>
        <v>14795.6</v>
      </c>
      <c r="H552" s="497">
        <f t="shared" si="50"/>
        <v>14795.6</v>
      </c>
      <c r="I552" s="204"/>
    </row>
    <row r="553" spans="1:9" ht="31.5" x14ac:dyDescent="0.25">
      <c r="A553" s="496" t="s">
        <v>272</v>
      </c>
      <c r="B553" s="490">
        <v>906</v>
      </c>
      <c r="C553" s="492" t="s">
        <v>264</v>
      </c>
      <c r="D553" s="492" t="s">
        <v>118</v>
      </c>
      <c r="E553" s="492" t="s">
        <v>1231</v>
      </c>
      <c r="F553" s="492" t="s">
        <v>273</v>
      </c>
      <c r="G553" s="497">
        <f t="shared" si="50"/>
        <v>14795.6</v>
      </c>
      <c r="H553" s="497">
        <f t="shared" si="50"/>
        <v>14795.6</v>
      </c>
      <c r="I553" s="204"/>
    </row>
    <row r="554" spans="1:9" ht="15.75" x14ac:dyDescent="0.25">
      <c r="A554" s="496" t="s">
        <v>274</v>
      </c>
      <c r="B554" s="490">
        <v>906</v>
      </c>
      <c r="C554" s="492" t="s">
        <v>264</v>
      </c>
      <c r="D554" s="492" t="s">
        <v>118</v>
      </c>
      <c r="E554" s="492" t="s">
        <v>1231</v>
      </c>
      <c r="F554" s="492" t="s">
        <v>275</v>
      </c>
      <c r="G554" s="497">
        <v>14795.6</v>
      </c>
      <c r="H554" s="497">
        <f t="shared" si="44"/>
        <v>14795.6</v>
      </c>
      <c r="I554" s="204"/>
    </row>
    <row r="555" spans="1:9" ht="47.25" x14ac:dyDescent="0.25">
      <c r="A555" s="494" t="s">
        <v>900</v>
      </c>
      <c r="B555" s="491">
        <v>906</v>
      </c>
      <c r="C555" s="495" t="s">
        <v>264</v>
      </c>
      <c r="D555" s="495" t="s">
        <v>118</v>
      </c>
      <c r="E555" s="495" t="s">
        <v>1232</v>
      </c>
      <c r="F555" s="495"/>
      <c r="G555" s="44">
        <f>G559+G562+G565+G556</f>
        <v>75561.5</v>
      </c>
      <c r="H555" s="44">
        <f>H559+H562+H565+H556</f>
        <v>79924.100000000006</v>
      </c>
      <c r="I555" s="204"/>
    </row>
    <row r="556" spans="1:9" ht="94.5" x14ac:dyDescent="0.25">
      <c r="A556" s="31" t="s">
        <v>293</v>
      </c>
      <c r="B556" s="490">
        <v>906</v>
      </c>
      <c r="C556" s="492" t="s">
        <v>264</v>
      </c>
      <c r="D556" s="492" t="s">
        <v>118</v>
      </c>
      <c r="E556" s="492" t="s">
        <v>1390</v>
      </c>
      <c r="F556" s="492"/>
      <c r="G556" s="497">
        <f>G557</f>
        <v>3230</v>
      </c>
      <c r="H556" s="497">
        <f>H557</f>
        <v>3230</v>
      </c>
      <c r="I556" s="204"/>
    </row>
    <row r="557" spans="1:9" ht="31.5" x14ac:dyDescent="0.25">
      <c r="A557" s="496" t="s">
        <v>272</v>
      </c>
      <c r="B557" s="490">
        <v>906</v>
      </c>
      <c r="C557" s="492" t="s">
        <v>264</v>
      </c>
      <c r="D557" s="492" t="s">
        <v>118</v>
      </c>
      <c r="E557" s="492" t="s">
        <v>1390</v>
      </c>
      <c r="F557" s="492" t="s">
        <v>273</v>
      </c>
      <c r="G557" s="497">
        <f>G558</f>
        <v>3230</v>
      </c>
      <c r="H557" s="497">
        <f>H558</f>
        <v>3230</v>
      </c>
      <c r="I557" s="204"/>
    </row>
    <row r="558" spans="1:9" ht="15.75" x14ac:dyDescent="0.25">
      <c r="A558" s="496" t="s">
        <v>274</v>
      </c>
      <c r="B558" s="490">
        <v>906</v>
      </c>
      <c r="C558" s="492" t="s">
        <v>264</v>
      </c>
      <c r="D558" s="492" t="s">
        <v>118</v>
      </c>
      <c r="E558" s="492" t="s">
        <v>1390</v>
      </c>
      <c r="F558" s="492" t="s">
        <v>275</v>
      </c>
      <c r="G558" s="497">
        <v>3230</v>
      </c>
      <c r="H558" s="497">
        <f>G558</f>
        <v>3230</v>
      </c>
      <c r="I558" s="204"/>
    </row>
    <row r="559" spans="1:9" ht="66.75" customHeight="1" x14ac:dyDescent="0.25">
      <c r="A559" s="31" t="s">
        <v>289</v>
      </c>
      <c r="B559" s="490">
        <v>906</v>
      </c>
      <c r="C559" s="492" t="s">
        <v>264</v>
      </c>
      <c r="D559" s="492" t="s">
        <v>118</v>
      </c>
      <c r="E559" s="492" t="s">
        <v>1233</v>
      </c>
      <c r="F559" s="492"/>
      <c r="G559" s="497">
        <f>G560</f>
        <v>589</v>
      </c>
      <c r="H559" s="497">
        <f>H560</f>
        <v>589</v>
      </c>
      <c r="I559" s="204"/>
    </row>
    <row r="560" spans="1:9" ht="31.5" x14ac:dyDescent="0.25">
      <c r="A560" s="496" t="s">
        <v>272</v>
      </c>
      <c r="B560" s="490">
        <v>906</v>
      </c>
      <c r="C560" s="492" t="s">
        <v>264</v>
      </c>
      <c r="D560" s="492" t="s">
        <v>118</v>
      </c>
      <c r="E560" s="492" t="s">
        <v>1233</v>
      </c>
      <c r="F560" s="492" t="s">
        <v>273</v>
      </c>
      <c r="G560" s="497">
        <f>G561</f>
        <v>589</v>
      </c>
      <c r="H560" s="497">
        <f>H561</f>
        <v>589</v>
      </c>
      <c r="I560" s="204"/>
    </row>
    <row r="561" spans="1:9" ht="15.75" x14ac:dyDescent="0.25">
      <c r="A561" s="496" t="s">
        <v>274</v>
      </c>
      <c r="B561" s="490">
        <v>906</v>
      </c>
      <c r="C561" s="492" t="s">
        <v>264</v>
      </c>
      <c r="D561" s="492" t="s">
        <v>118</v>
      </c>
      <c r="E561" s="492" t="s">
        <v>1233</v>
      </c>
      <c r="F561" s="492" t="s">
        <v>275</v>
      </c>
      <c r="G561" s="497">
        <v>589</v>
      </c>
      <c r="H561" s="497">
        <f t="shared" si="44"/>
        <v>589</v>
      </c>
      <c r="I561" s="204"/>
    </row>
    <row r="562" spans="1:9" ht="63" x14ac:dyDescent="0.25">
      <c r="A562" s="31" t="s">
        <v>291</v>
      </c>
      <c r="B562" s="490">
        <v>906</v>
      </c>
      <c r="C562" s="492" t="s">
        <v>264</v>
      </c>
      <c r="D562" s="492" t="s">
        <v>118</v>
      </c>
      <c r="E562" s="492" t="s">
        <v>1234</v>
      </c>
      <c r="F562" s="492"/>
      <c r="G562" s="497">
        <f>G563</f>
        <v>1629.3</v>
      </c>
      <c r="H562" s="497">
        <f>H563</f>
        <v>1629.3</v>
      </c>
      <c r="I562" s="204"/>
    </row>
    <row r="563" spans="1:9" ht="31.5" x14ac:dyDescent="0.25">
      <c r="A563" s="496" t="s">
        <v>272</v>
      </c>
      <c r="B563" s="490">
        <v>906</v>
      </c>
      <c r="C563" s="492" t="s">
        <v>264</v>
      </c>
      <c r="D563" s="492" t="s">
        <v>118</v>
      </c>
      <c r="E563" s="492" t="s">
        <v>1234</v>
      </c>
      <c r="F563" s="492" t="s">
        <v>273</v>
      </c>
      <c r="G563" s="497">
        <f>G564</f>
        <v>1629.3</v>
      </c>
      <c r="H563" s="497">
        <f>H564</f>
        <v>1629.3</v>
      </c>
      <c r="I563" s="204"/>
    </row>
    <row r="564" spans="1:9" ht="15.75" x14ac:dyDescent="0.25">
      <c r="A564" s="496" t="s">
        <v>274</v>
      </c>
      <c r="B564" s="490">
        <v>906</v>
      </c>
      <c r="C564" s="492" t="s">
        <v>264</v>
      </c>
      <c r="D564" s="492" t="s">
        <v>118</v>
      </c>
      <c r="E564" s="492" t="s">
        <v>1234</v>
      </c>
      <c r="F564" s="492" t="s">
        <v>275</v>
      </c>
      <c r="G564" s="497">
        <f>1629.3</f>
        <v>1629.3</v>
      </c>
      <c r="H564" s="497">
        <f t="shared" si="44"/>
        <v>1629.3</v>
      </c>
      <c r="I564" s="204"/>
    </row>
    <row r="565" spans="1:9" ht="94.5" x14ac:dyDescent="0.25">
      <c r="A565" s="31" t="s">
        <v>421</v>
      </c>
      <c r="B565" s="490">
        <v>906</v>
      </c>
      <c r="C565" s="492" t="s">
        <v>264</v>
      </c>
      <c r="D565" s="492" t="s">
        <v>118</v>
      </c>
      <c r="E565" s="492" t="s">
        <v>1235</v>
      </c>
      <c r="F565" s="492"/>
      <c r="G565" s="497">
        <f>G566</f>
        <v>70113.2</v>
      </c>
      <c r="H565" s="497">
        <f>H566</f>
        <v>74475.8</v>
      </c>
      <c r="I565" s="204"/>
    </row>
    <row r="566" spans="1:9" ht="31.5" x14ac:dyDescent="0.25">
      <c r="A566" s="496" t="s">
        <v>272</v>
      </c>
      <c r="B566" s="490">
        <v>906</v>
      </c>
      <c r="C566" s="492" t="s">
        <v>264</v>
      </c>
      <c r="D566" s="492" t="s">
        <v>118</v>
      </c>
      <c r="E566" s="492" t="s">
        <v>1235</v>
      </c>
      <c r="F566" s="492" t="s">
        <v>273</v>
      </c>
      <c r="G566" s="497">
        <f>G567</f>
        <v>70113.2</v>
      </c>
      <c r="H566" s="497">
        <f>H567</f>
        <v>74475.8</v>
      </c>
      <c r="I566" s="204"/>
    </row>
    <row r="567" spans="1:9" ht="15.75" x14ac:dyDescent="0.25">
      <c r="A567" s="496" t="s">
        <v>274</v>
      </c>
      <c r="B567" s="490">
        <v>906</v>
      </c>
      <c r="C567" s="492" t="s">
        <v>264</v>
      </c>
      <c r="D567" s="492" t="s">
        <v>118</v>
      </c>
      <c r="E567" s="492" t="s">
        <v>1235</v>
      </c>
      <c r="F567" s="492" t="s">
        <v>275</v>
      </c>
      <c r="G567" s="497">
        <v>70113.2</v>
      </c>
      <c r="H567" s="497">
        <v>74475.8</v>
      </c>
      <c r="I567" s="204"/>
    </row>
    <row r="568" spans="1:9" ht="31.5" x14ac:dyDescent="0.25">
      <c r="A568" s="494" t="s">
        <v>1292</v>
      </c>
      <c r="B568" s="491">
        <v>906</v>
      </c>
      <c r="C568" s="495" t="s">
        <v>264</v>
      </c>
      <c r="D568" s="495" t="s">
        <v>118</v>
      </c>
      <c r="E568" s="495" t="s">
        <v>1237</v>
      </c>
      <c r="F568" s="495"/>
      <c r="G568" s="493">
        <f>G569+G572+G575</f>
        <v>4430</v>
      </c>
      <c r="H568" s="493">
        <f>H569+H572+H575</f>
        <v>4430</v>
      </c>
      <c r="I568" s="204"/>
    </row>
    <row r="569" spans="1:9" ht="31.5" hidden="1" x14ac:dyDescent="0.25">
      <c r="A569" s="496" t="s">
        <v>278</v>
      </c>
      <c r="B569" s="490">
        <v>906</v>
      </c>
      <c r="C569" s="492" t="s">
        <v>264</v>
      </c>
      <c r="D569" s="492" t="s">
        <v>118</v>
      </c>
      <c r="E569" s="492" t="s">
        <v>1318</v>
      </c>
      <c r="F569" s="492"/>
      <c r="G569" s="497">
        <f>'[1]Пр.5 ведом.21'!G557</f>
        <v>0</v>
      </c>
      <c r="H569" s="497">
        <f t="shared" si="44"/>
        <v>0</v>
      </c>
      <c r="I569" s="204"/>
    </row>
    <row r="570" spans="1:9" ht="31.5" hidden="1" x14ac:dyDescent="0.25">
      <c r="A570" s="496" t="s">
        <v>272</v>
      </c>
      <c r="B570" s="490">
        <v>906</v>
      </c>
      <c r="C570" s="492" t="s">
        <v>264</v>
      </c>
      <c r="D570" s="492" t="s">
        <v>118</v>
      </c>
      <c r="E570" s="492" t="s">
        <v>1318</v>
      </c>
      <c r="F570" s="492" t="s">
        <v>273</v>
      </c>
      <c r="G570" s="497">
        <f>'[1]Пр.5 ведом.21'!G558</f>
        <v>0</v>
      </c>
      <c r="H570" s="497">
        <f t="shared" ref="H570:H630" si="51">G570</f>
        <v>0</v>
      </c>
      <c r="I570" s="204"/>
    </row>
    <row r="571" spans="1:9" ht="15.75" hidden="1" x14ac:dyDescent="0.25">
      <c r="A571" s="496" t="s">
        <v>274</v>
      </c>
      <c r="B571" s="490">
        <v>906</v>
      </c>
      <c r="C571" s="492" t="s">
        <v>264</v>
      </c>
      <c r="D571" s="492" t="s">
        <v>118</v>
      </c>
      <c r="E571" s="492" t="s">
        <v>1318</v>
      </c>
      <c r="F571" s="492" t="s">
        <v>275</v>
      </c>
      <c r="G571" s="497">
        <f>'[1]Пр.5 ведом.21'!G559</f>
        <v>0</v>
      </c>
      <c r="H571" s="497">
        <f t="shared" si="51"/>
        <v>0</v>
      </c>
      <c r="I571" s="204"/>
    </row>
    <row r="572" spans="1:9" ht="31.5" hidden="1" x14ac:dyDescent="0.25">
      <c r="A572" s="496" t="s">
        <v>280</v>
      </c>
      <c r="B572" s="490">
        <v>906</v>
      </c>
      <c r="C572" s="492" t="s">
        <v>264</v>
      </c>
      <c r="D572" s="492" t="s">
        <v>118</v>
      </c>
      <c r="E572" s="492" t="s">
        <v>1319</v>
      </c>
      <c r="F572" s="492"/>
      <c r="G572" s="497">
        <f>'[1]Пр.5 ведом.21'!G560</f>
        <v>0</v>
      </c>
      <c r="H572" s="497">
        <f t="shared" si="51"/>
        <v>0</v>
      </c>
      <c r="I572" s="204"/>
    </row>
    <row r="573" spans="1:9" ht="31.5" hidden="1" x14ac:dyDescent="0.25">
      <c r="A573" s="496" t="s">
        <v>272</v>
      </c>
      <c r="B573" s="490">
        <v>906</v>
      </c>
      <c r="C573" s="492" t="s">
        <v>264</v>
      </c>
      <c r="D573" s="492" t="s">
        <v>118</v>
      </c>
      <c r="E573" s="492" t="s">
        <v>1319</v>
      </c>
      <c r="F573" s="492" t="s">
        <v>273</v>
      </c>
      <c r="G573" s="497">
        <f>'[1]Пр.5 ведом.21'!G561</f>
        <v>0</v>
      </c>
      <c r="H573" s="497">
        <f t="shared" si="51"/>
        <v>0</v>
      </c>
      <c r="I573" s="204"/>
    </row>
    <row r="574" spans="1:9" ht="15.75" hidden="1" x14ac:dyDescent="0.25">
      <c r="A574" s="496" t="s">
        <v>274</v>
      </c>
      <c r="B574" s="490">
        <v>906</v>
      </c>
      <c r="C574" s="492" t="s">
        <v>264</v>
      </c>
      <c r="D574" s="492" t="s">
        <v>118</v>
      </c>
      <c r="E574" s="492" t="s">
        <v>1319</v>
      </c>
      <c r="F574" s="492" t="s">
        <v>275</v>
      </c>
      <c r="G574" s="497">
        <f>'[1]Пр.5 ведом.21'!G562</f>
        <v>0</v>
      </c>
      <c r="H574" s="497">
        <f t="shared" si="51"/>
        <v>0</v>
      </c>
      <c r="I574" s="204"/>
    </row>
    <row r="575" spans="1:9" ht="31.5" x14ac:dyDescent="0.25">
      <c r="A575" s="29" t="s">
        <v>415</v>
      </c>
      <c r="B575" s="490">
        <v>906</v>
      </c>
      <c r="C575" s="492" t="s">
        <v>264</v>
      </c>
      <c r="D575" s="492" t="s">
        <v>118</v>
      </c>
      <c r="E575" s="492" t="s">
        <v>1238</v>
      </c>
      <c r="F575" s="492"/>
      <c r="G575" s="497">
        <f>G576</f>
        <v>4430</v>
      </c>
      <c r="H575" s="497">
        <f>H576</f>
        <v>4430</v>
      </c>
      <c r="I575" s="204"/>
    </row>
    <row r="576" spans="1:9" ht="31.5" x14ac:dyDescent="0.25">
      <c r="A576" s="496" t="s">
        <v>272</v>
      </c>
      <c r="B576" s="490">
        <v>906</v>
      </c>
      <c r="C576" s="492" t="s">
        <v>264</v>
      </c>
      <c r="D576" s="492" t="s">
        <v>118</v>
      </c>
      <c r="E576" s="492" t="s">
        <v>1238</v>
      </c>
      <c r="F576" s="492" t="s">
        <v>273</v>
      </c>
      <c r="G576" s="497">
        <f>G577</f>
        <v>4430</v>
      </c>
      <c r="H576" s="497">
        <f>H577</f>
        <v>4430</v>
      </c>
      <c r="I576" s="204"/>
    </row>
    <row r="577" spans="1:9" ht="15.75" x14ac:dyDescent="0.25">
      <c r="A577" s="496" t="s">
        <v>274</v>
      </c>
      <c r="B577" s="490">
        <v>906</v>
      </c>
      <c r="C577" s="492" t="s">
        <v>264</v>
      </c>
      <c r="D577" s="492" t="s">
        <v>118</v>
      </c>
      <c r="E577" s="492" t="s">
        <v>1238</v>
      </c>
      <c r="F577" s="492" t="s">
        <v>275</v>
      </c>
      <c r="G577" s="497">
        <f>4430</f>
        <v>4430</v>
      </c>
      <c r="H577" s="497">
        <f t="shared" si="51"/>
        <v>4430</v>
      </c>
      <c r="I577" s="204"/>
    </row>
    <row r="578" spans="1:9" ht="31.5" x14ac:dyDescent="0.25">
      <c r="A578" s="219" t="s">
        <v>948</v>
      </c>
      <c r="B578" s="491">
        <v>906</v>
      </c>
      <c r="C578" s="495" t="s">
        <v>264</v>
      </c>
      <c r="D578" s="495" t="s">
        <v>118</v>
      </c>
      <c r="E578" s="495" t="s">
        <v>1240</v>
      </c>
      <c r="F578" s="495"/>
      <c r="G578" s="44">
        <f>G579+G582+G585</f>
        <v>4848</v>
      </c>
      <c r="H578" s="44">
        <f>H579+H582+H585</f>
        <v>4848</v>
      </c>
      <c r="I578" s="204"/>
    </row>
    <row r="579" spans="1:9" ht="31.5" hidden="1" x14ac:dyDescent="0.25">
      <c r="A579" s="496" t="s">
        <v>284</v>
      </c>
      <c r="B579" s="490">
        <v>906</v>
      </c>
      <c r="C579" s="492" t="s">
        <v>264</v>
      </c>
      <c r="D579" s="492" t="s">
        <v>118</v>
      </c>
      <c r="E579" s="492" t="s">
        <v>1258</v>
      </c>
      <c r="F579" s="492"/>
      <c r="G579" s="497">
        <f>'[1]Пр.5 ведом.21'!G567</f>
        <v>0</v>
      </c>
      <c r="H579" s="497">
        <f t="shared" si="51"/>
        <v>0</v>
      </c>
      <c r="I579" s="204"/>
    </row>
    <row r="580" spans="1:9" ht="31.5" hidden="1" x14ac:dyDescent="0.25">
      <c r="A580" s="496" t="s">
        <v>272</v>
      </c>
      <c r="B580" s="490">
        <v>906</v>
      </c>
      <c r="C580" s="492" t="s">
        <v>264</v>
      </c>
      <c r="D580" s="492" t="s">
        <v>118</v>
      </c>
      <c r="E580" s="492" t="s">
        <v>1258</v>
      </c>
      <c r="F580" s="492" t="s">
        <v>273</v>
      </c>
      <c r="G580" s="497">
        <f>'[1]Пр.5 ведом.21'!G568</f>
        <v>0</v>
      </c>
      <c r="H580" s="497">
        <f t="shared" si="51"/>
        <v>0</v>
      </c>
      <c r="I580" s="204"/>
    </row>
    <row r="581" spans="1:9" ht="15.75" hidden="1" x14ac:dyDescent="0.25">
      <c r="A581" s="496" t="s">
        <v>274</v>
      </c>
      <c r="B581" s="490">
        <v>906</v>
      </c>
      <c r="C581" s="492" t="s">
        <v>264</v>
      </c>
      <c r="D581" s="492" t="s">
        <v>118</v>
      </c>
      <c r="E581" s="492" t="s">
        <v>1258</v>
      </c>
      <c r="F581" s="492" t="s">
        <v>275</v>
      </c>
      <c r="G581" s="497">
        <f>'[1]Пр.5 ведом.21'!G569</f>
        <v>0</v>
      </c>
      <c r="H581" s="497">
        <f t="shared" si="51"/>
        <v>0</v>
      </c>
      <c r="I581" s="204"/>
    </row>
    <row r="582" spans="1:9" ht="31.5" x14ac:dyDescent="0.25">
      <c r="A582" s="60" t="s">
        <v>764</v>
      </c>
      <c r="B582" s="490">
        <v>906</v>
      </c>
      <c r="C582" s="492" t="s">
        <v>264</v>
      </c>
      <c r="D582" s="492" t="s">
        <v>118</v>
      </c>
      <c r="E582" s="492" t="s">
        <v>1241</v>
      </c>
      <c r="F582" s="492"/>
      <c r="G582" s="497">
        <f>G583</f>
        <v>3088</v>
      </c>
      <c r="H582" s="497">
        <f>H583</f>
        <v>3088</v>
      </c>
      <c r="I582" s="204"/>
    </row>
    <row r="583" spans="1:9" ht="31.5" x14ac:dyDescent="0.25">
      <c r="A583" s="29" t="s">
        <v>272</v>
      </c>
      <c r="B583" s="490">
        <v>906</v>
      </c>
      <c r="C583" s="492" t="s">
        <v>264</v>
      </c>
      <c r="D583" s="492" t="s">
        <v>118</v>
      </c>
      <c r="E583" s="492" t="s">
        <v>1241</v>
      </c>
      <c r="F583" s="492" t="s">
        <v>273</v>
      </c>
      <c r="G583" s="497">
        <f>G584</f>
        <v>3088</v>
      </c>
      <c r="H583" s="497">
        <f>H584</f>
        <v>3088</v>
      </c>
      <c r="I583" s="204"/>
    </row>
    <row r="584" spans="1:9" ht="15.75" x14ac:dyDescent="0.25">
      <c r="A584" s="182" t="s">
        <v>274</v>
      </c>
      <c r="B584" s="490">
        <v>906</v>
      </c>
      <c r="C584" s="492" t="s">
        <v>264</v>
      </c>
      <c r="D584" s="492" t="s">
        <v>118</v>
      </c>
      <c r="E584" s="492" t="s">
        <v>1241</v>
      </c>
      <c r="F584" s="492" t="s">
        <v>275</v>
      </c>
      <c r="G584" s="497">
        <v>3088</v>
      </c>
      <c r="H584" s="497">
        <f t="shared" si="51"/>
        <v>3088</v>
      </c>
      <c r="I584" s="204"/>
    </row>
    <row r="585" spans="1:9" ht="47.25" x14ac:dyDescent="0.25">
      <c r="A585" s="60" t="s">
        <v>765</v>
      </c>
      <c r="B585" s="490">
        <v>906</v>
      </c>
      <c r="C585" s="492" t="s">
        <v>264</v>
      </c>
      <c r="D585" s="492" t="s">
        <v>118</v>
      </c>
      <c r="E585" s="492" t="s">
        <v>1242</v>
      </c>
      <c r="F585" s="492"/>
      <c r="G585" s="497">
        <f>G586</f>
        <v>1760</v>
      </c>
      <c r="H585" s="497">
        <f>H586</f>
        <v>1760</v>
      </c>
      <c r="I585" s="204"/>
    </row>
    <row r="586" spans="1:9" ht="31.5" x14ac:dyDescent="0.25">
      <c r="A586" s="29" t="s">
        <v>272</v>
      </c>
      <c r="B586" s="490">
        <v>906</v>
      </c>
      <c r="C586" s="492" t="s">
        <v>264</v>
      </c>
      <c r="D586" s="492" t="s">
        <v>118</v>
      </c>
      <c r="E586" s="492" t="s">
        <v>1242</v>
      </c>
      <c r="F586" s="492" t="s">
        <v>273</v>
      </c>
      <c r="G586" s="497">
        <f>G587</f>
        <v>1760</v>
      </c>
      <c r="H586" s="497">
        <f>H587</f>
        <v>1760</v>
      </c>
      <c r="I586" s="204"/>
    </row>
    <row r="587" spans="1:9" ht="15.75" x14ac:dyDescent="0.25">
      <c r="A587" s="182" t="s">
        <v>274</v>
      </c>
      <c r="B587" s="490">
        <v>906</v>
      </c>
      <c r="C587" s="492" t="s">
        <v>264</v>
      </c>
      <c r="D587" s="492" t="s">
        <v>118</v>
      </c>
      <c r="E587" s="492" t="s">
        <v>1242</v>
      </c>
      <c r="F587" s="492" t="s">
        <v>275</v>
      </c>
      <c r="G587" s="497">
        <f>1760</f>
        <v>1760</v>
      </c>
      <c r="H587" s="497">
        <f t="shared" si="51"/>
        <v>1760</v>
      </c>
      <c r="I587" s="204"/>
    </row>
    <row r="588" spans="1:9" ht="63" x14ac:dyDescent="0.25">
      <c r="A588" s="494" t="s">
        <v>933</v>
      </c>
      <c r="B588" s="491">
        <v>906</v>
      </c>
      <c r="C588" s="495" t="s">
        <v>264</v>
      </c>
      <c r="D588" s="495" t="s">
        <v>118</v>
      </c>
      <c r="E588" s="495" t="s">
        <v>1243</v>
      </c>
      <c r="F588" s="495"/>
      <c r="G588" s="493">
        <f t="shared" ref="G588:H590" si="52">G589</f>
        <v>297.70000000000005</v>
      </c>
      <c r="H588" s="493">
        <f t="shared" si="52"/>
        <v>297.70000000000005</v>
      </c>
      <c r="I588" s="204"/>
    </row>
    <row r="589" spans="1:9" ht="115.5" customHeight="1" x14ac:dyDescent="0.25">
      <c r="A589" s="496" t="s">
        <v>1506</v>
      </c>
      <c r="B589" s="490">
        <v>906</v>
      </c>
      <c r="C589" s="492" t="s">
        <v>264</v>
      </c>
      <c r="D589" s="492" t="s">
        <v>118</v>
      </c>
      <c r="E589" s="492" t="s">
        <v>1244</v>
      </c>
      <c r="F589" s="492"/>
      <c r="G589" s="497">
        <f t="shared" si="52"/>
        <v>297.70000000000005</v>
      </c>
      <c r="H589" s="497">
        <f t="shared" si="52"/>
        <v>297.70000000000005</v>
      </c>
      <c r="I589" s="204"/>
    </row>
    <row r="590" spans="1:9" ht="31.5" x14ac:dyDescent="0.25">
      <c r="A590" s="29" t="s">
        <v>272</v>
      </c>
      <c r="B590" s="490">
        <v>906</v>
      </c>
      <c r="C590" s="492" t="s">
        <v>264</v>
      </c>
      <c r="D590" s="492" t="s">
        <v>118</v>
      </c>
      <c r="E590" s="492" t="s">
        <v>1244</v>
      </c>
      <c r="F590" s="492" t="s">
        <v>273</v>
      </c>
      <c r="G590" s="497">
        <f t="shared" si="52"/>
        <v>297.70000000000005</v>
      </c>
      <c r="H590" s="497">
        <f t="shared" si="52"/>
        <v>297.70000000000005</v>
      </c>
      <c r="I590" s="204"/>
    </row>
    <row r="591" spans="1:9" ht="15.75" x14ac:dyDescent="0.25">
      <c r="A591" s="182" t="s">
        <v>274</v>
      </c>
      <c r="B591" s="490">
        <v>906</v>
      </c>
      <c r="C591" s="492" t="s">
        <v>264</v>
      </c>
      <c r="D591" s="492" t="s">
        <v>118</v>
      </c>
      <c r="E591" s="492" t="s">
        <v>1244</v>
      </c>
      <c r="F591" s="492" t="s">
        <v>275</v>
      </c>
      <c r="G591" s="497">
        <f>124.4+173.3</f>
        <v>297.70000000000005</v>
      </c>
      <c r="H591" s="497">
        <f t="shared" si="51"/>
        <v>297.70000000000005</v>
      </c>
      <c r="I591" s="204"/>
    </row>
    <row r="592" spans="1:9" ht="94.5" x14ac:dyDescent="0.25">
      <c r="A592" s="494" t="s">
        <v>1166</v>
      </c>
      <c r="B592" s="491">
        <v>906</v>
      </c>
      <c r="C592" s="495" t="s">
        <v>264</v>
      </c>
      <c r="D592" s="495" t="s">
        <v>118</v>
      </c>
      <c r="E592" s="495" t="s">
        <v>1246</v>
      </c>
      <c r="F592" s="495"/>
      <c r="G592" s="493">
        <f>G593+G596</f>
        <v>1666.6</v>
      </c>
      <c r="H592" s="493">
        <f>H593+H596</f>
        <v>915</v>
      </c>
      <c r="I592" s="204"/>
    </row>
    <row r="593" spans="1:9" ht="94.5" hidden="1" x14ac:dyDescent="0.25">
      <c r="A593" s="149" t="s">
        <v>1185</v>
      </c>
      <c r="B593" s="490">
        <v>906</v>
      </c>
      <c r="C593" s="492" t="s">
        <v>264</v>
      </c>
      <c r="D593" s="492" t="s">
        <v>118</v>
      </c>
      <c r="E593" s="492" t="s">
        <v>1247</v>
      </c>
      <c r="F593" s="492"/>
      <c r="G593" s="497">
        <f>G594</f>
        <v>0</v>
      </c>
      <c r="H593" s="497">
        <f>H594</f>
        <v>0</v>
      </c>
      <c r="I593" s="204"/>
    </row>
    <row r="594" spans="1:9" ht="31.5" hidden="1" x14ac:dyDescent="0.25">
      <c r="A594" s="496" t="s">
        <v>272</v>
      </c>
      <c r="B594" s="490">
        <v>906</v>
      </c>
      <c r="C594" s="492" t="s">
        <v>264</v>
      </c>
      <c r="D594" s="492" t="s">
        <v>118</v>
      </c>
      <c r="E594" s="492" t="s">
        <v>1247</v>
      </c>
      <c r="F594" s="492" t="s">
        <v>273</v>
      </c>
      <c r="G594" s="497">
        <f>G595</f>
        <v>0</v>
      </c>
      <c r="H594" s="497">
        <f>H595</f>
        <v>0</v>
      </c>
      <c r="I594" s="204"/>
    </row>
    <row r="595" spans="1:9" ht="15.75" hidden="1" x14ac:dyDescent="0.25">
      <c r="A595" s="496" t="s">
        <v>274</v>
      </c>
      <c r="B595" s="490">
        <v>906</v>
      </c>
      <c r="C595" s="492" t="s">
        <v>264</v>
      </c>
      <c r="D595" s="492" t="s">
        <v>118</v>
      </c>
      <c r="E595" s="492" t="s">
        <v>1247</v>
      </c>
      <c r="F595" s="492" t="s">
        <v>275</v>
      </c>
      <c r="G595" s="497">
        <v>0</v>
      </c>
      <c r="H595" s="497">
        <v>0</v>
      </c>
      <c r="I595" s="204"/>
    </row>
    <row r="596" spans="1:9" ht="96.4" customHeight="1" x14ac:dyDescent="0.25">
      <c r="A596" s="149" t="s">
        <v>1493</v>
      </c>
      <c r="B596" s="490">
        <v>906</v>
      </c>
      <c r="C596" s="492" t="s">
        <v>264</v>
      </c>
      <c r="D596" s="492" t="s">
        <v>118</v>
      </c>
      <c r="E596" s="492" t="s">
        <v>1247</v>
      </c>
      <c r="F596" s="492"/>
      <c r="G596" s="497">
        <f>G597</f>
        <v>1666.6</v>
      </c>
      <c r="H596" s="497">
        <f>H597</f>
        <v>915</v>
      </c>
      <c r="I596" s="204"/>
    </row>
    <row r="597" spans="1:9" ht="31.5" x14ac:dyDescent="0.25">
      <c r="A597" s="496" t="s">
        <v>272</v>
      </c>
      <c r="B597" s="490">
        <v>906</v>
      </c>
      <c r="C597" s="492" t="s">
        <v>264</v>
      </c>
      <c r="D597" s="492" t="s">
        <v>118</v>
      </c>
      <c r="E597" s="492" t="s">
        <v>1247</v>
      </c>
      <c r="F597" s="492" t="s">
        <v>273</v>
      </c>
      <c r="G597" s="497">
        <f>G598</f>
        <v>1666.6</v>
      </c>
      <c r="H597" s="497">
        <f>H598</f>
        <v>915</v>
      </c>
      <c r="I597" s="204"/>
    </row>
    <row r="598" spans="1:9" ht="15.75" x14ac:dyDescent="0.25">
      <c r="A598" s="496" t="s">
        <v>274</v>
      </c>
      <c r="B598" s="490">
        <v>906</v>
      </c>
      <c r="C598" s="492" t="s">
        <v>264</v>
      </c>
      <c r="D598" s="492" t="s">
        <v>118</v>
      </c>
      <c r="E598" s="492" t="s">
        <v>1247</v>
      </c>
      <c r="F598" s="492" t="s">
        <v>275</v>
      </c>
      <c r="G598" s="497">
        <f>1666.6</f>
        <v>1666.6</v>
      </c>
      <c r="H598" s="497">
        <v>915</v>
      </c>
      <c r="I598" s="204"/>
    </row>
    <row r="599" spans="1:9" ht="47.25" x14ac:dyDescent="0.25">
      <c r="A599" s="34" t="s">
        <v>1357</v>
      </c>
      <c r="B599" s="491">
        <v>906</v>
      </c>
      <c r="C599" s="495" t="s">
        <v>264</v>
      </c>
      <c r="D599" s="495" t="s">
        <v>118</v>
      </c>
      <c r="E599" s="495" t="s">
        <v>324</v>
      </c>
      <c r="F599" s="495"/>
      <c r="G599" s="493">
        <f t="shared" ref="G599:H602" si="53">G600</f>
        <v>80</v>
      </c>
      <c r="H599" s="493">
        <f t="shared" si="53"/>
        <v>25</v>
      </c>
      <c r="I599" s="204"/>
    </row>
    <row r="600" spans="1:9" ht="63" x14ac:dyDescent="0.25">
      <c r="A600" s="34" t="s">
        <v>1009</v>
      </c>
      <c r="B600" s="491">
        <v>906</v>
      </c>
      <c r="C600" s="495" t="s">
        <v>264</v>
      </c>
      <c r="D600" s="495" t="s">
        <v>118</v>
      </c>
      <c r="E600" s="495" t="s">
        <v>934</v>
      </c>
      <c r="F600" s="495"/>
      <c r="G600" s="493">
        <f t="shared" si="53"/>
        <v>80</v>
      </c>
      <c r="H600" s="493">
        <f t="shared" si="53"/>
        <v>25</v>
      </c>
      <c r="I600" s="204"/>
    </row>
    <row r="601" spans="1:9" ht="47.25" x14ac:dyDescent="0.25">
      <c r="A601" s="31" t="s">
        <v>1081</v>
      </c>
      <c r="B601" s="490">
        <v>906</v>
      </c>
      <c r="C601" s="492" t="s">
        <v>264</v>
      </c>
      <c r="D601" s="492" t="s">
        <v>118</v>
      </c>
      <c r="E601" s="492" t="s">
        <v>935</v>
      </c>
      <c r="F601" s="492"/>
      <c r="G601" s="497">
        <f t="shared" si="53"/>
        <v>80</v>
      </c>
      <c r="H601" s="497">
        <f t="shared" si="53"/>
        <v>25</v>
      </c>
      <c r="I601" s="204"/>
    </row>
    <row r="602" spans="1:9" ht="31.5" x14ac:dyDescent="0.25">
      <c r="A602" s="31" t="s">
        <v>272</v>
      </c>
      <c r="B602" s="490">
        <v>906</v>
      </c>
      <c r="C602" s="492" t="s">
        <v>264</v>
      </c>
      <c r="D602" s="492" t="s">
        <v>118</v>
      </c>
      <c r="E602" s="492" t="s">
        <v>935</v>
      </c>
      <c r="F602" s="492" t="s">
        <v>273</v>
      </c>
      <c r="G602" s="497">
        <f t="shared" si="53"/>
        <v>80</v>
      </c>
      <c r="H602" s="497">
        <f t="shared" si="53"/>
        <v>25</v>
      </c>
      <c r="I602" s="204"/>
    </row>
    <row r="603" spans="1:9" ht="15.75" x14ac:dyDescent="0.25">
      <c r="A603" s="31" t="s">
        <v>274</v>
      </c>
      <c r="B603" s="490">
        <v>906</v>
      </c>
      <c r="C603" s="492" t="s">
        <v>264</v>
      </c>
      <c r="D603" s="492" t="s">
        <v>118</v>
      </c>
      <c r="E603" s="492" t="s">
        <v>935</v>
      </c>
      <c r="F603" s="492" t="s">
        <v>275</v>
      </c>
      <c r="G603" s="497">
        <v>80</v>
      </c>
      <c r="H603" s="497">
        <v>25</v>
      </c>
      <c r="I603" s="204"/>
    </row>
    <row r="604" spans="1:9" ht="47.25" x14ac:dyDescent="0.25">
      <c r="A604" s="500" t="s">
        <v>1352</v>
      </c>
      <c r="B604" s="491">
        <v>906</v>
      </c>
      <c r="C604" s="495" t="s">
        <v>264</v>
      </c>
      <c r="D604" s="495" t="s">
        <v>118</v>
      </c>
      <c r="E604" s="495" t="s">
        <v>705</v>
      </c>
      <c r="F604" s="504"/>
      <c r="G604" s="493">
        <f>G606</f>
        <v>570.9</v>
      </c>
      <c r="H604" s="493">
        <f>H606</f>
        <v>593.79999999999995</v>
      </c>
      <c r="I604" s="204"/>
    </row>
    <row r="605" spans="1:9" ht="47.25" x14ac:dyDescent="0.25">
      <c r="A605" s="500" t="s">
        <v>890</v>
      </c>
      <c r="B605" s="491">
        <v>906</v>
      </c>
      <c r="C605" s="495" t="s">
        <v>264</v>
      </c>
      <c r="D605" s="495" t="s">
        <v>118</v>
      </c>
      <c r="E605" s="495" t="s">
        <v>888</v>
      </c>
      <c r="F605" s="504"/>
      <c r="G605" s="493">
        <f t="shared" ref="G605:H607" si="54">G606</f>
        <v>570.9</v>
      </c>
      <c r="H605" s="493">
        <f t="shared" si="54"/>
        <v>593.79999999999995</v>
      </c>
      <c r="I605" s="204"/>
    </row>
    <row r="606" spans="1:9" ht="47.25" x14ac:dyDescent="0.25">
      <c r="A606" s="98" t="s">
        <v>780</v>
      </c>
      <c r="B606" s="490">
        <v>906</v>
      </c>
      <c r="C606" s="492" t="s">
        <v>264</v>
      </c>
      <c r="D606" s="492" t="s">
        <v>118</v>
      </c>
      <c r="E606" s="492" t="s">
        <v>936</v>
      </c>
      <c r="F606" s="498"/>
      <c r="G606" s="497">
        <f t="shared" si="54"/>
        <v>570.9</v>
      </c>
      <c r="H606" s="497">
        <f t="shared" si="54"/>
        <v>593.79999999999995</v>
      </c>
      <c r="I606" s="204"/>
    </row>
    <row r="607" spans="1:9" ht="31.5" x14ac:dyDescent="0.25">
      <c r="A607" s="29" t="s">
        <v>272</v>
      </c>
      <c r="B607" s="490">
        <v>906</v>
      </c>
      <c r="C607" s="492" t="s">
        <v>264</v>
      </c>
      <c r="D607" s="492" t="s">
        <v>118</v>
      </c>
      <c r="E607" s="492" t="s">
        <v>936</v>
      </c>
      <c r="F607" s="498" t="s">
        <v>273</v>
      </c>
      <c r="G607" s="497">
        <f t="shared" si="54"/>
        <v>570.9</v>
      </c>
      <c r="H607" s="497">
        <f t="shared" si="54"/>
        <v>593.79999999999995</v>
      </c>
      <c r="I607" s="204"/>
    </row>
    <row r="608" spans="1:9" ht="15.75" x14ac:dyDescent="0.25">
      <c r="A608" s="182" t="s">
        <v>274</v>
      </c>
      <c r="B608" s="490">
        <v>906</v>
      </c>
      <c r="C608" s="492" t="s">
        <v>264</v>
      </c>
      <c r="D608" s="492" t="s">
        <v>118</v>
      </c>
      <c r="E608" s="492" t="s">
        <v>936</v>
      </c>
      <c r="F608" s="498" t="s">
        <v>275</v>
      </c>
      <c r="G608" s="497">
        <v>570.9</v>
      </c>
      <c r="H608" s="497">
        <v>593.79999999999995</v>
      </c>
      <c r="I608" s="204"/>
    </row>
    <row r="609" spans="1:13" ht="15.75" x14ac:dyDescent="0.25">
      <c r="A609" s="494" t="s">
        <v>425</v>
      </c>
      <c r="B609" s="491">
        <v>906</v>
      </c>
      <c r="C609" s="495" t="s">
        <v>264</v>
      </c>
      <c r="D609" s="495" t="s">
        <v>213</v>
      </c>
      <c r="E609" s="495"/>
      <c r="F609" s="495"/>
      <c r="G609" s="493">
        <f>G610+G686+G681</f>
        <v>177341.49999999997</v>
      </c>
      <c r="H609" s="493">
        <f>H610+H686+H681</f>
        <v>196805.15000000002</v>
      </c>
      <c r="I609" s="204"/>
      <c r="M609" s="232"/>
    </row>
    <row r="610" spans="1:13" ht="31.5" x14ac:dyDescent="0.25">
      <c r="A610" s="494" t="s">
        <v>1356</v>
      </c>
      <c r="B610" s="491">
        <v>906</v>
      </c>
      <c r="C610" s="495" t="s">
        <v>264</v>
      </c>
      <c r="D610" s="495" t="s">
        <v>213</v>
      </c>
      <c r="E610" s="495" t="s">
        <v>406</v>
      </c>
      <c r="F610" s="495"/>
      <c r="G610" s="493">
        <f>G611+G615+G634+G647+G654+G658+G662+G673+G669+G677</f>
        <v>176410.99999999997</v>
      </c>
      <c r="H610" s="493">
        <f>H611+H615+H634+H647+H654+H658+H662+H673+H669+H677</f>
        <v>195829.85000000003</v>
      </c>
      <c r="I610" s="204"/>
    </row>
    <row r="611" spans="1:13" ht="31.5" x14ac:dyDescent="0.25">
      <c r="A611" s="494" t="s">
        <v>937</v>
      </c>
      <c r="B611" s="491">
        <v>906</v>
      </c>
      <c r="C611" s="495" t="s">
        <v>264</v>
      </c>
      <c r="D611" s="495" t="s">
        <v>213</v>
      </c>
      <c r="E611" s="495" t="s">
        <v>1230</v>
      </c>
      <c r="F611" s="495"/>
      <c r="G611" s="493">
        <f t="shared" ref="G611:H613" si="55">G612</f>
        <v>28690.799999999999</v>
      </c>
      <c r="H611" s="493">
        <f t="shared" si="55"/>
        <v>28690.799999999999</v>
      </c>
      <c r="I611" s="204"/>
    </row>
    <row r="612" spans="1:13" ht="47.25" x14ac:dyDescent="0.25">
      <c r="A612" s="496" t="s">
        <v>427</v>
      </c>
      <c r="B612" s="490">
        <v>906</v>
      </c>
      <c r="C612" s="492" t="s">
        <v>264</v>
      </c>
      <c r="D612" s="492" t="s">
        <v>213</v>
      </c>
      <c r="E612" s="492" t="s">
        <v>1249</v>
      </c>
      <c r="F612" s="492"/>
      <c r="G612" s="497">
        <f t="shared" si="55"/>
        <v>28690.799999999999</v>
      </c>
      <c r="H612" s="497">
        <f t="shared" si="55"/>
        <v>28690.799999999999</v>
      </c>
      <c r="I612" s="204"/>
    </row>
    <row r="613" spans="1:13" ht="31.5" x14ac:dyDescent="0.25">
      <c r="A613" s="496" t="s">
        <v>272</v>
      </c>
      <c r="B613" s="490">
        <v>906</v>
      </c>
      <c r="C613" s="492" t="s">
        <v>264</v>
      </c>
      <c r="D613" s="492" t="s">
        <v>213</v>
      </c>
      <c r="E613" s="492" t="s">
        <v>1249</v>
      </c>
      <c r="F613" s="492" t="s">
        <v>273</v>
      </c>
      <c r="G613" s="497">
        <f t="shared" si="55"/>
        <v>28690.799999999999</v>
      </c>
      <c r="H613" s="497">
        <f t="shared" si="55"/>
        <v>28690.799999999999</v>
      </c>
      <c r="I613" s="204"/>
    </row>
    <row r="614" spans="1:13" ht="15.75" x14ac:dyDescent="0.25">
      <c r="A614" s="496" t="s">
        <v>274</v>
      </c>
      <c r="B614" s="490">
        <v>906</v>
      </c>
      <c r="C614" s="492" t="s">
        <v>264</v>
      </c>
      <c r="D614" s="492" t="s">
        <v>213</v>
      </c>
      <c r="E614" s="492" t="s">
        <v>1249</v>
      </c>
      <c r="F614" s="492" t="s">
        <v>275</v>
      </c>
      <c r="G614" s="497">
        <v>28690.799999999999</v>
      </c>
      <c r="H614" s="497">
        <f t="shared" si="51"/>
        <v>28690.799999999999</v>
      </c>
      <c r="I614" s="204"/>
    </row>
    <row r="615" spans="1:13" ht="47.25" x14ac:dyDescent="0.25">
      <c r="A615" s="494" t="s">
        <v>900</v>
      </c>
      <c r="B615" s="491">
        <v>906</v>
      </c>
      <c r="C615" s="495" t="s">
        <v>264</v>
      </c>
      <c r="D615" s="495" t="s">
        <v>213</v>
      </c>
      <c r="E615" s="495" t="s">
        <v>1232</v>
      </c>
      <c r="F615" s="495"/>
      <c r="G615" s="44">
        <f>G622+G625+G628+G631+G619+G616</f>
        <v>131370.9</v>
      </c>
      <c r="H615" s="44">
        <f>H622+H625+H628+H631+H619+H616</f>
        <v>150534.80000000002</v>
      </c>
      <c r="I615" s="204"/>
      <c r="L615" s="232"/>
    </row>
    <row r="616" spans="1:13" ht="63" x14ac:dyDescent="0.25">
      <c r="A616" s="496" t="s">
        <v>1392</v>
      </c>
      <c r="B616" s="490">
        <v>906</v>
      </c>
      <c r="C616" s="492" t="s">
        <v>264</v>
      </c>
      <c r="D616" s="492" t="s">
        <v>213</v>
      </c>
      <c r="E616" s="492" t="s">
        <v>1393</v>
      </c>
      <c r="F616" s="492"/>
      <c r="G616" s="27">
        <f>G617</f>
        <v>7226.1</v>
      </c>
      <c r="H616" s="27">
        <f>H617</f>
        <v>7226.1</v>
      </c>
      <c r="I616" s="204"/>
    </row>
    <row r="617" spans="1:13" ht="31.5" x14ac:dyDescent="0.25">
      <c r="A617" s="496" t="s">
        <v>272</v>
      </c>
      <c r="B617" s="490">
        <v>906</v>
      </c>
      <c r="C617" s="492" t="s">
        <v>264</v>
      </c>
      <c r="D617" s="492" t="s">
        <v>213</v>
      </c>
      <c r="E617" s="492" t="s">
        <v>1393</v>
      </c>
      <c r="F617" s="492" t="s">
        <v>273</v>
      </c>
      <c r="G617" s="27">
        <f>G618</f>
        <v>7226.1</v>
      </c>
      <c r="H617" s="27">
        <f>H618</f>
        <v>7226.1</v>
      </c>
      <c r="I617" s="204"/>
    </row>
    <row r="618" spans="1:13" ht="15.75" x14ac:dyDescent="0.25">
      <c r="A618" s="496" t="s">
        <v>274</v>
      </c>
      <c r="B618" s="490">
        <v>906</v>
      </c>
      <c r="C618" s="492" t="s">
        <v>264</v>
      </c>
      <c r="D618" s="492" t="s">
        <v>213</v>
      </c>
      <c r="E618" s="492" t="s">
        <v>1393</v>
      </c>
      <c r="F618" s="492" t="s">
        <v>275</v>
      </c>
      <c r="G618" s="27">
        <v>7226.1</v>
      </c>
      <c r="H618" s="27">
        <v>7226.1</v>
      </c>
      <c r="I618" s="204"/>
    </row>
    <row r="619" spans="1:13" ht="94.5" x14ac:dyDescent="0.25">
      <c r="A619" s="31" t="s">
        <v>464</v>
      </c>
      <c r="B619" s="490">
        <v>906</v>
      </c>
      <c r="C619" s="492" t="s">
        <v>264</v>
      </c>
      <c r="D619" s="492" t="s">
        <v>213</v>
      </c>
      <c r="E619" s="492" t="s">
        <v>1390</v>
      </c>
      <c r="F619" s="492"/>
      <c r="G619" s="497">
        <f>G620</f>
        <v>4610</v>
      </c>
      <c r="H619" s="497">
        <f>H620</f>
        <v>4610</v>
      </c>
      <c r="I619" s="204"/>
    </row>
    <row r="620" spans="1:13" ht="31.5" x14ac:dyDescent="0.25">
      <c r="A620" s="496" t="s">
        <v>272</v>
      </c>
      <c r="B620" s="490">
        <v>906</v>
      </c>
      <c r="C620" s="492" t="s">
        <v>264</v>
      </c>
      <c r="D620" s="492" t="s">
        <v>213</v>
      </c>
      <c r="E620" s="492" t="s">
        <v>1390</v>
      </c>
      <c r="F620" s="492" t="s">
        <v>273</v>
      </c>
      <c r="G620" s="497">
        <f>G621</f>
        <v>4610</v>
      </c>
      <c r="H620" s="497">
        <f>H621</f>
        <v>4610</v>
      </c>
      <c r="I620" s="204"/>
    </row>
    <row r="621" spans="1:13" ht="15.75" x14ac:dyDescent="0.25">
      <c r="A621" s="496" t="s">
        <v>274</v>
      </c>
      <c r="B621" s="490">
        <v>906</v>
      </c>
      <c r="C621" s="492" t="s">
        <v>264</v>
      </c>
      <c r="D621" s="492" t="s">
        <v>213</v>
      </c>
      <c r="E621" s="492" t="s">
        <v>1390</v>
      </c>
      <c r="F621" s="492" t="s">
        <v>275</v>
      </c>
      <c r="G621" s="497">
        <v>4610</v>
      </c>
      <c r="H621" s="497">
        <f>G621</f>
        <v>4610</v>
      </c>
      <c r="I621" s="204"/>
    </row>
    <row r="622" spans="1:13" ht="78.75" x14ac:dyDescent="0.25">
      <c r="A622" s="31" t="s">
        <v>460</v>
      </c>
      <c r="B622" s="490">
        <v>906</v>
      </c>
      <c r="C622" s="492" t="s">
        <v>264</v>
      </c>
      <c r="D622" s="492" t="s">
        <v>213</v>
      </c>
      <c r="E622" s="492" t="s">
        <v>1250</v>
      </c>
      <c r="F622" s="492"/>
      <c r="G622" s="497">
        <f>G623</f>
        <v>115047.8</v>
      </c>
      <c r="H622" s="497">
        <f>H623</f>
        <v>134211.70000000001</v>
      </c>
      <c r="I622" s="204"/>
    </row>
    <row r="623" spans="1:13" ht="31.5" x14ac:dyDescent="0.25">
      <c r="A623" s="496" t="s">
        <v>272</v>
      </c>
      <c r="B623" s="490">
        <v>906</v>
      </c>
      <c r="C623" s="492" t="s">
        <v>264</v>
      </c>
      <c r="D623" s="492" t="s">
        <v>213</v>
      </c>
      <c r="E623" s="492" t="s">
        <v>1250</v>
      </c>
      <c r="F623" s="492" t="s">
        <v>273</v>
      </c>
      <c r="G623" s="497">
        <f>G624</f>
        <v>115047.8</v>
      </c>
      <c r="H623" s="497">
        <f>H624</f>
        <v>134211.70000000001</v>
      </c>
      <c r="I623" s="204"/>
    </row>
    <row r="624" spans="1:13" ht="15.75" x14ac:dyDescent="0.25">
      <c r="A624" s="496" t="s">
        <v>274</v>
      </c>
      <c r="B624" s="490">
        <v>906</v>
      </c>
      <c r="C624" s="492" t="s">
        <v>264</v>
      </c>
      <c r="D624" s="492" t="s">
        <v>213</v>
      </c>
      <c r="E624" s="492" t="s">
        <v>1250</v>
      </c>
      <c r="F624" s="492" t="s">
        <v>275</v>
      </c>
      <c r="G624" s="497">
        <v>115047.8</v>
      </c>
      <c r="H624" s="497">
        <v>134211.70000000001</v>
      </c>
      <c r="I624" s="204"/>
    </row>
    <row r="625" spans="1:9" ht="63" x14ac:dyDescent="0.25">
      <c r="A625" s="31" t="s">
        <v>289</v>
      </c>
      <c r="B625" s="490">
        <v>906</v>
      </c>
      <c r="C625" s="492" t="s">
        <v>264</v>
      </c>
      <c r="D625" s="492" t="s">
        <v>213</v>
      </c>
      <c r="E625" s="492" t="s">
        <v>1233</v>
      </c>
      <c r="F625" s="492"/>
      <c r="G625" s="497">
        <f>G626</f>
        <v>1311</v>
      </c>
      <c r="H625" s="497">
        <f>H626</f>
        <v>1311</v>
      </c>
      <c r="I625" s="204"/>
    </row>
    <row r="626" spans="1:9" ht="31.5" x14ac:dyDescent="0.25">
      <c r="A626" s="496" t="s">
        <v>272</v>
      </c>
      <c r="B626" s="490">
        <v>906</v>
      </c>
      <c r="C626" s="492" t="s">
        <v>264</v>
      </c>
      <c r="D626" s="492" t="s">
        <v>213</v>
      </c>
      <c r="E626" s="492" t="s">
        <v>1233</v>
      </c>
      <c r="F626" s="492" t="s">
        <v>273</v>
      </c>
      <c r="G626" s="497">
        <f>G627</f>
        <v>1311</v>
      </c>
      <c r="H626" s="497">
        <f>H627</f>
        <v>1311</v>
      </c>
      <c r="I626" s="204"/>
    </row>
    <row r="627" spans="1:9" ht="15.75" x14ac:dyDescent="0.25">
      <c r="A627" s="496" t="s">
        <v>274</v>
      </c>
      <c r="B627" s="490">
        <v>906</v>
      </c>
      <c r="C627" s="492" t="s">
        <v>264</v>
      </c>
      <c r="D627" s="492" t="s">
        <v>213</v>
      </c>
      <c r="E627" s="492" t="s">
        <v>1233</v>
      </c>
      <c r="F627" s="492" t="s">
        <v>275</v>
      </c>
      <c r="G627" s="497">
        <v>1311</v>
      </c>
      <c r="H627" s="497">
        <f t="shared" si="51"/>
        <v>1311</v>
      </c>
      <c r="I627" s="204"/>
    </row>
    <row r="628" spans="1:9" ht="63" x14ac:dyDescent="0.25">
      <c r="A628" s="31" t="s">
        <v>291</v>
      </c>
      <c r="B628" s="490">
        <v>906</v>
      </c>
      <c r="C628" s="492" t="s">
        <v>264</v>
      </c>
      <c r="D628" s="492" t="s">
        <v>213</v>
      </c>
      <c r="E628" s="492" t="s">
        <v>1234</v>
      </c>
      <c r="F628" s="492"/>
      <c r="G628" s="497">
        <f>G629</f>
        <v>2266.6999999999998</v>
      </c>
      <c r="H628" s="497">
        <f>H629</f>
        <v>2266.6999999999998</v>
      </c>
      <c r="I628" s="204"/>
    </row>
    <row r="629" spans="1:9" ht="31.5" x14ac:dyDescent="0.25">
      <c r="A629" s="496" t="s">
        <v>272</v>
      </c>
      <c r="B629" s="490">
        <v>906</v>
      </c>
      <c r="C629" s="492" t="s">
        <v>264</v>
      </c>
      <c r="D629" s="492" t="s">
        <v>213</v>
      </c>
      <c r="E629" s="492" t="s">
        <v>1234</v>
      </c>
      <c r="F629" s="492" t="s">
        <v>273</v>
      </c>
      <c r="G629" s="497">
        <f>G630</f>
        <v>2266.6999999999998</v>
      </c>
      <c r="H629" s="497">
        <f>H630</f>
        <v>2266.6999999999998</v>
      </c>
      <c r="I629" s="204"/>
    </row>
    <row r="630" spans="1:9" ht="15.75" x14ac:dyDescent="0.25">
      <c r="A630" s="496" t="s">
        <v>274</v>
      </c>
      <c r="B630" s="490">
        <v>906</v>
      </c>
      <c r="C630" s="492" t="s">
        <v>264</v>
      </c>
      <c r="D630" s="492" t="s">
        <v>213</v>
      </c>
      <c r="E630" s="492" t="s">
        <v>1234</v>
      </c>
      <c r="F630" s="492" t="s">
        <v>275</v>
      </c>
      <c r="G630" s="497">
        <f>2266.7</f>
        <v>2266.6999999999998</v>
      </c>
      <c r="H630" s="497">
        <f t="shared" si="51"/>
        <v>2266.6999999999998</v>
      </c>
      <c r="I630" s="204"/>
    </row>
    <row r="631" spans="1:9" ht="47.25" x14ac:dyDescent="0.25">
      <c r="A631" s="31" t="s">
        <v>462</v>
      </c>
      <c r="B631" s="490">
        <v>906</v>
      </c>
      <c r="C631" s="492" t="s">
        <v>264</v>
      </c>
      <c r="D631" s="492" t="s">
        <v>213</v>
      </c>
      <c r="E631" s="492" t="s">
        <v>1251</v>
      </c>
      <c r="F631" s="492"/>
      <c r="G631" s="497">
        <f>G632</f>
        <v>909.3</v>
      </c>
      <c r="H631" s="497">
        <f>H632</f>
        <v>909.3</v>
      </c>
      <c r="I631" s="204"/>
    </row>
    <row r="632" spans="1:9" ht="31.5" x14ac:dyDescent="0.25">
      <c r="A632" s="496" t="s">
        <v>272</v>
      </c>
      <c r="B632" s="490">
        <v>906</v>
      </c>
      <c r="C632" s="492" t="s">
        <v>264</v>
      </c>
      <c r="D632" s="492" t="s">
        <v>213</v>
      </c>
      <c r="E632" s="492" t="s">
        <v>1251</v>
      </c>
      <c r="F632" s="492" t="s">
        <v>273</v>
      </c>
      <c r="G632" s="497">
        <f>G633</f>
        <v>909.3</v>
      </c>
      <c r="H632" s="497">
        <f>H633</f>
        <v>909.3</v>
      </c>
      <c r="I632" s="204"/>
    </row>
    <row r="633" spans="1:9" ht="15.75" x14ac:dyDescent="0.25">
      <c r="A633" s="496" t="s">
        <v>274</v>
      </c>
      <c r="B633" s="490">
        <v>906</v>
      </c>
      <c r="C633" s="492" t="s">
        <v>264</v>
      </c>
      <c r="D633" s="492" t="s">
        <v>213</v>
      </c>
      <c r="E633" s="492" t="s">
        <v>1251</v>
      </c>
      <c r="F633" s="492" t="s">
        <v>275</v>
      </c>
      <c r="G633" s="497">
        <v>909.3</v>
      </c>
      <c r="H633" s="497">
        <v>909.3</v>
      </c>
      <c r="I633" s="204"/>
    </row>
    <row r="634" spans="1:9" ht="31.5" x14ac:dyDescent="0.25">
      <c r="A634" s="494" t="s">
        <v>1252</v>
      </c>
      <c r="B634" s="255">
        <v>906</v>
      </c>
      <c r="C634" s="495" t="s">
        <v>264</v>
      </c>
      <c r="D634" s="495" t="s">
        <v>213</v>
      </c>
      <c r="E634" s="495" t="s">
        <v>1237</v>
      </c>
      <c r="F634" s="495"/>
      <c r="G634" s="493">
        <f>G635+G638+G641+G644</f>
        <v>224</v>
      </c>
      <c r="H634" s="493">
        <f>H635+H638+H641+H644</f>
        <v>224</v>
      </c>
      <c r="I634" s="204"/>
    </row>
    <row r="635" spans="1:9" ht="31.5" hidden="1" x14ac:dyDescent="0.25">
      <c r="A635" s="496" t="s">
        <v>440</v>
      </c>
      <c r="B635" s="37">
        <v>906</v>
      </c>
      <c r="C635" s="492" t="s">
        <v>264</v>
      </c>
      <c r="D635" s="492" t="s">
        <v>213</v>
      </c>
      <c r="E635" s="492" t="s">
        <v>1317</v>
      </c>
      <c r="F635" s="492"/>
      <c r="G635" s="497">
        <f>'[1]Пр.5 ведом.21'!G623</f>
        <v>0</v>
      </c>
      <c r="H635" s="497">
        <f t="shared" ref="H635:H706" si="56">G635</f>
        <v>0</v>
      </c>
      <c r="I635" s="204"/>
    </row>
    <row r="636" spans="1:9" ht="31.5" hidden="1" x14ac:dyDescent="0.25">
      <c r="A636" s="496" t="s">
        <v>272</v>
      </c>
      <c r="B636" s="37">
        <v>906</v>
      </c>
      <c r="C636" s="492" t="s">
        <v>264</v>
      </c>
      <c r="D636" s="492" t="s">
        <v>213</v>
      </c>
      <c r="E636" s="492" t="s">
        <v>1317</v>
      </c>
      <c r="F636" s="492" t="s">
        <v>273</v>
      </c>
      <c r="G636" s="497">
        <f>'[1]Пр.5 ведом.21'!G624</f>
        <v>0</v>
      </c>
      <c r="H636" s="497">
        <f t="shared" si="56"/>
        <v>0</v>
      </c>
      <c r="I636" s="204"/>
    </row>
    <row r="637" spans="1:9" ht="15.75" hidden="1" x14ac:dyDescent="0.25">
      <c r="A637" s="496" t="s">
        <v>274</v>
      </c>
      <c r="B637" s="37">
        <v>906</v>
      </c>
      <c r="C637" s="492" t="s">
        <v>264</v>
      </c>
      <c r="D637" s="492" t="s">
        <v>213</v>
      </c>
      <c r="E637" s="492" t="s">
        <v>1317</v>
      </c>
      <c r="F637" s="492" t="s">
        <v>275</v>
      </c>
      <c r="G637" s="497">
        <f>'[1]Пр.5 ведом.21'!G625</f>
        <v>0</v>
      </c>
      <c r="H637" s="497">
        <f t="shared" si="56"/>
        <v>0</v>
      </c>
      <c r="I637" s="204"/>
    </row>
    <row r="638" spans="1:9" ht="31.5" hidden="1" x14ac:dyDescent="0.25">
      <c r="A638" s="496" t="s">
        <v>278</v>
      </c>
      <c r="B638" s="37">
        <v>906</v>
      </c>
      <c r="C638" s="492" t="s">
        <v>264</v>
      </c>
      <c r="D638" s="492" t="s">
        <v>213</v>
      </c>
      <c r="E638" s="492" t="s">
        <v>1318</v>
      </c>
      <c r="F638" s="492"/>
      <c r="G638" s="497">
        <f>'[1]Пр.5 ведом.21'!G626</f>
        <v>0</v>
      </c>
      <c r="H638" s="497">
        <f t="shared" si="56"/>
        <v>0</v>
      </c>
      <c r="I638" s="204"/>
    </row>
    <row r="639" spans="1:9" ht="31.5" hidden="1" x14ac:dyDescent="0.25">
      <c r="A639" s="496" t="s">
        <v>272</v>
      </c>
      <c r="B639" s="37">
        <v>906</v>
      </c>
      <c r="C639" s="492" t="s">
        <v>264</v>
      </c>
      <c r="D639" s="492" t="s">
        <v>213</v>
      </c>
      <c r="E639" s="492" t="s">
        <v>1318</v>
      </c>
      <c r="F639" s="492" t="s">
        <v>273</v>
      </c>
      <c r="G639" s="497">
        <f>'[1]Пр.5 ведом.21'!G627</f>
        <v>0</v>
      </c>
      <c r="H639" s="497">
        <f t="shared" si="56"/>
        <v>0</v>
      </c>
      <c r="I639" s="204"/>
    </row>
    <row r="640" spans="1:9" ht="15.75" hidden="1" x14ac:dyDescent="0.25">
      <c r="A640" s="496" t="s">
        <v>274</v>
      </c>
      <c r="B640" s="37">
        <v>906</v>
      </c>
      <c r="C640" s="492" t="s">
        <v>264</v>
      </c>
      <c r="D640" s="492" t="s">
        <v>213</v>
      </c>
      <c r="E640" s="492" t="s">
        <v>1318</v>
      </c>
      <c r="F640" s="492" t="s">
        <v>275</v>
      </c>
      <c r="G640" s="497">
        <f>'[1]Пр.5 ведом.21'!G628</f>
        <v>0</v>
      </c>
      <c r="H640" s="497">
        <f t="shared" si="56"/>
        <v>0</v>
      </c>
      <c r="I640" s="204"/>
    </row>
    <row r="641" spans="1:9" ht="31.5" hidden="1" x14ac:dyDescent="0.25">
      <c r="A641" s="496" t="s">
        <v>280</v>
      </c>
      <c r="B641" s="37">
        <v>906</v>
      </c>
      <c r="C641" s="492" t="s">
        <v>264</v>
      </c>
      <c r="D641" s="492" t="s">
        <v>213</v>
      </c>
      <c r="E641" s="492" t="s">
        <v>1319</v>
      </c>
      <c r="F641" s="492"/>
      <c r="G641" s="497">
        <f>'[1]Пр.5 ведом.21'!G629</f>
        <v>0</v>
      </c>
      <c r="H641" s="497">
        <f t="shared" si="56"/>
        <v>0</v>
      </c>
      <c r="I641" s="204"/>
    </row>
    <row r="642" spans="1:9" ht="31.5" hidden="1" x14ac:dyDescent="0.25">
      <c r="A642" s="496" t="s">
        <v>272</v>
      </c>
      <c r="B642" s="37">
        <v>906</v>
      </c>
      <c r="C642" s="492" t="s">
        <v>264</v>
      </c>
      <c r="D642" s="492" t="s">
        <v>213</v>
      </c>
      <c r="E642" s="492" t="s">
        <v>1319</v>
      </c>
      <c r="F642" s="492" t="s">
        <v>273</v>
      </c>
      <c r="G642" s="497">
        <f>'[1]Пр.5 ведом.21'!G630</f>
        <v>0</v>
      </c>
      <c r="H642" s="497">
        <f t="shared" si="56"/>
        <v>0</v>
      </c>
      <c r="I642" s="204"/>
    </row>
    <row r="643" spans="1:9" ht="15.75" hidden="1" x14ac:dyDescent="0.25">
      <c r="A643" s="496" t="s">
        <v>274</v>
      </c>
      <c r="B643" s="37">
        <v>906</v>
      </c>
      <c r="C643" s="492" t="s">
        <v>264</v>
      </c>
      <c r="D643" s="492" t="s">
        <v>213</v>
      </c>
      <c r="E643" s="492" t="s">
        <v>1319</v>
      </c>
      <c r="F643" s="492" t="s">
        <v>275</v>
      </c>
      <c r="G643" s="497">
        <f>'[1]Пр.5 ведом.21'!G631</f>
        <v>0</v>
      </c>
      <c r="H643" s="497">
        <f t="shared" si="56"/>
        <v>0</v>
      </c>
      <c r="I643" s="204"/>
    </row>
    <row r="644" spans="1:9" ht="31.5" x14ac:dyDescent="0.25">
      <c r="A644" s="496" t="s">
        <v>282</v>
      </c>
      <c r="B644" s="37">
        <v>906</v>
      </c>
      <c r="C644" s="492" t="s">
        <v>264</v>
      </c>
      <c r="D644" s="492" t="s">
        <v>213</v>
      </c>
      <c r="E644" s="492" t="s">
        <v>1253</v>
      </c>
      <c r="F644" s="492"/>
      <c r="G644" s="497">
        <f>G645</f>
        <v>224</v>
      </c>
      <c r="H644" s="497">
        <f>H645</f>
        <v>224</v>
      </c>
      <c r="I644" s="204"/>
    </row>
    <row r="645" spans="1:9" ht="31.5" x14ac:dyDescent="0.25">
      <c r="A645" s="496" t="s">
        <v>272</v>
      </c>
      <c r="B645" s="37">
        <v>906</v>
      </c>
      <c r="C645" s="492" t="s">
        <v>264</v>
      </c>
      <c r="D645" s="492" t="s">
        <v>213</v>
      </c>
      <c r="E645" s="492" t="s">
        <v>1253</v>
      </c>
      <c r="F645" s="492" t="s">
        <v>273</v>
      </c>
      <c r="G645" s="497">
        <f>G646</f>
        <v>224</v>
      </c>
      <c r="H645" s="497">
        <f>H646</f>
        <v>224</v>
      </c>
      <c r="I645" s="204"/>
    </row>
    <row r="646" spans="1:9" ht="15.75" x14ac:dyDescent="0.25">
      <c r="A646" s="496" t="s">
        <v>274</v>
      </c>
      <c r="B646" s="37">
        <v>906</v>
      </c>
      <c r="C646" s="492" t="s">
        <v>264</v>
      </c>
      <c r="D646" s="492" t="s">
        <v>213</v>
      </c>
      <c r="E646" s="492" t="s">
        <v>1253</v>
      </c>
      <c r="F646" s="492" t="s">
        <v>275</v>
      </c>
      <c r="G646" s="497">
        <f>224</f>
        <v>224</v>
      </c>
      <c r="H646" s="497">
        <f t="shared" si="56"/>
        <v>224</v>
      </c>
      <c r="I646" s="204"/>
    </row>
    <row r="647" spans="1:9" ht="31.5" x14ac:dyDescent="0.25">
      <c r="A647" s="219" t="s">
        <v>948</v>
      </c>
      <c r="B647" s="491">
        <v>906</v>
      </c>
      <c r="C647" s="495" t="s">
        <v>264</v>
      </c>
      <c r="D647" s="495" t="s">
        <v>213</v>
      </c>
      <c r="E647" s="495" t="s">
        <v>1240</v>
      </c>
      <c r="F647" s="495"/>
      <c r="G647" s="44">
        <f>G648+G651</f>
        <v>2888</v>
      </c>
      <c r="H647" s="44">
        <f>H648+H651</f>
        <v>2888</v>
      </c>
      <c r="I647" s="204"/>
    </row>
    <row r="648" spans="1:9" ht="31.5" hidden="1" x14ac:dyDescent="0.25">
      <c r="A648" s="496" t="s">
        <v>791</v>
      </c>
      <c r="B648" s="490">
        <v>906</v>
      </c>
      <c r="C648" s="492" t="s">
        <v>264</v>
      </c>
      <c r="D648" s="492" t="s">
        <v>213</v>
      </c>
      <c r="E648" s="492" t="s">
        <v>1258</v>
      </c>
      <c r="F648" s="492"/>
      <c r="G648" s="497">
        <f>'[1]Пр.5 ведом.21'!G636</f>
        <v>0</v>
      </c>
      <c r="H648" s="497">
        <f>G648</f>
        <v>0</v>
      </c>
      <c r="I648" s="204"/>
    </row>
    <row r="649" spans="1:9" ht="31.5" hidden="1" x14ac:dyDescent="0.25">
      <c r="A649" s="496" t="s">
        <v>272</v>
      </c>
      <c r="B649" s="490">
        <v>906</v>
      </c>
      <c r="C649" s="492" t="s">
        <v>264</v>
      </c>
      <c r="D649" s="492" t="s">
        <v>213</v>
      </c>
      <c r="E649" s="492" t="s">
        <v>1258</v>
      </c>
      <c r="F649" s="492" t="s">
        <v>273</v>
      </c>
      <c r="G649" s="497">
        <f>'[1]Пр.5 ведом.21'!G637</f>
        <v>0</v>
      </c>
      <c r="H649" s="497">
        <f>G649</f>
        <v>0</v>
      </c>
      <c r="I649" s="204"/>
    </row>
    <row r="650" spans="1:9" ht="15.75" hidden="1" x14ac:dyDescent="0.25">
      <c r="A650" s="496" t="s">
        <v>274</v>
      </c>
      <c r="B650" s="490">
        <v>906</v>
      </c>
      <c r="C650" s="492" t="s">
        <v>264</v>
      </c>
      <c r="D650" s="492" t="s">
        <v>213</v>
      </c>
      <c r="E650" s="492" t="s">
        <v>1258</v>
      </c>
      <c r="F650" s="492" t="s">
        <v>275</v>
      </c>
      <c r="G650" s="497">
        <f>'[1]Пр.5 ведом.21'!G638</f>
        <v>0</v>
      </c>
      <c r="H650" s="497">
        <f>G650</f>
        <v>0</v>
      </c>
      <c r="I650" s="204"/>
    </row>
    <row r="651" spans="1:9" ht="31.5" x14ac:dyDescent="0.25">
      <c r="A651" s="60" t="s">
        <v>764</v>
      </c>
      <c r="B651" s="490">
        <v>906</v>
      </c>
      <c r="C651" s="492" t="s">
        <v>264</v>
      </c>
      <c r="D651" s="492" t="s">
        <v>213</v>
      </c>
      <c r="E651" s="492" t="s">
        <v>1241</v>
      </c>
      <c r="F651" s="492"/>
      <c r="G651" s="497">
        <f>G652</f>
        <v>2888</v>
      </c>
      <c r="H651" s="497">
        <f>H652</f>
        <v>2888</v>
      </c>
      <c r="I651" s="204"/>
    </row>
    <row r="652" spans="1:9" ht="31.5" x14ac:dyDescent="0.25">
      <c r="A652" s="29" t="s">
        <v>272</v>
      </c>
      <c r="B652" s="490">
        <v>906</v>
      </c>
      <c r="C652" s="492" t="s">
        <v>264</v>
      </c>
      <c r="D652" s="492" t="s">
        <v>213</v>
      </c>
      <c r="E652" s="492" t="s">
        <v>1241</v>
      </c>
      <c r="F652" s="492" t="s">
        <v>273</v>
      </c>
      <c r="G652" s="497">
        <f>G653</f>
        <v>2888</v>
      </c>
      <c r="H652" s="497">
        <f>H653</f>
        <v>2888</v>
      </c>
      <c r="I652" s="204"/>
    </row>
    <row r="653" spans="1:9" ht="15.75" x14ac:dyDescent="0.25">
      <c r="A653" s="182" t="s">
        <v>274</v>
      </c>
      <c r="B653" s="490">
        <v>906</v>
      </c>
      <c r="C653" s="492" t="s">
        <v>264</v>
      </c>
      <c r="D653" s="492" t="s">
        <v>213</v>
      </c>
      <c r="E653" s="492" t="s">
        <v>1241</v>
      </c>
      <c r="F653" s="492" t="s">
        <v>275</v>
      </c>
      <c r="G653" s="497">
        <v>2888</v>
      </c>
      <c r="H653" s="497">
        <f>G653</f>
        <v>2888</v>
      </c>
      <c r="I653" s="204"/>
    </row>
    <row r="654" spans="1:9" ht="31.5" x14ac:dyDescent="0.25">
      <c r="A654" s="494" t="s">
        <v>938</v>
      </c>
      <c r="B654" s="255">
        <v>906</v>
      </c>
      <c r="C654" s="495" t="s">
        <v>264</v>
      </c>
      <c r="D654" s="495" t="s">
        <v>213</v>
      </c>
      <c r="E654" s="495" t="s">
        <v>1254</v>
      </c>
      <c r="F654" s="495"/>
      <c r="G654" s="493">
        <f t="shared" ref="G654:H656" si="57">G655</f>
        <v>3931.8</v>
      </c>
      <c r="H654" s="493">
        <f t="shared" si="57"/>
        <v>3865.2</v>
      </c>
      <c r="I654" s="204"/>
    </row>
    <row r="655" spans="1:9" ht="49.7" customHeight="1" x14ac:dyDescent="0.25">
      <c r="A655" s="29" t="s">
        <v>602</v>
      </c>
      <c r="B655" s="37">
        <v>906</v>
      </c>
      <c r="C655" s="492" t="s">
        <v>264</v>
      </c>
      <c r="D655" s="492" t="s">
        <v>213</v>
      </c>
      <c r="E655" s="492" t="s">
        <v>1255</v>
      </c>
      <c r="F655" s="492"/>
      <c r="G655" s="497">
        <f t="shared" si="57"/>
        <v>3931.8</v>
      </c>
      <c r="H655" s="497">
        <f t="shared" si="57"/>
        <v>3865.2</v>
      </c>
      <c r="I655" s="204"/>
    </row>
    <row r="656" spans="1:9" ht="31.5" x14ac:dyDescent="0.25">
      <c r="A656" s="496" t="s">
        <v>272</v>
      </c>
      <c r="B656" s="37">
        <v>906</v>
      </c>
      <c r="C656" s="492" t="s">
        <v>264</v>
      </c>
      <c r="D656" s="492" t="s">
        <v>213</v>
      </c>
      <c r="E656" s="492" t="s">
        <v>1255</v>
      </c>
      <c r="F656" s="492" t="s">
        <v>273</v>
      </c>
      <c r="G656" s="497">
        <f t="shared" si="57"/>
        <v>3931.8</v>
      </c>
      <c r="H656" s="497">
        <f t="shared" si="57"/>
        <v>3865.2</v>
      </c>
      <c r="I656" s="204"/>
    </row>
    <row r="657" spans="1:15" ht="15.75" x14ac:dyDescent="0.25">
      <c r="A657" s="496" t="s">
        <v>274</v>
      </c>
      <c r="B657" s="37">
        <v>906</v>
      </c>
      <c r="C657" s="492" t="s">
        <v>264</v>
      </c>
      <c r="D657" s="492" t="s">
        <v>213</v>
      </c>
      <c r="E657" s="492" t="s">
        <v>1255</v>
      </c>
      <c r="F657" s="492" t="s">
        <v>275</v>
      </c>
      <c r="G657" s="497">
        <v>3931.8</v>
      </c>
      <c r="H657" s="497">
        <v>3865.2</v>
      </c>
      <c r="I657" s="204"/>
    </row>
    <row r="658" spans="1:15" ht="31.5" x14ac:dyDescent="0.25">
      <c r="A658" s="494" t="s">
        <v>939</v>
      </c>
      <c r="B658" s="255">
        <v>906</v>
      </c>
      <c r="C658" s="495" t="s">
        <v>264</v>
      </c>
      <c r="D658" s="495" t="s">
        <v>213</v>
      </c>
      <c r="E658" s="495" t="s">
        <v>1256</v>
      </c>
      <c r="F658" s="495"/>
      <c r="G658" s="44">
        <f t="shared" ref="G658:H660" si="58">G659</f>
        <v>1384.6</v>
      </c>
      <c r="H658" s="44">
        <f t="shared" si="58"/>
        <v>1384.6</v>
      </c>
      <c r="I658" s="204"/>
    </row>
    <row r="659" spans="1:15" ht="47.25" x14ac:dyDescent="0.25">
      <c r="A659" s="496" t="s">
        <v>438</v>
      </c>
      <c r="B659" s="37">
        <v>906</v>
      </c>
      <c r="C659" s="492" t="s">
        <v>264</v>
      </c>
      <c r="D659" s="492" t="s">
        <v>213</v>
      </c>
      <c r="E659" s="492" t="s">
        <v>1257</v>
      </c>
      <c r="F659" s="492"/>
      <c r="G659" s="497">
        <f t="shared" si="58"/>
        <v>1384.6</v>
      </c>
      <c r="H659" s="497">
        <f t="shared" si="58"/>
        <v>1384.6</v>
      </c>
      <c r="I659" s="204"/>
    </row>
    <row r="660" spans="1:15" ht="31.5" x14ac:dyDescent="0.25">
      <c r="A660" s="496" t="s">
        <v>272</v>
      </c>
      <c r="B660" s="37">
        <v>906</v>
      </c>
      <c r="C660" s="492" t="s">
        <v>264</v>
      </c>
      <c r="D660" s="492" t="s">
        <v>213</v>
      </c>
      <c r="E660" s="492" t="s">
        <v>1257</v>
      </c>
      <c r="F660" s="492" t="s">
        <v>273</v>
      </c>
      <c r="G660" s="497">
        <f t="shared" si="58"/>
        <v>1384.6</v>
      </c>
      <c r="H660" s="497">
        <f t="shared" si="58"/>
        <v>1384.6</v>
      </c>
      <c r="I660" s="204"/>
    </row>
    <row r="661" spans="1:15" ht="15.75" x14ac:dyDescent="0.25">
      <c r="A661" s="496" t="s">
        <v>274</v>
      </c>
      <c r="B661" s="37">
        <v>906</v>
      </c>
      <c r="C661" s="492" t="s">
        <v>264</v>
      </c>
      <c r="D661" s="492" t="s">
        <v>213</v>
      </c>
      <c r="E661" s="492" t="s">
        <v>1257</v>
      </c>
      <c r="F661" s="492" t="s">
        <v>275</v>
      </c>
      <c r="G661" s="497">
        <v>1384.6</v>
      </c>
      <c r="H661" s="497">
        <v>1384.6</v>
      </c>
      <c r="I661" s="204"/>
    </row>
    <row r="662" spans="1:15" ht="31.5" x14ac:dyDescent="0.25">
      <c r="A662" s="217" t="s">
        <v>940</v>
      </c>
      <c r="B662" s="491">
        <v>906</v>
      </c>
      <c r="C662" s="495" t="s">
        <v>264</v>
      </c>
      <c r="D662" s="495" t="s">
        <v>213</v>
      </c>
      <c r="E662" s="495" t="s">
        <v>1259</v>
      </c>
      <c r="F662" s="495"/>
      <c r="G662" s="493">
        <f>G663+G666</f>
        <v>755.8</v>
      </c>
      <c r="H662" s="493">
        <f>H663+H666</f>
        <v>759</v>
      </c>
      <c r="I662" s="204"/>
    </row>
    <row r="663" spans="1:15" ht="50.25" customHeight="1" x14ac:dyDescent="0.25">
      <c r="A663" s="182" t="s">
        <v>828</v>
      </c>
      <c r="B663" s="490">
        <v>906</v>
      </c>
      <c r="C663" s="492" t="s">
        <v>264</v>
      </c>
      <c r="D663" s="492" t="s">
        <v>213</v>
      </c>
      <c r="E663" s="492" t="s">
        <v>1425</v>
      </c>
      <c r="F663" s="492"/>
      <c r="G663" s="497">
        <f>G664</f>
        <v>755.8</v>
      </c>
      <c r="H663" s="497">
        <f t="shared" ref="H663:H664" si="59">H664</f>
        <v>759</v>
      </c>
      <c r="I663" s="204"/>
    </row>
    <row r="664" spans="1:15" ht="31.5" x14ac:dyDescent="0.25">
      <c r="A664" s="31" t="s">
        <v>272</v>
      </c>
      <c r="B664" s="490">
        <v>906</v>
      </c>
      <c r="C664" s="492" t="s">
        <v>264</v>
      </c>
      <c r="D664" s="492" t="s">
        <v>213</v>
      </c>
      <c r="E664" s="492" t="s">
        <v>1425</v>
      </c>
      <c r="F664" s="492" t="s">
        <v>273</v>
      </c>
      <c r="G664" s="497">
        <f>G665</f>
        <v>755.8</v>
      </c>
      <c r="H664" s="497">
        <f t="shared" si="59"/>
        <v>759</v>
      </c>
      <c r="I664" s="204"/>
    </row>
    <row r="665" spans="1:15" ht="15.75" x14ac:dyDescent="0.25">
      <c r="A665" s="31" t="s">
        <v>274</v>
      </c>
      <c r="B665" s="490">
        <v>906</v>
      </c>
      <c r="C665" s="492" t="s">
        <v>264</v>
      </c>
      <c r="D665" s="492" t="s">
        <v>213</v>
      </c>
      <c r="E665" s="492" t="s">
        <v>1425</v>
      </c>
      <c r="F665" s="492" t="s">
        <v>275</v>
      </c>
      <c r="G665" s="497">
        <v>755.8</v>
      </c>
      <c r="H665" s="497">
        <v>759</v>
      </c>
      <c r="I665" s="204"/>
    </row>
    <row r="666" spans="1:15" ht="31.5" hidden="1" x14ac:dyDescent="0.25">
      <c r="A666" s="353" t="s">
        <v>1424</v>
      </c>
      <c r="B666" s="490">
        <v>906</v>
      </c>
      <c r="C666" s="492" t="s">
        <v>264</v>
      </c>
      <c r="D666" s="492" t="s">
        <v>213</v>
      </c>
      <c r="E666" s="492" t="s">
        <v>1426</v>
      </c>
      <c r="F666" s="492"/>
      <c r="G666" s="497">
        <f>G667</f>
        <v>0</v>
      </c>
      <c r="H666" s="497">
        <f>H667</f>
        <v>0</v>
      </c>
      <c r="I666" s="204"/>
    </row>
    <row r="667" spans="1:15" ht="31.5" hidden="1" x14ac:dyDescent="0.25">
      <c r="A667" s="31" t="s">
        <v>272</v>
      </c>
      <c r="B667" s="490">
        <v>906</v>
      </c>
      <c r="C667" s="492" t="s">
        <v>264</v>
      </c>
      <c r="D667" s="492" t="s">
        <v>213</v>
      </c>
      <c r="E667" s="492" t="s">
        <v>1426</v>
      </c>
      <c r="F667" s="492" t="s">
        <v>273</v>
      </c>
      <c r="G667" s="497">
        <f>G668</f>
        <v>0</v>
      </c>
      <c r="H667" s="497">
        <f>H668</f>
        <v>0</v>
      </c>
      <c r="I667" s="204"/>
    </row>
    <row r="668" spans="1:15" ht="15.75" hidden="1" x14ac:dyDescent="0.25">
      <c r="A668" s="31" t="s">
        <v>274</v>
      </c>
      <c r="B668" s="490">
        <v>906</v>
      </c>
      <c r="C668" s="492" t="s">
        <v>264</v>
      </c>
      <c r="D668" s="492" t="s">
        <v>213</v>
      </c>
      <c r="E668" s="492" t="s">
        <v>1426</v>
      </c>
      <c r="F668" s="492" t="s">
        <v>275</v>
      </c>
      <c r="G668" s="497">
        <v>0</v>
      </c>
      <c r="H668" s="497">
        <v>0</v>
      </c>
      <c r="I668" s="204"/>
    </row>
    <row r="669" spans="1:15" ht="31.5" x14ac:dyDescent="0.25">
      <c r="A669" s="304" t="s">
        <v>1405</v>
      </c>
      <c r="B669" s="491">
        <v>906</v>
      </c>
      <c r="C669" s="495" t="s">
        <v>264</v>
      </c>
      <c r="D669" s="495" t="s">
        <v>213</v>
      </c>
      <c r="E669" s="495" t="s">
        <v>1404</v>
      </c>
      <c r="F669" s="495"/>
      <c r="G669" s="493">
        <f t="shared" ref="G669:H671" si="60">G670</f>
        <v>5415.6500000000005</v>
      </c>
      <c r="H669" s="493">
        <f t="shared" si="60"/>
        <v>5142.4500000000007</v>
      </c>
      <c r="I669" s="204"/>
    </row>
    <row r="670" spans="1:15" ht="63" x14ac:dyDescent="0.25">
      <c r="A670" s="303" t="s">
        <v>1391</v>
      </c>
      <c r="B670" s="490">
        <v>906</v>
      </c>
      <c r="C670" s="492" t="s">
        <v>264</v>
      </c>
      <c r="D670" s="492" t="s">
        <v>213</v>
      </c>
      <c r="E670" s="492" t="s">
        <v>1449</v>
      </c>
      <c r="F670" s="492"/>
      <c r="G670" s="497">
        <f t="shared" si="60"/>
        <v>5415.6500000000005</v>
      </c>
      <c r="H670" s="497">
        <f t="shared" si="60"/>
        <v>5142.4500000000007</v>
      </c>
      <c r="I670" s="204"/>
    </row>
    <row r="671" spans="1:15" ht="37.35" customHeight="1" x14ac:dyDescent="0.25">
      <c r="A671" s="31" t="s">
        <v>272</v>
      </c>
      <c r="B671" s="490">
        <v>906</v>
      </c>
      <c r="C671" s="492" t="s">
        <v>264</v>
      </c>
      <c r="D671" s="492" t="s">
        <v>213</v>
      </c>
      <c r="E671" s="492" t="s">
        <v>1449</v>
      </c>
      <c r="F671" s="492" t="s">
        <v>273</v>
      </c>
      <c r="G671" s="497">
        <f t="shared" si="60"/>
        <v>5415.6500000000005</v>
      </c>
      <c r="H671" s="497">
        <f t="shared" si="60"/>
        <v>5142.4500000000007</v>
      </c>
      <c r="I671" s="204"/>
    </row>
    <row r="672" spans="1:15" ht="15.75" x14ac:dyDescent="0.25">
      <c r="A672" s="31" t="s">
        <v>274</v>
      </c>
      <c r="B672" s="490">
        <v>906</v>
      </c>
      <c r="C672" s="492" t="s">
        <v>264</v>
      </c>
      <c r="D672" s="492" t="s">
        <v>213</v>
      </c>
      <c r="E672" s="492" t="s">
        <v>1449</v>
      </c>
      <c r="F672" s="492" t="s">
        <v>275</v>
      </c>
      <c r="G672" s="497">
        <f>5193.6+222.05</f>
        <v>5415.6500000000005</v>
      </c>
      <c r="H672" s="497">
        <f>4931.6+210.85</f>
        <v>5142.4500000000007</v>
      </c>
      <c r="I672" s="204"/>
      <c r="L672" s="204"/>
      <c r="M672" s="204"/>
      <c r="N672" s="204"/>
      <c r="O672" s="204"/>
    </row>
    <row r="673" spans="1:15" ht="47.25" hidden="1" x14ac:dyDescent="0.25">
      <c r="A673" s="217" t="s">
        <v>1172</v>
      </c>
      <c r="B673" s="491">
        <v>906</v>
      </c>
      <c r="C673" s="495" t="s">
        <v>264</v>
      </c>
      <c r="D673" s="495" t="s">
        <v>213</v>
      </c>
      <c r="E673" s="495" t="s">
        <v>1320</v>
      </c>
      <c r="F673" s="495"/>
      <c r="G673" s="493">
        <f t="shared" ref="G673:H677" si="61">G674</f>
        <v>0</v>
      </c>
      <c r="H673" s="493">
        <f t="shared" si="61"/>
        <v>0</v>
      </c>
      <c r="I673" s="204"/>
    </row>
    <row r="674" spans="1:15" ht="47.25" hidden="1" x14ac:dyDescent="0.25">
      <c r="A674" s="182" t="s">
        <v>1180</v>
      </c>
      <c r="B674" s="490">
        <v>906</v>
      </c>
      <c r="C674" s="492" t="s">
        <v>264</v>
      </c>
      <c r="D674" s="492" t="s">
        <v>213</v>
      </c>
      <c r="E674" s="492" t="s">
        <v>1321</v>
      </c>
      <c r="F674" s="492"/>
      <c r="G674" s="497">
        <f t="shared" si="61"/>
        <v>0</v>
      </c>
      <c r="H674" s="497">
        <f t="shared" si="61"/>
        <v>0</v>
      </c>
      <c r="I674" s="204"/>
    </row>
    <row r="675" spans="1:15" ht="31.5" hidden="1" x14ac:dyDescent="0.25">
      <c r="A675" s="31" t="s">
        <v>272</v>
      </c>
      <c r="B675" s="490">
        <v>906</v>
      </c>
      <c r="C675" s="492" t="s">
        <v>264</v>
      </c>
      <c r="D675" s="492" t="s">
        <v>213</v>
      </c>
      <c r="E675" s="492" t="s">
        <v>1321</v>
      </c>
      <c r="F675" s="492" t="s">
        <v>273</v>
      </c>
      <c r="G675" s="497">
        <f t="shared" si="61"/>
        <v>0</v>
      </c>
      <c r="H675" s="497">
        <f t="shared" si="61"/>
        <v>0</v>
      </c>
      <c r="I675" s="204"/>
    </row>
    <row r="676" spans="1:15" ht="15.75" hidden="1" x14ac:dyDescent="0.25">
      <c r="A676" s="31" t="s">
        <v>274</v>
      </c>
      <c r="B676" s="490">
        <v>906</v>
      </c>
      <c r="C676" s="492" t="s">
        <v>264</v>
      </c>
      <c r="D676" s="492" t="s">
        <v>213</v>
      </c>
      <c r="E676" s="492" t="s">
        <v>1321</v>
      </c>
      <c r="F676" s="492" t="s">
        <v>275</v>
      </c>
      <c r="G676" s="497">
        <v>0</v>
      </c>
      <c r="H676" s="497">
        <f>G676</f>
        <v>0</v>
      </c>
      <c r="I676" s="204"/>
    </row>
    <row r="677" spans="1:15" ht="31.5" x14ac:dyDescent="0.25">
      <c r="A677" s="34" t="s">
        <v>1472</v>
      </c>
      <c r="B677" s="491">
        <v>906</v>
      </c>
      <c r="C677" s="495" t="s">
        <v>264</v>
      </c>
      <c r="D677" s="495" t="s">
        <v>213</v>
      </c>
      <c r="E677" s="495" t="s">
        <v>1470</v>
      </c>
      <c r="F677" s="495"/>
      <c r="G677" s="493">
        <f t="shared" si="61"/>
        <v>1749.4499999999998</v>
      </c>
      <c r="H677" s="493">
        <f t="shared" si="61"/>
        <v>2341</v>
      </c>
      <c r="I677" s="204"/>
    </row>
    <row r="678" spans="1:15" ht="54" customHeight="1" x14ac:dyDescent="0.25">
      <c r="A678" s="406" t="s">
        <v>1521</v>
      </c>
      <c r="B678" s="490">
        <v>906</v>
      </c>
      <c r="C678" s="492" t="s">
        <v>264</v>
      </c>
      <c r="D678" s="492" t="s">
        <v>213</v>
      </c>
      <c r="E678" s="492" t="s">
        <v>1471</v>
      </c>
      <c r="F678" s="492"/>
      <c r="G678" s="497">
        <f>G679</f>
        <v>1749.4499999999998</v>
      </c>
      <c r="H678" s="497">
        <f>H679</f>
        <v>2341</v>
      </c>
      <c r="I678" s="204"/>
    </row>
    <row r="679" spans="1:15" ht="31.5" x14ac:dyDescent="0.25">
      <c r="A679" s="31" t="s">
        <v>272</v>
      </c>
      <c r="B679" s="490">
        <v>906</v>
      </c>
      <c r="C679" s="492" t="s">
        <v>264</v>
      </c>
      <c r="D679" s="492" t="s">
        <v>213</v>
      </c>
      <c r="E679" s="492" t="s">
        <v>1471</v>
      </c>
      <c r="F679" s="492" t="s">
        <v>273</v>
      </c>
      <c r="G679" s="497">
        <f>G680</f>
        <v>1749.4499999999998</v>
      </c>
      <c r="H679" s="497">
        <f>H680</f>
        <v>2341</v>
      </c>
      <c r="I679" s="204"/>
    </row>
    <row r="680" spans="1:15" ht="15.75" x14ac:dyDescent="0.25">
      <c r="A680" s="31" t="s">
        <v>274</v>
      </c>
      <c r="B680" s="490">
        <v>906</v>
      </c>
      <c r="C680" s="492" t="s">
        <v>264</v>
      </c>
      <c r="D680" s="492" t="s">
        <v>213</v>
      </c>
      <c r="E680" s="492" t="s">
        <v>1471</v>
      </c>
      <c r="F680" s="492" t="s">
        <v>275</v>
      </c>
      <c r="G680" s="497">
        <f>1644.1+33.6+71.75</f>
        <v>1749.4499999999998</v>
      </c>
      <c r="H680" s="497">
        <f>2200+45+96</f>
        <v>2341</v>
      </c>
      <c r="I680" s="204"/>
      <c r="L680" s="204"/>
      <c r="M680" s="204"/>
      <c r="N680" s="204"/>
      <c r="O680" s="204"/>
    </row>
    <row r="681" spans="1:15" ht="47.25" x14ac:dyDescent="0.25">
      <c r="A681" s="34" t="s">
        <v>1357</v>
      </c>
      <c r="B681" s="491">
        <v>906</v>
      </c>
      <c r="C681" s="495" t="s">
        <v>264</v>
      </c>
      <c r="D681" s="495" t="s">
        <v>213</v>
      </c>
      <c r="E681" s="495" t="s">
        <v>324</v>
      </c>
      <c r="F681" s="495"/>
      <c r="G681" s="493">
        <f t="shared" ref="G681:H684" si="62">G682</f>
        <v>60</v>
      </c>
      <c r="H681" s="493">
        <f t="shared" si="62"/>
        <v>70</v>
      </c>
      <c r="I681" s="204"/>
    </row>
    <row r="682" spans="1:15" ht="63" x14ac:dyDescent="0.25">
      <c r="A682" s="34" t="s">
        <v>1024</v>
      </c>
      <c r="B682" s="491">
        <v>906</v>
      </c>
      <c r="C682" s="495" t="s">
        <v>264</v>
      </c>
      <c r="D682" s="495" t="s">
        <v>213</v>
      </c>
      <c r="E682" s="495" t="s">
        <v>934</v>
      </c>
      <c r="F682" s="495"/>
      <c r="G682" s="493">
        <f t="shared" si="62"/>
        <v>60</v>
      </c>
      <c r="H682" s="493">
        <f t="shared" si="62"/>
        <v>70</v>
      </c>
      <c r="I682" s="204"/>
    </row>
    <row r="683" spans="1:15" ht="47.25" x14ac:dyDescent="0.25">
      <c r="A683" s="31" t="s">
        <v>1081</v>
      </c>
      <c r="B683" s="490">
        <v>906</v>
      </c>
      <c r="C683" s="492" t="s">
        <v>264</v>
      </c>
      <c r="D683" s="492" t="s">
        <v>213</v>
      </c>
      <c r="E683" s="492" t="s">
        <v>935</v>
      </c>
      <c r="F683" s="492"/>
      <c r="G683" s="497">
        <f t="shared" si="62"/>
        <v>60</v>
      </c>
      <c r="H683" s="497">
        <f t="shared" si="62"/>
        <v>70</v>
      </c>
      <c r="I683" s="204"/>
    </row>
    <row r="684" spans="1:15" ht="31.5" x14ac:dyDescent="0.25">
      <c r="A684" s="31" t="s">
        <v>272</v>
      </c>
      <c r="B684" s="490">
        <v>906</v>
      </c>
      <c r="C684" s="492" t="s">
        <v>264</v>
      </c>
      <c r="D684" s="492" t="s">
        <v>213</v>
      </c>
      <c r="E684" s="492" t="s">
        <v>935</v>
      </c>
      <c r="F684" s="492" t="s">
        <v>273</v>
      </c>
      <c r="G684" s="497">
        <f t="shared" si="62"/>
        <v>60</v>
      </c>
      <c r="H684" s="497">
        <f t="shared" si="62"/>
        <v>70</v>
      </c>
      <c r="I684" s="204"/>
    </row>
    <row r="685" spans="1:15" ht="15.75" x14ac:dyDescent="0.25">
      <c r="A685" s="31" t="s">
        <v>274</v>
      </c>
      <c r="B685" s="490">
        <v>906</v>
      </c>
      <c r="C685" s="492" t="s">
        <v>264</v>
      </c>
      <c r="D685" s="492" t="s">
        <v>213</v>
      </c>
      <c r="E685" s="492" t="s">
        <v>935</v>
      </c>
      <c r="F685" s="492" t="s">
        <v>275</v>
      </c>
      <c r="G685" s="497">
        <v>60</v>
      </c>
      <c r="H685" s="497">
        <v>70</v>
      </c>
      <c r="I685" s="204"/>
    </row>
    <row r="686" spans="1:15" ht="47.25" x14ac:dyDescent="0.25">
      <c r="A686" s="500" t="s">
        <v>1352</v>
      </c>
      <c r="B686" s="491">
        <v>906</v>
      </c>
      <c r="C686" s="495" t="s">
        <v>264</v>
      </c>
      <c r="D686" s="495" t="s">
        <v>213</v>
      </c>
      <c r="E686" s="495" t="s">
        <v>705</v>
      </c>
      <c r="F686" s="504"/>
      <c r="G686" s="493">
        <f t="shared" ref="G686:H689" si="63">G687</f>
        <v>870.5</v>
      </c>
      <c r="H686" s="493">
        <f t="shared" si="63"/>
        <v>905.3</v>
      </c>
      <c r="I686" s="204"/>
    </row>
    <row r="687" spans="1:15" ht="47.25" x14ac:dyDescent="0.25">
      <c r="A687" s="500" t="s">
        <v>890</v>
      </c>
      <c r="B687" s="491">
        <v>906</v>
      </c>
      <c r="C687" s="495" t="s">
        <v>264</v>
      </c>
      <c r="D687" s="495" t="s">
        <v>213</v>
      </c>
      <c r="E687" s="495" t="s">
        <v>888</v>
      </c>
      <c r="F687" s="504"/>
      <c r="G687" s="493">
        <f t="shared" si="63"/>
        <v>870.5</v>
      </c>
      <c r="H687" s="493">
        <f t="shared" si="63"/>
        <v>905.3</v>
      </c>
      <c r="I687" s="204"/>
    </row>
    <row r="688" spans="1:15" ht="47.25" x14ac:dyDescent="0.25">
      <c r="A688" s="98" t="s">
        <v>780</v>
      </c>
      <c r="B688" s="490">
        <v>906</v>
      </c>
      <c r="C688" s="492" t="s">
        <v>264</v>
      </c>
      <c r="D688" s="492" t="s">
        <v>213</v>
      </c>
      <c r="E688" s="492" t="s">
        <v>936</v>
      </c>
      <c r="F688" s="498"/>
      <c r="G688" s="497">
        <f t="shared" si="63"/>
        <v>870.5</v>
      </c>
      <c r="H688" s="497">
        <f t="shared" si="63"/>
        <v>905.3</v>
      </c>
      <c r="I688" s="204"/>
    </row>
    <row r="689" spans="1:9" ht="31.5" x14ac:dyDescent="0.25">
      <c r="A689" s="29" t="s">
        <v>272</v>
      </c>
      <c r="B689" s="490">
        <v>906</v>
      </c>
      <c r="C689" s="492" t="s">
        <v>264</v>
      </c>
      <c r="D689" s="492" t="s">
        <v>213</v>
      </c>
      <c r="E689" s="492" t="s">
        <v>936</v>
      </c>
      <c r="F689" s="498" t="s">
        <v>273</v>
      </c>
      <c r="G689" s="497">
        <f t="shared" si="63"/>
        <v>870.5</v>
      </c>
      <c r="H689" s="497">
        <f t="shared" si="63"/>
        <v>905.3</v>
      </c>
      <c r="I689" s="204"/>
    </row>
    <row r="690" spans="1:9" ht="15.75" x14ac:dyDescent="0.25">
      <c r="A690" s="182" t="s">
        <v>274</v>
      </c>
      <c r="B690" s="490">
        <v>906</v>
      </c>
      <c r="C690" s="492" t="s">
        <v>264</v>
      </c>
      <c r="D690" s="492" t="s">
        <v>213</v>
      </c>
      <c r="E690" s="492" t="s">
        <v>936</v>
      </c>
      <c r="F690" s="498" t="s">
        <v>275</v>
      </c>
      <c r="G690" s="497">
        <v>870.5</v>
      </c>
      <c r="H690" s="497">
        <v>905.3</v>
      </c>
      <c r="I690" s="204"/>
    </row>
    <row r="691" spans="1:9" ht="15.75" x14ac:dyDescent="0.25">
      <c r="A691" s="494" t="s">
        <v>265</v>
      </c>
      <c r="B691" s="491">
        <v>906</v>
      </c>
      <c r="C691" s="495" t="s">
        <v>264</v>
      </c>
      <c r="D691" s="495" t="s">
        <v>215</v>
      </c>
      <c r="E691" s="495"/>
      <c r="F691" s="495"/>
      <c r="G691" s="44">
        <f>G692+G715</f>
        <v>41051.5</v>
      </c>
      <c r="H691" s="44">
        <f>H692+H715</f>
        <v>41063.700000000004</v>
      </c>
      <c r="I691" s="204"/>
    </row>
    <row r="692" spans="1:9" ht="39.75" customHeight="1" x14ac:dyDescent="0.25">
      <c r="A692" s="494" t="s">
        <v>1358</v>
      </c>
      <c r="B692" s="491">
        <v>906</v>
      </c>
      <c r="C692" s="495" t="s">
        <v>264</v>
      </c>
      <c r="D692" s="495" t="s">
        <v>215</v>
      </c>
      <c r="E692" s="495" t="s">
        <v>406</v>
      </c>
      <c r="F692" s="495"/>
      <c r="G692" s="44">
        <f>G693+G697+G711</f>
        <v>40748.800000000003</v>
      </c>
      <c r="H692" s="44">
        <f>H693+H697+H711</f>
        <v>40748.800000000003</v>
      </c>
      <c r="I692" s="204"/>
    </row>
    <row r="693" spans="1:9" ht="31.5" x14ac:dyDescent="0.25">
      <c r="A693" s="494" t="s">
        <v>937</v>
      </c>
      <c r="B693" s="491">
        <v>906</v>
      </c>
      <c r="C693" s="495" t="s">
        <v>264</v>
      </c>
      <c r="D693" s="495" t="s">
        <v>215</v>
      </c>
      <c r="E693" s="495" t="s">
        <v>1230</v>
      </c>
      <c r="F693" s="495"/>
      <c r="G693" s="44">
        <f t="shared" ref="G693:H695" si="64">G694</f>
        <v>37056.300000000003</v>
      </c>
      <c r="H693" s="44">
        <f t="shared" si="64"/>
        <v>37056.300000000003</v>
      </c>
      <c r="I693" s="204"/>
    </row>
    <row r="694" spans="1:9" ht="47.25" x14ac:dyDescent="0.25">
      <c r="A694" s="496" t="s">
        <v>270</v>
      </c>
      <c r="B694" s="490">
        <v>906</v>
      </c>
      <c r="C694" s="492" t="s">
        <v>264</v>
      </c>
      <c r="D694" s="492" t="s">
        <v>215</v>
      </c>
      <c r="E694" s="492" t="s">
        <v>1260</v>
      </c>
      <c r="F694" s="492"/>
      <c r="G694" s="497">
        <f t="shared" si="64"/>
        <v>37056.300000000003</v>
      </c>
      <c r="H694" s="497">
        <f t="shared" si="64"/>
        <v>37056.300000000003</v>
      </c>
      <c r="I694" s="204"/>
    </row>
    <row r="695" spans="1:9" ht="31.5" x14ac:dyDescent="0.25">
      <c r="A695" s="496" t="s">
        <v>272</v>
      </c>
      <c r="B695" s="490">
        <v>906</v>
      </c>
      <c r="C695" s="492" t="s">
        <v>264</v>
      </c>
      <c r="D695" s="492" t="s">
        <v>215</v>
      </c>
      <c r="E695" s="492" t="s">
        <v>1260</v>
      </c>
      <c r="F695" s="492" t="s">
        <v>273</v>
      </c>
      <c r="G695" s="497">
        <f t="shared" si="64"/>
        <v>37056.300000000003</v>
      </c>
      <c r="H695" s="497">
        <f t="shared" si="64"/>
        <v>37056.300000000003</v>
      </c>
      <c r="I695" s="204"/>
    </row>
    <row r="696" spans="1:9" ht="15.75" x14ac:dyDescent="0.25">
      <c r="A696" s="496" t="s">
        <v>274</v>
      </c>
      <c r="B696" s="490">
        <v>906</v>
      </c>
      <c r="C696" s="492" t="s">
        <v>264</v>
      </c>
      <c r="D696" s="492" t="s">
        <v>215</v>
      </c>
      <c r="E696" s="492" t="s">
        <v>1260</v>
      </c>
      <c r="F696" s="492" t="s">
        <v>275</v>
      </c>
      <c r="G696" s="497">
        <v>37056.300000000003</v>
      </c>
      <c r="H696" s="497">
        <f t="shared" si="56"/>
        <v>37056.300000000003</v>
      </c>
      <c r="I696" s="204"/>
    </row>
    <row r="697" spans="1:9" ht="47.25" x14ac:dyDescent="0.25">
      <c r="A697" s="494" t="s">
        <v>900</v>
      </c>
      <c r="B697" s="491">
        <v>906</v>
      </c>
      <c r="C697" s="495" t="s">
        <v>264</v>
      </c>
      <c r="D697" s="495" t="s">
        <v>215</v>
      </c>
      <c r="E697" s="495" t="s">
        <v>1232</v>
      </c>
      <c r="F697" s="495"/>
      <c r="G697" s="44">
        <f>G701+G704+G698</f>
        <v>2128.5</v>
      </c>
      <c r="H697" s="44">
        <f>H701+H704+H698</f>
        <v>2128.5</v>
      </c>
      <c r="I697" s="204"/>
    </row>
    <row r="698" spans="1:9" ht="94.5" x14ac:dyDescent="0.25">
      <c r="A698" s="31" t="s">
        <v>293</v>
      </c>
      <c r="B698" s="490">
        <v>906</v>
      </c>
      <c r="C698" s="492" t="s">
        <v>264</v>
      </c>
      <c r="D698" s="492" t="s">
        <v>215</v>
      </c>
      <c r="E698" s="492" t="s">
        <v>1390</v>
      </c>
      <c r="F698" s="492"/>
      <c r="G698" s="497">
        <f>G699</f>
        <v>1400</v>
      </c>
      <c r="H698" s="497">
        <f>H699</f>
        <v>1400</v>
      </c>
      <c r="I698" s="204"/>
    </row>
    <row r="699" spans="1:9" ht="31.5" x14ac:dyDescent="0.25">
      <c r="A699" s="496" t="s">
        <v>272</v>
      </c>
      <c r="B699" s="490">
        <v>906</v>
      </c>
      <c r="C699" s="492" t="s">
        <v>264</v>
      </c>
      <c r="D699" s="492" t="s">
        <v>215</v>
      </c>
      <c r="E699" s="492" t="s">
        <v>1390</v>
      </c>
      <c r="F699" s="492" t="s">
        <v>273</v>
      </c>
      <c r="G699" s="497">
        <f>G700</f>
        <v>1400</v>
      </c>
      <c r="H699" s="497">
        <f>H700</f>
        <v>1400</v>
      </c>
      <c r="I699" s="204"/>
    </row>
    <row r="700" spans="1:9" ht="15.75" x14ac:dyDescent="0.25">
      <c r="A700" s="496" t="s">
        <v>274</v>
      </c>
      <c r="B700" s="490">
        <v>906</v>
      </c>
      <c r="C700" s="492" t="s">
        <v>264</v>
      </c>
      <c r="D700" s="492" t="s">
        <v>215</v>
      </c>
      <c r="E700" s="492" t="s">
        <v>1390</v>
      </c>
      <c r="F700" s="492" t="s">
        <v>275</v>
      </c>
      <c r="G700" s="497">
        <v>1400</v>
      </c>
      <c r="H700" s="497">
        <f>G700</f>
        <v>1400</v>
      </c>
      <c r="I700" s="204"/>
    </row>
    <row r="701" spans="1:9" ht="63" x14ac:dyDescent="0.25">
      <c r="A701" s="31" t="s">
        <v>289</v>
      </c>
      <c r="B701" s="490">
        <v>906</v>
      </c>
      <c r="C701" s="492" t="s">
        <v>264</v>
      </c>
      <c r="D701" s="492" t="s">
        <v>215</v>
      </c>
      <c r="E701" s="492" t="s">
        <v>1233</v>
      </c>
      <c r="F701" s="492"/>
      <c r="G701" s="497">
        <f>G702</f>
        <v>179</v>
      </c>
      <c r="H701" s="497">
        <f>H702</f>
        <v>179</v>
      </c>
      <c r="I701" s="204"/>
    </row>
    <row r="702" spans="1:9" ht="31.5" x14ac:dyDescent="0.25">
      <c r="A702" s="496" t="s">
        <v>272</v>
      </c>
      <c r="B702" s="490">
        <v>906</v>
      </c>
      <c r="C702" s="492" t="s">
        <v>264</v>
      </c>
      <c r="D702" s="492" t="s">
        <v>215</v>
      </c>
      <c r="E702" s="492" t="s">
        <v>1233</v>
      </c>
      <c r="F702" s="492" t="s">
        <v>273</v>
      </c>
      <c r="G702" s="497">
        <f>G703</f>
        <v>179</v>
      </c>
      <c r="H702" s="497">
        <f>H703</f>
        <v>179</v>
      </c>
      <c r="I702" s="204"/>
    </row>
    <row r="703" spans="1:9" ht="15.75" x14ac:dyDescent="0.25">
      <c r="A703" s="496" t="s">
        <v>274</v>
      </c>
      <c r="B703" s="490">
        <v>906</v>
      </c>
      <c r="C703" s="492" t="s">
        <v>264</v>
      </c>
      <c r="D703" s="492" t="s">
        <v>215</v>
      </c>
      <c r="E703" s="492" t="s">
        <v>1233</v>
      </c>
      <c r="F703" s="492" t="s">
        <v>275</v>
      </c>
      <c r="G703" s="497">
        <v>179</v>
      </c>
      <c r="H703" s="497">
        <f t="shared" si="56"/>
        <v>179</v>
      </c>
      <c r="I703" s="204"/>
    </row>
    <row r="704" spans="1:9" ht="63" x14ac:dyDescent="0.25">
      <c r="A704" s="31" t="s">
        <v>291</v>
      </c>
      <c r="B704" s="490">
        <v>906</v>
      </c>
      <c r="C704" s="492" t="s">
        <v>264</v>
      </c>
      <c r="D704" s="492" t="s">
        <v>215</v>
      </c>
      <c r="E704" s="492" t="s">
        <v>1234</v>
      </c>
      <c r="F704" s="492"/>
      <c r="G704" s="497">
        <f>G705</f>
        <v>549.5</v>
      </c>
      <c r="H704" s="497">
        <f>H705</f>
        <v>549.5</v>
      </c>
      <c r="I704" s="204"/>
    </row>
    <row r="705" spans="1:9" ht="31.5" x14ac:dyDescent="0.25">
      <c r="A705" s="496" t="s">
        <v>272</v>
      </c>
      <c r="B705" s="490">
        <v>906</v>
      </c>
      <c r="C705" s="492" t="s">
        <v>264</v>
      </c>
      <c r="D705" s="492" t="s">
        <v>215</v>
      </c>
      <c r="E705" s="492" t="s">
        <v>1234</v>
      </c>
      <c r="F705" s="492" t="s">
        <v>273</v>
      </c>
      <c r="G705" s="497">
        <f>G706</f>
        <v>549.5</v>
      </c>
      <c r="H705" s="497">
        <f>H706</f>
        <v>549.5</v>
      </c>
      <c r="I705" s="204"/>
    </row>
    <row r="706" spans="1:9" ht="15.75" x14ac:dyDescent="0.25">
      <c r="A706" s="496" t="s">
        <v>274</v>
      </c>
      <c r="B706" s="490">
        <v>906</v>
      </c>
      <c r="C706" s="492" t="s">
        <v>264</v>
      </c>
      <c r="D706" s="492" t="s">
        <v>215</v>
      </c>
      <c r="E706" s="492" t="s">
        <v>1234</v>
      </c>
      <c r="F706" s="492" t="s">
        <v>275</v>
      </c>
      <c r="G706" s="497">
        <f>549.5</f>
        <v>549.5</v>
      </c>
      <c r="H706" s="497">
        <f t="shared" si="56"/>
        <v>549.5</v>
      </c>
      <c r="I706" s="204"/>
    </row>
    <row r="707" spans="1:9" ht="31.5" hidden="1" x14ac:dyDescent="0.25">
      <c r="A707" s="494" t="s">
        <v>941</v>
      </c>
      <c r="B707" s="491">
        <v>906</v>
      </c>
      <c r="C707" s="495" t="s">
        <v>264</v>
      </c>
      <c r="D707" s="495" t="s">
        <v>215</v>
      </c>
      <c r="E707" s="495" t="s">
        <v>1057</v>
      </c>
      <c r="F707" s="495"/>
      <c r="G707" s="44">
        <f>G708</f>
        <v>0</v>
      </c>
      <c r="H707" s="44">
        <f>H708</f>
        <v>0</v>
      </c>
      <c r="I707" s="204"/>
    </row>
    <row r="708" spans="1:9" ht="31.5" hidden="1" x14ac:dyDescent="0.25">
      <c r="A708" s="45" t="s">
        <v>766</v>
      </c>
      <c r="B708" s="490">
        <v>906</v>
      </c>
      <c r="C708" s="492" t="s">
        <v>264</v>
      </c>
      <c r="D708" s="492" t="s">
        <v>215</v>
      </c>
      <c r="E708" s="492" t="s">
        <v>1058</v>
      </c>
      <c r="F708" s="492"/>
      <c r="G708" s="497">
        <f>'[1]Пр.5 ведом.21'!G700</f>
        <v>0</v>
      </c>
      <c r="H708" s="497">
        <f t="shared" ref="H708:H770" si="65">G708</f>
        <v>0</v>
      </c>
      <c r="I708" s="204"/>
    </row>
    <row r="709" spans="1:9" ht="31.5" hidden="1" x14ac:dyDescent="0.25">
      <c r="A709" s="31" t="s">
        <v>272</v>
      </c>
      <c r="B709" s="490">
        <v>906</v>
      </c>
      <c r="C709" s="492" t="s">
        <v>264</v>
      </c>
      <c r="D709" s="492" t="s">
        <v>215</v>
      </c>
      <c r="E709" s="492" t="s">
        <v>1058</v>
      </c>
      <c r="F709" s="492" t="s">
        <v>273</v>
      </c>
      <c r="G709" s="497">
        <f>'[1]Пр.5 ведом.21'!G701</f>
        <v>0</v>
      </c>
      <c r="H709" s="497">
        <f t="shared" si="65"/>
        <v>0</v>
      </c>
      <c r="I709" s="204"/>
    </row>
    <row r="710" spans="1:9" ht="15.75" hidden="1" x14ac:dyDescent="0.25">
      <c r="A710" s="31" t="s">
        <v>274</v>
      </c>
      <c r="B710" s="490">
        <v>906</v>
      </c>
      <c r="C710" s="492" t="s">
        <v>264</v>
      </c>
      <c r="D710" s="492" t="s">
        <v>215</v>
      </c>
      <c r="E710" s="492" t="s">
        <v>1058</v>
      </c>
      <c r="F710" s="492" t="s">
        <v>275</v>
      </c>
      <c r="G710" s="497">
        <f>'[1]Пр.5 ведом.21'!G702</f>
        <v>0</v>
      </c>
      <c r="H710" s="497">
        <f t="shared" si="65"/>
        <v>0</v>
      </c>
      <c r="I710" s="204"/>
    </row>
    <row r="711" spans="1:9" ht="31.5" x14ac:dyDescent="0.25">
      <c r="A711" s="219" t="s">
        <v>948</v>
      </c>
      <c r="B711" s="491">
        <v>906</v>
      </c>
      <c r="C711" s="495" t="s">
        <v>264</v>
      </c>
      <c r="D711" s="495" t="s">
        <v>215</v>
      </c>
      <c r="E711" s="495" t="s">
        <v>1240</v>
      </c>
      <c r="F711" s="495"/>
      <c r="G711" s="44">
        <f t="shared" ref="G711:H713" si="66">G712</f>
        <v>1564</v>
      </c>
      <c r="H711" s="44">
        <f t="shared" si="66"/>
        <v>1564</v>
      </c>
      <c r="I711" s="204"/>
    </row>
    <row r="712" spans="1:9" ht="31.5" x14ac:dyDescent="0.25">
      <c r="A712" s="45" t="s">
        <v>764</v>
      </c>
      <c r="B712" s="490">
        <v>906</v>
      </c>
      <c r="C712" s="492" t="s">
        <v>264</v>
      </c>
      <c r="D712" s="492" t="s">
        <v>215</v>
      </c>
      <c r="E712" s="492" t="s">
        <v>1241</v>
      </c>
      <c r="F712" s="492"/>
      <c r="G712" s="497">
        <f t="shared" si="66"/>
        <v>1564</v>
      </c>
      <c r="H712" s="497">
        <f t="shared" si="66"/>
        <v>1564</v>
      </c>
      <c r="I712" s="204"/>
    </row>
    <row r="713" spans="1:9" ht="31.5" x14ac:dyDescent="0.25">
      <c r="A713" s="496" t="s">
        <v>272</v>
      </c>
      <c r="B713" s="490">
        <v>906</v>
      </c>
      <c r="C713" s="492" t="s">
        <v>264</v>
      </c>
      <c r="D713" s="492" t="s">
        <v>215</v>
      </c>
      <c r="E713" s="492" t="s">
        <v>1241</v>
      </c>
      <c r="F713" s="492" t="s">
        <v>273</v>
      </c>
      <c r="G713" s="497">
        <f t="shared" si="66"/>
        <v>1564</v>
      </c>
      <c r="H713" s="497">
        <f t="shared" si="66"/>
        <v>1564</v>
      </c>
      <c r="I713" s="204"/>
    </row>
    <row r="714" spans="1:9" ht="15.75" x14ac:dyDescent="0.25">
      <c r="A714" s="31" t="s">
        <v>274</v>
      </c>
      <c r="B714" s="490">
        <v>906</v>
      </c>
      <c r="C714" s="492" t="s">
        <v>264</v>
      </c>
      <c r="D714" s="492" t="s">
        <v>215</v>
      </c>
      <c r="E714" s="492" t="s">
        <v>1241</v>
      </c>
      <c r="F714" s="492" t="s">
        <v>275</v>
      </c>
      <c r="G714" s="497">
        <v>1564</v>
      </c>
      <c r="H714" s="497">
        <v>1564</v>
      </c>
      <c r="I714" s="204"/>
    </row>
    <row r="715" spans="1:9" ht="47.25" x14ac:dyDescent="0.25">
      <c r="A715" s="500" t="s">
        <v>1350</v>
      </c>
      <c r="B715" s="491">
        <v>906</v>
      </c>
      <c r="C715" s="495" t="s">
        <v>264</v>
      </c>
      <c r="D715" s="495" t="s">
        <v>215</v>
      </c>
      <c r="E715" s="495" t="s">
        <v>705</v>
      </c>
      <c r="F715" s="504"/>
      <c r="G715" s="44">
        <f>G717</f>
        <v>302.7</v>
      </c>
      <c r="H715" s="44">
        <f>H717</f>
        <v>314.89999999999998</v>
      </c>
      <c r="I715" s="204"/>
    </row>
    <row r="716" spans="1:9" ht="47.25" x14ac:dyDescent="0.25">
      <c r="A716" s="500" t="s">
        <v>890</v>
      </c>
      <c r="B716" s="491">
        <v>906</v>
      </c>
      <c r="C716" s="495" t="s">
        <v>264</v>
      </c>
      <c r="D716" s="495" t="s">
        <v>942</v>
      </c>
      <c r="E716" s="495" t="s">
        <v>888</v>
      </c>
      <c r="F716" s="504"/>
      <c r="G716" s="44">
        <f t="shared" ref="G716:H718" si="67">G717</f>
        <v>302.7</v>
      </c>
      <c r="H716" s="44">
        <f t="shared" si="67"/>
        <v>314.89999999999998</v>
      </c>
      <c r="I716" s="204"/>
    </row>
    <row r="717" spans="1:9" ht="47.25" x14ac:dyDescent="0.25">
      <c r="A717" s="98" t="s">
        <v>780</v>
      </c>
      <c r="B717" s="490">
        <v>906</v>
      </c>
      <c r="C717" s="492" t="s">
        <v>264</v>
      </c>
      <c r="D717" s="492" t="s">
        <v>215</v>
      </c>
      <c r="E717" s="492" t="s">
        <v>936</v>
      </c>
      <c r="F717" s="498"/>
      <c r="G717" s="497">
        <f t="shared" si="67"/>
        <v>302.7</v>
      </c>
      <c r="H717" s="497">
        <f t="shared" si="67"/>
        <v>314.89999999999998</v>
      </c>
      <c r="I717" s="204"/>
    </row>
    <row r="718" spans="1:9" ht="31.5" x14ac:dyDescent="0.25">
      <c r="A718" s="29" t="s">
        <v>272</v>
      </c>
      <c r="B718" s="490">
        <v>906</v>
      </c>
      <c r="C718" s="492" t="s">
        <v>264</v>
      </c>
      <c r="D718" s="492" t="s">
        <v>215</v>
      </c>
      <c r="E718" s="492" t="s">
        <v>936</v>
      </c>
      <c r="F718" s="498" t="s">
        <v>273</v>
      </c>
      <c r="G718" s="497">
        <f t="shared" si="67"/>
        <v>302.7</v>
      </c>
      <c r="H718" s="497">
        <f t="shared" si="67"/>
        <v>314.89999999999998</v>
      </c>
      <c r="I718" s="204"/>
    </row>
    <row r="719" spans="1:9" ht="15.75" x14ac:dyDescent="0.25">
      <c r="A719" s="182" t="s">
        <v>274</v>
      </c>
      <c r="B719" s="490">
        <v>906</v>
      </c>
      <c r="C719" s="492" t="s">
        <v>264</v>
      </c>
      <c r="D719" s="492" t="s">
        <v>215</v>
      </c>
      <c r="E719" s="492" t="s">
        <v>936</v>
      </c>
      <c r="F719" s="498" t="s">
        <v>275</v>
      </c>
      <c r="G719" s="497">
        <v>302.7</v>
      </c>
      <c r="H719" s="497">
        <v>314.89999999999998</v>
      </c>
      <c r="I719" s="204"/>
    </row>
    <row r="720" spans="1:9" ht="15.75" x14ac:dyDescent="0.25">
      <c r="A720" s="494" t="s">
        <v>466</v>
      </c>
      <c r="B720" s="491">
        <v>906</v>
      </c>
      <c r="C720" s="495" t="s">
        <v>264</v>
      </c>
      <c r="D720" s="495" t="s">
        <v>264</v>
      </c>
      <c r="E720" s="495"/>
      <c r="F720" s="495"/>
      <c r="G720" s="493">
        <f>G721</f>
        <v>5745.1</v>
      </c>
      <c r="H720" s="493">
        <f>H721</f>
        <v>5745.1</v>
      </c>
      <c r="I720" s="204"/>
    </row>
    <row r="721" spans="1:9" ht="31.5" x14ac:dyDescent="0.25">
      <c r="A721" s="494" t="s">
        <v>1358</v>
      </c>
      <c r="B721" s="491">
        <v>906</v>
      </c>
      <c r="C721" s="495" t="s">
        <v>264</v>
      </c>
      <c r="D721" s="495" t="s">
        <v>264</v>
      </c>
      <c r="E721" s="495" t="s">
        <v>406</v>
      </c>
      <c r="F721" s="495"/>
      <c r="G721" s="493">
        <f>G722</f>
        <v>5745.1</v>
      </c>
      <c r="H721" s="493">
        <f>H722</f>
        <v>5745.1</v>
      </c>
      <c r="I721" s="204"/>
    </row>
    <row r="722" spans="1:9" ht="31.5" x14ac:dyDescent="0.25">
      <c r="A722" s="494" t="s">
        <v>943</v>
      </c>
      <c r="B722" s="491">
        <v>906</v>
      </c>
      <c r="C722" s="495" t="s">
        <v>264</v>
      </c>
      <c r="D722" s="495" t="s">
        <v>264</v>
      </c>
      <c r="E722" s="495" t="s">
        <v>1239</v>
      </c>
      <c r="F722" s="495"/>
      <c r="G722" s="493">
        <f>G723+G726</f>
        <v>5745.1</v>
      </c>
      <c r="H722" s="493">
        <f>H723+H726</f>
        <v>5745.1</v>
      </c>
      <c r="I722" s="204"/>
    </row>
    <row r="723" spans="1:9" ht="31.5" x14ac:dyDescent="0.25">
      <c r="A723" s="31" t="s">
        <v>1059</v>
      </c>
      <c r="B723" s="490">
        <v>906</v>
      </c>
      <c r="C723" s="492" t="s">
        <v>264</v>
      </c>
      <c r="D723" s="492" t="s">
        <v>264</v>
      </c>
      <c r="E723" s="492" t="s">
        <v>1261</v>
      </c>
      <c r="F723" s="492"/>
      <c r="G723" s="497">
        <f>G724</f>
        <v>5745.1</v>
      </c>
      <c r="H723" s="497">
        <f>H724</f>
        <v>5745.1</v>
      </c>
      <c r="I723" s="204"/>
    </row>
    <row r="724" spans="1:9" ht="31.5" x14ac:dyDescent="0.25">
      <c r="A724" s="496" t="s">
        <v>272</v>
      </c>
      <c r="B724" s="490">
        <v>906</v>
      </c>
      <c r="C724" s="492" t="s">
        <v>264</v>
      </c>
      <c r="D724" s="492" t="s">
        <v>264</v>
      </c>
      <c r="E724" s="492" t="s">
        <v>1261</v>
      </c>
      <c r="F724" s="492" t="s">
        <v>273</v>
      </c>
      <c r="G724" s="497">
        <f>G725</f>
        <v>5745.1</v>
      </c>
      <c r="H724" s="497">
        <f>H725</f>
        <v>5745.1</v>
      </c>
      <c r="I724" s="204"/>
    </row>
    <row r="725" spans="1:9" ht="15.75" x14ac:dyDescent="0.25">
      <c r="A725" s="496" t="s">
        <v>274</v>
      </c>
      <c r="B725" s="490">
        <v>906</v>
      </c>
      <c r="C725" s="492" t="s">
        <v>264</v>
      </c>
      <c r="D725" s="492" t="s">
        <v>264</v>
      </c>
      <c r="E725" s="492" t="s">
        <v>1261</v>
      </c>
      <c r="F725" s="492" t="s">
        <v>275</v>
      </c>
      <c r="G725" s="497">
        <v>5745.1</v>
      </c>
      <c r="H725" s="497">
        <v>5745.1</v>
      </c>
      <c r="I725" s="204"/>
    </row>
    <row r="726" spans="1:9" ht="31.5" hidden="1" x14ac:dyDescent="0.25">
      <c r="A726" s="31" t="s">
        <v>1182</v>
      </c>
      <c r="B726" s="490">
        <v>906</v>
      </c>
      <c r="C726" s="492" t="s">
        <v>264</v>
      </c>
      <c r="D726" s="492" t="s">
        <v>264</v>
      </c>
      <c r="E726" s="492" t="s">
        <v>1262</v>
      </c>
      <c r="F726" s="492"/>
      <c r="G726" s="497">
        <f>G727</f>
        <v>0</v>
      </c>
      <c r="H726" s="497">
        <f>H727</f>
        <v>0</v>
      </c>
      <c r="I726" s="204"/>
    </row>
    <row r="727" spans="1:9" ht="31.5" hidden="1" x14ac:dyDescent="0.25">
      <c r="A727" s="496" t="s">
        <v>272</v>
      </c>
      <c r="B727" s="490">
        <v>906</v>
      </c>
      <c r="C727" s="492" t="s">
        <v>264</v>
      </c>
      <c r="D727" s="492" t="s">
        <v>264</v>
      </c>
      <c r="E727" s="492" t="s">
        <v>1262</v>
      </c>
      <c r="F727" s="492" t="s">
        <v>273</v>
      </c>
      <c r="G727" s="497">
        <f>G728</f>
        <v>0</v>
      </c>
      <c r="H727" s="497">
        <f>H728</f>
        <v>0</v>
      </c>
      <c r="I727" s="204"/>
    </row>
    <row r="728" spans="1:9" ht="15.75" hidden="1" x14ac:dyDescent="0.25">
      <c r="A728" s="496" t="s">
        <v>274</v>
      </c>
      <c r="B728" s="490">
        <v>906</v>
      </c>
      <c r="C728" s="492" t="s">
        <v>264</v>
      </c>
      <c r="D728" s="492" t="s">
        <v>264</v>
      </c>
      <c r="E728" s="492" t="s">
        <v>1262</v>
      </c>
      <c r="F728" s="492" t="s">
        <v>275</v>
      </c>
      <c r="G728" s="497">
        <v>0</v>
      </c>
      <c r="H728" s="497">
        <v>0</v>
      </c>
      <c r="I728" s="204"/>
    </row>
    <row r="729" spans="1:9" ht="15.75" x14ac:dyDescent="0.25">
      <c r="A729" s="494" t="s">
        <v>295</v>
      </c>
      <c r="B729" s="491">
        <v>906</v>
      </c>
      <c r="C729" s="495" t="s">
        <v>264</v>
      </c>
      <c r="D729" s="495" t="s">
        <v>219</v>
      </c>
      <c r="E729" s="495"/>
      <c r="F729" s="495"/>
      <c r="G729" s="493">
        <f>G730+G740</f>
        <v>19831.8</v>
      </c>
      <c r="H729" s="493">
        <f>H730+H740</f>
        <v>19831.8</v>
      </c>
      <c r="I729" s="204"/>
    </row>
    <row r="730" spans="1:9" ht="44.1" customHeight="1" x14ac:dyDescent="0.25">
      <c r="A730" s="494" t="s">
        <v>917</v>
      </c>
      <c r="B730" s="491">
        <v>906</v>
      </c>
      <c r="C730" s="495" t="s">
        <v>264</v>
      </c>
      <c r="D730" s="495" t="s">
        <v>219</v>
      </c>
      <c r="E730" s="495" t="s">
        <v>858</v>
      </c>
      <c r="F730" s="495"/>
      <c r="G730" s="493">
        <f>G731</f>
        <v>6048.7</v>
      </c>
      <c r="H730" s="493">
        <f>H731</f>
        <v>6048.7</v>
      </c>
      <c r="I730" s="204"/>
    </row>
    <row r="731" spans="1:9" ht="15.75" x14ac:dyDescent="0.25">
      <c r="A731" s="494" t="s">
        <v>918</v>
      </c>
      <c r="B731" s="491">
        <v>906</v>
      </c>
      <c r="C731" s="495" t="s">
        <v>264</v>
      </c>
      <c r="D731" s="495" t="s">
        <v>219</v>
      </c>
      <c r="E731" s="495" t="s">
        <v>859</v>
      </c>
      <c r="F731" s="495"/>
      <c r="G731" s="493">
        <f>G732+G737</f>
        <v>6048.7</v>
      </c>
      <c r="H731" s="493">
        <f>H732+H737</f>
        <v>6048.7</v>
      </c>
      <c r="I731" s="204"/>
    </row>
    <row r="732" spans="1:9" ht="31.5" x14ac:dyDescent="0.25">
      <c r="A732" s="496" t="s">
        <v>897</v>
      </c>
      <c r="B732" s="490">
        <v>906</v>
      </c>
      <c r="C732" s="492" t="s">
        <v>264</v>
      </c>
      <c r="D732" s="492" t="s">
        <v>219</v>
      </c>
      <c r="E732" s="492" t="s">
        <v>860</v>
      </c>
      <c r="F732" s="492"/>
      <c r="G732" s="497">
        <f>G733+G735</f>
        <v>5922.7</v>
      </c>
      <c r="H732" s="497">
        <f>H733+H735</f>
        <v>5922.7</v>
      </c>
      <c r="I732" s="204"/>
    </row>
    <row r="733" spans="1:9" ht="78.75" x14ac:dyDescent="0.25">
      <c r="A733" s="496" t="s">
        <v>127</v>
      </c>
      <c r="B733" s="490">
        <v>906</v>
      </c>
      <c r="C733" s="492" t="s">
        <v>264</v>
      </c>
      <c r="D733" s="492" t="s">
        <v>219</v>
      </c>
      <c r="E733" s="492" t="s">
        <v>860</v>
      </c>
      <c r="F733" s="492" t="s">
        <v>128</v>
      </c>
      <c r="G733" s="497">
        <f>G734</f>
        <v>5710.7</v>
      </c>
      <c r="H733" s="497">
        <f>H734</f>
        <v>5710.7</v>
      </c>
      <c r="I733" s="204"/>
    </row>
    <row r="734" spans="1:9" ht="31.5" x14ac:dyDescent="0.25">
      <c r="A734" s="496" t="s">
        <v>129</v>
      </c>
      <c r="B734" s="490">
        <v>906</v>
      </c>
      <c r="C734" s="492" t="s">
        <v>264</v>
      </c>
      <c r="D734" s="492" t="s">
        <v>219</v>
      </c>
      <c r="E734" s="492" t="s">
        <v>860</v>
      </c>
      <c r="F734" s="492" t="s">
        <v>130</v>
      </c>
      <c r="G734" s="497">
        <v>5710.7</v>
      </c>
      <c r="H734" s="497">
        <f t="shared" si="65"/>
        <v>5710.7</v>
      </c>
      <c r="I734" s="204"/>
    </row>
    <row r="735" spans="1:9" ht="31.5" x14ac:dyDescent="0.25">
      <c r="A735" s="496" t="s">
        <v>131</v>
      </c>
      <c r="B735" s="490">
        <v>906</v>
      </c>
      <c r="C735" s="492" t="s">
        <v>264</v>
      </c>
      <c r="D735" s="492" t="s">
        <v>219</v>
      </c>
      <c r="E735" s="492" t="s">
        <v>860</v>
      </c>
      <c r="F735" s="492" t="s">
        <v>132</v>
      </c>
      <c r="G735" s="497">
        <f>G736</f>
        <v>212</v>
      </c>
      <c r="H735" s="497">
        <f>H736</f>
        <v>212</v>
      </c>
      <c r="I735" s="204"/>
    </row>
    <row r="736" spans="1:9" ht="31.5" x14ac:dyDescent="0.25">
      <c r="A736" s="496" t="s">
        <v>133</v>
      </c>
      <c r="B736" s="490">
        <v>906</v>
      </c>
      <c r="C736" s="492" t="s">
        <v>264</v>
      </c>
      <c r="D736" s="492" t="s">
        <v>219</v>
      </c>
      <c r="E736" s="492" t="s">
        <v>860</v>
      </c>
      <c r="F736" s="492" t="s">
        <v>134</v>
      </c>
      <c r="G736" s="497">
        <f>212</f>
        <v>212</v>
      </c>
      <c r="H736" s="497">
        <f t="shared" si="65"/>
        <v>212</v>
      </c>
      <c r="I736" s="204"/>
    </row>
    <row r="737" spans="1:9" ht="47.25" x14ac:dyDescent="0.25">
      <c r="A737" s="496" t="s">
        <v>839</v>
      </c>
      <c r="B737" s="490">
        <v>906</v>
      </c>
      <c r="C737" s="492" t="s">
        <v>264</v>
      </c>
      <c r="D737" s="492" t="s">
        <v>219</v>
      </c>
      <c r="E737" s="492" t="s">
        <v>862</v>
      </c>
      <c r="F737" s="492"/>
      <c r="G737" s="497">
        <f>G738</f>
        <v>126</v>
      </c>
      <c r="H737" s="497">
        <f>H738</f>
        <v>126</v>
      </c>
      <c r="I737" s="204"/>
    </row>
    <row r="738" spans="1:9" ht="78.75" x14ac:dyDescent="0.25">
      <c r="A738" s="496" t="s">
        <v>127</v>
      </c>
      <c r="B738" s="490">
        <v>906</v>
      </c>
      <c r="C738" s="492" t="s">
        <v>264</v>
      </c>
      <c r="D738" s="492" t="s">
        <v>219</v>
      </c>
      <c r="E738" s="492" t="s">
        <v>862</v>
      </c>
      <c r="F738" s="492" t="s">
        <v>128</v>
      </c>
      <c r="G738" s="497">
        <f>G739</f>
        <v>126</v>
      </c>
      <c r="H738" s="497">
        <f>H739</f>
        <v>126</v>
      </c>
      <c r="I738" s="204"/>
    </row>
    <row r="739" spans="1:9" ht="31.5" x14ac:dyDescent="0.25">
      <c r="A739" s="496" t="s">
        <v>129</v>
      </c>
      <c r="B739" s="490">
        <v>906</v>
      </c>
      <c r="C739" s="492" t="s">
        <v>264</v>
      </c>
      <c r="D739" s="492" t="s">
        <v>219</v>
      </c>
      <c r="E739" s="492" t="s">
        <v>862</v>
      </c>
      <c r="F739" s="492" t="s">
        <v>130</v>
      </c>
      <c r="G739" s="497">
        <f>126</f>
        <v>126</v>
      </c>
      <c r="H739" s="497">
        <f t="shared" si="65"/>
        <v>126</v>
      </c>
      <c r="I739" s="204"/>
    </row>
    <row r="740" spans="1:9" ht="15.75" x14ac:dyDescent="0.25">
      <c r="A740" s="494" t="s">
        <v>141</v>
      </c>
      <c r="B740" s="491">
        <v>906</v>
      </c>
      <c r="C740" s="495" t="s">
        <v>264</v>
      </c>
      <c r="D740" s="495" t="s">
        <v>219</v>
      </c>
      <c r="E740" s="495" t="s">
        <v>866</v>
      </c>
      <c r="F740" s="495"/>
      <c r="G740" s="493">
        <f>G741+G745</f>
        <v>13783.1</v>
      </c>
      <c r="H740" s="493">
        <f>H741+H745</f>
        <v>13783.1</v>
      </c>
      <c r="I740" s="204"/>
    </row>
    <row r="741" spans="1:9" ht="31.5" x14ac:dyDescent="0.25">
      <c r="A741" s="494" t="s">
        <v>870</v>
      </c>
      <c r="B741" s="491">
        <v>906</v>
      </c>
      <c r="C741" s="495" t="s">
        <v>264</v>
      </c>
      <c r="D741" s="495" t="s">
        <v>219</v>
      </c>
      <c r="E741" s="495" t="s">
        <v>865</v>
      </c>
      <c r="F741" s="495"/>
      <c r="G741" s="493">
        <f t="shared" ref="G741:H743" si="68">G742</f>
        <v>300</v>
      </c>
      <c r="H741" s="493">
        <f t="shared" si="68"/>
        <v>300</v>
      </c>
      <c r="I741" s="204"/>
    </row>
    <row r="742" spans="1:9" ht="15.75" x14ac:dyDescent="0.25">
      <c r="A742" s="496" t="s">
        <v>478</v>
      </c>
      <c r="B742" s="490">
        <v>906</v>
      </c>
      <c r="C742" s="492" t="s">
        <v>264</v>
      </c>
      <c r="D742" s="492" t="s">
        <v>219</v>
      </c>
      <c r="E742" s="492" t="s">
        <v>944</v>
      </c>
      <c r="F742" s="492"/>
      <c r="G742" s="497">
        <f t="shared" si="68"/>
        <v>300</v>
      </c>
      <c r="H742" s="497">
        <f t="shared" si="68"/>
        <v>300</v>
      </c>
      <c r="I742" s="204"/>
    </row>
    <row r="743" spans="1:9" ht="31.5" x14ac:dyDescent="0.25">
      <c r="A743" s="496" t="s">
        <v>131</v>
      </c>
      <c r="B743" s="490">
        <v>906</v>
      </c>
      <c r="C743" s="492" t="s">
        <v>264</v>
      </c>
      <c r="D743" s="492" t="s">
        <v>219</v>
      </c>
      <c r="E743" s="492" t="s">
        <v>944</v>
      </c>
      <c r="F743" s="492" t="s">
        <v>132</v>
      </c>
      <c r="G743" s="497">
        <f t="shared" si="68"/>
        <v>300</v>
      </c>
      <c r="H743" s="497">
        <f t="shared" si="68"/>
        <v>300</v>
      </c>
      <c r="I743" s="204"/>
    </row>
    <row r="744" spans="1:9" ht="33.950000000000003" customHeight="1" x14ac:dyDescent="0.25">
      <c r="A744" s="496" t="s">
        <v>133</v>
      </c>
      <c r="B744" s="490">
        <v>906</v>
      </c>
      <c r="C744" s="492" t="s">
        <v>264</v>
      </c>
      <c r="D744" s="492" t="s">
        <v>219</v>
      </c>
      <c r="E744" s="492" t="s">
        <v>944</v>
      </c>
      <c r="F744" s="492" t="s">
        <v>134</v>
      </c>
      <c r="G744" s="497">
        <v>300</v>
      </c>
      <c r="H744" s="497">
        <f t="shared" si="65"/>
        <v>300</v>
      </c>
      <c r="I744" s="204"/>
    </row>
    <row r="745" spans="1:9" ht="31.5" x14ac:dyDescent="0.25">
      <c r="A745" s="494" t="s">
        <v>929</v>
      </c>
      <c r="B745" s="491">
        <v>906</v>
      </c>
      <c r="C745" s="495" t="s">
        <v>264</v>
      </c>
      <c r="D745" s="495" t="s">
        <v>219</v>
      </c>
      <c r="E745" s="495" t="s">
        <v>914</v>
      </c>
      <c r="F745" s="495"/>
      <c r="G745" s="493">
        <f>G746+G753</f>
        <v>13483.1</v>
      </c>
      <c r="H745" s="493">
        <f>H746+H753</f>
        <v>13483.1</v>
      </c>
      <c r="I745" s="204"/>
    </row>
    <row r="746" spans="1:9" ht="31.5" x14ac:dyDescent="0.25">
      <c r="A746" s="496" t="s">
        <v>1083</v>
      </c>
      <c r="B746" s="490">
        <v>906</v>
      </c>
      <c r="C746" s="492" t="s">
        <v>264</v>
      </c>
      <c r="D746" s="492" t="s">
        <v>219</v>
      </c>
      <c r="E746" s="492" t="s">
        <v>915</v>
      </c>
      <c r="F746" s="492"/>
      <c r="G746" s="497">
        <f>G747+G749+G751</f>
        <v>12977.1</v>
      </c>
      <c r="H746" s="497">
        <f>H747+H749+H751</f>
        <v>12977.1</v>
      </c>
      <c r="I746" s="204"/>
    </row>
    <row r="747" spans="1:9" ht="78.75" x14ac:dyDescent="0.25">
      <c r="A747" s="496" t="s">
        <v>127</v>
      </c>
      <c r="B747" s="490">
        <v>906</v>
      </c>
      <c r="C747" s="492" t="s">
        <v>264</v>
      </c>
      <c r="D747" s="492" t="s">
        <v>219</v>
      </c>
      <c r="E747" s="492" t="s">
        <v>915</v>
      </c>
      <c r="F747" s="492" t="s">
        <v>128</v>
      </c>
      <c r="G747" s="497">
        <f>G748</f>
        <v>11885.1</v>
      </c>
      <c r="H747" s="497">
        <f t="shared" si="65"/>
        <v>11885.1</v>
      </c>
      <c r="I747" s="204"/>
    </row>
    <row r="748" spans="1:9" ht="31.5" x14ac:dyDescent="0.25">
      <c r="A748" s="496" t="s">
        <v>342</v>
      </c>
      <c r="B748" s="490">
        <v>906</v>
      </c>
      <c r="C748" s="492" t="s">
        <v>264</v>
      </c>
      <c r="D748" s="492" t="s">
        <v>219</v>
      </c>
      <c r="E748" s="492" t="s">
        <v>915</v>
      </c>
      <c r="F748" s="492" t="s">
        <v>209</v>
      </c>
      <c r="G748" s="497">
        <v>11885.1</v>
      </c>
      <c r="H748" s="497">
        <f t="shared" si="65"/>
        <v>11885.1</v>
      </c>
      <c r="I748" s="204"/>
    </row>
    <row r="749" spans="1:9" ht="31.5" x14ac:dyDescent="0.25">
      <c r="A749" s="496" t="s">
        <v>131</v>
      </c>
      <c r="B749" s="490">
        <v>906</v>
      </c>
      <c r="C749" s="492" t="s">
        <v>264</v>
      </c>
      <c r="D749" s="492" t="s">
        <v>219</v>
      </c>
      <c r="E749" s="492" t="s">
        <v>915</v>
      </c>
      <c r="F749" s="492" t="s">
        <v>132</v>
      </c>
      <c r="G749" s="497">
        <f>G750</f>
        <v>1077</v>
      </c>
      <c r="H749" s="497">
        <f t="shared" si="65"/>
        <v>1077</v>
      </c>
      <c r="I749" s="204"/>
    </row>
    <row r="750" spans="1:9" ht="31.5" x14ac:dyDescent="0.25">
      <c r="A750" s="496" t="s">
        <v>133</v>
      </c>
      <c r="B750" s="490">
        <v>906</v>
      </c>
      <c r="C750" s="492" t="s">
        <v>264</v>
      </c>
      <c r="D750" s="492" t="s">
        <v>219</v>
      </c>
      <c r="E750" s="492" t="s">
        <v>915</v>
      </c>
      <c r="F750" s="492" t="s">
        <v>134</v>
      </c>
      <c r="G750" s="497">
        <f>1077</f>
        <v>1077</v>
      </c>
      <c r="H750" s="497">
        <f t="shared" si="65"/>
        <v>1077</v>
      </c>
      <c r="I750" s="204"/>
    </row>
    <row r="751" spans="1:9" ht="15.75" x14ac:dyDescent="0.25">
      <c r="A751" s="496" t="s">
        <v>135</v>
      </c>
      <c r="B751" s="490">
        <v>906</v>
      </c>
      <c r="C751" s="492" t="s">
        <v>264</v>
      </c>
      <c r="D751" s="492" t="s">
        <v>219</v>
      </c>
      <c r="E751" s="492" t="s">
        <v>915</v>
      </c>
      <c r="F751" s="492" t="s">
        <v>145</v>
      </c>
      <c r="G751" s="497">
        <f>G752</f>
        <v>15</v>
      </c>
      <c r="H751" s="497">
        <f t="shared" si="65"/>
        <v>15</v>
      </c>
      <c r="I751" s="204"/>
    </row>
    <row r="752" spans="1:9" ht="15.75" x14ac:dyDescent="0.25">
      <c r="A752" s="496" t="s">
        <v>568</v>
      </c>
      <c r="B752" s="490">
        <v>906</v>
      </c>
      <c r="C752" s="492" t="s">
        <v>264</v>
      </c>
      <c r="D752" s="492" t="s">
        <v>219</v>
      </c>
      <c r="E752" s="492" t="s">
        <v>915</v>
      </c>
      <c r="F752" s="492" t="s">
        <v>138</v>
      </c>
      <c r="G752" s="497">
        <f>15</f>
        <v>15</v>
      </c>
      <c r="H752" s="497">
        <f t="shared" si="65"/>
        <v>15</v>
      </c>
      <c r="I752" s="204"/>
    </row>
    <row r="753" spans="1:9" ht="47.25" x14ac:dyDescent="0.25">
      <c r="A753" s="496" t="s">
        <v>839</v>
      </c>
      <c r="B753" s="490">
        <v>906</v>
      </c>
      <c r="C753" s="492" t="s">
        <v>264</v>
      </c>
      <c r="D753" s="492" t="s">
        <v>219</v>
      </c>
      <c r="E753" s="492" t="s">
        <v>916</v>
      </c>
      <c r="F753" s="492"/>
      <c r="G753" s="497">
        <f>G754</f>
        <v>506</v>
      </c>
      <c r="H753" s="497">
        <f>H754</f>
        <v>506</v>
      </c>
      <c r="I753" s="204"/>
    </row>
    <row r="754" spans="1:9" ht="78.75" x14ac:dyDescent="0.25">
      <c r="A754" s="496" t="s">
        <v>127</v>
      </c>
      <c r="B754" s="490">
        <v>906</v>
      </c>
      <c r="C754" s="492" t="s">
        <v>264</v>
      </c>
      <c r="D754" s="492" t="s">
        <v>219</v>
      </c>
      <c r="E754" s="492" t="s">
        <v>916</v>
      </c>
      <c r="F754" s="492" t="s">
        <v>128</v>
      </c>
      <c r="G754" s="497">
        <f>G755</f>
        <v>506</v>
      </c>
      <c r="H754" s="497">
        <f>H755</f>
        <v>506</v>
      </c>
      <c r="I754" s="204"/>
    </row>
    <row r="755" spans="1:9" ht="31.5" x14ac:dyDescent="0.25">
      <c r="A755" s="496" t="s">
        <v>342</v>
      </c>
      <c r="B755" s="490">
        <v>906</v>
      </c>
      <c r="C755" s="492" t="s">
        <v>264</v>
      </c>
      <c r="D755" s="492" t="s">
        <v>219</v>
      </c>
      <c r="E755" s="492" t="s">
        <v>916</v>
      </c>
      <c r="F755" s="492" t="s">
        <v>209</v>
      </c>
      <c r="G755" s="497">
        <v>506</v>
      </c>
      <c r="H755" s="497">
        <v>506</v>
      </c>
      <c r="I755" s="204"/>
    </row>
    <row r="756" spans="1:9" ht="31.5" x14ac:dyDescent="0.25">
      <c r="A756" s="491" t="s">
        <v>1368</v>
      </c>
      <c r="B756" s="491">
        <v>907</v>
      </c>
      <c r="C756" s="492"/>
      <c r="D756" s="492"/>
      <c r="E756" s="492"/>
      <c r="F756" s="492"/>
      <c r="G756" s="493">
        <f>G764+G757</f>
        <v>64081.399999999994</v>
      </c>
      <c r="H756" s="493">
        <f>H764+H757</f>
        <v>64012.600000000006</v>
      </c>
      <c r="I756" s="204"/>
    </row>
    <row r="757" spans="1:9" ht="15.75" x14ac:dyDescent="0.25">
      <c r="A757" s="494" t="s">
        <v>117</v>
      </c>
      <c r="B757" s="491">
        <v>907</v>
      </c>
      <c r="C757" s="495" t="s">
        <v>118</v>
      </c>
      <c r="D757" s="495"/>
      <c r="E757" s="495"/>
      <c r="F757" s="495"/>
      <c r="G757" s="493">
        <f t="shared" ref="G757:H762" si="69">G758</f>
        <v>100</v>
      </c>
      <c r="H757" s="493">
        <f t="shared" si="69"/>
        <v>0</v>
      </c>
      <c r="I757" s="204"/>
    </row>
    <row r="758" spans="1:9" ht="15.75" x14ac:dyDescent="0.25">
      <c r="A758" s="34" t="s">
        <v>139</v>
      </c>
      <c r="B758" s="491">
        <v>907</v>
      </c>
      <c r="C758" s="495" t="s">
        <v>118</v>
      </c>
      <c r="D758" s="495" t="s">
        <v>140</v>
      </c>
      <c r="E758" s="495"/>
      <c r="F758" s="495"/>
      <c r="G758" s="493">
        <f t="shared" si="69"/>
        <v>100</v>
      </c>
      <c r="H758" s="493">
        <f t="shared" si="69"/>
        <v>0</v>
      </c>
      <c r="I758" s="204"/>
    </row>
    <row r="759" spans="1:9" ht="47.25" x14ac:dyDescent="0.25">
      <c r="A759" s="494" t="s">
        <v>1349</v>
      </c>
      <c r="B759" s="491">
        <v>907</v>
      </c>
      <c r="C759" s="495" t="s">
        <v>118</v>
      </c>
      <c r="D759" s="495" t="s">
        <v>140</v>
      </c>
      <c r="E759" s="495" t="s">
        <v>335</v>
      </c>
      <c r="F759" s="495"/>
      <c r="G759" s="493">
        <f t="shared" si="69"/>
        <v>100</v>
      </c>
      <c r="H759" s="493">
        <f t="shared" si="69"/>
        <v>0</v>
      </c>
      <c r="I759" s="204"/>
    </row>
    <row r="760" spans="1:9" ht="31.5" x14ac:dyDescent="0.25">
      <c r="A760" s="213" t="s">
        <v>1049</v>
      </c>
      <c r="B760" s="491">
        <v>907</v>
      </c>
      <c r="C760" s="495" t="s">
        <v>118</v>
      </c>
      <c r="D760" s="495" t="s">
        <v>140</v>
      </c>
      <c r="E760" s="495" t="s">
        <v>1050</v>
      </c>
      <c r="F760" s="495"/>
      <c r="G760" s="493">
        <f t="shared" si="69"/>
        <v>100</v>
      </c>
      <c r="H760" s="493">
        <f t="shared" si="69"/>
        <v>0</v>
      </c>
      <c r="I760" s="204"/>
    </row>
    <row r="761" spans="1:9" ht="31.5" x14ac:dyDescent="0.25">
      <c r="A761" s="97" t="s">
        <v>336</v>
      </c>
      <c r="B761" s="490">
        <v>907</v>
      </c>
      <c r="C761" s="492" t="s">
        <v>118</v>
      </c>
      <c r="D761" s="492" t="s">
        <v>140</v>
      </c>
      <c r="E761" s="492" t="s">
        <v>1051</v>
      </c>
      <c r="F761" s="492"/>
      <c r="G761" s="497">
        <f t="shared" si="69"/>
        <v>100</v>
      </c>
      <c r="H761" s="497">
        <f t="shared" si="69"/>
        <v>0</v>
      </c>
      <c r="I761" s="204"/>
    </row>
    <row r="762" spans="1:9" ht="31.5" x14ac:dyDescent="0.25">
      <c r="A762" s="496" t="s">
        <v>131</v>
      </c>
      <c r="B762" s="490">
        <v>907</v>
      </c>
      <c r="C762" s="492" t="s">
        <v>118</v>
      </c>
      <c r="D762" s="492" t="s">
        <v>140</v>
      </c>
      <c r="E762" s="492" t="s">
        <v>1051</v>
      </c>
      <c r="F762" s="492" t="s">
        <v>132</v>
      </c>
      <c r="G762" s="497">
        <f t="shared" si="69"/>
        <v>100</v>
      </c>
      <c r="H762" s="497">
        <f t="shared" si="69"/>
        <v>0</v>
      </c>
      <c r="I762" s="204"/>
    </row>
    <row r="763" spans="1:9" ht="31.5" x14ac:dyDescent="0.25">
      <c r="A763" s="496" t="s">
        <v>133</v>
      </c>
      <c r="B763" s="490">
        <v>907</v>
      </c>
      <c r="C763" s="492" t="s">
        <v>118</v>
      </c>
      <c r="D763" s="492" t="s">
        <v>140</v>
      </c>
      <c r="E763" s="492" t="s">
        <v>1051</v>
      </c>
      <c r="F763" s="492" t="s">
        <v>134</v>
      </c>
      <c r="G763" s="497">
        <v>100</v>
      </c>
      <c r="H763" s="497">
        <v>0</v>
      </c>
      <c r="I763" s="204"/>
    </row>
    <row r="764" spans="1:9" ht="15.75" x14ac:dyDescent="0.25">
      <c r="A764" s="494" t="s">
        <v>490</v>
      </c>
      <c r="B764" s="491">
        <v>907</v>
      </c>
      <c r="C764" s="495" t="s">
        <v>491</v>
      </c>
      <c r="D764" s="492"/>
      <c r="E764" s="492"/>
      <c r="F764" s="492"/>
      <c r="G764" s="493">
        <f>G765+G803</f>
        <v>63981.399999999994</v>
      </c>
      <c r="H764" s="493">
        <f>H765+H803</f>
        <v>64012.600000000006</v>
      </c>
      <c r="I764" s="204"/>
    </row>
    <row r="765" spans="1:9" ht="15.75" x14ac:dyDescent="0.25">
      <c r="A765" s="494" t="s">
        <v>492</v>
      </c>
      <c r="B765" s="491">
        <v>907</v>
      </c>
      <c r="C765" s="495" t="s">
        <v>491</v>
      </c>
      <c r="D765" s="495" t="s">
        <v>118</v>
      </c>
      <c r="E765" s="492"/>
      <c r="F765" s="492"/>
      <c r="G765" s="493">
        <f>G766+G798+G793</f>
        <v>50452.2</v>
      </c>
      <c r="H765" s="493">
        <f>H766+H798+H793</f>
        <v>50483.4</v>
      </c>
      <c r="I765" s="204"/>
    </row>
    <row r="766" spans="1:9" ht="47.25" x14ac:dyDescent="0.25">
      <c r="A766" s="494" t="s">
        <v>1369</v>
      </c>
      <c r="B766" s="491">
        <v>907</v>
      </c>
      <c r="C766" s="495" t="s">
        <v>491</v>
      </c>
      <c r="D766" s="495" t="s">
        <v>118</v>
      </c>
      <c r="E766" s="495" t="s">
        <v>482</v>
      </c>
      <c r="F766" s="495"/>
      <c r="G766" s="493">
        <f>G767+G778+G782+G789</f>
        <v>49873.1</v>
      </c>
      <c r="H766" s="493">
        <f>H767+H778+H782+H789</f>
        <v>49873.1</v>
      </c>
      <c r="I766" s="204"/>
    </row>
    <row r="767" spans="1:9" ht="31.5" x14ac:dyDescent="0.25">
      <c r="A767" s="494" t="s">
        <v>937</v>
      </c>
      <c r="B767" s="491">
        <v>907</v>
      </c>
      <c r="C767" s="495" t="s">
        <v>491</v>
      </c>
      <c r="D767" s="495" t="s">
        <v>118</v>
      </c>
      <c r="E767" s="495" t="s">
        <v>1263</v>
      </c>
      <c r="F767" s="495"/>
      <c r="G767" s="493">
        <f t="shared" ref="G767:H769" si="70">G768</f>
        <v>47819.6</v>
      </c>
      <c r="H767" s="493">
        <f t="shared" si="70"/>
        <v>47819.6</v>
      </c>
      <c r="I767" s="204"/>
    </row>
    <row r="768" spans="1:9" ht="31.5" x14ac:dyDescent="0.25">
      <c r="A768" s="496" t="s">
        <v>1293</v>
      </c>
      <c r="B768" s="490">
        <v>907</v>
      </c>
      <c r="C768" s="492" t="s">
        <v>491</v>
      </c>
      <c r="D768" s="492" t="s">
        <v>118</v>
      </c>
      <c r="E768" s="492" t="s">
        <v>1264</v>
      </c>
      <c r="F768" s="492"/>
      <c r="G768" s="497">
        <f t="shared" si="70"/>
        <v>47819.6</v>
      </c>
      <c r="H768" s="497">
        <f t="shared" si="70"/>
        <v>47819.6</v>
      </c>
      <c r="I768" s="204"/>
    </row>
    <row r="769" spans="1:9" ht="31.5" x14ac:dyDescent="0.25">
      <c r="A769" s="496" t="s">
        <v>272</v>
      </c>
      <c r="B769" s="490">
        <v>907</v>
      </c>
      <c r="C769" s="492" t="s">
        <v>491</v>
      </c>
      <c r="D769" s="492" t="s">
        <v>118</v>
      </c>
      <c r="E769" s="492" t="s">
        <v>1264</v>
      </c>
      <c r="F769" s="492" t="s">
        <v>273</v>
      </c>
      <c r="G769" s="497">
        <f t="shared" si="70"/>
        <v>47819.6</v>
      </c>
      <c r="H769" s="497">
        <f t="shared" si="70"/>
        <v>47819.6</v>
      </c>
      <c r="I769" s="204"/>
    </row>
    <row r="770" spans="1:9" ht="15.75" x14ac:dyDescent="0.25">
      <c r="A770" s="496" t="s">
        <v>274</v>
      </c>
      <c r="B770" s="490">
        <v>907</v>
      </c>
      <c r="C770" s="492" t="s">
        <v>491</v>
      </c>
      <c r="D770" s="492" t="s">
        <v>118</v>
      </c>
      <c r="E770" s="492" t="s">
        <v>1264</v>
      </c>
      <c r="F770" s="492" t="s">
        <v>275</v>
      </c>
      <c r="G770" s="497">
        <v>47819.6</v>
      </c>
      <c r="H770" s="497">
        <f t="shared" si="65"/>
        <v>47819.6</v>
      </c>
      <c r="I770" s="204"/>
    </row>
    <row r="771" spans="1:9" ht="31.5" x14ac:dyDescent="0.25">
      <c r="A771" s="494" t="s">
        <v>945</v>
      </c>
      <c r="B771" s="491">
        <v>907</v>
      </c>
      <c r="C771" s="495" t="s">
        <v>491</v>
      </c>
      <c r="D771" s="495" t="s">
        <v>118</v>
      </c>
      <c r="E771" s="495" t="s">
        <v>946</v>
      </c>
      <c r="F771" s="495"/>
      <c r="G771" s="44">
        <f>G772+G775+G779</f>
        <v>36</v>
      </c>
      <c r="H771" s="44">
        <f>H772+H775+H779</f>
        <v>36</v>
      </c>
      <c r="I771" s="204"/>
    </row>
    <row r="772" spans="1:9" ht="31.5" hidden="1" x14ac:dyDescent="0.25">
      <c r="A772" s="496" t="s">
        <v>278</v>
      </c>
      <c r="B772" s="490">
        <v>907</v>
      </c>
      <c r="C772" s="492" t="s">
        <v>491</v>
      </c>
      <c r="D772" s="492" t="s">
        <v>118</v>
      </c>
      <c r="E772" s="492" t="s">
        <v>949</v>
      </c>
      <c r="F772" s="492"/>
      <c r="G772" s="497">
        <f>'[1]Пр.5 ведом.21'!G761</f>
        <v>0</v>
      </c>
      <c r="H772" s="497">
        <f t="shared" ref="H772:H830" si="71">G772</f>
        <v>0</v>
      </c>
      <c r="I772" s="204"/>
    </row>
    <row r="773" spans="1:9" ht="31.5" hidden="1" x14ac:dyDescent="0.25">
      <c r="A773" s="496" t="s">
        <v>272</v>
      </c>
      <c r="B773" s="490">
        <v>907</v>
      </c>
      <c r="C773" s="492" t="s">
        <v>491</v>
      </c>
      <c r="D773" s="492" t="s">
        <v>118</v>
      </c>
      <c r="E773" s="492" t="s">
        <v>949</v>
      </c>
      <c r="F773" s="492" t="s">
        <v>273</v>
      </c>
      <c r="G773" s="497">
        <f>'[1]Пр.5 ведом.21'!G762</f>
        <v>0</v>
      </c>
      <c r="H773" s="497">
        <f t="shared" si="71"/>
        <v>0</v>
      </c>
      <c r="I773" s="204"/>
    </row>
    <row r="774" spans="1:9" ht="15.75" hidden="1" x14ac:dyDescent="0.25">
      <c r="A774" s="496" t="s">
        <v>274</v>
      </c>
      <c r="B774" s="490">
        <v>907</v>
      </c>
      <c r="C774" s="492" t="s">
        <v>491</v>
      </c>
      <c r="D774" s="492" t="s">
        <v>118</v>
      </c>
      <c r="E774" s="492" t="s">
        <v>949</v>
      </c>
      <c r="F774" s="492" t="s">
        <v>275</v>
      </c>
      <c r="G774" s="497">
        <f>'[1]Пр.5 ведом.21'!G763</f>
        <v>0</v>
      </c>
      <c r="H774" s="497">
        <f t="shared" si="71"/>
        <v>0</v>
      </c>
      <c r="I774" s="204"/>
    </row>
    <row r="775" spans="1:9" ht="31.5" hidden="1" x14ac:dyDescent="0.25">
      <c r="A775" s="496" t="s">
        <v>280</v>
      </c>
      <c r="B775" s="490">
        <v>907</v>
      </c>
      <c r="C775" s="492" t="s">
        <v>491</v>
      </c>
      <c r="D775" s="492" t="s">
        <v>118</v>
      </c>
      <c r="E775" s="492" t="s">
        <v>950</v>
      </c>
      <c r="F775" s="492"/>
      <c r="G775" s="497">
        <f>G776</f>
        <v>0</v>
      </c>
      <c r="H775" s="497">
        <f>H776</f>
        <v>0</v>
      </c>
      <c r="I775" s="204"/>
    </row>
    <row r="776" spans="1:9" ht="31.5" hidden="1" x14ac:dyDescent="0.25">
      <c r="A776" s="496" t="s">
        <v>272</v>
      </c>
      <c r="B776" s="490">
        <v>907</v>
      </c>
      <c r="C776" s="492" t="s">
        <v>491</v>
      </c>
      <c r="D776" s="492" t="s">
        <v>118</v>
      </c>
      <c r="E776" s="492" t="s">
        <v>950</v>
      </c>
      <c r="F776" s="492" t="s">
        <v>273</v>
      </c>
      <c r="G776" s="497">
        <f>G777</f>
        <v>0</v>
      </c>
      <c r="H776" s="497">
        <f>H777</f>
        <v>0</v>
      </c>
      <c r="I776" s="204"/>
    </row>
    <row r="777" spans="1:9" ht="15.75" hidden="1" x14ac:dyDescent="0.25">
      <c r="A777" s="496" t="s">
        <v>274</v>
      </c>
      <c r="B777" s="490">
        <v>907</v>
      </c>
      <c r="C777" s="492" t="s">
        <v>491</v>
      </c>
      <c r="D777" s="492" t="s">
        <v>118</v>
      </c>
      <c r="E777" s="492" t="s">
        <v>950</v>
      </c>
      <c r="F777" s="492" t="s">
        <v>275</v>
      </c>
      <c r="G777" s="497">
        <v>0</v>
      </c>
      <c r="H777" s="497">
        <f t="shared" si="71"/>
        <v>0</v>
      </c>
      <c r="I777" s="204"/>
    </row>
    <row r="778" spans="1:9" ht="31.5" x14ac:dyDescent="0.25">
      <c r="A778" s="494" t="s">
        <v>945</v>
      </c>
      <c r="B778" s="491">
        <v>907</v>
      </c>
      <c r="C778" s="495" t="s">
        <v>491</v>
      </c>
      <c r="D778" s="495" t="s">
        <v>118</v>
      </c>
      <c r="E778" s="495" t="s">
        <v>1265</v>
      </c>
      <c r="F778" s="492"/>
      <c r="G778" s="493">
        <f t="shared" ref="G778:H780" si="72">G779</f>
        <v>36</v>
      </c>
      <c r="H778" s="493">
        <f t="shared" si="72"/>
        <v>36</v>
      </c>
      <c r="I778" s="204"/>
    </row>
    <row r="779" spans="1:9" ht="15.75" x14ac:dyDescent="0.25">
      <c r="A779" s="496" t="s">
        <v>830</v>
      </c>
      <c r="B779" s="490">
        <v>907</v>
      </c>
      <c r="C779" s="492" t="s">
        <v>491</v>
      </c>
      <c r="D779" s="492" t="s">
        <v>118</v>
      </c>
      <c r="E779" s="492" t="s">
        <v>1266</v>
      </c>
      <c r="F779" s="492"/>
      <c r="G779" s="497">
        <f t="shared" si="72"/>
        <v>36</v>
      </c>
      <c r="H779" s="497">
        <f t="shared" si="72"/>
        <v>36</v>
      </c>
      <c r="I779" s="204"/>
    </row>
    <row r="780" spans="1:9" ht="31.5" x14ac:dyDescent="0.25">
      <c r="A780" s="496" t="s">
        <v>272</v>
      </c>
      <c r="B780" s="490">
        <v>907</v>
      </c>
      <c r="C780" s="492" t="s">
        <v>491</v>
      </c>
      <c r="D780" s="492" t="s">
        <v>118</v>
      </c>
      <c r="E780" s="492" t="s">
        <v>1266</v>
      </c>
      <c r="F780" s="492" t="s">
        <v>273</v>
      </c>
      <c r="G780" s="497">
        <f t="shared" si="72"/>
        <v>36</v>
      </c>
      <c r="H780" s="497">
        <f t="shared" si="72"/>
        <v>36</v>
      </c>
      <c r="I780" s="204"/>
    </row>
    <row r="781" spans="1:9" ht="15.75" x14ac:dyDescent="0.25">
      <c r="A781" s="496" t="s">
        <v>274</v>
      </c>
      <c r="B781" s="490">
        <v>907</v>
      </c>
      <c r="C781" s="492" t="s">
        <v>491</v>
      </c>
      <c r="D781" s="492" t="s">
        <v>118</v>
      </c>
      <c r="E781" s="492" t="s">
        <v>1266</v>
      </c>
      <c r="F781" s="492" t="s">
        <v>275</v>
      </c>
      <c r="G781" s="497">
        <f>36</f>
        <v>36</v>
      </c>
      <c r="H781" s="497">
        <f t="shared" si="71"/>
        <v>36</v>
      </c>
      <c r="I781" s="204"/>
    </row>
    <row r="782" spans="1:9" ht="31.5" x14ac:dyDescent="0.25">
      <c r="A782" s="494" t="s">
        <v>947</v>
      </c>
      <c r="B782" s="491">
        <v>907</v>
      </c>
      <c r="C782" s="495" t="s">
        <v>491</v>
      </c>
      <c r="D782" s="495" t="s">
        <v>118</v>
      </c>
      <c r="E782" s="495" t="s">
        <v>1267</v>
      </c>
      <c r="F782" s="495"/>
      <c r="G782" s="493">
        <f>G783+G786</f>
        <v>1204</v>
      </c>
      <c r="H782" s="493">
        <f>H783+H786</f>
        <v>1204</v>
      </c>
      <c r="I782" s="204"/>
    </row>
    <row r="783" spans="1:9" ht="31.5" hidden="1" x14ac:dyDescent="0.25">
      <c r="A783" s="496" t="s">
        <v>791</v>
      </c>
      <c r="B783" s="490">
        <v>907</v>
      </c>
      <c r="C783" s="492" t="s">
        <v>491</v>
      </c>
      <c r="D783" s="492" t="s">
        <v>118</v>
      </c>
      <c r="E783" s="492" t="s">
        <v>1305</v>
      </c>
      <c r="F783" s="492"/>
      <c r="G783" s="497">
        <f>'[1]Пр.5 ведом.21'!G771</f>
        <v>0</v>
      </c>
      <c r="H783" s="497">
        <f t="shared" si="71"/>
        <v>0</v>
      </c>
      <c r="I783" s="204"/>
    </row>
    <row r="784" spans="1:9" ht="31.5" hidden="1" x14ac:dyDescent="0.25">
      <c r="A784" s="496" t="s">
        <v>272</v>
      </c>
      <c r="B784" s="490">
        <v>907</v>
      </c>
      <c r="C784" s="492" t="s">
        <v>491</v>
      </c>
      <c r="D784" s="492" t="s">
        <v>118</v>
      </c>
      <c r="E784" s="492" t="s">
        <v>1305</v>
      </c>
      <c r="F784" s="492" t="s">
        <v>273</v>
      </c>
      <c r="G784" s="497">
        <f>'[1]Пр.5 ведом.21'!G772</f>
        <v>0</v>
      </c>
      <c r="H784" s="497">
        <f t="shared" si="71"/>
        <v>0</v>
      </c>
      <c r="I784" s="204"/>
    </row>
    <row r="785" spans="1:9" ht="15.75" hidden="1" x14ac:dyDescent="0.25">
      <c r="A785" s="496" t="s">
        <v>274</v>
      </c>
      <c r="B785" s="490">
        <v>907</v>
      </c>
      <c r="C785" s="492" t="s">
        <v>491</v>
      </c>
      <c r="D785" s="492" t="s">
        <v>118</v>
      </c>
      <c r="E785" s="492" t="s">
        <v>1305</v>
      </c>
      <c r="F785" s="492" t="s">
        <v>275</v>
      </c>
      <c r="G785" s="497">
        <f>'[1]Пр.5 ведом.21'!G773</f>
        <v>0</v>
      </c>
      <c r="H785" s="497">
        <f t="shared" si="71"/>
        <v>0</v>
      </c>
      <c r="I785" s="204"/>
    </row>
    <row r="786" spans="1:9" ht="31.5" x14ac:dyDescent="0.25">
      <c r="A786" s="45" t="s">
        <v>764</v>
      </c>
      <c r="B786" s="490">
        <v>907</v>
      </c>
      <c r="C786" s="492" t="s">
        <v>491</v>
      </c>
      <c r="D786" s="492" t="s">
        <v>118</v>
      </c>
      <c r="E786" s="492" t="s">
        <v>1268</v>
      </c>
      <c r="F786" s="492"/>
      <c r="G786" s="497">
        <f>G787</f>
        <v>1204</v>
      </c>
      <c r="H786" s="497">
        <f>H787</f>
        <v>1204</v>
      </c>
      <c r="I786" s="204"/>
    </row>
    <row r="787" spans="1:9" ht="31.5" x14ac:dyDescent="0.25">
      <c r="A787" s="31" t="s">
        <v>272</v>
      </c>
      <c r="B787" s="490">
        <v>907</v>
      </c>
      <c r="C787" s="492" t="s">
        <v>491</v>
      </c>
      <c r="D787" s="492" t="s">
        <v>118</v>
      </c>
      <c r="E787" s="492" t="s">
        <v>1268</v>
      </c>
      <c r="F787" s="492" t="s">
        <v>273</v>
      </c>
      <c r="G787" s="497">
        <f>G788</f>
        <v>1204</v>
      </c>
      <c r="H787" s="497">
        <f>H788</f>
        <v>1204</v>
      </c>
      <c r="I787" s="204"/>
    </row>
    <row r="788" spans="1:9" ht="15.75" x14ac:dyDescent="0.25">
      <c r="A788" s="31" t="s">
        <v>274</v>
      </c>
      <c r="B788" s="490">
        <v>907</v>
      </c>
      <c r="C788" s="492" t="s">
        <v>491</v>
      </c>
      <c r="D788" s="492" t="s">
        <v>118</v>
      </c>
      <c r="E788" s="492" t="s">
        <v>1268</v>
      </c>
      <c r="F788" s="492" t="s">
        <v>275</v>
      </c>
      <c r="G788" s="497">
        <v>1204</v>
      </c>
      <c r="H788" s="497">
        <f t="shared" si="71"/>
        <v>1204</v>
      </c>
      <c r="I788" s="204"/>
    </row>
    <row r="789" spans="1:9" ht="47.25" x14ac:dyDescent="0.25">
      <c r="A789" s="494" t="s">
        <v>900</v>
      </c>
      <c r="B789" s="491">
        <v>907</v>
      </c>
      <c r="C789" s="495" t="s">
        <v>491</v>
      </c>
      <c r="D789" s="495" t="s">
        <v>118</v>
      </c>
      <c r="E789" s="495" t="s">
        <v>1269</v>
      </c>
      <c r="F789" s="495"/>
      <c r="G789" s="493">
        <f>G790</f>
        <v>813.5</v>
      </c>
      <c r="H789" s="493">
        <f>H790</f>
        <v>813.5</v>
      </c>
      <c r="I789" s="204"/>
    </row>
    <row r="790" spans="1:9" ht="94.5" x14ac:dyDescent="0.25">
      <c r="A790" s="31" t="s">
        <v>464</v>
      </c>
      <c r="B790" s="490">
        <v>907</v>
      </c>
      <c r="C790" s="492" t="s">
        <v>491</v>
      </c>
      <c r="D790" s="492" t="s">
        <v>118</v>
      </c>
      <c r="E790" s="492" t="s">
        <v>1402</v>
      </c>
      <c r="F790" s="492"/>
      <c r="G790" s="497">
        <f t="shared" ref="G790:H791" si="73">G791</f>
        <v>813.5</v>
      </c>
      <c r="H790" s="497">
        <f t="shared" si="73"/>
        <v>813.5</v>
      </c>
      <c r="I790" s="204"/>
    </row>
    <row r="791" spans="1:9" ht="31.5" x14ac:dyDescent="0.25">
      <c r="A791" s="496" t="s">
        <v>272</v>
      </c>
      <c r="B791" s="490">
        <v>907</v>
      </c>
      <c r="C791" s="492" t="s">
        <v>491</v>
      </c>
      <c r="D791" s="492" t="s">
        <v>118</v>
      </c>
      <c r="E791" s="492" t="s">
        <v>1402</v>
      </c>
      <c r="F791" s="492" t="s">
        <v>273</v>
      </c>
      <c r="G791" s="497">
        <f t="shared" si="73"/>
        <v>813.5</v>
      </c>
      <c r="H791" s="497">
        <f t="shared" si="73"/>
        <v>813.5</v>
      </c>
      <c r="I791" s="204"/>
    </row>
    <row r="792" spans="1:9" ht="15.75" x14ac:dyDescent="0.25">
      <c r="A792" s="496" t="s">
        <v>274</v>
      </c>
      <c r="B792" s="490">
        <v>907</v>
      </c>
      <c r="C792" s="492" t="s">
        <v>491</v>
      </c>
      <c r="D792" s="492" t="s">
        <v>118</v>
      </c>
      <c r="E792" s="492" t="s">
        <v>1402</v>
      </c>
      <c r="F792" s="492" t="s">
        <v>275</v>
      </c>
      <c r="G792" s="497">
        <f>813.5</f>
        <v>813.5</v>
      </c>
      <c r="H792" s="497">
        <f t="shared" si="71"/>
        <v>813.5</v>
      </c>
      <c r="I792" s="257">
        <f>12177.1/11326*870.2</f>
        <v>935.59177291188428</v>
      </c>
    </row>
    <row r="793" spans="1:9" ht="47.25" x14ac:dyDescent="0.25">
      <c r="A793" s="34" t="s">
        <v>1357</v>
      </c>
      <c r="B793" s="491">
        <v>907</v>
      </c>
      <c r="C793" s="495" t="s">
        <v>491</v>
      </c>
      <c r="D793" s="495" t="s">
        <v>118</v>
      </c>
      <c r="E793" s="495" t="s">
        <v>324</v>
      </c>
      <c r="F793" s="495"/>
      <c r="G793" s="493">
        <f t="shared" ref="G793:H796" si="74">G794</f>
        <v>0</v>
      </c>
      <c r="H793" s="493">
        <f t="shared" si="74"/>
        <v>8</v>
      </c>
      <c r="I793" s="257"/>
    </row>
    <row r="794" spans="1:9" ht="63" x14ac:dyDescent="0.25">
      <c r="A794" s="34" t="s">
        <v>1009</v>
      </c>
      <c r="B794" s="491">
        <v>907</v>
      </c>
      <c r="C794" s="495" t="s">
        <v>491</v>
      </c>
      <c r="D794" s="495" t="s">
        <v>118</v>
      </c>
      <c r="E794" s="495" t="s">
        <v>934</v>
      </c>
      <c r="F794" s="495"/>
      <c r="G794" s="493">
        <f t="shared" si="74"/>
        <v>0</v>
      </c>
      <c r="H794" s="493">
        <f t="shared" si="74"/>
        <v>8</v>
      </c>
      <c r="I794" s="257"/>
    </row>
    <row r="795" spans="1:9" ht="47.25" x14ac:dyDescent="0.25">
      <c r="A795" s="31" t="s">
        <v>1081</v>
      </c>
      <c r="B795" s="490">
        <v>907</v>
      </c>
      <c r="C795" s="492" t="s">
        <v>491</v>
      </c>
      <c r="D795" s="492" t="s">
        <v>118</v>
      </c>
      <c r="E795" s="492" t="s">
        <v>935</v>
      </c>
      <c r="F795" s="492"/>
      <c r="G795" s="497">
        <f t="shared" si="74"/>
        <v>0</v>
      </c>
      <c r="H795" s="497">
        <f t="shared" si="74"/>
        <v>8</v>
      </c>
      <c r="I795" s="257"/>
    </row>
    <row r="796" spans="1:9" ht="31.5" x14ac:dyDescent="0.25">
      <c r="A796" s="496" t="s">
        <v>131</v>
      </c>
      <c r="B796" s="490">
        <v>907</v>
      </c>
      <c r="C796" s="492" t="s">
        <v>491</v>
      </c>
      <c r="D796" s="492" t="s">
        <v>118</v>
      </c>
      <c r="E796" s="492" t="s">
        <v>935</v>
      </c>
      <c r="F796" s="492" t="s">
        <v>273</v>
      </c>
      <c r="G796" s="497">
        <f t="shared" si="74"/>
        <v>0</v>
      </c>
      <c r="H796" s="497">
        <f t="shared" si="74"/>
        <v>8</v>
      </c>
      <c r="I796" s="257"/>
    </row>
    <row r="797" spans="1:9" ht="31.5" x14ac:dyDescent="0.25">
      <c r="A797" s="496" t="s">
        <v>133</v>
      </c>
      <c r="B797" s="490">
        <v>907</v>
      </c>
      <c r="C797" s="492" t="s">
        <v>491</v>
      </c>
      <c r="D797" s="492" t="s">
        <v>118</v>
      </c>
      <c r="E797" s="492" t="s">
        <v>935</v>
      </c>
      <c r="F797" s="492" t="s">
        <v>275</v>
      </c>
      <c r="G797" s="497">
        <v>0</v>
      </c>
      <c r="H797" s="497">
        <v>8</v>
      </c>
      <c r="I797" s="257"/>
    </row>
    <row r="798" spans="1:9" ht="47.25" x14ac:dyDescent="0.25">
      <c r="A798" s="500" t="s">
        <v>1352</v>
      </c>
      <c r="B798" s="491">
        <v>907</v>
      </c>
      <c r="C798" s="495" t="s">
        <v>491</v>
      </c>
      <c r="D798" s="495" t="s">
        <v>118</v>
      </c>
      <c r="E798" s="495" t="s">
        <v>705</v>
      </c>
      <c r="F798" s="504"/>
      <c r="G798" s="493">
        <f t="shared" ref="G798:H801" si="75">G799</f>
        <v>579.1</v>
      </c>
      <c r="H798" s="493">
        <f t="shared" si="75"/>
        <v>602.29999999999995</v>
      </c>
      <c r="I798" s="204"/>
    </row>
    <row r="799" spans="1:9" ht="47.25" x14ac:dyDescent="0.25">
      <c r="A799" s="500" t="s">
        <v>890</v>
      </c>
      <c r="B799" s="491">
        <v>907</v>
      </c>
      <c r="C799" s="495" t="s">
        <v>491</v>
      </c>
      <c r="D799" s="495" t="s">
        <v>118</v>
      </c>
      <c r="E799" s="495" t="s">
        <v>888</v>
      </c>
      <c r="F799" s="504"/>
      <c r="G799" s="493">
        <f t="shared" si="75"/>
        <v>579.1</v>
      </c>
      <c r="H799" s="493">
        <f t="shared" si="75"/>
        <v>602.29999999999995</v>
      </c>
      <c r="I799" s="204"/>
    </row>
    <row r="800" spans="1:9" ht="47.25" x14ac:dyDescent="0.25">
      <c r="A800" s="98" t="s">
        <v>780</v>
      </c>
      <c r="B800" s="490">
        <v>907</v>
      </c>
      <c r="C800" s="492" t="s">
        <v>491</v>
      </c>
      <c r="D800" s="492" t="s">
        <v>118</v>
      </c>
      <c r="E800" s="492" t="s">
        <v>936</v>
      </c>
      <c r="F800" s="498"/>
      <c r="G800" s="497">
        <f t="shared" si="75"/>
        <v>579.1</v>
      </c>
      <c r="H800" s="497">
        <f t="shared" si="75"/>
        <v>602.29999999999995</v>
      </c>
      <c r="I800" s="204"/>
    </row>
    <row r="801" spans="1:9" ht="31.5" x14ac:dyDescent="0.25">
      <c r="A801" s="29" t="s">
        <v>272</v>
      </c>
      <c r="B801" s="490">
        <v>907</v>
      </c>
      <c r="C801" s="492" t="s">
        <v>491</v>
      </c>
      <c r="D801" s="492" t="s">
        <v>118</v>
      </c>
      <c r="E801" s="492" t="s">
        <v>936</v>
      </c>
      <c r="F801" s="498" t="s">
        <v>273</v>
      </c>
      <c r="G801" s="497">
        <f t="shared" si="75"/>
        <v>579.1</v>
      </c>
      <c r="H801" s="497">
        <f t="shared" si="75"/>
        <v>602.29999999999995</v>
      </c>
      <c r="I801" s="204"/>
    </row>
    <row r="802" spans="1:9" ht="15.75" x14ac:dyDescent="0.25">
      <c r="A802" s="182" t="s">
        <v>274</v>
      </c>
      <c r="B802" s="490">
        <v>907</v>
      </c>
      <c r="C802" s="492" t="s">
        <v>491</v>
      </c>
      <c r="D802" s="492" t="s">
        <v>118</v>
      </c>
      <c r="E802" s="492" t="s">
        <v>936</v>
      </c>
      <c r="F802" s="498" t="s">
        <v>275</v>
      </c>
      <c r="G802" s="497">
        <v>579.1</v>
      </c>
      <c r="H802" s="497">
        <v>602.29999999999995</v>
      </c>
      <c r="I802" s="204"/>
    </row>
    <row r="803" spans="1:9" ht="31.5" x14ac:dyDescent="0.25">
      <c r="A803" s="494" t="s">
        <v>500</v>
      </c>
      <c r="B803" s="491">
        <v>907</v>
      </c>
      <c r="C803" s="495" t="s">
        <v>491</v>
      </c>
      <c r="D803" s="495" t="s">
        <v>234</v>
      </c>
      <c r="E803" s="495"/>
      <c r="F803" s="495"/>
      <c r="G803" s="493">
        <f>G804+G812+G824</f>
        <v>13529.2</v>
      </c>
      <c r="H803" s="493">
        <f>H804+H812+H824</f>
        <v>13529.2</v>
      </c>
      <c r="I803" s="204"/>
    </row>
    <row r="804" spans="1:9" ht="31.5" x14ac:dyDescent="0.25">
      <c r="A804" s="494" t="s">
        <v>917</v>
      </c>
      <c r="B804" s="491">
        <v>907</v>
      </c>
      <c r="C804" s="495" t="s">
        <v>491</v>
      </c>
      <c r="D804" s="495" t="s">
        <v>234</v>
      </c>
      <c r="E804" s="495" t="s">
        <v>858</v>
      </c>
      <c r="F804" s="495"/>
      <c r="G804" s="493">
        <f>G805</f>
        <v>5224.5</v>
      </c>
      <c r="H804" s="493">
        <f>H805</f>
        <v>5224.5</v>
      </c>
      <c r="I804" s="204"/>
    </row>
    <row r="805" spans="1:9" ht="15.75" x14ac:dyDescent="0.25">
      <c r="A805" s="494" t="s">
        <v>918</v>
      </c>
      <c r="B805" s="491">
        <v>907</v>
      </c>
      <c r="C805" s="495" t="s">
        <v>491</v>
      </c>
      <c r="D805" s="495" t="s">
        <v>234</v>
      </c>
      <c r="E805" s="495" t="s">
        <v>859</v>
      </c>
      <c r="F805" s="495"/>
      <c r="G805" s="493">
        <f>G806+G809</f>
        <v>5224.5</v>
      </c>
      <c r="H805" s="493">
        <f>H806+H809</f>
        <v>5224.5</v>
      </c>
      <c r="I805" s="204"/>
    </row>
    <row r="806" spans="1:9" ht="31.5" x14ac:dyDescent="0.25">
      <c r="A806" s="496" t="s">
        <v>897</v>
      </c>
      <c r="B806" s="490">
        <v>907</v>
      </c>
      <c r="C806" s="492" t="s">
        <v>491</v>
      </c>
      <c r="D806" s="492" t="s">
        <v>234</v>
      </c>
      <c r="E806" s="492" t="s">
        <v>860</v>
      </c>
      <c r="F806" s="492"/>
      <c r="G806" s="497">
        <f>G807</f>
        <v>4888.5</v>
      </c>
      <c r="H806" s="497">
        <f>H807</f>
        <v>4888.5</v>
      </c>
      <c r="I806" s="204"/>
    </row>
    <row r="807" spans="1:9" ht="78.75" x14ac:dyDescent="0.25">
      <c r="A807" s="496" t="s">
        <v>127</v>
      </c>
      <c r="B807" s="490">
        <v>907</v>
      </c>
      <c r="C807" s="492" t="s">
        <v>491</v>
      </c>
      <c r="D807" s="492" t="s">
        <v>234</v>
      </c>
      <c r="E807" s="492" t="s">
        <v>860</v>
      </c>
      <c r="F807" s="492" t="s">
        <v>128</v>
      </c>
      <c r="G807" s="497">
        <f>G808</f>
        <v>4888.5</v>
      </c>
      <c r="H807" s="497">
        <f>H808</f>
        <v>4888.5</v>
      </c>
      <c r="I807" s="204"/>
    </row>
    <row r="808" spans="1:9" ht="31.5" x14ac:dyDescent="0.25">
      <c r="A808" s="496" t="s">
        <v>129</v>
      </c>
      <c r="B808" s="490">
        <v>907</v>
      </c>
      <c r="C808" s="492" t="s">
        <v>491</v>
      </c>
      <c r="D808" s="492" t="s">
        <v>234</v>
      </c>
      <c r="E808" s="492" t="s">
        <v>860</v>
      </c>
      <c r="F808" s="492" t="s">
        <v>130</v>
      </c>
      <c r="G808" s="497">
        <v>4888.5</v>
      </c>
      <c r="H808" s="497">
        <f t="shared" si="71"/>
        <v>4888.5</v>
      </c>
      <c r="I808" s="204"/>
    </row>
    <row r="809" spans="1:9" ht="47.25" x14ac:dyDescent="0.25">
      <c r="A809" s="496" t="s">
        <v>839</v>
      </c>
      <c r="B809" s="490">
        <v>907</v>
      </c>
      <c r="C809" s="492" t="s">
        <v>491</v>
      </c>
      <c r="D809" s="492" t="s">
        <v>234</v>
      </c>
      <c r="E809" s="492" t="s">
        <v>862</v>
      </c>
      <c r="F809" s="492"/>
      <c r="G809" s="497">
        <f>G810</f>
        <v>336</v>
      </c>
      <c r="H809" s="497">
        <f>H810</f>
        <v>336</v>
      </c>
      <c r="I809" s="204"/>
    </row>
    <row r="810" spans="1:9" ht="78.75" x14ac:dyDescent="0.25">
      <c r="A810" s="496" t="s">
        <v>127</v>
      </c>
      <c r="B810" s="490">
        <v>907</v>
      </c>
      <c r="C810" s="492" t="s">
        <v>491</v>
      </c>
      <c r="D810" s="492" t="s">
        <v>234</v>
      </c>
      <c r="E810" s="492" t="s">
        <v>862</v>
      </c>
      <c r="F810" s="492" t="s">
        <v>128</v>
      </c>
      <c r="G810" s="497">
        <f>G811</f>
        <v>336</v>
      </c>
      <c r="H810" s="497">
        <f>H811</f>
        <v>336</v>
      </c>
      <c r="I810" s="204"/>
    </row>
    <row r="811" spans="1:9" ht="31.5" x14ac:dyDescent="0.25">
      <c r="A811" s="496" t="s">
        <v>129</v>
      </c>
      <c r="B811" s="490">
        <v>907</v>
      </c>
      <c r="C811" s="492" t="s">
        <v>491</v>
      </c>
      <c r="D811" s="492" t="s">
        <v>234</v>
      </c>
      <c r="E811" s="492" t="s">
        <v>862</v>
      </c>
      <c r="F811" s="492" t="s">
        <v>130</v>
      </c>
      <c r="G811" s="497">
        <v>336</v>
      </c>
      <c r="H811" s="497">
        <f t="shared" si="71"/>
        <v>336</v>
      </c>
      <c r="I811" s="204"/>
    </row>
    <row r="812" spans="1:9" ht="15.75" x14ac:dyDescent="0.25">
      <c r="A812" s="494" t="s">
        <v>141</v>
      </c>
      <c r="B812" s="491">
        <v>907</v>
      </c>
      <c r="C812" s="495" t="s">
        <v>491</v>
      </c>
      <c r="D812" s="495" t="s">
        <v>234</v>
      </c>
      <c r="E812" s="495" t="s">
        <v>866</v>
      </c>
      <c r="F812" s="495"/>
      <c r="G812" s="493">
        <f>G813</f>
        <v>5304.7</v>
      </c>
      <c r="H812" s="493">
        <f>H813</f>
        <v>5304.7</v>
      </c>
      <c r="I812" s="204"/>
    </row>
    <row r="813" spans="1:9" ht="31.5" x14ac:dyDescent="0.25">
      <c r="A813" s="494" t="s">
        <v>929</v>
      </c>
      <c r="B813" s="491">
        <v>907</v>
      </c>
      <c r="C813" s="495" t="s">
        <v>491</v>
      </c>
      <c r="D813" s="495" t="s">
        <v>234</v>
      </c>
      <c r="E813" s="495" t="s">
        <v>914</v>
      </c>
      <c r="F813" s="495"/>
      <c r="G813" s="493">
        <f>G814+G821</f>
        <v>5304.7</v>
      </c>
      <c r="H813" s="493">
        <f>H814+H821</f>
        <v>5304.7</v>
      </c>
      <c r="I813" s="204"/>
    </row>
    <row r="814" spans="1:9" ht="31.5" x14ac:dyDescent="0.25">
      <c r="A814" s="496" t="s">
        <v>903</v>
      </c>
      <c r="B814" s="490">
        <v>907</v>
      </c>
      <c r="C814" s="492" t="s">
        <v>491</v>
      </c>
      <c r="D814" s="492" t="s">
        <v>234</v>
      </c>
      <c r="E814" s="492" t="s">
        <v>915</v>
      </c>
      <c r="F814" s="492"/>
      <c r="G814" s="497">
        <f>G815+G817+G819</f>
        <v>5089.7</v>
      </c>
      <c r="H814" s="497">
        <f>H815+H817+H819</f>
        <v>5089.7</v>
      </c>
      <c r="I814" s="204"/>
    </row>
    <row r="815" spans="1:9" ht="78.75" x14ac:dyDescent="0.25">
      <c r="A815" s="496" t="s">
        <v>127</v>
      </c>
      <c r="B815" s="490">
        <v>907</v>
      </c>
      <c r="C815" s="492" t="s">
        <v>491</v>
      </c>
      <c r="D815" s="492" t="s">
        <v>234</v>
      </c>
      <c r="E815" s="492" t="s">
        <v>915</v>
      </c>
      <c r="F815" s="492" t="s">
        <v>128</v>
      </c>
      <c r="G815" s="497">
        <f>G816</f>
        <v>4695.3999999999996</v>
      </c>
      <c r="H815" s="497">
        <f>H816</f>
        <v>4695.3999999999996</v>
      </c>
      <c r="I815" s="204"/>
    </row>
    <row r="816" spans="1:9" ht="19.5" customHeight="1" x14ac:dyDescent="0.25">
      <c r="A816" s="496" t="s">
        <v>342</v>
      </c>
      <c r="B816" s="490">
        <v>907</v>
      </c>
      <c r="C816" s="492" t="s">
        <v>491</v>
      </c>
      <c r="D816" s="492" t="s">
        <v>234</v>
      </c>
      <c r="E816" s="492" t="s">
        <v>915</v>
      </c>
      <c r="F816" s="492" t="s">
        <v>209</v>
      </c>
      <c r="G816" s="497">
        <v>4695.3999999999996</v>
      </c>
      <c r="H816" s="497">
        <f t="shared" si="71"/>
        <v>4695.3999999999996</v>
      </c>
      <c r="I816" s="204"/>
    </row>
    <row r="817" spans="1:13" ht="31.5" x14ac:dyDescent="0.25">
      <c r="A817" s="496" t="s">
        <v>131</v>
      </c>
      <c r="B817" s="490">
        <v>907</v>
      </c>
      <c r="C817" s="492" t="s">
        <v>491</v>
      </c>
      <c r="D817" s="492" t="s">
        <v>234</v>
      </c>
      <c r="E817" s="492" t="s">
        <v>915</v>
      </c>
      <c r="F817" s="492" t="s">
        <v>132</v>
      </c>
      <c r="G817" s="497">
        <f>G818</f>
        <v>343.3</v>
      </c>
      <c r="H817" s="497">
        <f>H818</f>
        <v>343.3</v>
      </c>
      <c r="I817" s="204"/>
    </row>
    <row r="818" spans="1:13" ht="31.5" x14ac:dyDescent="0.25">
      <c r="A818" s="496" t="s">
        <v>133</v>
      </c>
      <c r="B818" s="490">
        <v>907</v>
      </c>
      <c r="C818" s="492" t="s">
        <v>491</v>
      </c>
      <c r="D818" s="492" t="s">
        <v>234</v>
      </c>
      <c r="E818" s="492" t="s">
        <v>915</v>
      </c>
      <c r="F818" s="492" t="s">
        <v>134</v>
      </c>
      <c r="G818" s="497">
        <v>343.3</v>
      </c>
      <c r="H818" s="497">
        <f t="shared" si="71"/>
        <v>343.3</v>
      </c>
      <c r="I818" s="204"/>
    </row>
    <row r="819" spans="1:13" ht="15.75" x14ac:dyDescent="0.25">
      <c r="A819" s="496" t="s">
        <v>135</v>
      </c>
      <c r="B819" s="490">
        <v>907</v>
      </c>
      <c r="C819" s="492" t="s">
        <v>491</v>
      </c>
      <c r="D819" s="492" t="s">
        <v>234</v>
      </c>
      <c r="E819" s="492" t="s">
        <v>915</v>
      </c>
      <c r="F819" s="492" t="s">
        <v>145</v>
      </c>
      <c r="G819" s="497">
        <f>G820</f>
        <v>51</v>
      </c>
      <c r="H819" s="497">
        <f>H820</f>
        <v>51</v>
      </c>
      <c r="I819" s="204"/>
    </row>
    <row r="820" spans="1:13" ht="15.75" x14ac:dyDescent="0.25">
      <c r="A820" s="496" t="s">
        <v>568</v>
      </c>
      <c r="B820" s="490">
        <v>907</v>
      </c>
      <c r="C820" s="492" t="s">
        <v>491</v>
      </c>
      <c r="D820" s="492" t="s">
        <v>234</v>
      </c>
      <c r="E820" s="492" t="s">
        <v>915</v>
      </c>
      <c r="F820" s="492" t="s">
        <v>138</v>
      </c>
      <c r="G820" s="497">
        <f>51</f>
        <v>51</v>
      </c>
      <c r="H820" s="497">
        <f t="shared" si="71"/>
        <v>51</v>
      </c>
      <c r="I820" s="204"/>
    </row>
    <row r="821" spans="1:13" ht="47.25" x14ac:dyDescent="0.25">
      <c r="A821" s="496" t="s">
        <v>839</v>
      </c>
      <c r="B821" s="490">
        <v>907</v>
      </c>
      <c r="C821" s="492" t="s">
        <v>491</v>
      </c>
      <c r="D821" s="492" t="s">
        <v>234</v>
      </c>
      <c r="E821" s="492" t="s">
        <v>916</v>
      </c>
      <c r="F821" s="492"/>
      <c r="G821" s="497">
        <f>G822</f>
        <v>215</v>
      </c>
      <c r="H821" s="497">
        <f>H822</f>
        <v>215</v>
      </c>
      <c r="I821" s="204"/>
    </row>
    <row r="822" spans="1:13" ht="78.75" x14ac:dyDescent="0.25">
      <c r="A822" s="496" t="s">
        <v>127</v>
      </c>
      <c r="B822" s="490">
        <v>907</v>
      </c>
      <c r="C822" s="492" t="s">
        <v>491</v>
      </c>
      <c r="D822" s="492" t="s">
        <v>234</v>
      </c>
      <c r="E822" s="492" t="s">
        <v>916</v>
      </c>
      <c r="F822" s="492" t="s">
        <v>128</v>
      </c>
      <c r="G822" s="497">
        <f>G823</f>
        <v>215</v>
      </c>
      <c r="H822" s="497">
        <f>H823</f>
        <v>215</v>
      </c>
      <c r="I822" s="204"/>
    </row>
    <row r="823" spans="1:13" ht="19.5" customHeight="1" x14ac:dyDescent="0.25">
      <c r="A823" s="496" t="s">
        <v>342</v>
      </c>
      <c r="B823" s="490">
        <v>907</v>
      </c>
      <c r="C823" s="492" t="s">
        <v>491</v>
      </c>
      <c r="D823" s="492" t="s">
        <v>234</v>
      </c>
      <c r="E823" s="492" t="s">
        <v>916</v>
      </c>
      <c r="F823" s="492" t="s">
        <v>209</v>
      </c>
      <c r="G823" s="497">
        <v>215</v>
      </c>
      <c r="H823" s="497">
        <f t="shared" si="71"/>
        <v>215</v>
      </c>
      <c r="I823" s="204"/>
    </row>
    <row r="824" spans="1:13" ht="47.25" x14ac:dyDescent="0.25">
      <c r="A824" s="500" t="s">
        <v>1369</v>
      </c>
      <c r="B824" s="491">
        <v>907</v>
      </c>
      <c r="C824" s="495" t="s">
        <v>491</v>
      </c>
      <c r="D824" s="495" t="s">
        <v>234</v>
      </c>
      <c r="E824" s="7" t="s">
        <v>482</v>
      </c>
      <c r="F824" s="495"/>
      <c r="G824" s="493">
        <f>G825</f>
        <v>3000</v>
      </c>
      <c r="H824" s="493">
        <f>H825</f>
        <v>3000</v>
      </c>
      <c r="I824" s="204"/>
    </row>
    <row r="825" spans="1:13" ht="31.5" x14ac:dyDescent="0.25">
      <c r="A825" s="58" t="s">
        <v>951</v>
      </c>
      <c r="B825" s="491">
        <v>907</v>
      </c>
      <c r="C825" s="495" t="s">
        <v>491</v>
      </c>
      <c r="D825" s="495" t="s">
        <v>234</v>
      </c>
      <c r="E825" s="7" t="s">
        <v>1271</v>
      </c>
      <c r="F825" s="495"/>
      <c r="G825" s="493">
        <f t="shared" ref="G825:H825" si="76">G826</f>
        <v>3000</v>
      </c>
      <c r="H825" s="493">
        <f t="shared" si="76"/>
        <v>3000</v>
      </c>
      <c r="I825" s="204"/>
    </row>
    <row r="826" spans="1:13" ht="15.75" x14ac:dyDescent="0.25">
      <c r="A826" s="29" t="s">
        <v>952</v>
      </c>
      <c r="B826" s="490">
        <v>907</v>
      </c>
      <c r="C826" s="492" t="s">
        <v>491</v>
      </c>
      <c r="D826" s="492" t="s">
        <v>234</v>
      </c>
      <c r="E826" s="499" t="s">
        <v>1272</v>
      </c>
      <c r="F826" s="492"/>
      <c r="G826" s="497">
        <f>G827+G829</f>
        <v>3000</v>
      </c>
      <c r="H826" s="497">
        <f>H827+H829</f>
        <v>3000</v>
      </c>
      <c r="I826" s="204"/>
    </row>
    <row r="827" spans="1:13" ht="78.75" x14ac:dyDescent="0.25">
      <c r="A827" s="496" t="s">
        <v>127</v>
      </c>
      <c r="B827" s="490">
        <v>907</v>
      </c>
      <c r="C827" s="492" t="s">
        <v>491</v>
      </c>
      <c r="D827" s="492" t="s">
        <v>234</v>
      </c>
      <c r="E827" s="499" t="s">
        <v>1272</v>
      </c>
      <c r="F827" s="492" t="s">
        <v>128</v>
      </c>
      <c r="G827" s="497">
        <f>G828</f>
        <v>2500</v>
      </c>
      <c r="H827" s="497">
        <f>H828</f>
        <v>2500</v>
      </c>
      <c r="I827" s="204"/>
    </row>
    <row r="828" spans="1:13" ht="31.5" x14ac:dyDescent="0.25">
      <c r="A828" s="496" t="s">
        <v>342</v>
      </c>
      <c r="B828" s="490">
        <v>907</v>
      </c>
      <c r="C828" s="492" t="s">
        <v>491</v>
      </c>
      <c r="D828" s="492" t="s">
        <v>234</v>
      </c>
      <c r="E828" s="499" t="s">
        <v>1272</v>
      </c>
      <c r="F828" s="492" t="s">
        <v>209</v>
      </c>
      <c r="G828" s="497">
        <v>2500</v>
      </c>
      <c r="H828" s="497">
        <v>2500</v>
      </c>
      <c r="I828" s="204"/>
    </row>
    <row r="829" spans="1:13" ht="31.5" x14ac:dyDescent="0.25">
      <c r="A829" s="29" t="s">
        <v>131</v>
      </c>
      <c r="B829" s="490">
        <v>907</v>
      </c>
      <c r="C829" s="492" t="s">
        <v>491</v>
      </c>
      <c r="D829" s="492" t="s">
        <v>234</v>
      </c>
      <c r="E829" s="499" t="s">
        <v>1272</v>
      </c>
      <c r="F829" s="492" t="s">
        <v>132</v>
      </c>
      <c r="G829" s="497">
        <f>G830</f>
        <v>500</v>
      </c>
      <c r="H829" s="497">
        <f>H830</f>
        <v>500</v>
      </c>
      <c r="I829" s="204"/>
    </row>
    <row r="830" spans="1:13" ht="31.5" x14ac:dyDescent="0.25">
      <c r="A830" s="29" t="s">
        <v>133</v>
      </c>
      <c r="B830" s="490">
        <v>907</v>
      </c>
      <c r="C830" s="492" t="s">
        <v>491</v>
      </c>
      <c r="D830" s="492" t="s">
        <v>234</v>
      </c>
      <c r="E830" s="499" t="s">
        <v>1272</v>
      </c>
      <c r="F830" s="492" t="s">
        <v>134</v>
      </c>
      <c r="G830" s="497">
        <f>500</f>
        <v>500</v>
      </c>
      <c r="H830" s="497">
        <f t="shared" si="71"/>
        <v>500</v>
      </c>
      <c r="I830" s="204"/>
    </row>
    <row r="831" spans="1:13" ht="31.5" x14ac:dyDescent="0.25">
      <c r="A831" s="491" t="s">
        <v>504</v>
      </c>
      <c r="B831" s="491">
        <v>908</v>
      </c>
      <c r="C831" s="492"/>
      <c r="D831" s="492"/>
      <c r="E831" s="492"/>
      <c r="F831" s="492"/>
      <c r="G831" s="493">
        <f>G846+G853+G874+G1038+G832</f>
        <v>88568.8</v>
      </c>
      <c r="H831" s="493">
        <f>H846+H853+H874+H1038+H832</f>
        <v>96681.150000000009</v>
      </c>
      <c r="I831" s="204"/>
      <c r="M831" s="22"/>
    </row>
    <row r="832" spans="1:13" ht="15.75" x14ac:dyDescent="0.25">
      <c r="A832" s="34" t="s">
        <v>117</v>
      </c>
      <c r="B832" s="491">
        <v>908</v>
      </c>
      <c r="C832" s="495" t="s">
        <v>118</v>
      </c>
      <c r="D832" s="492"/>
      <c r="E832" s="492"/>
      <c r="F832" s="492"/>
      <c r="G832" s="493">
        <f>G833</f>
        <v>41282.100000000006</v>
      </c>
      <c r="H832" s="493">
        <f t="shared" ref="G832:H834" si="77">H833</f>
        <v>41282.100000000006</v>
      </c>
      <c r="I832" s="204"/>
    </row>
    <row r="833" spans="1:9" ht="15.75" x14ac:dyDescent="0.25">
      <c r="A833" s="34" t="s">
        <v>139</v>
      </c>
      <c r="B833" s="491">
        <v>908</v>
      </c>
      <c r="C833" s="495" t="s">
        <v>118</v>
      </c>
      <c r="D833" s="495" t="s">
        <v>140</v>
      </c>
      <c r="E833" s="492"/>
      <c r="F833" s="492"/>
      <c r="G833" s="493">
        <f t="shared" si="77"/>
        <v>41282.100000000006</v>
      </c>
      <c r="H833" s="493">
        <f t="shared" si="77"/>
        <v>41282.100000000006</v>
      </c>
      <c r="I833" s="204"/>
    </row>
    <row r="834" spans="1:9" ht="15.75" x14ac:dyDescent="0.25">
      <c r="A834" s="494" t="s">
        <v>141</v>
      </c>
      <c r="B834" s="491">
        <v>908</v>
      </c>
      <c r="C834" s="495" t="s">
        <v>118</v>
      </c>
      <c r="D834" s="495" t="s">
        <v>140</v>
      </c>
      <c r="E834" s="495" t="s">
        <v>866</v>
      </c>
      <c r="F834" s="495"/>
      <c r="G834" s="44">
        <f t="shared" si="77"/>
        <v>41282.100000000006</v>
      </c>
      <c r="H834" s="44">
        <f t="shared" si="77"/>
        <v>41282.100000000006</v>
      </c>
      <c r="I834" s="204"/>
    </row>
    <row r="835" spans="1:9" ht="15.75" x14ac:dyDescent="0.25">
      <c r="A835" s="494" t="s">
        <v>954</v>
      </c>
      <c r="B835" s="491">
        <v>908</v>
      </c>
      <c r="C835" s="495" t="s">
        <v>118</v>
      </c>
      <c r="D835" s="495" t="s">
        <v>140</v>
      </c>
      <c r="E835" s="495" t="s">
        <v>953</v>
      </c>
      <c r="F835" s="495"/>
      <c r="G835" s="44">
        <f>G839+G836</f>
        <v>41282.100000000006</v>
      </c>
      <c r="H835" s="44">
        <f>H839+H836</f>
        <v>41282.100000000006</v>
      </c>
      <c r="I835" s="204"/>
    </row>
    <row r="836" spans="1:9" ht="47.25" x14ac:dyDescent="0.25">
      <c r="A836" s="496" t="s">
        <v>839</v>
      </c>
      <c r="B836" s="490">
        <v>908</v>
      </c>
      <c r="C836" s="492" t="s">
        <v>118</v>
      </c>
      <c r="D836" s="492" t="s">
        <v>140</v>
      </c>
      <c r="E836" s="492" t="s">
        <v>956</v>
      </c>
      <c r="F836" s="492"/>
      <c r="G836" s="497">
        <f>G837</f>
        <v>1072</v>
      </c>
      <c r="H836" s="497">
        <f>H837</f>
        <v>1072</v>
      </c>
      <c r="I836" s="204"/>
    </row>
    <row r="837" spans="1:9" ht="78.75" x14ac:dyDescent="0.25">
      <c r="A837" s="496" t="s">
        <v>127</v>
      </c>
      <c r="B837" s="490">
        <v>908</v>
      </c>
      <c r="C837" s="492" t="s">
        <v>118</v>
      </c>
      <c r="D837" s="492" t="s">
        <v>140</v>
      </c>
      <c r="E837" s="492" t="s">
        <v>956</v>
      </c>
      <c r="F837" s="492" t="s">
        <v>128</v>
      </c>
      <c r="G837" s="497">
        <f>G838</f>
        <v>1072</v>
      </c>
      <c r="H837" s="497">
        <f>H838</f>
        <v>1072</v>
      </c>
      <c r="I837" s="204"/>
    </row>
    <row r="838" spans="1:9" ht="31.5" x14ac:dyDescent="0.25">
      <c r="A838" s="496" t="s">
        <v>129</v>
      </c>
      <c r="B838" s="490">
        <v>908</v>
      </c>
      <c r="C838" s="492" t="s">
        <v>118</v>
      </c>
      <c r="D838" s="492" t="s">
        <v>140</v>
      </c>
      <c r="E838" s="492" t="s">
        <v>956</v>
      </c>
      <c r="F838" s="492" t="s">
        <v>209</v>
      </c>
      <c r="G838" s="497">
        <v>1072</v>
      </c>
      <c r="H838" s="497">
        <f t="shared" ref="H838:H901" si="78">G838</f>
        <v>1072</v>
      </c>
      <c r="I838" s="204"/>
    </row>
    <row r="839" spans="1:9" ht="15.75" x14ac:dyDescent="0.25">
      <c r="A839" s="496" t="s">
        <v>801</v>
      </c>
      <c r="B839" s="490">
        <v>908</v>
      </c>
      <c r="C839" s="492" t="s">
        <v>118</v>
      </c>
      <c r="D839" s="492" t="s">
        <v>140</v>
      </c>
      <c r="E839" s="492" t="s">
        <v>955</v>
      </c>
      <c r="F839" s="492"/>
      <c r="G839" s="497">
        <f>G840+G844+G842</f>
        <v>40210.100000000006</v>
      </c>
      <c r="H839" s="497">
        <f>H840+H844+H842</f>
        <v>40210.100000000006</v>
      </c>
      <c r="I839" s="204"/>
    </row>
    <row r="840" spans="1:9" ht="78.75" x14ac:dyDescent="0.25">
      <c r="A840" s="496" t="s">
        <v>127</v>
      </c>
      <c r="B840" s="490">
        <v>908</v>
      </c>
      <c r="C840" s="492" t="s">
        <v>118</v>
      </c>
      <c r="D840" s="492" t="s">
        <v>140</v>
      </c>
      <c r="E840" s="492" t="s">
        <v>955</v>
      </c>
      <c r="F840" s="492" t="s">
        <v>128</v>
      </c>
      <c r="G840" s="497">
        <f>G841</f>
        <v>32825.800000000003</v>
      </c>
      <c r="H840" s="497">
        <f>H841</f>
        <v>32825.800000000003</v>
      </c>
      <c r="I840" s="204"/>
    </row>
    <row r="841" spans="1:9" ht="31.5" x14ac:dyDescent="0.25">
      <c r="A841" s="46" t="s">
        <v>342</v>
      </c>
      <c r="B841" s="490">
        <v>908</v>
      </c>
      <c r="C841" s="492" t="s">
        <v>118</v>
      </c>
      <c r="D841" s="492" t="s">
        <v>140</v>
      </c>
      <c r="E841" s="492" t="s">
        <v>955</v>
      </c>
      <c r="F841" s="492" t="s">
        <v>209</v>
      </c>
      <c r="G841" s="497">
        <v>32825.800000000003</v>
      </c>
      <c r="H841" s="497">
        <f t="shared" si="78"/>
        <v>32825.800000000003</v>
      </c>
      <c r="I841" s="204"/>
    </row>
    <row r="842" spans="1:9" ht="31.5" x14ac:dyDescent="0.25">
      <c r="A842" s="496" t="s">
        <v>131</v>
      </c>
      <c r="B842" s="490">
        <v>908</v>
      </c>
      <c r="C842" s="492" t="s">
        <v>118</v>
      </c>
      <c r="D842" s="492" t="s">
        <v>140</v>
      </c>
      <c r="E842" s="492" t="s">
        <v>955</v>
      </c>
      <c r="F842" s="492" t="s">
        <v>132</v>
      </c>
      <c r="G842" s="497">
        <f>G843</f>
        <v>6963.3</v>
      </c>
      <c r="H842" s="497">
        <f>H843</f>
        <v>6963.3</v>
      </c>
      <c r="I842" s="204"/>
    </row>
    <row r="843" spans="1:9" ht="31.5" x14ac:dyDescent="0.25">
      <c r="A843" s="496" t="s">
        <v>133</v>
      </c>
      <c r="B843" s="490">
        <v>908</v>
      </c>
      <c r="C843" s="492" t="s">
        <v>118</v>
      </c>
      <c r="D843" s="492" t="s">
        <v>140</v>
      </c>
      <c r="E843" s="492" t="s">
        <v>955</v>
      </c>
      <c r="F843" s="492" t="s">
        <v>134</v>
      </c>
      <c r="G843" s="497">
        <v>6963.3</v>
      </c>
      <c r="H843" s="497">
        <f t="shared" si="78"/>
        <v>6963.3</v>
      </c>
      <c r="I843" s="204"/>
    </row>
    <row r="844" spans="1:9" ht="15.75" x14ac:dyDescent="0.25">
      <c r="A844" s="496" t="s">
        <v>135</v>
      </c>
      <c r="B844" s="490">
        <v>908</v>
      </c>
      <c r="C844" s="492" t="s">
        <v>118</v>
      </c>
      <c r="D844" s="492" t="s">
        <v>140</v>
      </c>
      <c r="E844" s="492" t="s">
        <v>955</v>
      </c>
      <c r="F844" s="492" t="s">
        <v>145</v>
      </c>
      <c r="G844" s="497">
        <f>G845</f>
        <v>421</v>
      </c>
      <c r="H844" s="497">
        <f>H845</f>
        <v>421</v>
      </c>
      <c r="I844" s="204"/>
    </row>
    <row r="845" spans="1:9" ht="15.75" x14ac:dyDescent="0.25">
      <c r="A845" s="496" t="s">
        <v>704</v>
      </c>
      <c r="B845" s="490">
        <v>908</v>
      </c>
      <c r="C845" s="492" t="s">
        <v>118</v>
      </c>
      <c r="D845" s="492" t="s">
        <v>140</v>
      </c>
      <c r="E845" s="492" t="s">
        <v>955</v>
      </c>
      <c r="F845" s="492" t="s">
        <v>138</v>
      </c>
      <c r="G845" s="497">
        <f>421</f>
        <v>421</v>
      </c>
      <c r="H845" s="497">
        <f t="shared" si="78"/>
        <v>421</v>
      </c>
      <c r="I845" s="204"/>
    </row>
    <row r="846" spans="1:9" ht="31.5" x14ac:dyDescent="0.25">
      <c r="A846" s="494" t="s">
        <v>222</v>
      </c>
      <c r="B846" s="491">
        <v>908</v>
      </c>
      <c r="C846" s="495" t="s">
        <v>215</v>
      </c>
      <c r="D846" s="495"/>
      <c r="E846" s="495"/>
      <c r="F846" s="495"/>
      <c r="G846" s="493">
        <f t="shared" ref="G846:H849" si="79">G847</f>
        <v>107</v>
      </c>
      <c r="H846" s="493">
        <f t="shared" si="79"/>
        <v>107</v>
      </c>
      <c r="I846" s="204"/>
    </row>
    <row r="847" spans="1:9" ht="47.25" x14ac:dyDescent="0.25">
      <c r="A847" s="494" t="s">
        <v>1345</v>
      </c>
      <c r="B847" s="491">
        <v>908</v>
      </c>
      <c r="C847" s="495" t="s">
        <v>215</v>
      </c>
      <c r="D847" s="495" t="s">
        <v>244</v>
      </c>
      <c r="E847" s="495"/>
      <c r="F847" s="495"/>
      <c r="G847" s="493">
        <f t="shared" si="79"/>
        <v>107</v>
      </c>
      <c r="H847" s="493">
        <f t="shared" si="79"/>
        <v>107</v>
      </c>
      <c r="I847" s="204"/>
    </row>
    <row r="848" spans="1:9" ht="15.75" x14ac:dyDescent="0.25">
      <c r="A848" s="494" t="s">
        <v>141</v>
      </c>
      <c r="B848" s="491">
        <v>908</v>
      </c>
      <c r="C848" s="495" t="s">
        <v>215</v>
      </c>
      <c r="D848" s="495" t="s">
        <v>244</v>
      </c>
      <c r="E848" s="495" t="s">
        <v>866</v>
      </c>
      <c r="F848" s="495"/>
      <c r="G848" s="493">
        <f t="shared" si="79"/>
        <v>107</v>
      </c>
      <c r="H848" s="493">
        <f t="shared" si="79"/>
        <v>107</v>
      </c>
      <c r="I848" s="204"/>
    </row>
    <row r="849" spans="1:9" ht="31.5" x14ac:dyDescent="0.25">
      <c r="A849" s="494" t="s">
        <v>870</v>
      </c>
      <c r="B849" s="491">
        <v>908</v>
      </c>
      <c r="C849" s="495" t="s">
        <v>215</v>
      </c>
      <c r="D849" s="495" t="s">
        <v>244</v>
      </c>
      <c r="E849" s="495" t="s">
        <v>865</v>
      </c>
      <c r="F849" s="495"/>
      <c r="G849" s="493">
        <f t="shared" si="79"/>
        <v>107</v>
      </c>
      <c r="H849" s="493">
        <f t="shared" si="79"/>
        <v>107</v>
      </c>
      <c r="I849" s="204"/>
    </row>
    <row r="850" spans="1:9" ht="15.75" x14ac:dyDescent="0.25">
      <c r="A850" s="496" t="s">
        <v>230</v>
      </c>
      <c r="B850" s="490">
        <v>908</v>
      </c>
      <c r="C850" s="492" t="s">
        <v>215</v>
      </c>
      <c r="D850" s="492" t="s">
        <v>244</v>
      </c>
      <c r="E850" s="492" t="s">
        <v>876</v>
      </c>
      <c r="F850" s="492"/>
      <c r="G850" s="497">
        <f>G851</f>
        <v>107</v>
      </c>
      <c r="H850" s="497">
        <f>H851</f>
        <v>107</v>
      </c>
      <c r="I850" s="204"/>
    </row>
    <row r="851" spans="1:9" ht="31.5" x14ac:dyDescent="0.25">
      <c r="A851" s="496" t="s">
        <v>131</v>
      </c>
      <c r="B851" s="490">
        <v>908</v>
      </c>
      <c r="C851" s="492" t="s">
        <v>215</v>
      </c>
      <c r="D851" s="492" t="s">
        <v>244</v>
      </c>
      <c r="E851" s="492" t="s">
        <v>876</v>
      </c>
      <c r="F851" s="492" t="s">
        <v>132</v>
      </c>
      <c r="G851" s="497">
        <f>G852</f>
        <v>107</v>
      </c>
      <c r="H851" s="497">
        <f>H852</f>
        <v>107</v>
      </c>
      <c r="I851" s="204"/>
    </row>
    <row r="852" spans="1:9" ht="31.5" x14ac:dyDescent="0.25">
      <c r="A852" s="496" t="s">
        <v>133</v>
      </c>
      <c r="B852" s="490">
        <v>908</v>
      </c>
      <c r="C852" s="492" t="s">
        <v>215</v>
      </c>
      <c r="D852" s="492" t="s">
        <v>244</v>
      </c>
      <c r="E852" s="492" t="s">
        <v>876</v>
      </c>
      <c r="F852" s="492" t="s">
        <v>134</v>
      </c>
      <c r="G852" s="497">
        <f>107</f>
        <v>107</v>
      </c>
      <c r="H852" s="497">
        <f t="shared" si="78"/>
        <v>107</v>
      </c>
      <c r="I852" s="204"/>
    </row>
    <row r="853" spans="1:9" ht="15.75" x14ac:dyDescent="0.25">
      <c r="A853" s="494" t="s">
        <v>232</v>
      </c>
      <c r="B853" s="491">
        <v>908</v>
      </c>
      <c r="C853" s="495" t="s">
        <v>150</v>
      </c>
      <c r="D853" s="495"/>
      <c r="E853" s="495"/>
      <c r="F853" s="495"/>
      <c r="G853" s="493">
        <f>G854+G860</f>
        <v>5577</v>
      </c>
      <c r="H853" s="493">
        <f>H854+H860</f>
        <v>5577</v>
      </c>
      <c r="I853" s="204"/>
    </row>
    <row r="854" spans="1:9" ht="15.75" x14ac:dyDescent="0.25">
      <c r="A854" s="494" t="s">
        <v>505</v>
      </c>
      <c r="B854" s="491">
        <v>908</v>
      </c>
      <c r="C854" s="495" t="s">
        <v>150</v>
      </c>
      <c r="D854" s="495" t="s">
        <v>299</v>
      </c>
      <c r="E854" s="495"/>
      <c r="F854" s="495"/>
      <c r="G854" s="493">
        <f t="shared" ref="G854:H856" si="80">G855</f>
        <v>3258</v>
      </c>
      <c r="H854" s="493">
        <f t="shared" si="80"/>
        <v>3258</v>
      </c>
      <c r="I854" s="204"/>
    </row>
    <row r="855" spans="1:9" ht="15.75" x14ac:dyDescent="0.25">
      <c r="A855" s="494" t="s">
        <v>141</v>
      </c>
      <c r="B855" s="491">
        <v>908</v>
      </c>
      <c r="C855" s="495" t="s">
        <v>150</v>
      </c>
      <c r="D855" s="495" t="s">
        <v>299</v>
      </c>
      <c r="E855" s="495" t="s">
        <v>866</v>
      </c>
      <c r="F855" s="495"/>
      <c r="G855" s="493">
        <f t="shared" si="80"/>
        <v>3258</v>
      </c>
      <c r="H855" s="493">
        <f t="shared" si="80"/>
        <v>3258</v>
      </c>
      <c r="I855" s="204"/>
    </row>
    <row r="856" spans="1:9" ht="31.5" x14ac:dyDescent="0.25">
      <c r="A856" s="494" t="s">
        <v>870</v>
      </c>
      <c r="B856" s="491">
        <v>908</v>
      </c>
      <c r="C856" s="495" t="s">
        <v>150</v>
      </c>
      <c r="D856" s="495" t="s">
        <v>299</v>
      </c>
      <c r="E856" s="495" t="s">
        <v>865</v>
      </c>
      <c r="F856" s="495"/>
      <c r="G856" s="493">
        <f t="shared" si="80"/>
        <v>3258</v>
      </c>
      <c r="H856" s="493">
        <f t="shared" si="80"/>
        <v>3258</v>
      </c>
      <c r="I856" s="204"/>
    </row>
    <row r="857" spans="1:9" ht="15.75" x14ac:dyDescent="0.25">
      <c r="A857" s="496" t="s">
        <v>506</v>
      </c>
      <c r="B857" s="490">
        <v>908</v>
      </c>
      <c r="C857" s="492" t="s">
        <v>150</v>
      </c>
      <c r="D857" s="492" t="s">
        <v>299</v>
      </c>
      <c r="E857" s="492" t="s">
        <v>957</v>
      </c>
      <c r="F857" s="492"/>
      <c r="G857" s="497">
        <f>G858</f>
        <v>3258</v>
      </c>
      <c r="H857" s="497">
        <f>H858</f>
        <v>3258</v>
      </c>
      <c r="I857" s="204"/>
    </row>
    <row r="858" spans="1:9" ht="31.5" x14ac:dyDescent="0.25">
      <c r="A858" s="496" t="s">
        <v>131</v>
      </c>
      <c r="B858" s="490">
        <v>908</v>
      </c>
      <c r="C858" s="492" t="s">
        <v>150</v>
      </c>
      <c r="D858" s="492" t="s">
        <v>299</v>
      </c>
      <c r="E858" s="492" t="s">
        <v>957</v>
      </c>
      <c r="F858" s="492" t="s">
        <v>132</v>
      </c>
      <c r="G858" s="497">
        <f>G859</f>
        <v>3258</v>
      </c>
      <c r="H858" s="497">
        <f>H859</f>
        <v>3258</v>
      </c>
      <c r="I858" s="204"/>
    </row>
    <row r="859" spans="1:9" ht="31.5" x14ac:dyDescent="0.25">
      <c r="A859" s="496" t="s">
        <v>133</v>
      </c>
      <c r="B859" s="490">
        <v>908</v>
      </c>
      <c r="C859" s="492" t="s">
        <v>150</v>
      </c>
      <c r="D859" s="492" t="s">
        <v>299</v>
      </c>
      <c r="E859" s="492" t="s">
        <v>957</v>
      </c>
      <c r="F859" s="492" t="s">
        <v>134</v>
      </c>
      <c r="G859" s="497">
        <v>3258</v>
      </c>
      <c r="H859" s="497">
        <f t="shared" si="78"/>
        <v>3258</v>
      </c>
      <c r="I859" s="204"/>
    </row>
    <row r="860" spans="1:9" ht="15.75" x14ac:dyDescent="0.25">
      <c r="A860" s="494" t="s">
        <v>508</v>
      </c>
      <c r="B860" s="491">
        <v>908</v>
      </c>
      <c r="C860" s="495" t="s">
        <v>150</v>
      </c>
      <c r="D860" s="495" t="s">
        <v>219</v>
      </c>
      <c r="E860" s="492"/>
      <c r="F860" s="495"/>
      <c r="G860" s="493">
        <f>G861</f>
        <v>2319</v>
      </c>
      <c r="H860" s="493">
        <f>H861</f>
        <v>2319</v>
      </c>
      <c r="I860" s="204"/>
    </row>
    <row r="861" spans="1:9" ht="47.25" x14ac:dyDescent="0.25">
      <c r="A861" s="34" t="s">
        <v>1370</v>
      </c>
      <c r="B861" s="491">
        <v>908</v>
      </c>
      <c r="C861" s="495" t="s">
        <v>150</v>
      </c>
      <c r="D861" s="495" t="s">
        <v>219</v>
      </c>
      <c r="E861" s="495" t="s">
        <v>510</v>
      </c>
      <c r="F861" s="495"/>
      <c r="G861" s="493">
        <f>G867+G862</f>
        <v>2319</v>
      </c>
      <c r="H861" s="493">
        <f>H867+H862</f>
        <v>2319</v>
      </c>
      <c r="I861" s="204"/>
    </row>
    <row r="862" spans="1:9" ht="31.5" hidden="1" x14ac:dyDescent="0.25">
      <c r="A862" s="34" t="s">
        <v>999</v>
      </c>
      <c r="B862" s="491">
        <v>908</v>
      </c>
      <c r="C862" s="495" t="s">
        <v>150</v>
      </c>
      <c r="D862" s="495" t="s">
        <v>219</v>
      </c>
      <c r="E862" s="7" t="s">
        <v>958</v>
      </c>
      <c r="F862" s="495"/>
      <c r="G862" s="493">
        <f t="shared" ref="G862:H864" si="81">G863</f>
        <v>0</v>
      </c>
      <c r="H862" s="493">
        <f t="shared" si="81"/>
        <v>0</v>
      </c>
      <c r="I862" s="204"/>
    </row>
    <row r="863" spans="1:9" ht="15.75" hidden="1" x14ac:dyDescent="0.25">
      <c r="A863" s="29" t="s">
        <v>1001</v>
      </c>
      <c r="B863" s="490">
        <v>908</v>
      </c>
      <c r="C863" s="492" t="s">
        <v>150</v>
      </c>
      <c r="D863" s="492" t="s">
        <v>219</v>
      </c>
      <c r="E863" s="499" t="s">
        <v>1000</v>
      </c>
      <c r="F863" s="492"/>
      <c r="G863" s="497">
        <f t="shared" si="81"/>
        <v>0</v>
      </c>
      <c r="H863" s="497">
        <f t="shared" si="81"/>
        <v>0</v>
      </c>
      <c r="I863" s="204"/>
    </row>
    <row r="864" spans="1:9" ht="31.5" hidden="1" x14ac:dyDescent="0.25">
      <c r="A864" s="496" t="s">
        <v>131</v>
      </c>
      <c r="B864" s="490">
        <v>908</v>
      </c>
      <c r="C864" s="492" t="s">
        <v>150</v>
      </c>
      <c r="D864" s="492" t="s">
        <v>219</v>
      </c>
      <c r="E864" s="499" t="s">
        <v>1000</v>
      </c>
      <c r="F864" s="492" t="s">
        <v>132</v>
      </c>
      <c r="G864" s="497">
        <f t="shared" si="81"/>
        <v>0</v>
      </c>
      <c r="H864" s="497">
        <f t="shared" si="81"/>
        <v>0</v>
      </c>
      <c r="I864" s="204"/>
    </row>
    <row r="865" spans="1:9" ht="31.5" hidden="1" x14ac:dyDescent="0.25">
      <c r="A865" s="496" t="s">
        <v>133</v>
      </c>
      <c r="B865" s="490">
        <v>908</v>
      </c>
      <c r="C865" s="492" t="s">
        <v>150</v>
      </c>
      <c r="D865" s="492" t="s">
        <v>219</v>
      </c>
      <c r="E865" s="499" t="s">
        <v>1000</v>
      </c>
      <c r="F865" s="492" t="s">
        <v>134</v>
      </c>
      <c r="G865" s="497">
        <v>0</v>
      </c>
      <c r="H865" s="497">
        <v>0</v>
      </c>
      <c r="I865" s="204"/>
    </row>
    <row r="866" spans="1:9" ht="31.5" x14ac:dyDescent="0.25">
      <c r="A866" s="34" t="s">
        <v>1060</v>
      </c>
      <c r="B866" s="491">
        <v>908</v>
      </c>
      <c r="C866" s="495" t="s">
        <v>150</v>
      </c>
      <c r="D866" s="495" t="s">
        <v>219</v>
      </c>
      <c r="E866" s="495" t="s">
        <v>959</v>
      </c>
      <c r="F866" s="495"/>
      <c r="G866" s="493">
        <f t="shared" ref="G866:H870" si="82">G867</f>
        <v>2319</v>
      </c>
      <c r="H866" s="493">
        <f t="shared" si="82"/>
        <v>2319</v>
      </c>
      <c r="I866" s="204"/>
    </row>
    <row r="867" spans="1:9" ht="15.75" x14ac:dyDescent="0.25">
      <c r="A867" s="29" t="s">
        <v>511</v>
      </c>
      <c r="B867" s="490">
        <v>908</v>
      </c>
      <c r="C867" s="492" t="s">
        <v>150</v>
      </c>
      <c r="D867" s="492" t="s">
        <v>219</v>
      </c>
      <c r="E867" s="499" t="s">
        <v>1002</v>
      </c>
      <c r="F867" s="492"/>
      <c r="G867" s="497">
        <f>G870+G868</f>
        <v>2319</v>
      </c>
      <c r="H867" s="497">
        <f>H870+H868</f>
        <v>2319</v>
      </c>
      <c r="I867" s="204"/>
    </row>
    <row r="868" spans="1:9" ht="78.75" x14ac:dyDescent="0.25">
      <c r="A868" s="496" t="s">
        <v>127</v>
      </c>
      <c r="B868" s="490">
        <v>908</v>
      </c>
      <c r="C868" s="492" t="s">
        <v>150</v>
      </c>
      <c r="D868" s="492" t="s">
        <v>219</v>
      </c>
      <c r="E868" s="499" t="s">
        <v>1002</v>
      </c>
      <c r="F868" s="492" t="s">
        <v>128</v>
      </c>
      <c r="G868" s="497">
        <f>G869</f>
        <v>1807</v>
      </c>
      <c r="H868" s="497">
        <f>H869</f>
        <v>1807</v>
      </c>
      <c r="I868" s="204"/>
    </row>
    <row r="869" spans="1:9" ht="24" customHeight="1" x14ac:dyDescent="0.25">
      <c r="A869" s="496" t="s">
        <v>342</v>
      </c>
      <c r="B869" s="490">
        <v>908</v>
      </c>
      <c r="C869" s="492" t="s">
        <v>150</v>
      </c>
      <c r="D869" s="492" t="s">
        <v>219</v>
      </c>
      <c r="E869" s="499" t="s">
        <v>1002</v>
      </c>
      <c r="F869" s="492" t="s">
        <v>209</v>
      </c>
      <c r="G869" s="497">
        <v>1807</v>
      </c>
      <c r="H869" s="497">
        <f>G869</f>
        <v>1807</v>
      </c>
      <c r="I869" s="204"/>
    </row>
    <row r="870" spans="1:9" ht="31.5" x14ac:dyDescent="0.25">
      <c r="A870" s="496" t="s">
        <v>131</v>
      </c>
      <c r="B870" s="490">
        <v>908</v>
      </c>
      <c r="C870" s="492" t="s">
        <v>150</v>
      </c>
      <c r="D870" s="492" t="s">
        <v>219</v>
      </c>
      <c r="E870" s="499" t="s">
        <v>1002</v>
      </c>
      <c r="F870" s="492" t="s">
        <v>132</v>
      </c>
      <c r="G870" s="497">
        <f t="shared" si="82"/>
        <v>512</v>
      </c>
      <c r="H870" s="497">
        <f t="shared" si="82"/>
        <v>512</v>
      </c>
      <c r="I870" s="204"/>
    </row>
    <row r="871" spans="1:9" ht="31.5" x14ac:dyDescent="0.25">
      <c r="A871" s="496" t="s">
        <v>133</v>
      </c>
      <c r="B871" s="490">
        <v>908</v>
      </c>
      <c r="C871" s="492" t="s">
        <v>150</v>
      </c>
      <c r="D871" s="492" t="s">
        <v>219</v>
      </c>
      <c r="E871" s="499" t="s">
        <v>1002</v>
      </c>
      <c r="F871" s="492" t="s">
        <v>134</v>
      </c>
      <c r="G871" s="497">
        <f>1793+350-761+88.8-958.8</f>
        <v>512</v>
      </c>
      <c r="H871" s="497">
        <f>G871</f>
        <v>512</v>
      </c>
      <c r="I871" s="204"/>
    </row>
    <row r="872" spans="1:9" ht="15.75" hidden="1" x14ac:dyDescent="0.25">
      <c r="A872" s="496" t="s">
        <v>135</v>
      </c>
      <c r="B872" s="490">
        <v>908</v>
      </c>
      <c r="C872" s="492" t="s">
        <v>150</v>
      </c>
      <c r="D872" s="492" t="s">
        <v>219</v>
      </c>
      <c r="E872" s="499" t="s">
        <v>1002</v>
      </c>
      <c r="F872" s="492" t="s">
        <v>145</v>
      </c>
      <c r="G872" s="497">
        <f>'[1]Пр.5 ведом.21'!G859</f>
        <v>0</v>
      </c>
      <c r="H872" s="497">
        <f t="shared" si="78"/>
        <v>0</v>
      </c>
      <c r="I872" s="204"/>
    </row>
    <row r="873" spans="1:9" ht="15.75" hidden="1" x14ac:dyDescent="0.25">
      <c r="A873" s="496" t="s">
        <v>568</v>
      </c>
      <c r="B873" s="490">
        <v>908</v>
      </c>
      <c r="C873" s="492" t="s">
        <v>150</v>
      </c>
      <c r="D873" s="492" t="s">
        <v>219</v>
      </c>
      <c r="E873" s="499" t="s">
        <v>1002</v>
      </c>
      <c r="F873" s="492" t="s">
        <v>138</v>
      </c>
      <c r="G873" s="497">
        <f>'[1]Пр.5 ведом.21'!G860</f>
        <v>0</v>
      </c>
      <c r="H873" s="497">
        <f t="shared" si="78"/>
        <v>0</v>
      </c>
      <c r="I873" s="204"/>
    </row>
    <row r="874" spans="1:9" ht="15.75" x14ac:dyDescent="0.25">
      <c r="A874" s="494" t="s">
        <v>390</v>
      </c>
      <c r="B874" s="491">
        <v>908</v>
      </c>
      <c r="C874" s="495" t="s">
        <v>234</v>
      </c>
      <c r="D874" s="495"/>
      <c r="E874" s="495"/>
      <c r="F874" s="495"/>
      <c r="G874" s="493">
        <f>G875+G889+G953+G1003</f>
        <v>41515.699999999997</v>
      </c>
      <c r="H874" s="493">
        <f>H875+H889+H953+H1003</f>
        <v>49628.05</v>
      </c>
      <c r="I874" s="204"/>
    </row>
    <row r="875" spans="1:9" ht="15.75" x14ac:dyDescent="0.25">
      <c r="A875" s="494" t="s">
        <v>391</v>
      </c>
      <c r="B875" s="491">
        <v>908</v>
      </c>
      <c r="C875" s="495" t="s">
        <v>234</v>
      </c>
      <c r="D875" s="495" t="s">
        <v>118</v>
      </c>
      <c r="E875" s="495"/>
      <c r="F875" s="495"/>
      <c r="G875" s="493">
        <f>G876</f>
        <v>5790</v>
      </c>
      <c r="H875" s="493">
        <f>H876</f>
        <v>5790</v>
      </c>
      <c r="I875" s="204"/>
    </row>
    <row r="876" spans="1:9" ht="15.75" x14ac:dyDescent="0.25">
      <c r="A876" s="494" t="s">
        <v>141</v>
      </c>
      <c r="B876" s="491">
        <v>908</v>
      </c>
      <c r="C876" s="495" t="s">
        <v>234</v>
      </c>
      <c r="D876" s="495" t="s">
        <v>118</v>
      </c>
      <c r="E876" s="495" t="s">
        <v>866</v>
      </c>
      <c r="F876" s="495"/>
      <c r="G876" s="493">
        <f>G877</f>
        <v>5790</v>
      </c>
      <c r="H876" s="493">
        <f>H877</f>
        <v>5790</v>
      </c>
      <c r="I876" s="204"/>
    </row>
    <row r="877" spans="1:9" ht="31.5" x14ac:dyDescent="0.25">
      <c r="A877" s="494" t="s">
        <v>870</v>
      </c>
      <c r="B877" s="491">
        <v>908</v>
      </c>
      <c r="C877" s="495" t="s">
        <v>234</v>
      </c>
      <c r="D877" s="495" t="s">
        <v>118</v>
      </c>
      <c r="E877" s="495" t="s">
        <v>865</v>
      </c>
      <c r="F877" s="495"/>
      <c r="G877" s="493">
        <f>G886+G883+G878</f>
        <v>5790</v>
      </c>
      <c r="H877" s="493">
        <f>H886+H883+H878</f>
        <v>5790</v>
      </c>
      <c r="I877" s="204"/>
    </row>
    <row r="878" spans="1:9" ht="15.75" hidden="1" x14ac:dyDescent="0.25">
      <c r="A878" s="496" t="s">
        <v>515</v>
      </c>
      <c r="B878" s="490">
        <v>908</v>
      </c>
      <c r="C878" s="492" t="s">
        <v>774</v>
      </c>
      <c r="D878" s="492" t="s">
        <v>118</v>
      </c>
      <c r="E878" s="492" t="s">
        <v>960</v>
      </c>
      <c r="F878" s="495"/>
      <c r="G878" s="497">
        <f>'[1]Пр.5 ведом.21'!G865</f>
        <v>0</v>
      </c>
      <c r="H878" s="497">
        <f t="shared" si="78"/>
        <v>0</v>
      </c>
      <c r="I878" s="204"/>
    </row>
    <row r="879" spans="1:9" ht="31.5" hidden="1" x14ac:dyDescent="0.25">
      <c r="A879" s="496" t="s">
        <v>131</v>
      </c>
      <c r="B879" s="490">
        <v>908</v>
      </c>
      <c r="C879" s="492" t="s">
        <v>234</v>
      </c>
      <c r="D879" s="492" t="s">
        <v>118</v>
      </c>
      <c r="E879" s="492" t="s">
        <v>960</v>
      </c>
      <c r="F879" s="492" t="s">
        <v>132</v>
      </c>
      <c r="G879" s="497">
        <f>'[1]Пр.5 ведом.21'!G866</f>
        <v>0</v>
      </c>
      <c r="H879" s="497">
        <f t="shared" si="78"/>
        <v>0</v>
      </c>
      <c r="I879" s="204"/>
    </row>
    <row r="880" spans="1:9" ht="31.5" hidden="1" x14ac:dyDescent="0.25">
      <c r="A880" s="496" t="s">
        <v>133</v>
      </c>
      <c r="B880" s="490">
        <v>908</v>
      </c>
      <c r="C880" s="492" t="s">
        <v>234</v>
      </c>
      <c r="D880" s="492" t="s">
        <v>118</v>
      </c>
      <c r="E880" s="492" t="s">
        <v>960</v>
      </c>
      <c r="F880" s="492" t="s">
        <v>134</v>
      </c>
      <c r="G880" s="497">
        <f>'[1]Пр.5 ведом.21'!G867</f>
        <v>0</v>
      </c>
      <c r="H880" s="497">
        <f t="shared" si="78"/>
        <v>0</v>
      </c>
      <c r="I880" s="204"/>
    </row>
    <row r="881" spans="1:9" ht="15.75" hidden="1" x14ac:dyDescent="0.25">
      <c r="A881" s="496" t="s">
        <v>135</v>
      </c>
      <c r="B881" s="490">
        <v>908</v>
      </c>
      <c r="C881" s="492" t="s">
        <v>234</v>
      </c>
      <c r="D881" s="492" t="s">
        <v>118</v>
      </c>
      <c r="E881" s="492" t="s">
        <v>960</v>
      </c>
      <c r="F881" s="492" t="s">
        <v>145</v>
      </c>
      <c r="G881" s="497">
        <f>'[1]Пр.5 ведом.21'!G868</f>
        <v>0</v>
      </c>
      <c r="H881" s="497">
        <f t="shared" si="78"/>
        <v>0</v>
      </c>
      <c r="I881" s="204"/>
    </row>
    <row r="882" spans="1:9" ht="47.25" hidden="1" x14ac:dyDescent="0.25">
      <c r="A882" s="496" t="s">
        <v>184</v>
      </c>
      <c r="B882" s="490">
        <v>908</v>
      </c>
      <c r="C882" s="492" t="s">
        <v>234</v>
      </c>
      <c r="D882" s="492" t="s">
        <v>118</v>
      </c>
      <c r="E882" s="492" t="s">
        <v>960</v>
      </c>
      <c r="F882" s="492" t="s">
        <v>160</v>
      </c>
      <c r="G882" s="497">
        <f>'[1]Пр.5 ведом.21'!G869</f>
        <v>0</v>
      </c>
      <c r="H882" s="497">
        <f t="shared" si="78"/>
        <v>0</v>
      </c>
      <c r="I882" s="204"/>
    </row>
    <row r="883" spans="1:9" ht="31.5" x14ac:dyDescent="0.25">
      <c r="A883" s="29" t="s">
        <v>398</v>
      </c>
      <c r="B883" s="490">
        <v>908</v>
      </c>
      <c r="C883" s="492" t="s">
        <v>234</v>
      </c>
      <c r="D883" s="492" t="s">
        <v>118</v>
      </c>
      <c r="E883" s="492" t="s">
        <v>961</v>
      </c>
      <c r="F883" s="495"/>
      <c r="G883" s="497">
        <f>G884</f>
        <v>4650</v>
      </c>
      <c r="H883" s="497">
        <f>H884</f>
        <v>4650</v>
      </c>
      <c r="I883" s="204"/>
    </row>
    <row r="884" spans="1:9" ht="31.5" x14ac:dyDescent="0.25">
      <c r="A884" s="496" t="s">
        <v>131</v>
      </c>
      <c r="B884" s="490">
        <v>908</v>
      </c>
      <c r="C884" s="492" t="s">
        <v>234</v>
      </c>
      <c r="D884" s="492" t="s">
        <v>118</v>
      </c>
      <c r="E884" s="492" t="s">
        <v>961</v>
      </c>
      <c r="F884" s="492" t="s">
        <v>132</v>
      </c>
      <c r="G884" s="497">
        <f>G885</f>
        <v>4650</v>
      </c>
      <c r="H884" s="497">
        <f>H885</f>
        <v>4650</v>
      </c>
      <c r="I884" s="204"/>
    </row>
    <row r="885" spans="1:9" ht="31.5" x14ac:dyDescent="0.25">
      <c r="A885" s="496" t="s">
        <v>133</v>
      </c>
      <c r="B885" s="490">
        <v>908</v>
      </c>
      <c r="C885" s="492" t="s">
        <v>234</v>
      </c>
      <c r="D885" s="492" t="s">
        <v>118</v>
      </c>
      <c r="E885" s="492" t="s">
        <v>961</v>
      </c>
      <c r="F885" s="492" t="s">
        <v>134</v>
      </c>
      <c r="G885" s="497">
        <v>4650</v>
      </c>
      <c r="H885" s="497">
        <f t="shared" si="78"/>
        <v>4650</v>
      </c>
      <c r="I885" s="204"/>
    </row>
    <row r="886" spans="1:9" ht="31.5" x14ac:dyDescent="0.25">
      <c r="A886" s="29" t="s">
        <v>932</v>
      </c>
      <c r="B886" s="490">
        <v>908</v>
      </c>
      <c r="C886" s="492" t="s">
        <v>234</v>
      </c>
      <c r="D886" s="492" t="s">
        <v>118</v>
      </c>
      <c r="E886" s="492" t="s">
        <v>962</v>
      </c>
      <c r="F886" s="495"/>
      <c r="G886" s="497">
        <f>G887</f>
        <v>1140</v>
      </c>
      <c r="H886" s="497">
        <f>H887</f>
        <v>1140</v>
      </c>
      <c r="I886" s="204"/>
    </row>
    <row r="887" spans="1:9" ht="31.5" x14ac:dyDescent="0.25">
      <c r="A887" s="496" t="s">
        <v>131</v>
      </c>
      <c r="B887" s="490">
        <v>908</v>
      </c>
      <c r="C887" s="492" t="s">
        <v>234</v>
      </c>
      <c r="D887" s="492" t="s">
        <v>118</v>
      </c>
      <c r="E887" s="492" t="s">
        <v>962</v>
      </c>
      <c r="F887" s="492" t="s">
        <v>132</v>
      </c>
      <c r="G887" s="497">
        <f>G888</f>
        <v>1140</v>
      </c>
      <c r="H887" s="497">
        <f>H888</f>
        <v>1140</v>
      </c>
      <c r="I887" s="204"/>
    </row>
    <row r="888" spans="1:9" ht="31.5" x14ac:dyDescent="0.25">
      <c r="A888" s="496" t="s">
        <v>133</v>
      </c>
      <c r="B888" s="490">
        <v>908</v>
      </c>
      <c r="C888" s="492" t="s">
        <v>234</v>
      </c>
      <c r="D888" s="492" t="s">
        <v>118</v>
      </c>
      <c r="E888" s="492" t="s">
        <v>962</v>
      </c>
      <c r="F888" s="492" t="s">
        <v>134</v>
      </c>
      <c r="G888" s="497">
        <f>1140</f>
        <v>1140</v>
      </c>
      <c r="H888" s="497">
        <f t="shared" si="78"/>
        <v>1140</v>
      </c>
      <c r="I888" s="204"/>
    </row>
    <row r="889" spans="1:9" ht="15.75" x14ac:dyDescent="0.25">
      <c r="A889" s="494" t="s">
        <v>517</v>
      </c>
      <c r="B889" s="491">
        <v>908</v>
      </c>
      <c r="C889" s="495" t="s">
        <v>234</v>
      </c>
      <c r="D889" s="495" t="s">
        <v>213</v>
      </c>
      <c r="E889" s="495"/>
      <c r="F889" s="495"/>
      <c r="G889" s="493">
        <f>G890+G919+G948</f>
        <v>6611.199999999998</v>
      </c>
      <c r="H889" s="493">
        <f>H890+H919+H948</f>
        <v>14470.550000000001</v>
      </c>
      <c r="I889" s="204"/>
    </row>
    <row r="890" spans="1:9" ht="15.75" x14ac:dyDescent="0.25">
      <c r="A890" s="494" t="s">
        <v>141</v>
      </c>
      <c r="B890" s="491">
        <v>908</v>
      </c>
      <c r="C890" s="495" t="s">
        <v>234</v>
      </c>
      <c r="D890" s="495" t="s">
        <v>213</v>
      </c>
      <c r="E890" s="495" t="s">
        <v>866</v>
      </c>
      <c r="F890" s="495"/>
      <c r="G890" s="493">
        <f>G891+G902</f>
        <v>5707.199999999998</v>
      </c>
      <c r="H890" s="493">
        <f>H891+H902</f>
        <v>13555.550000000001</v>
      </c>
      <c r="I890" s="204"/>
    </row>
    <row r="891" spans="1:9" ht="31.5" x14ac:dyDescent="0.25">
      <c r="A891" s="494" t="s">
        <v>870</v>
      </c>
      <c r="B891" s="491">
        <v>908</v>
      </c>
      <c r="C891" s="495" t="s">
        <v>234</v>
      </c>
      <c r="D891" s="495" t="s">
        <v>213</v>
      </c>
      <c r="E891" s="495" t="s">
        <v>865</v>
      </c>
      <c r="F891" s="495"/>
      <c r="G891" s="493">
        <f>G892+G897</f>
        <v>5707.199999999998</v>
      </c>
      <c r="H891" s="493">
        <f>H892+H897</f>
        <v>13555.550000000001</v>
      </c>
      <c r="I891" s="204"/>
    </row>
    <row r="892" spans="1:9" ht="15.75" hidden="1" x14ac:dyDescent="0.25">
      <c r="A892" s="35" t="s">
        <v>537</v>
      </c>
      <c r="B892" s="490">
        <v>908</v>
      </c>
      <c r="C892" s="492" t="s">
        <v>234</v>
      </c>
      <c r="D892" s="492" t="s">
        <v>213</v>
      </c>
      <c r="E892" s="492" t="s">
        <v>979</v>
      </c>
      <c r="F892" s="492"/>
      <c r="G892" s="497">
        <f>G893+G895</f>
        <v>0</v>
      </c>
      <c r="H892" s="497">
        <f t="shared" si="78"/>
        <v>0</v>
      </c>
      <c r="I892" s="204"/>
    </row>
    <row r="893" spans="1:9" ht="31.5" hidden="1" x14ac:dyDescent="0.25">
      <c r="A893" s="496" t="s">
        <v>131</v>
      </c>
      <c r="B893" s="490">
        <v>908</v>
      </c>
      <c r="C893" s="492" t="s">
        <v>234</v>
      </c>
      <c r="D893" s="492" t="s">
        <v>213</v>
      </c>
      <c r="E893" s="492" t="s">
        <v>979</v>
      </c>
      <c r="F893" s="492" t="s">
        <v>132</v>
      </c>
      <c r="G893" s="497">
        <f>G894</f>
        <v>0</v>
      </c>
      <c r="H893" s="497">
        <f t="shared" si="78"/>
        <v>0</v>
      </c>
      <c r="I893" s="204"/>
    </row>
    <row r="894" spans="1:9" ht="31.5" hidden="1" x14ac:dyDescent="0.25">
      <c r="A894" s="496" t="s">
        <v>133</v>
      </c>
      <c r="B894" s="490">
        <v>908</v>
      </c>
      <c r="C894" s="492" t="s">
        <v>234</v>
      </c>
      <c r="D894" s="492" t="s">
        <v>213</v>
      </c>
      <c r="E894" s="492" t="s">
        <v>979</v>
      </c>
      <c r="F894" s="492" t="s">
        <v>134</v>
      </c>
      <c r="G894" s="497">
        <v>0</v>
      </c>
      <c r="H894" s="497">
        <f t="shared" si="78"/>
        <v>0</v>
      </c>
      <c r="I894" s="204"/>
    </row>
    <row r="895" spans="1:9" ht="15.75" hidden="1" x14ac:dyDescent="0.25">
      <c r="A895" s="496" t="s">
        <v>135</v>
      </c>
      <c r="B895" s="490">
        <v>908</v>
      </c>
      <c r="C895" s="492" t="s">
        <v>234</v>
      </c>
      <c r="D895" s="492" t="s">
        <v>213</v>
      </c>
      <c r="E895" s="492" t="s">
        <v>979</v>
      </c>
      <c r="F895" s="492" t="s">
        <v>145</v>
      </c>
      <c r="G895" s="497">
        <f>G896</f>
        <v>0</v>
      </c>
      <c r="H895" s="497">
        <f t="shared" si="78"/>
        <v>0</v>
      </c>
      <c r="I895" s="204"/>
    </row>
    <row r="896" spans="1:9" ht="47.25" hidden="1" x14ac:dyDescent="0.25">
      <c r="A896" s="496" t="s">
        <v>184</v>
      </c>
      <c r="B896" s="490">
        <v>908</v>
      </c>
      <c r="C896" s="492" t="s">
        <v>234</v>
      </c>
      <c r="D896" s="492" t="s">
        <v>213</v>
      </c>
      <c r="E896" s="492" t="s">
        <v>979</v>
      </c>
      <c r="F896" s="492" t="s">
        <v>160</v>
      </c>
      <c r="G896" s="497">
        <f>'[1]Пр.5 ведом.21'!G883</f>
        <v>0</v>
      </c>
      <c r="H896" s="497">
        <f t="shared" si="78"/>
        <v>0</v>
      </c>
      <c r="I896" s="204"/>
    </row>
    <row r="897" spans="1:9" ht="31.5" x14ac:dyDescent="0.25">
      <c r="A897" s="29" t="s">
        <v>932</v>
      </c>
      <c r="B897" s="490">
        <v>908</v>
      </c>
      <c r="C897" s="492" t="s">
        <v>234</v>
      </c>
      <c r="D897" s="492" t="s">
        <v>213</v>
      </c>
      <c r="E897" s="492" t="s">
        <v>962</v>
      </c>
      <c r="F897" s="492"/>
      <c r="G897" s="497">
        <f>G898</f>
        <v>5707.199999999998</v>
      </c>
      <c r="H897" s="497">
        <f>H898</f>
        <v>13555.550000000001</v>
      </c>
      <c r="I897" s="204"/>
    </row>
    <row r="898" spans="1:9" ht="31.5" x14ac:dyDescent="0.25">
      <c r="A898" s="496" t="s">
        <v>131</v>
      </c>
      <c r="B898" s="490">
        <v>908</v>
      </c>
      <c r="C898" s="492" t="s">
        <v>234</v>
      </c>
      <c r="D898" s="492" t="s">
        <v>213</v>
      </c>
      <c r="E898" s="492" t="s">
        <v>962</v>
      </c>
      <c r="F898" s="492" t="s">
        <v>132</v>
      </c>
      <c r="G898" s="497">
        <f>G899</f>
        <v>5707.199999999998</v>
      </c>
      <c r="H898" s="497">
        <f>H899</f>
        <v>13555.550000000001</v>
      </c>
      <c r="I898" s="204"/>
    </row>
    <row r="899" spans="1:9" ht="31.5" x14ac:dyDescent="0.25">
      <c r="A899" s="496" t="s">
        <v>133</v>
      </c>
      <c r="B899" s="490">
        <v>908</v>
      </c>
      <c r="C899" s="492" t="s">
        <v>234</v>
      </c>
      <c r="D899" s="492" t="s">
        <v>213</v>
      </c>
      <c r="E899" s="492" t="s">
        <v>962</v>
      </c>
      <c r="F899" s="492" t="s">
        <v>134</v>
      </c>
      <c r="G899" s="497">
        <f>14881.91-4224.29+2030.8-4000-3375.3+394.08</f>
        <v>5707.199999999998</v>
      </c>
      <c r="H899" s="497">
        <f>16519.25-3375.3+411.6</f>
        <v>13555.550000000001</v>
      </c>
      <c r="I899" s="204"/>
    </row>
    <row r="900" spans="1:9" ht="15.75" hidden="1" x14ac:dyDescent="0.25">
      <c r="A900" s="496" t="s">
        <v>135</v>
      </c>
      <c r="B900" s="490">
        <v>908</v>
      </c>
      <c r="C900" s="492" t="s">
        <v>234</v>
      </c>
      <c r="D900" s="492" t="s">
        <v>213</v>
      </c>
      <c r="E900" s="492" t="s">
        <v>962</v>
      </c>
      <c r="F900" s="492" t="s">
        <v>145</v>
      </c>
      <c r="G900" s="497">
        <f>'[1]Пр.5 ведом.21'!G888</f>
        <v>0</v>
      </c>
      <c r="H900" s="497">
        <f t="shared" si="78"/>
        <v>0</v>
      </c>
      <c r="I900" s="204"/>
    </row>
    <row r="901" spans="1:9" ht="15.75" hidden="1" x14ac:dyDescent="0.25">
      <c r="A901" s="496" t="s">
        <v>146</v>
      </c>
      <c r="B901" s="490">
        <v>908</v>
      </c>
      <c r="C901" s="492" t="s">
        <v>234</v>
      </c>
      <c r="D901" s="492" t="s">
        <v>213</v>
      </c>
      <c r="E901" s="492" t="s">
        <v>962</v>
      </c>
      <c r="F901" s="492" t="s">
        <v>147</v>
      </c>
      <c r="G901" s="497">
        <f>'[1]Пр.5 ведом.21'!G889</f>
        <v>0</v>
      </c>
      <c r="H901" s="497">
        <f t="shared" si="78"/>
        <v>0</v>
      </c>
      <c r="I901" s="204"/>
    </row>
    <row r="902" spans="1:9" ht="47.25" hidden="1" x14ac:dyDescent="0.25">
      <c r="A902" s="494" t="s">
        <v>1013</v>
      </c>
      <c r="B902" s="491">
        <v>908</v>
      </c>
      <c r="C902" s="495" t="s">
        <v>234</v>
      </c>
      <c r="D902" s="495" t="s">
        <v>213</v>
      </c>
      <c r="E902" s="495" t="s">
        <v>980</v>
      </c>
      <c r="F902" s="495"/>
      <c r="G902" s="493">
        <f>G903+G911+G908+G916</f>
        <v>0</v>
      </c>
      <c r="H902" s="493">
        <f>H903+H911+H908+H916</f>
        <v>0</v>
      </c>
      <c r="I902" s="204"/>
    </row>
    <row r="903" spans="1:9" ht="47.25" hidden="1" x14ac:dyDescent="0.25">
      <c r="A903" s="496" t="s">
        <v>827</v>
      </c>
      <c r="B903" s="490">
        <v>908</v>
      </c>
      <c r="C903" s="492" t="s">
        <v>234</v>
      </c>
      <c r="D903" s="492" t="s">
        <v>213</v>
      </c>
      <c r="E903" s="492" t="s">
        <v>981</v>
      </c>
      <c r="F903" s="492"/>
      <c r="G903" s="497">
        <f>'[1]Пр.5 ведом.21'!G891</f>
        <v>0</v>
      </c>
      <c r="H903" s="497">
        <f t="shared" ref="H903:H973" si="83">G903</f>
        <v>0</v>
      </c>
      <c r="I903" s="204"/>
    </row>
    <row r="904" spans="1:9" ht="31.5" hidden="1" x14ac:dyDescent="0.25">
      <c r="A904" s="496" t="s">
        <v>131</v>
      </c>
      <c r="B904" s="490">
        <v>908</v>
      </c>
      <c r="C904" s="492" t="s">
        <v>234</v>
      </c>
      <c r="D904" s="492" t="s">
        <v>213</v>
      </c>
      <c r="E904" s="492" t="s">
        <v>981</v>
      </c>
      <c r="F904" s="492" t="s">
        <v>132</v>
      </c>
      <c r="G904" s="497">
        <f>'[1]Пр.5 ведом.21'!G892</f>
        <v>0</v>
      </c>
      <c r="H904" s="497">
        <f t="shared" si="83"/>
        <v>0</v>
      </c>
      <c r="I904" s="204"/>
    </row>
    <row r="905" spans="1:9" ht="31.5" hidden="1" x14ac:dyDescent="0.25">
      <c r="A905" s="496" t="s">
        <v>133</v>
      </c>
      <c r="B905" s="490">
        <v>908</v>
      </c>
      <c r="C905" s="492" t="s">
        <v>234</v>
      </c>
      <c r="D905" s="492" t="s">
        <v>213</v>
      </c>
      <c r="E905" s="492" t="s">
        <v>981</v>
      </c>
      <c r="F905" s="492" t="s">
        <v>134</v>
      </c>
      <c r="G905" s="497">
        <f>'[1]Пр.5 ведом.21'!G893</f>
        <v>0</v>
      </c>
      <c r="H905" s="497">
        <f t="shared" si="83"/>
        <v>0</v>
      </c>
      <c r="I905" s="204"/>
    </row>
    <row r="906" spans="1:9" ht="15.75" hidden="1" x14ac:dyDescent="0.25">
      <c r="A906" s="496" t="s">
        <v>135</v>
      </c>
      <c r="B906" s="490">
        <v>908</v>
      </c>
      <c r="C906" s="492" t="s">
        <v>234</v>
      </c>
      <c r="D906" s="492" t="s">
        <v>213</v>
      </c>
      <c r="E906" s="492" t="s">
        <v>981</v>
      </c>
      <c r="F906" s="492" t="s">
        <v>837</v>
      </c>
      <c r="G906" s="497">
        <f>'[1]Пр.5 ведом.21'!G894</f>
        <v>0</v>
      </c>
      <c r="H906" s="497">
        <f t="shared" si="83"/>
        <v>0</v>
      </c>
      <c r="I906" s="204"/>
    </row>
    <row r="907" spans="1:9" ht="15.75" hidden="1" x14ac:dyDescent="0.25">
      <c r="A907" s="496" t="s">
        <v>568</v>
      </c>
      <c r="B907" s="490">
        <v>908</v>
      </c>
      <c r="C907" s="492" t="s">
        <v>234</v>
      </c>
      <c r="D907" s="492" t="s">
        <v>213</v>
      </c>
      <c r="E907" s="492" t="s">
        <v>981</v>
      </c>
      <c r="F907" s="492" t="s">
        <v>1067</v>
      </c>
      <c r="G907" s="497">
        <f>'[1]Пр.5 ведом.21'!G895</f>
        <v>0</v>
      </c>
      <c r="H907" s="497">
        <f t="shared" si="83"/>
        <v>0</v>
      </c>
      <c r="I907" s="204"/>
    </row>
    <row r="908" spans="1:9" ht="63" hidden="1" x14ac:dyDescent="0.25">
      <c r="A908" s="496" t="s">
        <v>793</v>
      </c>
      <c r="B908" s="490">
        <v>908</v>
      </c>
      <c r="C908" s="492" t="s">
        <v>234</v>
      </c>
      <c r="D908" s="492" t="s">
        <v>213</v>
      </c>
      <c r="E908" s="492" t="s">
        <v>982</v>
      </c>
      <c r="F908" s="492"/>
      <c r="G908" s="497">
        <f>'[1]Пр.5 ведом.21'!G896</f>
        <v>0</v>
      </c>
      <c r="H908" s="497">
        <f t="shared" si="83"/>
        <v>0</v>
      </c>
      <c r="I908" s="204"/>
    </row>
    <row r="909" spans="1:9" ht="31.5" hidden="1" x14ac:dyDescent="0.25">
      <c r="A909" s="496" t="s">
        <v>131</v>
      </c>
      <c r="B909" s="490">
        <v>908</v>
      </c>
      <c r="C909" s="492" t="s">
        <v>234</v>
      </c>
      <c r="D909" s="492" t="s">
        <v>213</v>
      </c>
      <c r="E909" s="492" t="s">
        <v>982</v>
      </c>
      <c r="F909" s="492" t="s">
        <v>132</v>
      </c>
      <c r="G909" s="497">
        <f>'[1]Пр.5 ведом.21'!G897</f>
        <v>0</v>
      </c>
      <c r="H909" s="497">
        <f t="shared" si="83"/>
        <v>0</v>
      </c>
      <c r="I909" s="204"/>
    </row>
    <row r="910" spans="1:9" ht="31.5" hidden="1" x14ac:dyDescent="0.25">
      <c r="A910" s="496" t="s">
        <v>133</v>
      </c>
      <c r="B910" s="490">
        <v>908</v>
      </c>
      <c r="C910" s="492" t="s">
        <v>234</v>
      </c>
      <c r="D910" s="492" t="s">
        <v>213</v>
      </c>
      <c r="E910" s="492" t="s">
        <v>982</v>
      </c>
      <c r="F910" s="492" t="s">
        <v>134</v>
      </c>
      <c r="G910" s="497">
        <f>'[1]Пр.5 ведом.21'!G898</f>
        <v>0</v>
      </c>
      <c r="H910" s="497">
        <f t="shared" si="83"/>
        <v>0</v>
      </c>
      <c r="I910" s="204"/>
    </row>
    <row r="911" spans="1:9" ht="47.25" hidden="1" x14ac:dyDescent="0.25">
      <c r="A911" s="97" t="s">
        <v>833</v>
      </c>
      <c r="B911" s="490">
        <v>908</v>
      </c>
      <c r="C911" s="492" t="s">
        <v>234</v>
      </c>
      <c r="D911" s="492" t="s">
        <v>213</v>
      </c>
      <c r="E911" s="492" t="s">
        <v>983</v>
      </c>
      <c r="F911" s="492"/>
      <c r="G911" s="497">
        <f>'[1]Пр.5 ведом.21'!G899</f>
        <v>0</v>
      </c>
      <c r="H911" s="497">
        <f t="shared" si="83"/>
        <v>0</v>
      </c>
      <c r="I911" s="204"/>
    </row>
    <row r="912" spans="1:9" ht="31.5" hidden="1" x14ac:dyDescent="0.25">
      <c r="A912" s="496" t="s">
        <v>838</v>
      </c>
      <c r="B912" s="490">
        <v>908</v>
      </c>
      <c r="C912" s="492" t="s">
        <v>234</v>
      </c>
      <c r="D912" s="492" t="s">
        <v>213</v>
      </c>
      <c r="E912" s="492" t="s">
        <v>983</v>
      </c>
      <c r="F912" s="492" t="s">
        <v>837</v>
      </c>
      <c r="G912" s="497">
        <f>'[1]Пр.5 ведом.21'!G900</f>
        <v>0</v>
      </c>
      <c r="H912" s="497">
        <f t="shared" si="83"/>
        <v>0</v>
      </c>
      <c r="I912" s="204"/>
    </row>
    <row r="913" spans="1:9" ht="63" hidden="1" x14ac:dyDescent="0.25">
      <c r="A913" s="496" t="s">
        <v>1048</v>
      </c>
      <c r="B913" s="490">
        <v>908</v>
      </c>
      <c r="C913" s="492" t="s">
        <v>234</v>
      </c>
      <c r="D913" s="492" t="s">
        <v>213</v>
      </c>
      <c r="E913" s="492" t="s">
        <v>983</v>
      </c>
      <c r="F913" s="492" t="s">
        <v>1067</v>
      </c>
      <c r="G913" s="497">
        <f>'[1]Пр.5 ведом.21'!G901</f>
        <v>0</v>
      </c>
      <c r="H913" s="497">
        <f t="shared" si="83"/>
        <v>0</v>
      </c>
      <c r="I913" s="204"/>
    </row>
    <row r="914" spans="1:9" ht="15.75" hidden="1" x14ac:dyDescent="0.25">
      <c r="A914" s="496" t="s">
        <v>135</v>
      </c>
      <c r="B914" s="490">
        <v>908</v>
      </c>
      <c r="C914" s="492" t="s">
        <v>234</v>
      </c>
      <c r="D914" s="492" t="s">
        <v>213</v>
      </c>
      <c r="E914" s="492" t="s">
        <v>983</v>
      </c>
      <c r="F914" s="492" t="s">
        <v>145</v>
      </c>
      <c r="G914" s="497">
        <f>'[1]Пр.5 ведом.21'!G902</f>
        <v>0</v>
      </c>
      <c r="H914" s="497">
        <f t="shared" si="83"/>
        <v>0</v>
      </c>
      <c r="I914" s="204"/>
    </row>
    <row r="915" spans="1:9" ht="15.75" hidden="1" x14ac:dyDescent="0.25">
      <c r="A915" s="496" t="s">
        <v>704</v>
      </c>
      <c r="B915" s="490">
        <v>908</v>
      </c>
      <c r="C915" s="492" t="s">
        <v>234</v>
      </c>
      <c r="D915" s="492" t="s">
        <v>213</v>
      </c>
      <c r="E915" s="492" t="s">
        <v>983</v>
      </c>
      <c r="F915" s="492" t="s">
        <v>138</v>
      </c>
      <c r="G915" s="497">
        <f>'[1]Пр.5 ведом.21'!G903</f>
        <v>0</v>
      </c>
      <c r="H915" s="497">
        <f t="shared" si="83"/>
        <v>0</v>
      </c>
      <c r="I915" s="204"/>
    </row>
    <row r="916" spans="1:9" ht="31.5" hidden="1" x14ac:dyDescent="0.25">
      <c r="A916" s="496" t="s">
        <v>1068</v>
      </c>
      <c r="B916" s="490">
        <v>908</v>
      </c>
      <c r="C916" s="492" t="s">
        <v>234</v>
      </c>
      <c r="D916" s="492" t="s">
        <v>213</v>
      </c>
      <c r="E916" s="492" t="s">
        <v>1069</v>
      </c>
      <c r="F916" s="492"/>
      <c r="G916" s="497">
        <f>'[1]Пр.5 ведом.21'!G904</f>
        <v>0</v>
      </c>
      <c r="H916" s="497">
        <f t="shared" si="83"/>
        <v>0</v>
      </c>
      <c r="I916" s="204"/>
    </row>
    <row r="917" spans="1:9" ht="31.5" hidden="1" x14ac:dyDescent="0.25">
      <c r="A917" s="496" t="s">
        <v>131</v>
      </c>
      <c r="B917" s="490">
        <v>908</v>
      </c>
      <c r="C917" s="492" t="s">
        <v>234</v>
      </c>
      <c r="D917" s="492" t="s">
        <v>213</v>
      </c>
      <c r="E917" s="492" t="s">
        <v>1069</v>
      </c>
      <c r="F917" s="492" t="s">
        <v>132</v>
      </c>
      <c r="G917" s="497">
        <f>'[1]Пр.5 ведом.21'!G905</f>
        <v>0</v>
      </c>
      <c r="H917" s="497">
        <f t="shared" si="83"/>
        <v>0</v>
      </c>
      <c r="I917" s="204"/>
    </row>
    <row r="918" spans="1:9" ht="31.5" hidden="1" x14ac:dyDescent="0.25">
      <c r="A918" s="496" t="s">
        <v>133</v>
      </c>
      <c r="B918" s="490">
        <v>908</v>
      </c>
      <c r="C918" s="492" t="s">
        <v>234</v>
      </c>
      <c r="D918" s="492" t="s">
        <v>213</v>
      </c>
      <c r="E918" s="492" t="s">
        <v>1069</v>
      </c>
      <c r="F918" s="492" t="s">
        <v>134</v>
      </c>
      <c r="G918" s="497">
        <f>'[1]Пр.5 ведом.21'!G906</f>
        <v>0</v>
      </c>
      <c r="H918" s="497">
        <f t="shared" si="83"/>
        <v>0</v>
      </c>
      <c r="I918" s="204"/>
    </row>
    <row r="919" spans="1:9" ht="63" x14ac:dyDescent="0.25">
      <c r="A919" s="494" t="s">
        <v>1526</v>
      </c>
      <c r="B919" s="491">
        <v>908</v>
      </c>
      <c r="C919" s="495" t="s">
        <v>234</v>
      </c>
      <c r="D919" s="495" t="s">
        <v>213</v>
      </c>
      <c r="E919" s="495" t="s">
        <v>518</v>
      </c>
      <c r="F919" s="495"/>
      <c r="G919" s="493">
        <f>G920+G924+G928+G932+G944+G940</f>
        <v>700</v>
      </c>
      <c r="H919" s="493">
        <f>H920+H924+H928+H932+H944+H940</f>
        <v>700</v>
      </c>
      <c r="I919" s="204"/>
    </row>
    <row r="920" spans="1:9" ht="31.5" x14ac:dyDescent="0.25">
      <c r="A920" s="494" t="s">
        <v>963</v>
      </c>
      <c r="B920" s="491">
        <v>908</v>
      </c>
      <c r="C920" s="495" t="s">
        <v>234</v>
      </c>
      <c r="D920" s="495" t="s">
        <v>213</v>
      </c>
      <c r="E920" s="495" t="s">
        <v>965</v>
      </c>
      <c r="F920" s="495"/>
      <c r="G920" s="493">
        <f t="shared" ref="G920:H922" si="84">G921</f>
        <v>700</v>
      </c>
      <c r="H920" s="493">
        <f t="shared" si="84"/>
        <v>700</v>
      </c>
      <c r="I920" s="204"/>
    </row>
    <row r="921" spans="1:9" ht="15.75" x14ac:dyDescent="0.25">
      <c r="A921" s="45" t="s">
        <v>964</v>
      </c>
      <c r="B921" s="490">
        <v>908</v>
      </c>
      <c r="C921" s="499" t="s">
        <v>234</v>
      </c>
      <c r="D921" s="499" t="s">
        <v>213</v>
      </c>
      <c r="E921" s="492" t="s">
        <v>966</v>
      </c>
      <c r="F921" s="499"/>
      <c r="G921" s="497">
        <f t="shared" si="84"/>
        <v>700</v>
      </c>
      <c r="H921" s="497">
        <f t="shared" si="84"/>
        <v>700</v>
      </c>
      <c r="I921" s="204"/>
    </row>
    <row r="922" spans="1:9" ht="31.5" x14ac:dyDescent="0.25">
      <c r="A922" s="31" t="s">
        <v>131</v>
      </c>
      <c r="B922" s="490">
        <v>908</v>
      </c>
      <c r="C922" s="499" t="s">
        <v>234</v>
      </c>
      <c r="D922" s="499" t="s">
        <v>213</v>
      </c>
      <c r="E922" s="492" t="s">
        <v>966</v>
      </c>
      <c r="F922" s="499" t="s">
        <v>132</v>
      </c>
      <c r="G922" s="497">
        <f t="shared" si="84"/>
        <v>700</v>
      </c>
      <c r="H922" s="497">
        <f t="shared" si="84"/>
        <v>700</v>
      </c>
      <c r="I922" s="204"/>
    </row>
    <row r="923" spans="1:9" ht="31.5" x14ac:dyDescent="0.25">
      <c r="A923" s="31" t="s">
        <v>133</v>
      </c>
      <c r="B923" s="490">
        <v>908</v>
      </c>
      <c r="C923" s="499" t="s">
        <v>234</v>
      </c>
      <c r="D923" s="499" t="s">
        <v>213</v>
      </c>
      <c r="E923" s="492" t="s">
        <v>966</v>
      </c>
      <c r="F923" s="499" t="s">
        <v>134</v>
      </c>
      <c r="G923" s="497">
        <v>700</v>
      </c>
      <c r="H923" s="497">
        <v>700</v>
      </c>
      <c r="I923" s="204"/>
    </row>
    <row r="924" spans="1:9" ht="31.5" hidden="1" x14ac:dyDescent="0.25">
      <c r="A924" s="34" t="s">
        <v>967</v>
      </c>
      <c r="B924" s="491">
        <v>908</v>
      </c>
      <c r="C924" s="7" t="s">
        <v>234</v>
      </c>
      <c r="D924" s="7" t="s">
        <v>213</v>
      </c>
      <c r="E924" s="495" t="s">
        <v>968</v>
      </c>
      <c r="F924" s="7"/>
      <c r="G924" s="493">
        <f>G925</f>
        <v>0</v>
      </c>
      <c r="H924" s="493">
        <f>H925</f>
        <v>0</v>
      </c>
      <c r="I924" s="204"/>
    </row>
    <row r="925" spans="1:9" ht="15.75" hidden="1" x14ac:dyDescent="0.25">
      <c r="A925" s="45" t="s">
        <v>523</v>
      </c>
      <c r="B925" s="490">
        <v>908</v>
      </c>
      <c r="C925" s="499" t="s">
        <v>234</v>
      </c>
      <c r="D925" s="499" t="s">
        <v>213</v>
      </c>
      <c r="E925" s="492" t="s">
        <v>971</v>
      </c>
      <c r="F925" s="499"/>
      <c r="G925" s="497">
        <f>'[1]Пр.5 ведом.21'!G913</f>
        <v>0</v>
      </c>
      <c r="H925" s="497">
        <f t="shared" si="83"/>
        <v>0</v>
      </c>
      <c r="I925" s="204"/>
    </row>
    <row r="926" spans="1:9" ht="31.5" hidden="1" x14ac:dyDescent="0.25">
      <c r="A926" s="31" t="s">
        <v>131</v>
      </c>
      <c r="B926" s="490">
        <v>908</v>
      </c>
      <c r="C926" s="499" t="s">
        <v>234</v>
      </c>
      <c r="D926" s="499" t="s">
        <v>213</v>
      </c>
      <c r="E926" s="492" t="s">
        <v>971</v>
      </c>
      <c r="F926" s="499" t="s">
        <v>132</v>
      </c>
      <c r="G926" s="497">
        <f>'[1]Пр.5 ведом.21'!G914</f>
        <v>0</v>
      </c>
      <c r="H926" s="497">
        <f t="shared" si="83"/>
        <v>0</v>
      </c>
      <c r="I926" s="204"/>
    </row>
    <row r="927" spans="1:9" ht="31.5" hidden="1" x14ac:dyDescent="0.25">
      <c r="A927" s="31" t="s">
        <v>133</v>
      </c>
      <c r="B927" s="490">
        <v>908</v>
      </c>
      <c r="C927" s="499" t="s">
        <v>234</v>
      </c>
      <c r="D927" s="499" t="s">
        <v>213</v>
      </c>
      <c r="E927" s="492" t="s">
        <v>971</v>
      </c>
      <c r="F927" s="499" t="s">
        <v>134</v>
      </c>
      <c r="G927" s="497">
        <f>'[1]Пр.5 ведом.21'!G915</f>
        <v>0</v>
      </c>
      <c r="H927" s="497">
        <f t="shared" si="83"/>
        <v>0</v>
      </c>
      <c r="I927" s="204"/>
    </row>
    <row r="928" spans="1:9" ht="31.5" hidden="1" x14ac:dyDescent="0.25">
      <c r="A928" s="58" t="s">
        <v>969</v>
      </c>
      <c r="B928" s="491">
        <v>908</v>
      </c>
      <c r="C928" s="7" t="s">
        <v>234</v>
      </c>
      <c r="D928" s="7" t="s">
        <v>213</v>
      </c>
      <c r="E928" s="495" t="s">
        <v>970</v>
      </c>
      <c r="F928" s="7"/>
      <c r="G928" s="488">
        <f>G929</f>
        <v>0</v>
      </c>
      <c r="H928" s="488">
        <f>H929</f>
        <v>0</v>
      </c>
      <c r="I928" s="204"/>
    </row>
    <row r="929" spans="1:9" ht="15.75" hidden="1" x14ac:dyDescent="0.25">
      <c r="A929" s="45" t="s">
        <v>525</v>
      </c>
      <c r="B929" s="490">
        <v>908</v>
      </c>
      <c r="C929" s="499" t="s">
        <v>234</v>
      </c>
      <c r="D929" s="499" t="s">
        <v>213</v>
      </c>
      <c r="E929" s="492" t="s">
        <v>972</v>
      </c>
      <c r="F929" s="499"/>
      <c r="G929" s="497">
        <f>'[1]Пр.5 ведом.21'!G917</f>
        <v>0</v>
      </c>
      <c r="H929" s="497">
        <f t="shared" si="83"/>
        <v>0</v>
      </c>
      <c r="I929" s="204"/>
    </row>
    <row r="930" spans="1:9" ht="31.5" hidden="1" x14ac:dyDescent="0.25">
      <c r="A930" s="31" t="s">
        <v>131</v>
      </c>
      <c r="B930" s="490">
        <v>908</v>
      </c>
      <c r="C930" s="499" t="s">
        <v>234</v>
      </c>
      <c r="D930" s="499" t="s">
        <v>213</v>
      </c>
      <c r="E930" s="492" t="s">
        <v>972</v>
      </c>
      <c r="F930" s="499" t="s">
        <v>132</v>
      </c>
      <c r="G930" s="497">
        <f>'[1]Пр.5 ведом.21'!G918</f>
        <v>0</v>
      </c>
      <c r="H930" s="497">
        <f t="shared" si="83"/>
        <v>0</v>
      </c>
      <c r="I930" s="204"/>
    </row>
    <row r="931" spans="1:9" ht="31.5" hidden="1" x14ac:dyDescent="0.25">
      <c r="A931" s="31" t="s">
        <v>133</v>
      </c>
      <c r="B931" s="490">
        <v>908</v>
      </c>
      <c r="C931" s="499" t="s">
        <v>234</v>
      </c>
      <c r="D931" s="499" t="s">
        <v>213</v>
      </c>
      <c r="E931" s="492" t="s">
        <v>972</v>
      </c>
      <c r="F931" s="499" t="s">
        <v>134</v>
      </c>
      <c r="G931" s="497">
        <f>'[1]Пр.5 ведом.21'!G919</f>
        <v>0</v>
      </c>
      <c r="H931" s="497">
        <f t="shared" si="83"/>
        <v>0</v>
      </c>
      <c r="I931" s="204"/>
    </row>
    <row r="932" spans="1:9" ht="31.5" hidden="1" x14ac:dyDescent="0.25">
      <c r="A932" s="58" t="s">
        <v>973</v>
      </c>
      <c r="B932" s="491">
        <v>908</v>
      </c>
      <c r="C932" s="7" t="s">
        <v>234</v>
      </c>
      <c r="D932" s="7" t="s">
        <v>213</v>
      </c>
      <c r="E932" s="495" t="s">
        <v>974</v>
      </c>
      <c r="F932" s="7"/>
      <c r="G932" s="488">
        <f>G933</f>
        <v>0</v>
      </c>
      <c r="H932" s="488">
        <f>H933</f>
        <v>0</v>
      </c>
      <c r="I932" s="204"/>
    </row>
    <row r="933" spans="1:9" ht="15.75" hidden="1" x14ac:dyDescent="0.25">
      <c r="A933" s="45" t="s">
        <v>527</v>
      </c>
      <c r="B933" s="490">
        <v>908</v>
      </c>
      <c r="C933" s="499" t="s">
        <v>234</v>
      </c>
      <c r="D933" s="499" t="s">
        <v>213</v>
      </c>
      <c r="E933" s="492" t="s">
        <v>975</v>
      </c>
      <c r="F933" s="499"/>
      <c r="G933" s="497">
        <f>'[1]Пр.5 ведом.21'!G921</f>
        <v>0</v>
      </c>
      <c r="H933" s="497">
        <f t="shared" si="83"/>
        <v>0</v>
      </c>
      <c r="I933" s="204"/>
    </row>
    <row r="934" spans="1:9" ht="31.5" hidden="1" x14ac:dyDescent="0.25">
      <c r="A934" s="31" t="s">
        <v>131</v>
      </c>
      <c r="B934" s="490">
        <v>908</v>
      </c>
      <c r="C934" s="499" t="s">
        <v>234</v>
      </c>
      <c r="D934" s="499" t="s">
        <v>213</v>
      </c>
      <c r="E934" s="492" t="s">
        <v>975</v>
      </c>
      <c r="F934" s="499" t="s">
        <v>132</v>
      </c>
      <c r="G934" s="497">
        <f>'[1]Пр.5 ведом.21'!G922</f>
        <v>0</v>
      </c>
      <c r="H934" s="497">
        <f t="shared" si="83"/>
        <v>0</v>
      </c>
      <c r="I934" s="204"/>
    </row>
    <row r="935" spans="1:9" ht="31.5" hidden="1" x14ac:dyDescent="0.25">
      <c r="A935" s="31" t="s">
        <v>133</v>
      </c>
      <c r="B935" s="490">
        <v>908</v>
      </c>
      <c r="C935" s="499" t="s">
        <v>234</v>
      </c>
      <c r="D935" s="499" t="s">
        <v>213</v>
      </c>
      <c r="E935" s="492" t="s">
        <v>975</v>
      </c>
      <c r="F935" s="499" t="s">
        <v>134</v>
      </c>
      <c r="G935" s="497">
        <f>'[1]Пр.5 ведом.21'!G923</f>
        <v>0</v>
      </c>
      <c r="H935" s="497">
        <f t="shared" si="83"/>
        <v>0</v>
      </c>
      <c r="I935" s="204"/>
    </row>
    <row r="936" spans="1:9" ht="31.5" hidden="1" x14ac:dyDescent="0.25">
      <c r="A936" s="34" t="s">
        <v>1014</v>
      </c>
      <c r="B936" s="491">
        <v>908</v>
      </c>
      <c r="C936" s="7" t="s">
        <v>234</v>
      </c>
      <c r="D936" s="7" t="s">
        <v>213</v>
      </c>
      <c r="E936" s="495" t="s">
        <v>1015</v>
      </c>
      <c r="F936" s="7"/>
      <c r="G936" s="488">
        <f>G937</f>
        <v>0</v>
      </c>
      <c r="H936" s="488">
        <f>H937</f>
        <v>0</v>
      </c>
      <c r="I936" s="204"/>
    </row>
    <row r="937" spans="1:9" ht="15.75" hidden="1" x14ac:dyDescent="0.25">
      <c r="A937" s="45" t="s">
        <v>529</v>
      </c>
      <c r="B937" s="490">
        <v>908</v>
      </c>
      <c r="C937" s="499" t="s">
        <v>234</v>
      </c>
      <c r="D937" s="499" t="s">
        <v>213</v>
      </c>
      <c r="E937" s="492" t="s">
        <v>1018</v>
      </c>
      <c r="F937" s="499"/>
      <c r="G937" s="497">
        <f>'[1]Пр.5 ведом.21'!G925</f>
        <v>0</v>
      </c>
      <c r="H937" s="497">
        <f t="shared" si="83"/>
        <v>0</v>
      </c>
      <c r="I937" s="204"/>
    </row>
    <row r="938" spans="1:9" ht="31.5" hidden="1" x14ac:dyDescent="0.25">
      <c r="A938" s="31" t="s">
        <v>131</v>
      </c>
      <c r="B938" s="490">
        <v>908</v>
      </c>
      <c r="C938" s="499" t="s">
        <v>234</v>
      </c>
      <c r="D938" s="499" t="s">
        <v>213</v>
      </c>
      <c r="E938" s="492" t="s">
        <v>1018</v>
      </c>
      <c r="F938" s="499" t="s">
        <v>132</v>
      </c>
      <c r="G938" s="497">
        <f>'[1]Пр.5 ведом.21'!G926</f>
        <v>0</v>
      </c>
      <c r="H938" s="497">
        <f t="shared" si="83"/>
        <v>0</v>
      </c>
      <c r="I938" s="204"/>
    </row>
    <row r="939" spans="1:9" ht="31.5" hidden="1" x14ac:dyDescent="0.25">
      <c r="A939" s="31" t="s">
        <v>133</v>
      </c>
      <c r="B939" s="490">
        <v>908</v>
      </c>
      <c r="C939" s="499" t="s">
        <v>234</v>
      </c>
      <c r="D939" s="499" t="s">
        <v>213</v>
      </c>
      <c r="E939" s="492" t="s">
        <v>1018</v>
      </c>
      <c r="F939" s="499" t="s">
        <v>134</v>
      </c>
      <c r="G939" s="497">
        <f>'[1]Пр.5 ведом.21'!G927</f>
        <v>0</v>
      </c>
      <c r="H939" s="497">
        <f t="shared" si="83"/>
        <v>0</v>
      </c>
      <c r="I939" s="204"/>
    </row>
    <row r="940" spans="1:9" ht="31.5" hidden="1" x14ac:dyDescent="0.25">
      <c r="A940" s="220" t="s">
        <v>1016</v>
      </c>
      <c r="B940" s="491">
        <v>908</v>
      </c>
      <c r="C940" s="7" t="s">
        <v>234</v>
      </c>
      <c r="D940" s="7" t="s">
        <v>213</v>
      </c>
      <c r="E940" s="495" t="s">
        <v>1017</v>
      </c>
      <c r="F940" s="7"/>
      <c r="G940" s="493">
        <f>G941</f>
        <v>0</v>
      </c>
      <c r="H940" s="493">
        <f>H941</f>
        <v>0</v>
      </c>
      <c r="I940" s="204"/>
    </row>
    <row r="941" spans="1:9" ht="31.5" hidden="1" x14ac:dyDescent="0.25">
      <c r="A941" s="174" t="s">
        <v>531</v>
      </c>
      <c r="B941" s="490">
        <v>908</v>
      </c>
      <c r="C941" s="499" t="s">
        <v>234</v>
      </c>
      <c r="D941" s="499" t="s">
        <v>213</v>
      </c>
      <c r="E941" s="492" t="s">
        <v>1019</v>
      </c>
      <c r="F941" s="499"/>
      <c r="G941" s="497">
        <f>'[1]Пр.5 ведом.21'!G929</f>
        <v>0</v>
      </c>
      <c r="H941" s="497">
        <f t="shared" si="83"/>
        <v>0</v>
      </c>
      <c r="I941" s="204"/>
    </row>
    <row r="942" spans="1:9" ht="31.5" hidden="1" x14ac:dyDescent="0.25">
      <c r="A942" s="31" t="s">
        <v>131</v>
      </c>
      <c r="B942" s="490">
        <v>908</v>
      </c>
      <c r="C942" s="499" t="s">
        <v>234</v>
      </c>
      <c r="D942" s="499" t="s">
        <v>213</v>
      </c>
      <c r="E942" s="492" t="s">
        <v>1019</v>
      </c>
      <c r="F942" s="499" t="s">
        <v>132</v>
      </c>
      <c r="G942" s="497">
        <f>'[1]Пр.5 ведом.21'!G930</f>
        <v>0</v>
      </c>
      <c r="H942" s="497">
        <f t="shared" si="83"/>
        <v>0</v>
      </c>
      <c r="I942" s="204"/>
    </row>
    <row r="943" spans="1:9" ht="31.5" hidden="1" x14ac:dyDescent="0.25">
      <c r="A943" s="31" t="s">
        <v>133</v>
      </c>
      <c r="B943" s="490">
        <v>908</v>
      </c>
      <c r="C943" s="499" t="s">
        <v>234</v>
      </c>
      <c r="D943" s="499" t="s">
        <v>213</v>
      </c>
      <c r="E943" s="492" t="s">
        <v>1019</v>
      </c>
      <c r="F943" s="499" t="s">
        <v>134</v>
      </c>
      <c r="G943" s="497">
        <f>'[1]Пр.5 ведом.21'!G931</f>
        <v>0</v>
      </c>
      <c r="H943" s="497">
        <f t="shared" si="83"/>
        <v>0</v>
      </c>
      <c r="I943" s="204"/>
    </row>
    <row r="944" spans="1:9" ht="31.5" hidden="1" x14ac:dyDescent="0.25">
      <c r="A944" s="220" t="s">
        <v>977</v>
      </c>
      <c r="B944" s="491">
        <v>908</v>
      </c>
      <c r="C944" s="7" t="s">
        <v>234</v>
      </c>
      <c r="D944" s="7" t="s">
        <v>213</v>
      </c>
      <c r="E944" s="495" t="s">
        <v>978</v>
      </c>
      <c r="F944" s="7"/>
      <c r="G944" s="493">
        <f>G945</f>
        <v>0</v>
      </c>
      <c r="H944" s="493">
        <f>H945</f>
        <v>0</v>
      </c>
      <c r="I944" s="204"/>
    </row>
    <row r="945" spans="1:9" ht="15.75" hidden="1" x14ac:dyDescent="0.25">
      <c r="A945" s="174" t="s">
        <v>533</v>
      </c>
      <c r="B945" s="490">
        <v>908</v>
      </c>
      <c r="C945" s="499" t="s">
        <v>234</v>
      </c>
      <c r="D945" s="499" t="s">
        <v>213</v>
      </c>
      <c r="E945" s="492" t="s">
        <v>976</v>
      </c>
      <c r="F945" s="499"/>
      <c r="G945" s="497">
        <f>'[1]Пр.5 ведом.21'!G933</f>
        <v>0</v>
      </c>
      <c r="H945" s="497">
        <f t="shared" si="83"/>
        <v>0</v>
      </c>
      <c r="I945" s="204"/>
    </row>
    <row r="946" spans="1:9" ht="31.5" hidden="1" x14ac:dyDescent="0.25">
      <c r="A946" s="496" t="s">
        <v>131</v>
      </c>
      <c r="B946" s="490">
        <v>908</v>
      </c>
      <c r="C946" s="499" t="s">
        <v>234</v>
      </c>
      <c r="D946" s="499" t="s">
        <v>213</v>
      </c>
      <c r="E946" s="492" t="s">
        <v>976</v>
      </c>
      <c r="F946" s="499" t="s">
        <v>132</v>
      </c>
      <c r="G946" s="497">
        <f>'[1]Пр.5 ведом.21'!G934</f>
        <v>0</v>
      </c>
      <c r="H946" s="497">
        <f t="shared" si="83"/>
        <v>0</v>
      </c>
      <c r="I946" s="204"/>
    </row>
    <row r="947" spans="1:9" ht="31.5" hidden="1" x14ac:dyDescent="0.25">
      <c r="A947" s="496" t="s">
        <v>133</v>
      </c>
      <c r="B947" s="490">
        <v>908</v>
      </c>
      <c r="C947" s="499" t="s">
        <v>234</v>
      </c>
      <c r="D947" s="499" t="s">
        <v>213</v>
      </c>
      <c r="E947" s="492" t="s">
        <v>976</v>
      </c>
      <c r="F947" s="499" t="s">
        <v>134</v>
      </c>
      <c r="G947" s="497">
        <f>'[1]Пр.5 ведом.21'!G935</f>
        <v>0</v>
      </c>
      <c r="H947" s="497">
        <f t="shared" si="83"/>
        <v>0</v>
      </c>
      <c r="I947" s="204"/>
    </row>
    <row r="948" spans="1:9" ht="47.25" x14ac:dyDescent="0.25">
      <c r="A948" s="494" t="s">
        <v>1528</v>
      </c>
      <c r="B948" s="491">
        <v>908</v>
      </c>
      <c r="C948" s="7" t="s">
        <v>234</v>
      </c>
      <c r="D948" s="7" t="s">
        <v>213</v>
      </c>
      <c r="E948" s="495" t="s">
        <v>1141</v>
      </c>
      <c r="F948" s="7"/>
      <c r="G948" s="493">
        <f t="shared" ref="G948:H951" si="85">G949</f>
        <v>204</v>
      </c>
      <c r="H948" s="493">
        <f t="shared" si="85"/>
        <v>215</v>
      </c>
      <c r="I948" s="204"/>
    </row>
    <row r="949" spans="1:9" ht="31.5" x14ac:dyDescent="0.25">
      <c r="A949" s="408" t="s">
        <v>1532</v>
      </c>
      <c r="B949" s="491">
        <v>908</v>
      </c>
      <c r="C949" s="7" t="s">
        <v>234</v>
      </c>
      <c r="D949" s="7" t="s">
        <v>213</v>
      </c>
      <c r="E949" s="495" t="s">
        <v>1143</v>
      </c>
      <c r="F949" s="7"/>
      <c r="G949" s="493">
        <f t="shared" si="85"/>
        <v>204</v>
      </c>
      <c r="H949" s="493">
        <f t="shared" si="85"/>
        <v>215</v>
      </c>
      <c r="I949" s="204"/>
    </row>
    <row r="950" spans="1:9" ht="15.75" x14ac:dyDescent="0.25">
      <c r="A950" s="496" t="s">
        <v>537</v>
      </c>
      <c r="B950" s="490">
        <v>908</v>
      </c>
      <c r="C950" s="499" t="s">
        <v>234</v>
      </c>
      <c r="D950" s="499" t="s">
        <v>213</v>
      </c>
      <c r="E950" s="492" t="s">
        <v>1144</v>
      </c>
      <c r="F950" s="499"/>
      <c r="G950" s="497">
        <f t="shared" si="85"/>
        <v>204</v>
      </c>
      <c r="H950" s="497">
        <f t="shared" si="85"/>
        <v>215</v>
      </c>
      <c r="I950" s="204"/>
    </row>
    <row r="951" spans="1:9" ht="31.5" x14ac:dyDescent="0.25">
      <c r="A951" s="496" t="s">
        <v>131</v>
      </c>
      <c r="B951" s="490">
        <v>908</v>
      </c>
      <c r="C951" s="499" t="s">
        <v>234</v>
      </c>
      <c r="D951" s="499" t="s">
        <v>213</v>
      </c>
      <c r="E951" s="492" t="s">
        <v>1144</v>
      </c>
      <c r="F951" s="499" t="s">
        <v>132</v>
      </c>
      <c r="G951" s="497">
        <f t="shared" si="85"/>
        <v>204</v>
      </c>
      <c r="H951" s="497">
        <f t="shared" si="85"/>
        <v>215</v>
      </c>
      <c r="I951" s="204"/>
    </row>
    <row r="952" spans="1:9" ht="31.7" customHeight="1" x14ac:dyDescent="0.25">
      <c r="A952" s="496" t="s">
        <v>133</v>
      </c>
      <c r="B952" s="490">
        <v>908</v>
      </c>
      <c r="C952" s="499" t="s">
        <v>234</v>
      </c>
      <c r="D952" s="499" t="s">
        <v>213</v>
      </c>
      <c r="E952" s="492" t="s">
        <v>1144</v>
      </c>
      <c r="F952" s="499" t="s">
        <v>134</v>
      </c>
      <c r="G952" s="497">
        <v>204</v>
      </c>
      <c r="H952" s="497">
        <v>215</v>
      </c>
      <c r="I952" s="204"/>
    </row>
    <row r="953" spans="1:9" ht="15.75" x14ac:dyDescent="0.25">
      <c r="A953" s="494" t="s">
        <v>541</v>
      </c>
      <c r="B953" s="491">
        <v>908</v>
      </c>
      <c r="C953" s="495" t="s">
        <v>234</v>
      </c>
      <c r="D953" s="495" t="s">
        <v>215</v>
      </c>
      <c r="E953" s="495"/>
      <c r="F953" s="495"/>
      <c r="G953" s="493">
        <f>G954+G959+G998</f>
        <v>3810</v>
      </c>
      <c r="H953" s="493">
        <f>H954+H959+H998</f>
        <v>4063</v>
      </c>
      <c r="I953" s="204"/>
    </row>
    <row r="954" spans="1:9" ht="15.75" x14ac:dyDescent="0.25">
      <c r="A954" s="494" t="s">
        <v>141</v>
      </c>
      <c r="B954" s="491">
        <v>908</v>
      </c>
      <c r="C954" s="495" t="s">
        <v>234</v>
      </c>
      <c r="D954" s="495" t="s">
        <v>215</v>
      </c>
      <c r="E954" s="495" t="s">
        <v>866</v>
      </c>
      <c r="F954" s="495"/>
      <c r="G954" s="493">
        <f t="shared" ref="G954:H957" si="86">G955</f>
        <v>1390</v>
      </c>
      <c r="H954" s="493">
        <f t="shared" si="86"/>
        <v>1390</v>
      </c>
      <c r="I954" s="204"/>
    </row>
    <row r="955" spans="1:9" ht="31.5" x14ac:dyDescent="0.25">
      <c r="A955" s="494" t="s">
        <v>870</v>
      </c>
      <c r="B955" s="491">
        <v>908</v>
      </c>
      <c r="C955" s="495" t="s">
        <v>234</v>
      </c>
      <c r="D955" s="495" t="s">
        <v>215</v>
      </c>
      <c r="E955" s="495" t="s">
        <v>865</v>
      </c>
      <c r="F955" s="495"/>
      <c r="G955" s="493">
        <f t="shared" si="86"/>
        <v>1390</v>
      </c>
      <c r="H955" s="493">
        <f t="shared" si="86"/>
        <v>1390</v>
      </c>
      <c r="I955" s="204"/>
    </row>
    <row r="956" spans="1:9" ht="15.75" x14ac:dyDescent="0.25">
      <c r="A956" s="496" t="s">
        <v>564</v>
      </c>
      <c r="B956" s="490">
        <v>908</v>
      </c>
      <c r="C956" s="492" t="s">
        <v>234</v>
      </c>
      <c r="D956" s="492" t="s">
        <v>215</v>
      </c>
      <c r="E956" s="492" t="s">
        <v>1074</v>
      </c>
      <c r="F956" s="492"/>
      <c r="G956" s="497">
        <f t="shared" si="86"/>
        <v>1390</v>
      </c>
      <c r="H956" s="497">
        <f t="shared" si="86"/>
        <v>1390</v>
      </c>
      <c r="I956" s="204"/>
    </row>
    <row r="957" spans="1:9" ht="31.5" x14ac:dyDescent="0.25">
      <c r="A957" s="496" t="s">
        <v>131</v>
      </c>
      <c r="B957" s="490">
        <v>908</v>
      </c>
      <c r="C957" s="492" t="s">
        <v>234</v>
      </c>
      <c r="D957" s="492" t="s">
        <v>215</v>
      </c>
      <c r="E957" s="492" t="s">
        <v>1074</v>
      </c>
      <c r="F957" s="492" t="s">
        <v>132</v>
      </c>
      <c r="G957" s="497">
        <f t="shared" si="86"/>
        <v>1390</v>
      </c>
      <c r="H957" s="497">
        <f t="shared" si="86"/>
        <v>1390</v>
      </c>
      <c r="I957" s="204"/>
    </row>
    <row r="958" spans="1:9" ht="33.4" customHeight="1" x14ac:dyDescent="0.25">
      <c r="A958" s="496" t="s">
        <v>133</v>
      </c>
      <c r="B958" s="490">
        <v>908</v>
      </c>
      <c r="C958" s="492" t="s">
        <v>234</v>
      </c>
      <c r="D958" s="492" t="s">
        <v>215</v>
      </c>
      <c r="E958" s="492" t="s">
        <v>1074</v>
      </c>
      <c r="F958" s="492" t="s">
        <v>134</v>
      </c>
      <c r="G958" s="497">
        <f>390+1000</f>
        <v>1390</v>
      </c>
      <c r="H958" s="497">
        <f t="shared" si="83"/>
        <v>1390</v>
      </c>
      <c r="I958" s="204"/>
    </row>
    <row r="959" spans="1:9" ht="31.5" x14ac:dyDescent="0.25">
      <c r="A959" s="494" t="s">
        <v>1362</v>
      </c>
      <c r="B959" s="491">
        <v>908</v>
      </c>
      <c r="C959" s="495" t="s">
        <v>234</v>
      </c>
      <c r="D959" s="495" t="s">
        <v>215</v>
      </c>
      <c r="E959" s="495" t="s">
        <v>543</v>
      </c>
      <c r="F959" s="495"/>
      <c r="G959" s="493">
        <f>G960+G964+G991</f>
        <v>1920</v>
      </c>
      <c r="H959" s="493">
        <f>H960+H964+H991</f>
        <v>2173</v>
      </c>
      <c r="I959" s="204"/>
    </row>
    <row r="960" spans="1:9" ht="47.25" hidden="1" x14ac:dyDescent="0.25">
      <c r="A960" s="494" t="s">
        <v>1430</v>
      </c>
      <c r="B960" s="491">
        <v>908</v>
      </c>
      <c r="C960" s="495" t="s">
        <v>234</v>
      </c>
      <c r="D960" s="495" t="s">
        <v>215</v>
      </c>
      <c r="E960" s="495" t="s">
        <v>1273</v>
      </c>
      <c r="F960" s="495"/>
      <c r="G960" s="493">
        <f t="shared" ref="G960:H962" si="87">G961</f>
        <v>0</v>
      </c>
      <c r="H960" s="493">
        <f t="shared" si="87"/>
        <v>0</v>
      </c>
      <c r="I960" s="204"/>
    </row>
    <row r="961" spans="1:9" ht="31.5" hidden="1" x14ac:dyDescent="0.25">
      <c r="A961" s="327" t="s">
        <v>1431</v>
      </c>
      <c r="B961" s="490">
        <v>908</v>
      </c>
      <c r="C961" s="492" t="s">
        <v>234</v>
      </c>
      <c r="D961" s="492" t="s">
        <v>215</v>
      </c>
      <c r="E961" s="492" t="s">
        <v>1419</v>
      </c>
      <c r="F961" s="492"/>
      <c r="G961" s="497">
        <f t="shared" si="87"/>
        <v>0</v>
      </c>
      <c r="H961" s="497">
        <f t="shared" si="87"/>
        <v>0</v>
      </c>
      <c r="I961" s="204"/>
    </row>
    <row r="962" spans="1:9" ht="31.5" hidden="1" x14ac:dyDescent="0.25">
      <c r="A962" s="496" t="s">
        <v>131</v>
      </c>
      <c r="B962" s="490">
        <v>908</v>
      </c>
      <c r="C962" s="492" t="s">
        <v>234</v>
      </c>
      <c r="D962" s="492" t="s">
        <v>215</v>
      </c>
      <c r="E962" s="492" t="s">
        <v>1419</v>
      </c>
      <c r="F962" s="492" t="s">
        <v>132</v>
      </c>
      <c r="G962" s="497">
        <f t="shared" si="87"/>
        <v>0</v>
      </c>
      <c r="H962" s="497">
        <f t="shared" si="87"/>
        <v>0</v>
      </c>
      <c r="I962" s="204"/>
    </row>
    <row r="963" spans="1:9" ht="31.5" hidden="1" x14ac:dyDescent="0.25">
      <c r="A963" s="496" t="s">
        <v>133</v>
      </c>
      <c r="B963" s="490">
        <v>908</v>
      </c>
      <c r="C963" s="492" t="s">
        <v>234</v>
      </c>
      <c r="D963" s="492" t="s">
        <v>215</v>
      </c>
      <c r="E963" s="492" t="s">
        <v>1419</v>
      </c>
      <c r="F963" s="492" t="s">
        <v>134</v>
      </c>
      <c r="G963" s="497">
        <v>0</v>
      </c>
      <c r="H963" s="497">
        <v>0</v>
      </c>
      <c r="I963" s="204"/>
    </row>
    <row r="964" spans="1:9" ht="31.5" x14ac:dyDescent="0.25">
      <c r="A964" s="494" t="s">
        <v>1450</v>
      </c>
      <c r="B964" s="491">
        <v>908</v>
      </c>
      <c r="C964" s="495" t="s">
        <v>234</v>
      </c>
      <c r="D964" s="495" t="s">
        <v>215</v>
      </c>
      <c r="E964" s="495" t="s">
        <v>1274</v>
      </c>
      <c r="F964" s="495"/>
      <c r="G964" s="493">
        <f>G965+G968+G974+G977+G980+G985+G988</f>
        <v>1920</v>
      </c>
      <c r="H964" s="493">
        <f>H965+H968+H974+H977+H980+H985+H988</f>
        <v>2173</v>
      </c>
      <c r="I964" s="204"/>
    </row>
    <row r="965" spans="1:9" ht="15.75" x14ac:dyDescent="0.25">
      <c r="A965" s="496" t="s">
        <v>546</v>
      </c>
      <c r="B965" s="490">
        <v>908</v>
      </c>
      <c r="C965" s="492" t="s">
        <v>234</v>
      </c>
      <c r="D965" s="492" t="s">
        <v>215</v>
      </c>
      <c r="E965" s="492" t="s">
        <v>1429</v>
      </c>
      <c r="F965" s="492"/>
      <c r="G965" s="497">
        <f>G966</f>
        <v>365</v>
      </c>
      <c r="H965" s="497">
        <f>H966</f>
        <v>365</v>
      </c>
      <c r="I965" s="204"/>
    </row>
    <row r="966" spans="1:9" ht="31.5" x14ac:dyDescent="0.25">
      <c r="A966" s="496" t="s">
        <v>131</v>
      </c>
      <c r="B966" s="490">
        <v>908</v>
      </c>
      <c r="C966" s="492" t="s">
        <v>234</v>
      </c>
      <c r="D966" s="492" t="s">
        <v>215</v>
      </c>
      <c r="E966" s="492" t="s">
        <v>1429</v>
      </c>
      <c r="F966" s="492" t="s">
        <v>132</v>
      </c>
      <c r="G966" s="497">
        <f>G967</f>
        <v>365</v>
      </c>
      <c r="H966" s="497">
        <f>H967</f>
        <v>365</v>
      </c>
      <c r="I966" s="204"/>
    </row>
    <row r="967" spans="1:9" ht="31.5" x14ac:dyDescent="0.25">
      <c r="A967" s="496" t="s">
        <v>133</v>
      </c>
      <c r="B967" s="490">
        <v>908</v>
      </c>
      <c r="C967" s="492" t="s">
        <v>234</v>
      </c>
      <c r="D967" s="492" t="s">
        <v>215</v>
      </c>
      <c r="E967" s="492" t="s">
        <v>1429</v>
      </c>
      <c r="F967" s="492" t="s">
        <v>134</v>
      </c>
      <c r="G967" s="497">
        <v>365</v>
      </c>
      <c r="H967" s="497">
        <v>365</v>
      </c>
      <c r="I967" s="204"/>
    </row>
    <row r="968" spans="1:9" ht="15.75" x14ac:dyDescent="0.25">
      <c r="A968" s="496" t="s">
        <v>1086</v>
      </c>
      <c r="B968" s="490">
        <v>908</v>
      </c>
      <c r="C968" s="492" t="s">
        <v>234</v>
      </c>
      <c r="D968" s="492" t="s">
        <v>215</v>
      </c>
      <c r="E968" s="492" t="s">
        <v>1418</v>
      </c>
      <c r="F968" s="492"/>
      <c r="G968" s="497">
        <f>G969</f>
        <v>1080</v>
      </c>
      <c r="H968" s="497">
        <f>H969</f>
        <v>1188</v>
      </c>
      <c r="I968" s="204"/>
    </row>
    <row r="969" spans="1:9" ht="31.5" x14ac:dyDescent="0.25">
      <c r="A969" s="496" t="s">
        <v>131</v>
      </c>
      <c r="B969" s="490">
        <v>908</v>
      </c>
      <c r="C969" s="492" t="s">
        <v>234</v>
      </c>
      <c r="D969" s="492" t="s">
        <v>215</v>
      </c>
      <c r="E969" s="492" t="s">
        <v>1418</v>
      </c>
      <c r="F969" s="492" t="s">
        <v>132</v>
      </c>
      <c r="G969" s="497">
        <f>G970</f>
        <v>1080</v>
      </c>
      <c r="H969" s="497">
        <f>H970</f>
        <v>1188</v>
      </c>
      <c r="I969" s="204"/>
    </row>
    <row r="970" spans="1:9" ht="31.5" x14ac:dyDescent="0.25">
      <c r="A970" s="496" t="s">
        <v>133</v>
      </c>
      <c r="B970" s="490">
        <v>908</v>
      </c>
      <c r="C970" s="492" t="s">
        <v>234</v>
      </c>
      <c r="D970" s="492" t="s">
        <v>215</v>
      </c>
      <c r="E970" s="492" t="s">
        <v>1418</v>
      </c>
      <c r="F970" s="492" t="s">
        <v>134</v>
      </c>
      <c r="G970" s="497">
        <v>1080</v>
      </c>
      <c r="H970" s="497">
        <v>1188</v>
      </c>
      <c r="I970" s="204"/>
    </row>
    <row r="971" spans="1:9" ht="15.75" hidden="1" x14ac:dyDescent="0.25">
      <c r="A971" s="496" t="s">
        <v>135</v>
      </c>
      <c r="B971" s="490">
        <v>908</v>
      </c>
      <c r="C971" s="492" t="s">
        <v>234</v>
      </c>
      <c r="D971" s="492" t="s">
        <v>215</v>
      </c>
      <c r="E971" s="492" t="s">
        <v>1418</v>
      </c>
      <c r="F971" s="492" t="s">
        <v>145</v>
      </c>
      <c r="G971" s="497">
        <f>'[1]Пр.5 ведом.21'!G959</f>
        <v>0</v>
      </c>
      <c r="H971" s="497">
        <f t="shared" si="83"/>
        <v>0</v>
      </c>
      <c r="I971" s="204"/>
    </row>
    <row r="972" spans="1:9" ht="47.25" hidden="1" x14ac:dyDescent="0.25">
      <c r="A972" s="496" t="s">
        <v>836</v>
      </c>
      <c r="B972" s="490">
        <v>908</v>
      </c>
      <c r="C972" s="492" t="s">
        <v>234</v>
      </c>
      <c r="D972" s="492" t="s">
        <v>215</v>
      </c>
      <c r="E972" s="492" t="s">
        <v>1418</v>
      </c>
      <c r="F972" s="492" t="s">
        <v>147</v>
      </c>
      <c r="G972" s="497">
        <f>'[1]Пр.5 ведом.21'!G960</f>
        <v>0</v>
      </c>
      <c r="H972" s="497">
        <f t="shared" si="83"/>
        <v>0</v>
      </c>
      <c r="I972" s="204"/>
    </row>
    <row r="973" spans="1:9" ht="15.75" hidden="1" x14ac:dyDescent="0.25">
      <c r="A973" s="496" t="s">
        <v>704</v>
      </c>
      <c r="B973" s="490">
        <v>908</v>
      </c>
      <c r="C973" s="492" t="s">
        <v>234</v>
      </c>
      <c r="D973" s="492" t="s">
        <v>215</v>
      </c>
      <c r="E973" s="492" t="s">
        <v>1418</v>
      </c>
      <c r="F973" s="492" t="s">
        <v>138</v>
      </c>
      <c r="G973" s="497">
        <f>'[1]Пр.5 ведом.21'!G961</f>
        <v>0</v>
      </c>
      <c r="H973" s="497">
        <f t="shared" si="83"/>
        <v>0</v>
      </c>
      <c r="I973" s="204"/>
    </row>
    <row r="974" spans="1:9" ht="15.75" hidden="1" x14ac:dyDescent="0.25">
      <c r="A974" s="496" t="s">
        <v>550</v>
      </c>
      <c r="B974" s="490">
        <v>908</v>
      </c>
      <c r="C974" s="492" t="s">
        <v>234</v>
      </c>
      <c r="D974" s="492" t="s">
        <v>215</v>
      </c>
      <c r="E974" s="492" t="s">
        <v>1298</v>
      </c>
      <c r="F974" s="492"/>
      <c r="G974" s="497">
        <f>G975</f>
        <v>0</v>
      </c>
      <c r="H974" s="497">
        <f>H975</f>
        <v>0</v>
      </c>
      <c r="I974" s="204"/>
    </row>
    <row r="975" spans="1:9" ht="31.5" hidden="1" x14ac:dyDescent="0.25">
      <c r="A975" s="496" t="s">
        <v>131</v>
      </c>
      <c r="B975" s="490">
        <v>908</v>
      </c>
      <c r="C975" s="492" t="s">
        <v>234</v>
      </c>
      <c r="D975" s="492" t="s">
        <v>215</v>
      </c>
      <c r="E975" s="492" t="s">
        <v>1298</v>
      </c>
      <c r="F975" s="492" t="s">
        <v>132</v>
      </c>
      <c r="G975" s="497">
        <f>G976</f>
        <v>0</v>
      </c>
      <c r="H975" s="497">
        <f>H976</f>
        <v>0</v>
      </c>
      <c r="I975" s="204"/>
    </row>
    <row r="976" spans="1:9" ht="31.5" hidden="1" x14ac:dyDescent="0.25">
      <c r="A976" s="496" t="s">
        <v>133</v>
      </c>
      <c r="B976" s="490">
        <v>908</v>
      </c>
      <c r="C976" s="492" t="s">
        <v>234</v>
      </c>
      <c r="D976" s="492" t="s">
        <v>215</v>
      </c>
      <c r="E976" s="492" t="s">
        <v>1298</v>
      </c>
      <c r="F976" s="492" t="s">
        <v>134</v>
      </c>
      <c r="G976" s="497">
        <v>0</v>
      </c>
      <c r="H976" s="497">
        <v>0</v>
      </c>
      <c r="I976" s="204"/>
    </row>
    <row r="977" spans="1:9" ht="15.75" x14ac:dyDescent="0.25">
      <c r="A977" s="496" t="s">
        <v>555</v>
      </c>
      <c r="B977" s="490">
        <v>908</v>
      </c>
      <c r="C977" s="492" t="s">
        <v>234</v>
      </c>
      <c r="D977" s="492" t="s">
        <v>215</v>
      </c>
      <c r="E977" s="492" t="s">
        <v>1275</v>
      </c>
      <c r="F977" s="492"/>
      <c r="G977" s="497">
        <f>G978</f>
        <v>50</v>
      </c>
      <c r="H977" s="497">
        <f>H978</f>
        <v>55</v>
      </c>
      <c r="I977" s="204"/>
    </row>
    <row r="978" spans="1:9" ht="31.5" x14ac:dyDescent="0.25">
      <c r="A978" s="496" t="s">
        <v>131</v>
      </c>
      <c r="B978" s="490">
        <v>908</v>
      </c>
      <c r="C978" s="492" t="s">
        <v>234</v>
      </c>
      <c r="D978" s="492" t="s">
        <v>215</v>
      </c>
      <c r="E978" s="492" t="s">
        <v>1275</v>
      </c>
      <c r="F978" s="492" t="s">
        <v>132</v>
      </c>
      <c r="G978" s="497">
        <f>G979</f>
        <v>50</v>
      </c>
      <c r="H978" s="497">
        <f>H979</f>
        <v>55</v>
      </c>
      <c r="I978" s="204"/>
    </row>
    <row r="979" spans="1:9" ht="31.5" x14ac:dyDescent="0.25">
      <c r="A979" s="496" t="s">
        <v>133</v>
      </c>
      <c r="B979" s="490">
        <v>908</v>
      </c>
      <c r="C979" s="492" t="s">
        <v>234</v>
      </c>
      <c r="D979" s="492" t="s">
        <v>215</v>
      </c>
      <c r="E979" s="492" t="s">
        <v>1275</v>
      </c>
      <c r="F979" s="492" t="s">
        <v>134</v>
      </c>
      <c r="G979" s="497">
        <v>50</v>
      </c>
      <c r="H979" s="497">
        <v>55</v>
      </c>
      <c r="I979" s="204"/>
    </row>
    <row r="980" spans="1:9" ht="31.5" x14ac:dyDescent="0.25">
      <c r="A980" s="325" t="s">
        <v>1432</v>
      </c>
      <c r="B980" s="490">
        <v>908</v>
      </c>
      <c r="C980" s="492" t="s">
        <v>234</v>
      </c>
      <c r="D980" s="492" t="s">
        <v>215</v>
      </c>
      <c r="E980" s="492" t="s">
        <v>1276</v>
      </c>
      <c r="F980" s="492"/>
      <c r="G980" s="497">
        <f>G981+G983</f>
        <v>375</v>
      </c>
      <c r="H980" s="497">
        <f>H981+H983</f>
        <v>375</v>
      </c>
      <c r="I980" s="204"/>
    </row>
    <row r="981" spans="1:9" ht="31.5" x14ac:dyDescent="0.25">
      <c r="A981" s="496" t="s">
        <v>131</v>
      </c>
      <c r="B981" s="490">
        <v>908</v>
      </c>
      <c r="C981" s="492" t="s">
        <v>234</v>
      </c>
      <c r="D981" s="492" t="s">
        <v>215</v>
      </c>
      <c r="E981" s="492" t="s">
        <v>1276</v>
      </c>
      <c r="F981" s="492" t="s">
        <v>132</v>
      </c>
      <c r="G981" s="497">
        <f>G982</f>
        <v>300</v>
      </c>
      <c r="H981" s="497">
        <f>H982</f>
        <v>300</v>
      </c>
      <c r="I981" s="204"/>
    </row>
    <row r="982" spans="1:9" ht="31.5" x14ac:dyDescent="0.25">
      <c r="A982" s="496" t="s">
        <v>133</v>
      </c>
      <c r="B982" s="490">
        <v>908</v>
      </c>
      <c r="C982" s="492" t="s">
        <v>234</v>
      </c>
      <c r="D982" s="492" t="s">
        <v>215</v>
      </c>
      <c r="E982" s="492" t="s">
        <v>1276</v>
      </c>
      <c r="F982" s="492" t="s">
        <v>134</v>
      </c>
      <c r="G982" s="497">
        <f>300</f>
        <v>300</v>
      </c>
      <c r="H982" s="497">
        <v>300</v>
      </c>
      <c r="I982" s="204"/>
    </row>
    <row r="983" spans="1:9" ht="15.75" x14ac:dyDescent="0.25">
      <c r="A983" s="496" t="s">
        <v>135</v>
      </c>
      <c r="B983" s="490">
        <v>908</v>
      </c>
      <c r="C983" s="492" t="s">
        <v>234</v>
      </c>
      <c r="D983" s="492" t="s">
        <v>215</v>
      </c>
      <c r="E983" s="492" t="s">
        <v>1276</v>
      </c>
      <c r="F983" s="492" t="s">
        <v>145</v>
      </c>
      <c r="G983" s="497">
        <f>G984</f>
        <v>75</v>
      </c>
      <c r="H983" s="497">
        <f>H984</f>
        <v>75</v>
      </c>
      <c r="I983" s="204"/>
    </row>
    <row r="984" spans="1:9" ht="15.75" x14ac:dyDescent="0.25">
      <c r="A984" s="496" t="s">
        <v>704</v>
      </c>
      <c r="B984" s="490">
        <v>908</v>
      </c>
      <c r="C984" s="492" t="s">
        <v>234</v>
      </c>
      <c r="D984" s="492" t="s">
        <v>215</v>
      </c>
      <c r="E984" s="492" t="s">
        <v>1276</v>
      </c>
      <c r="F984" s="492" t="s">
        <v>138</v>
      </c>
      <c r="G984" s="497">
        <f>75</f>
        <v>75</v>
      </c>
      <c r="H984" s="497">
        <f t="shared" ref="H984:H1032" si="88">G984</f>
        <v>75</v>
      </c>
      <c r="I984" s="204"/>
    </row>
    <row r="985" spans="1:9" ht="25.5" hidden="1" customHeight="1" x14ac:dyDescent="0.25">
      <c r="A985" s="45" t="s">
        <v>559</v>
      </c>
      <c r="B985" s="490">
        <v>908</v>
      </c>
      <c r="C985" s="492" t="s">
        <v>234</v>
      </c>
      <c r="D985" s="492" t="s">
        <v>215</v>
      </c>
      <c r="E985" s="492" t="s">
        <v>1277</v>
      </c>
      <c r="F985" s="492"/>
      <c r="G985" s="497">
        <f>'[1]Пр.5 ведом.21'!G973</f>
        <v>0</v>
      </c>
      <c r="H985" s="497">
        <f>H986</f>
        <v>130</v>
      </c>
      <c r="I985" s="204"/>
    </row>
    <row r="986" spans="1:9" ht="31.5" hidden="1" x14ac:dyDescent="0.25">
      <c r="A986" s="496" t="s">
        <v>131</v>
      </c>
      <c r="B986" s="490">
        <v>908</v>
      </c>
      <c r="C986" s="492" t="s">
        <v>234</v>
      </c>
      <c r="D986" s="492" t="s">
        <v>215</v>
      </c>
      <c r="E986" s="492" t="s">
        <v>1277</v>
      </c>
      <c r="F986" s="492" t="s">
        <v>132</v>
      </c>
      <c r="G986" s="497">
        <f>'[1]Пр.5 ведом.21'!G974</f>
        <v>0</v>
      </c>
      <c r="H986" s="497">
        <f>H987</f>
        <v>130</v>
      </c>
      <c r="I986" s="204"/>
    </row>
    <row r="987" spans="1:9" ht="31.5" hidden="1" x14ac:dyDescent="0.25">
      <c r="A987" s="496" t="s">
        <v>133</v>
      </c>
      <c r="B987" s="490">
        <v>908</v>
      </c>
      <c r="C987" s="492" t="s">
        <v>234</v>
      </c>
      <c r="D987" s="492" t="s">
        <v>215</v>
      </c>
      <c r="E987" s="492" t="s">
        <v>1277</v>
      </c>
      <c r="F987" s="492" t="s">
        <v>134</v>
      </c>
      <c r="G987" s="497">
        <f>0</f>
        <v>0</v>
      </c>
      <c r="H987" s="497">
        <v>130</v>
      </c>
      <c r="I987" s="204"/>
    </row>
    <row r="988" spans="1:9" ht="31.5" x14ac:dyDescent="0.25">
      <c r="A988" s="229" t="s">
        <v>1088</v>
      </c>
      <c r="B988" s="490">
        <v>908</v>
      </c>
      <c r="C988" s="492" t="s">
        <v>234</v>
      </c>
      <c r="D988" s="492" t="s">
        <v>215</v>
      </c>
      <c r="E988" s="492" t="s">
        <v>1278</v>
      </c>
      <c r="F988" s="492"/>
      <c r="G988" s="497">
        <f>G989</f>
        <v>50</v>
      </c>
      <c r="H988" s="497">
        <f>H989</f>
        <v>60</v>
      </c>
      <c r="I988" s="204"/>
    </row>
    <row r="989" spans="1:9" ht="31.5" x14ac:dyDescent="0.25">
      <c r="A989" s="496" t="s">
        <v>131</v>
      </c>
      <c r="B989" s="490">
        <v>908</v>
      </c>
      <c r="C989" s="492" t="s">
        <v>234</v>
      </c>
      <c r="D989" s="492" t="s">
        <v>215</v>
      </c>
      <c r="E989" s="492" t="s">
        <v>1278</v>
      </c>
      <c r="F989" s="492" t="s">
        <v>132</v>
      </c>
      <c r="G989" s="497">
        <f>G990</f>
        <v>50</v>
      </c>
      <c r="H989" s="497">
        <f>H990</f>
        <v>60</v>
      </c>
      <c r="I989" s="204"/>
    </row>
    <row r="990" spans="1:9" ht="40.15" customHeight="1" x14ac:dyDescent="0.25">
      <c r="A990" s="496" t="s">
        <v>133</v>
      </c>
      <c r="B990" s="490">
        <v>908</v>
      </c>
      <c r="C990" s="492" t="s">
        <v>234</v>
      </c>
      <c r="D990" s="492" t="s">
        <v>215</v>
      </c>
      <c r="E990" s="492" t="s">
        <v>1278</v>
      </c>
      <c r="F990" s="492" t="s">
        <v>134</v>
      </c>
      <c r="G990" s="497">
        <v>50</v>
      </c>
      <c r="H990" s="497">
        <v>60</v>
      </c>
      <c r="I990" s="204"/>
    </row>
    <row r="991" spans="1:9" ht="31.5" hidden="1" x14ac:dyDescent="0.25">
      <c r="A991" s="494" t="s">
        <v>891</v>
      </c>
      <c r="B991" s="491">
        <v>908</v>
      </c>
      <c r="C991" s="495" t="s">
        <v>234</v>
      </c>
      <c r="D991" s="495" t="s">
        <v>215</v>
      </c>
      <c r="E991" s="495" t="s">
        <v>1296</v>
      </c>
      <c r="F991" s="495"/>
      <c r="G991" s="493">
        <f>G992+G995</f>
        <v>0</v>
      </c>
      <c r="H991" s="493">
        <f>H992+H995</f>
        <v>0</v>
      </c>
      <c r="I991" s="204"/>
    </row>
    <row r="992" spans="1:9" ht="31.5" hidden="1" x14ac:dyDescent="0.25">
      <c r="A992" s="496" t="s">
        <v>690</v>
      </c>
      <c r="B992" s="490">
        <v>908</v>
      </c>
      <c r="C992" s="492" t="s">
        <v>234</v>
      </c>
      <c r="D992" s="492" t="s">
        <v>215</v>
      </c>
      <c r="E992" s="492" t="s">
        <v>1327</v>
      </c>
      <c r="F992" s="492"/>
      <c r="G992" s="497">
        <f>'[1]Пр.5 ведом.21'!G980</f>
        <v>0</v>
      </c>
      <c r="H992" s="497">
        <f t="shared" si="88"/>
        <v>0</v>
      </c>
      <c r="I992" s="204"/>
    </row>
    <row r="993" spans="1:9" ht="31.5" hidden="1" x14ac:dyDescent="0.25">
      <c r="A993" s="496" t="s">
        <v>131</v>
      </c>
      <c r="B993" s="490">
        <v>908</v>
      </c>
      <c r="C993" s="492" t="s">
        <v>234</v>
      </c>
      <c r="D993" s="492" t="s">
        <v>215</v>
      </c>
      <c r="E993" s="492" t="s">
        <v>1327</v>
      </c>
      <c r="F993" s="492" t="s">
        <v>132</v>
      </c>
      <c r="G993" s="497">
        <f>'[1]Пр.5 ведом.21'!G981</f>
        <v>0</v>
      </c>
      <c r="H993" s="497">
        <f t="shared" si="88"/>
        <v>0</v>
      </c>
      <c r="I993" s="204"/>
    </row>
    <row r="994" spans="1:9" ht="31.5" hidden="1" x14ac:dyDescent="0.25">
      <c r="A994" s="496" t="s">
        <v>133</v>
      </c>
      <c r="B994" s="490">
        <v>908</v>
      </c>
      <c r="C994" s="492" t="s">
        <v>234</v>
      </c>
      <c r="D994" s="492" t="s">
        <v>215</v>
      </c>
      <c r="E994" s="492" t="s">
        <v>1327</v>
      </c>
      <c r="F994" s="492" t="s">
        <v>134</v>
      </c>
      <c r="G994" s="497">
        <f>'[1]Пр.5 ведом.21'!G982</f>
        <v>0</v>
      </c>
      <c r="H994" s="497">
        <f t="shared" si="88"/>
        <v>0</v>
      </c>
      <c r="I994" s="204"/>
    </row>
    <row r="995" spans="1:9" ht="63" hidden="1" x14ac:dyDescent="0.25">
      <c r="A995" s="496" t="s">
        <v>1070</v>
      </c>
      <c r="B995" s="490">
        <v>908</v>
      </c>
      <c r="C995" s="492" t="s">
        <v>234</v>
      </c>
      <c r="D995" s="492" t="s">
        <v>215</v>
      </c>
      <c r="E995" s="492" t="s">
        <v>1295</v>
      </c>
      <c r="F995" s="492"/>
      <c r="G995" s="497">
        <f>G996</f>
        <v>0</v>
      </c>
      <c r="H995" s="497">
        <f>H996</f>
        <v>0</v>
      </c>
      <c r="I995" s="204"/>
    </row>
    <row r="996" spans="1:9" ht="31.5" hidden="1" x14ac:dyDescent="0.25">
      <c r="A996" s="496" t="s">
        <v>131</v>
      </c>
      <c r="B996" s="490">
        <v>908</v>
      </c>
      <c r="C996" s="492" t="s">
        <v>234</v>
      </c>
      <c r="D996" s="492" t="s">
        <v>215</v>
      </c>
      <c r="E996" s="492" t="s">
        <v>1295</v>
      </c>
      <c r="F996" s="492" t="s">
        <v>132</v>
      </c>
      <c r="G996" s="497">
        <f>G997</f>
        <v>0</v>
      </c>
      <c r="H996" s="497">
        <f>H997</f>
        <v>0</v>
      </c>
      <c r="I996" s="204"/>
    </row>
    <row r="997" spans="1:9" ht="31.5" hidden="1" x14ac:dyDescent="0.25">
      <c r="A997" s="496" t="s">
        <v>133</v>
      </c>
      <c r="B997" s="490">
        <v>908</v>
      </c>
      <c r="C997" s="492" t="s">
        <v>234</v>
      </c>
      <c r="D997" s="492" t="s">
        <v>215</v>
      </c>
      <c r="E997" s="492" t="s">
        <v>1295</v>
      </c>
      <c r="F997" s="492" t="s">
        <v>134</v>
      </c>
      <c r="G997" s="497"/>
      <c r="H997" s="497"/>
      <c r="I997" s="204"/>
    </row>
    <row r="998" spans="1:9" ht="63" x14ac:dyDescent="0.25">
      <c r="A998" s="494" t="s">
        <v>1530</v>
      </c>
      <c r="B998" s="491">
        <v>908</v>
      </c>
      <c r="C998" s="495" t="s">
        <v>234</v>
      </c>
      <c r="D998" s="495" t="s">
        <v>215</v>
      </c>
      <c r="E998" s="495" t="s">
        <v>711</v>
      </c>
      <c r="F998" s="495"/>
      <c r="G998" s="493">
        <f t="shared" ref="G998:H1001" si="89">G999</f>
        <v>500</v>
      </c>
      <c r="H998" s="493">
        <f t="shared" si="89"/>
        <v>500</v>
      </c>
      <c r="I998" s="204"/>
    </row>
    <row r="999" spans="1:9" ht="31.5" x14ac:dyDescent="0.25">
      <c r="A999" s="494" t="s">
        <v>1066</v>
      </c>
      <c r="B999" s="491">
        <v>908</v>
      </c>
      <c r="C999" s="495" t="s">
        <v>234</v>
      </c>
      <c r="D999" s="495" t="s">
        <v>215</v>
      </c>
      <c r="E999" s="495" t="s">
        <v>1087</v>
      </c>
      <c r="F999" s="495"/>
      <c r="G999" s="493">
        <f t="shared" si="89"/>
        <v>500</v>
      </c>
      <c r="H999" s="493">
        <f t="shared" si="89"/>
        <v>500</v>
      </c>
      <c r="I999" s="204"/>
    </row>
    <row r="1000" spans="1:9" ht="47.25" x14ac:dyDescent="0.25">
      <c r="A1000" s="80" t="s">
        <v>693</v>
      </c>
      <c r="B1000" s="490">
        <v>908</v>
      </c>
      <c r="C1000" s="492" t="s">
        <v>234</v>
      </c>
      <c r="D1000" s="492" t="s">
        <v>215</v>
      </c>
      <c r="E1000" s="492" t="s">
        <v>835</v>
      </c>
      <c r="F1000" s="492"/>
      <c r="G1000" s="497">
        <f t="shared" si="89"/>
        <v>500</v>
      </c>
      <c r="H1000" s="497">
        <f t="shared" si="89"/>
        <v>500</v>
      </c>
      <c r="I1000" s="204"/>
    </row>
    <row r="1001" spans="1:9" ht="31.5" x14ac:dyDescent="0.25">
      <c r="A1001" s="496" t="s">
        <v>131</v>
      </c>
      <c r="B1001" s="490">
        <v>908</v>
      </c>
      <c r="C1001" s="492" t="s">
        <v>234</v>
      </c>
      <c r="D1001" s="492" t="s">
        <v>215</v>
      </c>
      <c r="E1001" s="492" t="s">
        <v>835</v>
      </c>
      <c r="F1001" s="492" t="s">
        <v>132</v>
      </c>
      <c r="G1001" s="497">
        <f t="shared" si="89"/>
        <v>500</v>
      </c>
      <c r="H1001" s="497">
        <f t="shared" si="89"/>
        <v>500</v>
      </c>
      <c r="I1001" s="204"/>
    </row>
    <row r="1002" spans="1:9" ht="31.5" x14ac:dyDescent="0.25">
      <c r="A1002" s="496" t="s">
        <v>133</v>
      </c>
      <c r="B1002" s="490">
        <v>908</v>
      </c>
      <c r="C1002" s="492" t="s">
        <v>234</v>
      </c>
      <c r="D1002" s="492" t="s">
        <v>215</v>
      </c>
      <c r="E1002" s="492" t="s">
        <v>835</v>
      </c>
      <c r="F1002" s="492" t="s">
        <v>134</v>
      </c>
      <c r="G1002" s="497">
        <f>500</f>
        <v>500</v>
      </c>
      <c r="H1002" s="497">
        <f t="shared" si="88"/>
        <v>500</v>
      </c>
      <c r="I1002" s="204"/>
    </row>
    <row r="1003" spans="1:9" ht="31.5" x14ac:dyDescent="0.25">
      <c r="A1003" s="494" t="s">
        <v>569</v>
      </c>
      <c r="B1003" s="491">
        <v>908</v>
      </c>
      <c r="C1003" s="495" t="s">
        <v>234</v>
      </c>
      <c r="D1003" s="495" t="s">
        <v>234</v>
      </c>
      <c r="E1003" s="495"/>
      <c r="F1003" s="495"/>
      <c r="G1003" s="493">
        <f>G1004+G1016+G1033</f>
        <v>25304.5</v>
      </c>
      <c r="H1003" s="493">
        <f>H1004+H1016+H1033</f>
        <v>25304.5</v>
      </c>
      <c r="I1003" s="204"/>
    </row>
    <row r="1004" spans="1:9" ht="31.5" x14ac:dyDescent="0.25">
      <c r="A1004" s="494" t="s">
        <v>917</v>
      </c>
      <c r="B1004" s="491">
        <v>908</v>
      </c>
      <c r="C1004" s="495" t="s">
        <v>234</v>
      </c>
      <c r="D1004" s="495" t="s">
        <v>234</v>
      </c>
      <c r="E1004" s="495" t="s">
        <v>858</v>
      </c>
      <c r="F1004" s="495"/>
      <c r="G1004" s="493">
        <f>G1005</f>
        <v>12879.3</v>
      </c>
      <c r="H1004" s="493">
        <f>H1005</f>
        <v>12879.3</v>
      </c>
      <c r="I1004" s="204"/>
    </row>
    <row r="1005" spans="1:9" ht="15.75" x14ac:dyDescent="0.25">
      <c r="A1005" s="494" t="s">
        <v>918</v>
      </c>
      <c r="B1005" s="491">
        <v>908</v>
      </c>
      <c r="C1005" s="495" t="s">
        <v>234</v>
      </c>
      <c r="D1005" s="495" t="s">
        <v>234</v>
      </c>
      <c r="E1005" s="495" t="s">
        <v>859</v>
      </c>
      <c r="F1005" s="495"/>
      <c r="G1005" s="493">
        <f>G1006+G1013</f>
        <v>12879.3</v>
      </c>
      <c r="H1005" s="493">
        <f>H1006+H1013</f>
        <v>12879.3</v>
      </c>
      <c r="I1005" s="204"/>
    </row>
    <row r="1006" spans="1:9" ht="31.5" x14ac:dyDescent="0.25">
      <c r="A1006" s="496" t="s">
        <v>897</v>
      </c>
      <c r="B1006" s="490">
        <v>908</v>
      </c>
      <c r="C1006" s="492" t="s">
        <v>234</v>
      </c>
      <c r="D1006" s="492" t="s">
        <v>234</v>
      </c>
      <c r="E1006" s="492" t="s">
        <v>860</v>
      </c>
      <c r="F1006" s="492"/>
      <c r="G1006" s="497">
        <f>G1007+G1009+G1011</f>
        <v>12511.3</v>
      </c>
      <c r="H1006" s="497">
        <f>H1007+H1009+H1011</f>
        <v>12511.3</v>
      </c>
      <c r="I1006" s="204"/>
    </row>
    <row r="1007" spans="1:9" ht="78.75" x14ac:dyDescent="0.25">
      <c r="A1007" s="496" t="s">
        <v>127</v>
      </c>
      <c r="B1007" s="490">
        <v>908</v>
      </c>
      <c r="C1007" s="492" t="s">
        <v>234</v>
      </c>
      <c r="D1007" s="492" t="s">
        <v>234</v>
      </c>
      <c r="E1007" s="492" t="s">
        <v>860</v>
      </c>
      <c r="F1007" s="492" t="s">
        <v>128</v>
      </c>
      <c r="G1007" s="497">
        <f>G1008</f>
        <v>12439.3</v>
      </c>
      <c r="H1007" s="497">
        <f>H1008</f>
        <v>12439.3</v>
      </c>
      <c r="I1007" s="204"/>
    </row>
    <row r="1008" spans="1:9" ht="31.5" x14ac:dyDescent="0.25">
      <c r="A1008" s="496" t="s">
        <v>129</v>
      </c>
      <c r="B1008" s="490">
        <v>908</v>
      </c>
      <c r="C1008" s="492" t="s">
        <v>234</v>
      </c>
      <c r="D1008" s="492" t="s">
        <v>234</v>
      </c>
      <c r="E1008" s="492" t="s">
        <v>860</v>
      </c>
      <c r="F1008" s="492" t="s">
        <v>130</v>
      </c>
      <c r="G1008" s="497">
        <v>12439.3</v>
      </c>
      <c r="H1008" s="497">
        <f t="shared" si="88"/>
        <v>12439.3</v>
      </c>
      <c r="I1008" s="204"/>
    </row>
    <row r="1009" spans="1:9" ht="31.5" x14ac:dyDescent="0.25">
      <c r="A1009" s="496" t="s">
        <v>131</v>
      </c>
      <c r="B1009" s="490">
        <v>908</v>
      </c>
      <c r="C1009" s="492" t="s">
        <v>234</v>
      </c>
      <c r="D1009" s="492" t="s">
        <v>234</v>
      </c>
      <c r="E1009" s="492" t="s">
        <v>860</v>
      </c>
      <c r="F1009" s="492" t="s">
        <v>132</v>
      </c>
      <c r="G1009" s="497">
        <f>G1010</f>
        <v>25</v>
      </c>
      <c r="H1009" s="497">
        <f>H1010</f>
        <v>25</v>
      </c>
      <c r="I1009" s="204"/>
    </row>
    <row r="1010" spans="1:9" ht="31.5" x14ac:dyDescent="0.25">
      <c r="A1010" s="496" t="s">
        <v>133</v>
      </c>
      <c r="B1010" s="490">
        <v>908</v>
      </c>
      <c r="C1010" s="492" t="s">
        <v>234</v>
      </c>
      <c r="D1010" s="492" t="s">
        <v>234</v>
      </c>
      <c r="E1010" s="492" t="s">
        <v>860</v>
      </c>
      <c r="F1010" s="492" t="s">
        <v>134</v>
      </c>
      <c r="G1010" s="497">
        <f>25</f>
        <v>25</v>
      </c>
      <c r="H1010" s="497">
        <f t="shared" si="88"/>
        <v>25</v>
      </c>
      <c r="I1010" s="204"/>
    </row>
    <row r="1011" spans="1:9" ht="15.75" x14ac:dyDescent="0.25">
      <c r="A1011" s="496" t="s">
        <v>135</v>
      </c>
      <c r="B1011" s="490">
        <v>908</v>
      </c>
      <c r="C1011" s="492" t="s">
        <v>234</v>
      </c>
      <c r="D1011" s="492" t="s">
        <v>234</v>
      </c>
      <c r="E1011" s="492" t="s">
        <v>860</v>
      </c>
      <c r="F1011" s="492" t="s">
        <v>145</v>
      </c>
      <c r="G1011" s="497">
        <f>G1012</f>
        <v>47</v>
      </c>
      <c r="H1011" s="497">
        <f>H1012</f>
        <v>47</v>
      </c>
      <c r="I1011" s="204"/>
    </row>
    <row r="1012" spans="1:9" ht="15.75" x14ac:dyDescent="0.25">
      <c r="A1012" s="496" t="s">
        <v>568</v>
      </c>
      <c r="B1012" s="490">
        <v>908</v>
      </c>
      <c r="C1012" s="492" t="s">
        <v>234</v>
      </c>
      <c r="D1012" s="492" t="s">
        <v>234</v>
      </c>
      <c r="E1012" s="492" t="s">
        <v>860</v>
      </c>
      <c r="F1012" s="492" t="s">
        <v>138</v>
      </c>
      <c r="G1012" s="497">
        <f>47</f>
        <v>47</v>
      </c>
      <c r="H1012" s="497">
        <f t="shared" si="88"/>
        <v>47</v>
      </c>
      <c r="I1012" s="204"/>
    </row>
    <row r="1013" spans="1:9" ht="47.25" x14ac:dyDescent="0.25">
      <c r="A1013" s="496" t="s">
        <v>839</v>
      </c>
      <c r="B1013" s="490">
        <v>908</v>
      </c>
      <c r="C1013" s="492" t="s">
        <v>234</v>
      </c>
      <c r="D1013" s="492" t="s">
        <v>234</v>
      </c>
      <c r="E1013" s="492" t="s">
        <v>862</v>
      </c>
      <c r="F1013" s="492"/>
      <c r="G1013" s="497">
        <f>G1014</f>
        <v>368</v>
      </c>
      <c r="H1013" s="497">
        <f>H1014</f>
        <v>368</v>
      </c>
      <c r="I1013" s="204"/>
    </row>
    <row r="1014" spans="1:9" ht="78.75" x14ac:dyDescent="0.25">
      <c r="A1014" s="496" t="s">
        <v>127</v>
      </c>
      <c r="B1014" s="490">
        <v>908</v>
      </c>
      <c r="C1014" s="492" t="s">
        <v>234</v>
      </c>
      <c r="D1014" s="492" t="s">
        <v>234</v>
      </c>
      <c r="E1014" s="492" t="s">
        <v>862</v>
      </c>
      <c r="F1014" s="492" t="s">
        <v>128</v>
      </c>
      <c r="G1014" s="497">
        <f>G1015</f>
        <v>368</v>
      </c>
      <c r="H1014" s="497">
        <f>H1015</f>
        <v>368</v>
      </c>
      <c r="I1014" s="204"/>
    </row>
    <row r="1015" spans="1:9" ht="31.5" x14ac:dyDescent="0.25">
      <c r="A1015" s="496" t="s">
        <v>129</v>
      </c>
      <c r="B1015" s="490">
        <v>908</v>
      </c>
      <c r="C1015" s="492" t="s">
        <v>234</v>
      </c>
      <c r="D1015" s="492" t="s">
        <v>234</v>
      </c>
      <c r="E1015" s="492" t="s">
        <v>862</v>
      </c>
      <c r="F1015" s="492" t="s">
        <v>130</v>
      </c>
      <c r="G1015" s="497">
        <v>368</v>
      </c>
      <c r="H1015" s="497">
        <f t="shared" si="88"/>
        <v>368</v>
      </c>
      <c r="I1015" s="204"/>
    </row>
    <row r="1016" spans="1:9" ht="15.75" x14ac:dyDescent="0.25">
      <c r="A1016" s="494" t="s">
        <v>141</v>
      </c>
      <c r="B1016" s="491">
        <v>908</v>
      </c>
      <c r="C1016" s="495" t="s">
        <v>234</v>
      </c>
      <c r="D1016" s="495" t="s">
        <v>234</v>
      </c>
      <c r="E1016" s="495" t="s">
        <v>866</v>
      </c>
      <c r="F1016" s="495"/>
      <c r="G1016" s="493">
        <f>G1017+G1024</f>
        <v>12425.2</v>
      </c>
      <c r="H1016" s="493">
        <f>H1017+H1024</f>
        <v>12425.2</v>
      </c>
      <c r="I1016" s="204"/>
    </row>
    <row r="1017" spans="1:9" ht="31.5" x14ac:dyDescent="0.25">
      <c r="A1017" s="494" t="s">
        <v>870</v>
      </c>
      <c r="B1017" s="491">
        <v>908</v>
      </c>
      <c r="C1017" s="495" t="s">
        <v>234</v>
      </c>
      <c r="D1017" s="495" t="s">
        <v>234</v>
      </c>
      <c r="E1017" s="495" t="s">
        <v>865</v>
      </c>
      <c r="F1017" s="495"/>
      <c r="G1017" s="493">
        <f>G1018+G1021</f>
        <v>982</v>
      </c>
      <c r="H1017" s="493">
        <f>H1018+H1021</f>
        <v>982</v>
      </c>
      <c r="I1017" s="204"/>
    </row>
    <row r="1018" spans="1:9" ht="31.5" x14ac:dyDescent="0.25">
      <c r="A1018" s="496" t="s">
        <v>570</v>
      </c>
      <c r="B1018" s="490">
        <v>908</v>
      </c>
      <c r="C1018" s="492" t="s">
        <v>234</v>
      </c>
      <c r="D1018" s="492" t="s">
        <v>234</v>
      </c>
      <c r="E1018" s="492" t="s">
        <v>984</v>
      </c>
      <c r="F1018" s="492"/>
      <c r="G1018" s="497">
        <f>G1019</f>
        <v>982</v>
      </c>
      <c r="H1018" s="497">
        <f>H1019</f>
        <v>982</v>
      </c>
      <c r="I1018" s="204"/>
    </row>
    <row r="1019" spans="1:9" ht="15.75" x14ac:dyDescent="0.25">
      <c r="A1019" s="496" t="s">
        <v>135</v>
      </c>
      <c r="B1019" s="490">
        <v>908</v>
      </c>
      <c r="C1019" s="492" t="s">
        <v>234</v>
      </c>
      <c r="D1019" s="492" t="s">
        <v>234</v>
      </c>
      <c r="E1019" s="492" t="s">
        <v>984</v>
      </c>
      <c r="F1019" s="492" t="s">
        <v>145</v>
      </c>
      <c r="G1019" s="497">
        <f>G1020</f>
        <v>982</v>
      </c>
      <c r="H1019" s="497">
        <f>H1020</f>
        <v>982</v>
      </c>
      <c r="I1019" s="204"/>
    </row>
    <row r="1020" spans="1:9" ht="47.25" x14ac:dyDescent="0.25">
      <c r="A1020" s="496" t="s">
        <v>184</v>
      </c>
      <c r="B1020" s="490">
        <v>908</v>
      </c>
      <c r="C1020" s="492" t="s">
        <v>234</v>
      </c>
      <c r="D1020" s="492" t="s">
        <v>234</v>
      </c>
      <c r="E1020" s="492" t="s">
        <v>984</v>
      </c>
      <c r="F1020" s="492" t="s">
        <v>160</v>
      </c>
      <c r="G1020" s="497">
        <v>982</v>
      </c>
      <c r="H1020" s="497">
        <f t="shared" si="88"/>
        <v>982</v>
      </c>
      <c r="I1020" s="204"/>
    </row>
    <row r="1021" spans="1:9" ht="31.5" hidden="1" x14ac:dyDescent="0.25">
      <c r="A1021" s="496" t="s">
        <v>823</v>
      </c>
      <c r="B1021" s="490">
        <v>908</v>
      </c>
      <c r="C1021" s="492" t="s">
        <v>234</v>
      </c>
      <c r="D1021" s="492" t="s">
        <v>234</v>
      </c>
      <c r="E1021" s="492" t="s">
        <v>1071</v>
      </c>
      <c r="F1021" s="492"/>
      <c r="G1021" s="497">
        <f>'[1]Пр.5 ведом.21'!G1011</f>
        <v>0</v>
      </c>
      <c r="H1021" s="497">
        <f t="shared" si="88"/>
        <v>0</v>
      </c>
      <c r="I1021" s="204"/>
    </row>
    <row r="1022" spans="1:9" ht="15.75" hidden="1" x14ac:dyDescent="0.25">
      <c r="A1022" s="496" t="s">
        <v>135</v>
      </c>
      <c r="B1022" s="490">
        <v>908</v>
      </c>
      <c r="C1022" s="492" t="s">
        <v>234</v>
      </c>
      <c r="D1022" s="492" t="s">
        <v>234</v>
      </c>
      <c r="E1022" s="492" t="s">
        <v>1071</v>
      </c>
      <c r="F1022" s="492" t="s">
        <v>145</v>
      </c>
      <c r="G1022" s="497">
        <f>'[1]Пр.5 ведом.21'!G1012</f>
        <v>0</v>
      </c>
      <c r="H1022" s="497">
        <f t="shared" si="88"/>
        <v>0</v>
      </c>
      <c r="I1022" s="204"/>
    </row>
    <row r="1023" spans="1:9" ht="47.25" hidden="1" x14ac:dyDescent="0.25">
      <c r="A1023" s="496" t="s">
        <v>184</v>
      </c>
      <c r="B1023" s="490">
        <v>908</v>
      </c>
      <c r="C1023" s="492" t="s">
        <v>234</v>
      </c>
      <c r="D1023" s="492" t="s">
        <v>234</v>
      </c>
      <c r="E1023" s="492" t="s">
        <v>1071</v>
      </c>
      <c r="F1023" s="492" t="s">
        <v>160</v>
      </c>
      <c r="G1023" s="497">
        <f>'[1]Пр.5 ведом.21'!G1013</f>
        <v>0</v>
      </c>
      <c r="H1023" s="497">
        <f t="shared" si="88"/>
        <v>0</v>
      </c>
      <c r="I1023" s="204"/>
    </row>
    <row r="1024" spans="1:9" ht="31.5" x14ac:dyDescent="0.25">
      <c r="A1024" s="494" t="s">
        <v>929</v>
      </c>
      <c r="B1024" s="491">
        <v>908</v>
      </c>
      <c r="C1024" s="495" t="s">
        <v>234</v>
      </c>
      <c r="D1024" s="495" t="s">
        <v>234</v>
      </c>
      <c r="E1024" s="495" t="s">
        <v>914</v>
      </c>
      <c r="F1024" s="495"/>
      <c r="G1024" s="44">
        <f>G1025+G1030</f>
        <v>11443.2</v>
      </c>
      <c r="H1024" s="44">
        <f>H1025+H1030</f>
        <v>11443.2</v>
      </c>
      <c r="I1024" s="204"/>
    </row>
    <row r="1025" spans="1:9" ht="31.5" x14ac:dyDescent="0.25">
      <c r="A1025" s="496" t="s">
        <v>903</v>
      </c>
      <c r="B1025" s="490">
        <v>908</v>
      </c>
      <c r="C1025" s="492" t="s">
        <v>234</v>
      </c>
      <c r="D1025" s="492" t="s">
        <v>234</v>
      </c>
      <c r="E1025" s="492" t="s">
        <v>915</v>
      </c>
      <c r="F1025" s="492"/>
      <c r="G1025" s="497">
        <f>G1026+G1028</f>
        <v>10845.2</v>
      </c>
      <c r="H1025" s="497">
        <f>H1026+H1028</f>
        <v>10845.2</v>
      </c>
      <c r="I1025" s="204"/>
    </row>
    <row r="1026" spans="1:9" ht="78.75" x14ac:dyDescent="0.25">
      <c r="A1026" s="496" t="s">
        <v>127</v>
      </c>
      <c r="B1026" s="490">
        <v>908</v>
      </c>
      <c r="C1026" s="492" t="s">
        <v>234</v>
      </c>
      <c r="D1026" s="492" t="s">
        <v>234</v>
      </c>
      <c r="E1026" s="492" t="s">
        <v>915</v>
      </c>
      <c r="F1026" s="492" t="s">
        <v>128</v>
      </c>
      <c r="G1026" s="497">
        <f>G1027</f>
        <v>9193</v>
      </c>
      <c r="H1026" s="497">
        <f>H1027</f>
        <v>9193</v>
      </c>
      <c r="I1026" s="204"/>
    </row>
    <row r="1027" spans="1:9" ht="31.5" x14ac:dyDescent="0.25">
      <c r="A1027" s="496" t="s">
        <v>342</v>
      </c>
      <c r="B1027" s="490">
        <v>908</v>
      </c>
      <c r="C1027" s="492" t="s">
        <v>234</v>
      </c>
      <c r="D1027" s="492" t="s">
        <v>234</v>
      </c>
      <c r="E1027" s="492" t="s">
        <v>915</v>
      </c>
      <c r="F1027" s="492" t="s">
        <v>209</v>
      </c>
      <c r="G1027" s="497">
        <v>9193</v>
      </c>
      <c r="H1027" s="497">
        <f t="shared" si="88"/>
        <v>9193</v>
      </c>
      <c r="I1027" s="204"/>
    </row>
    <row r="1028" spans="1:9" ht="31.5" x14ac:dyDescent="0.25">
      <c r="A1028" s="496" t="s">
        <v>131</v>
      </c>
      <c r="B1028" s="490">
        <v>908</v>
      </c>
      <c r="C1028" s="492" t="s">
        <v>234</v>
      </c>
      <c r="D1028" s="492" t="s">
        <v>234</v>
      </c>
      <c r="E1028" s="492" t="s">
        <v>915</v>
      </c>
      <c r="F1028" s="492" t="s">
        <v>132</v>
      </c>
      <c r="G1028" s="497">
        <f>G1029</f>
        <v>1652.2</v>
      </c>
      <c r="H1028" s="497">
        <f>H1029</f>
        <v>1652.2</v>
      </c>
      <c r="I1028" s="204"/>
    </row>
    <row r="1029" spans="1:9" ht="31.5" x14ac:dyDescent="0.25">
      <c r="A1029" s="496" t="s">
        <v>133</v>
      </c>
      <c r="B1029" s="490">
        <v>908</v>
      </c>
      <c r="C1029" s="492" t="s">
        <v>234</v>
      </c>
      <c r="D1029" s="492" t="s">
        <v>234</v>
      </c>
      <c r="E1029" s="492" t="s">
        <v>915</v>
      </c>
      <c r="F1029" s="492" t="s">
        <v>134</v>
      </c>
      <c r="G1029" s="497">
        <v>1652.2</v>
      </c>
      <c r="H1029" s="497">
        <f t="shared" si="88"/>
        <v>1652.2</v>
      </c>
      <c r="I1029" s="204"/>
    </row>
    <row r="1030" spans="1:9" ht="47.25" x14ac:dyDescent="0.25">
      <c r="A1030" s="496" t="s">
        <v>839</v>
      </c>
      <c r="B1030" s="490">
        <v>908</v>
      </c>
      <c r="C1030" s="492" t="s">
        <v>234</v>
      </c>
      <c r="D1030" s="492" t="s">
        <v>234</v>
      </c>
      <c r="E1030" s="492" t="s">
        <v>916</v>
      </c>
      <c r="F1030" s="492"/>
      <c r="G1030" s="497">
        <f>G1031</f>
        <v>598</v>
      </c>
      <c r="H1030" s="497">
        <f>H1031</f>
        <v>598</v>
      </c>
      <c r="I1030" s="204"/>
    </row>
    <row r="1031" spans="1:9" ht="78.75" x14ac:dyDescent="0.25">
      <c r="A1031" s="496" t="s">
        <v>127</v>
      </c>
      <c r="B1031" s="490">
        <v>908</v>
      </c>
      <c r="C1031" s="492" t="s">
        <v>234</v>
      </c>
      <c r="D1031" s="492" t="s">
        <v>234</v>
      </c>
      <c r="E1031" s="492" t="s">
        <v>916</v>
      </c>
      <c r="F1031" s="492" t="s">
        <v>128</v>
      </c>
      <c r="G1031" s="497">
        <f>G1032</f>
        <v>598</v>
      </c>
      <c r="H1031" s="497">
        <f>H1032</f>
        <v>598</v>
      </c>
      <c r="I1031" s="204"/>
    </row>
    <row r="1032" spans="1:9" ht="23.25" customHeight="1" x14ac:dyDescent="0.25">
      <c r="A1032" s="496" t="s">
        <v>342</v>
      </c>
      <c r="B1032" s="490">
        <v>908</v>
      </c>
      <c r="C1032" s="492" t="s">
        <v>234</v>
      </c>
      <c r="D1032" s="492" t="s">
        <v>234</v>
      </c>
      <c r="E1032" s="492" t="s">
        <v>916</v>
      </c>
      <c r="F1032" s="492" t="s">
        <v>209</v>
      </c>
      <c r="G1032" s="497">
        <v>598</v>
      </c>
      <c r="H1032" s="497">
        <f t="shared" si="88"/>
        <v>598</v>
      </c>
      <c r="I1032" s="204"/>
    </row>
    <row r="1033" spans="1:9" ht="47.25" hidden="1" x14ac:dyDescent="0.25">
      <c r="A1033" s="34" t="s">
        <v>1357</v>
      </c>
      <c r="B1033" s="491">
        <v>908</v>
      </c>
      <c r="C1033" s="495" t="s">
        <v>234</v>
      </c>
      <c r="D1033" s="495" t="s">
        <v>234</v>
      </c>
      <c r="E1033" s="495" t="s">
        <v>324</v>
      </c>
      <c r="F1033" s="495"/>
      <c r="G1033" s="493">
        <f t="shared" ref="G1033:H1036" si="90">G1034</f>
        <v>0</v>
      </c>
      <c r="H1033" s="493">
        <f t="shared" si="90"/>
        <v>0</v>
      </c>
      <c r="I1033" s="204"/>
    </row>
    <row r="1034" spans="1:9" ht="63" hidden="1" x14ac:dyDescent="0.25">
      <c r="A1034" s="34" t="s">
        <v>1009</v>
      </c>
      <c r="B1034" s="491">
        <v>908</v>
      </c>
      <c r="C1034" s="495" t="s">
        <v>234</v>
      </c>
      <c r="D1034" s="495" t="s">
        <v>234</v>
      </c>
      <c r="E1034" s="495" t="s">
        <v>934</v>
      </c>
      <c r="F1034" s="495"/>
      <c r="G1034" s="493">
        <f t="shared" si="90"/>
        <v>0</v>
      </c>
      <c r="H1034" s="493">
        <f t="shared" si="90"/>
        <v>0</v>
      </c>
      <c r="I1034" s="204"/>
    </row>
    <row r="1035" spans="1:9" ht="47.25" hidden="1" x14ac:dyDescent="0.25">
      <c r="A1035" s="31" t="s">
        <v>1080</v>
      </c>
      <c r="B1035" s="490">
        <v>908</v>
      </c>
      <c r="C1035" s="492" t="s">
        <v>234</v>
      </c>
      <c r="D1035" s="492" t="s">
        <v>234</v>
      </c>
      <c r="E1035" s="492" t="s">
        <v>1026</v>
      </c>
      <c r="F1035" s="492"/>
      <c r="G1035" s="497">
        <f t="shared" si="90"/>
        <v>0</v>
      </c>
      <c r="H1035" s="497">
        <f t="shared" si="90"/>
        <v>0</v>
      </c>
      <c r="I1035" s="204"/>
    </row>
    <row r="1036" spans="1:9" ht="31.5" hidden="1" x14ac:dyDescent="0.25">
      <c r="A1036" s="496" t="s">
        <v>131</v>
      </c>
      <c r="B1036" s="490">
        <v>908</v>
      </c>
      <c r="C1036" s="492" t="s">
        <v>234</v>
      </c>
      <c r="D1036" s="492" t="s">
        <v>234</v>
      </c>
      <c r="E1036" s="492" t="s">
        <v>1026</v>
      </c>
      <c r="F1036" s="492" t="s">
        <v>132</v>
      </c>
      <c r="G1036" s="497">
        <f t="shared" si="90"/>
        <v>0</v>
      </c>
      <c r="H1036" s="497">
        <f t="shared" si="90"/>
        <v>0</v>
      </c>
      <c r="I1036" s="204"/>
    </row>
    <row r="1037" spans="1:9" ht="31.5" hidden="1" x14ac:dyDescent="0.25">
      <c r="A1037" s="496" t="s">
        <v>133</v>
      </c>
      <c r="B1037" s="490">
        <v>908</v>
      </c>
      <c r="C1037" s="492" t="s">
        <v>234</v>
      </c>
      <c r="D1037" s="492" t="s">
        <v>234</v>
      </c>
      <c r="E1037" s="492" t="s">
        <v>1026</v>
      </c>
      <c r="F1037" s="492" t="s">
        <v>134</v>
      </c>
      <c r="G1037" s="497">
        <v>0</v>
      </c>
      <c r="H1037" s="497">
        <v>0</v>
      </c>
      <c r="I1037" s="204"/>
    </row>
    <row r="1038" spans="1:9" ht="15.75" x14ac:dyDescent="0.25">
      <c r="A1038" s="494" t="s">
        <v>243</v>
      </c>
      <c r="B1038" s="491">
        <v>908</v>
      </c>
      <c r="C1038" s="495" t="s">
        <v>244</v>
      </c>
      <c r="D1038" s="495"/>
      <c r="E1038" s="495"/>
      <c r="F1038" s="495"/>
      <c r="G1038" s="493">
        <f t="shared" ref="G1038:H1042" si="91">G1039</f>
        <v>87</v>
      </c>
      <c r="H1038" s="493">
        <f t="shared" si="91"/>
        <v>87</v>
      </c>
      <c r="I1038" s="204"/>
    </row>
    <row r="1039" spans="1:9" ht="15.75" x14ac:dyDescent="0.25">
      <c r="A1039" s="494" t="s">
        <v>258</v>
      </c>
      <c r="B1039" s="491">
        <v>908</v>
      </c>
      <c r="C1039" s="495" t="s">
        <v>244</v>
      </c>
      <c r="D1039" s="495" t="s">
        <v>120</v>
      </c>
      <c r="E1039" s="495"/>
      <c r="F1039" s="495"/>
      <c r="G1039" s="493">
        <f t="shared" si="91"/>
        <v>87</v>
      </c>
      <c r="H1039" s="493">
        <f t="shared" si="91"/>
        <v>87</v>
      </c>
      <c r="I1039" s="204"/>
    </row>
    <row r="1040" spans="1:9" ht="15.75" x14ac:dyDescent="0.25">
      <c r="A1040" s="494" t="s">
        <v>141</v>
      </c>
      <c r="B1040" s="491">
        <v>908</v>
      </c>
      <c r="C1040" s="495" t="s">
        <v>244</v>
      </c>
      <c r="D1040" s="495" t="s">
        <v>120</v>
      </c>
      <c r="E1040" s="495" t="s">
        <v>866</v>
      </c>
      <c r="F1040" s="495"/>
      <c r="G1040" s="493">
        <f t="shared" si="91"/>
        <v>87</v>
      </c>
      <c r="H1040" s="493">
        <f t="shared" si="91"/>
        <v>87</v>
      </c>
      <c r="I1040" s="204"/>
    </row>
    <row r="1041" spans="1:9" ht="15.75" x14ac:dyDescent="0.25">
      <c r="A1041" s="494" t="s">
        <v>141</v>
      </c>
      <c r="B1041" s="491">
        <v>908</v>
      </c>
      <c r="C1041" s="495" t="s">
        <v>244</v>
      </c>
      <c r="D1041" s="495" t="s">
        <v>120</v>
      </c>
      <c r="E1041" s="495" t="s">
        <v>865</v>
      </c>
      <c r="F1041" s="495"/>
      <c r="G1041" s="493">
        <f t="shared" si="91"/>
        <v>87</v>
      </c>
      <c r="H1041" s="493">
        <f t="shared" si="91"/>
        <v>87</v>
      </c>
      <c r="I1041" s="204"/>
    </row>
    <row r="1042" spans="1:9" ht="31.5" x14ac:dyDescent="0.25">
      <c r="A1042" s="494" t="s">
        <v>870</v>
      </c>
      <c r="B1042" s="491">
        <v>908</v>
      </c>
      <c r="C1042" s="495" t="s">
        <v>244</v>
      </c>
      <c r="D1042" s="495" t="s">
        <v>120</v>
      </c>
      <c r="E1042" s="495" t="s">
        <v>865</v>
      </c>
      <c r="F1042" s="495"/>
      <c r="G1042" s="493">
        <f t="shared" si="91"/>
        <v>87</v>
      </c>
      <c r="H1042" s="493">
        <f t="shared" si="91"/>
        <v>87</v>
      </c>
      <c r="I1042" s="204"/>
    </row>
    <row r="1043" spans="1:9" ht="15.75" x14ac:dyDescent="0.25">
      <c r="A1043" s="496" t="s">
        <v>572</v>
      </c>
      <c r="B1043" s="490">
        <v>908</v>
      </c>
      <c r="C1043" s="492" t="s">
        <v>244</v>
      </c>
      <c r="D1043" s="492" t="s">
        <v>120</v>
      </c>
      <c r="E1043" s="492" t="s">
        <v>985</v>
      </c>
      <c r="F1043" s="492"/>
      <c r="G1043" s="497">
        <f>G1044</f>
        <v>87</v>
      </c>
      <c r="H1043" s="497">
        <f>H1044</f>
        <v>87</v>
      </c>
      <c r="I1043" s="204"/>
    </row>
    <row r="1044" spans="1:9" ht="31.5" x14ac:dyDescent="0.25">
      <c r="A1044" s="496" t="s">
        <v>131</v>
      </c>
      <c r="B1044" s="490">
        <v>908</v>
      </c>
      <c r="C1044" s="492" t="s">
        <v>244</v>
      </c>
      <c r="D1044" s="492" t="s">
        <v>120</v>
      </c>
      <c r="E1044" s="492" t="s">
        <v>985</v>
      </c>
      <c r="F1044" s="492" t="s">
        <v>132</v>
      </c>
      <c r="G1044" s="497">
        <f>G1045</f>
        <v>87</v>
      </c>
      <c r="H1044" s="497">
        <f>H1045</f>
        <v>87</v>
      </c>
      <c r="I1044" s="204"/>
    </row>
    <row r="1045" spans="1:9" ht="31.5" x14ac:dyDescent="0.25">
      <c r="A1045" s="496" t="s">
        <v>133</v>
      </c>
      <c r="B1045" s="490">
        <v>908</v>
      </c>
      <c r="C1045" s="492" t="s">
        <v>244</v>
      </c>
      <c r="D1045" s="492" t="s">
        <v>120</v>
      </c>
      <c r="E1045" s="492" t="s">
        <v>985</v>
      </c>
      <c r="F1045" s="492" t="s">
        <v>134</v>
      </c>
      <c r="G1045" s="497">
        <f>87</f>
        <v>87</v>
      </c>
      <c r="H1045" s="497">
        <f t="shared" ref="H1045:H1093" si="92">G1045</f>
        <v>87</v>
      </c>
      <c r="I1045" s="204"/>
    </row>
    <row r="1046" spans="1:9" ht="31.5" x14ac:dyDescent="0.25">
      <c r="A1046" s="491" t="s">
        <v>1371</v>
      </c>
      <c r="B1046" s="491">
        <v>910</v>
      </c>
      <c r="C1046" s="47"/>
      <c r="D1046" s="47"/>
      <c r="E1046" s="47"/>
      <c r="F1046" s="47"/>
      <c r="G1046" s="493">
        <f>G1047</f>
        <v>7286.5</v>
      </c>
      <c r="H1046" s="493">
        <f>H1047</f>
        <v>7286.5</v>
      </c>
      <c r="I1046" s="204"/>
    </row>
    <row r="1047" spans="1:9" ht="15.75" x14ac:dyDescent="0.25">
      <c r="A1047" s="494" t="s">
        <v>117</v>
      </c>
      <c r="B1047" s="491">
        <v>910</v>
      </c>
      <c r="C1047" s="495" t="s">
        <v>118</v>
      </c>
      <c r="D1047" s="495"/>
      <c r="E1047" s="495"/>
      <c r="F1047" s="495"/>
      <c r="G1047" s="493">
        <f>G1048+G1067+G1083</f>
        <v>7286.5</v>
      </c>
      <c r="H1047" s="493">
        <f>H1048+H1067+H1083</f>
        <v>7286.5</v>
      </c>
      <c r="I1047" s="204"/>
    </row>
    <row r="1048" spans="1:9" ht="47.25" hidden="1" x14ac:dyDescent="0.25">
      <c r="A1048" s="494" t="s">
        <v>575</v>
      </c>
      <c r="B1048" s="491">
        <v>910</v>
      </c>
      <c r="C1048" s="495" t="s">
        <v>118</v>
      </c>
      <c r="D1048" s="495" t="s">
        <v>213</v>
      </c>
      <c r="E1048" s="495"/>
      <c r="F1048" s="495"/>
      <c r="G1048" s="493">
        <f>G1049+G1059</f>
        <v>0</v>
      </c>
      <c r="H1048" s="493">
        <f>H1049+H1059</f>
        <v>0</v>
      </c>
      <c r="I1048" s="204"/>
    </row>
    <row r="1049" spans="1:9" ht="31.5" hidden="1" x14ac:dyDescent="0.25">
      <c r="A1049" s="494" t="s">
        <v>917</v>
      </c>
      <c r="B1049" s="491">
        <v>910</v>
      </c>
      <c r="C1049" s="495" t="s">
        <v>118</v>
      </c>
      <c r="D1049" s="495" t="s">
        <v>213</v>
      </c>
      <c r="E1049" s="495" t="s">
        <v>858</v>
      </c>
      <c r="F1049" s="495"/>
      <c r="G1049" s="493">
        <f>G1050</f>
        <v>0</v>
      </c>
      <c r="H1049" s="493">
        <f>H1050</f>
        <v>0</v>
      </c>
      <c r="I1049" s="204"/>
    </row>
    <row r="1050" spans="1:9" ht="31.5" hidden="1" x14ac:dyDescent="0.25">
      <c r="A1050" s="494" t="s">
        <v>986</v>
      </c>
      <c r="B1050" s="491">
        <v>910</v>
      </c>
      <c r="C1050" s="495" t="s">
        <v>118</v>
      </c>
      <c r="D1050" s="495" t="s">
        <v>213</v>
      </c>
      <c r="E1050" s="495" t="s">
        <v>987</v>
      </c>
      <c r="F1050" s="495"/>
      <c r="G1050" s="493">
        <f>G1051+G1056</f>
        <v>0</v>
      </c>
      <c r="H1050" s="493">
        <f>H1051+H1056</f>
        <v>0</v>
      </c>
      <c r="I1050" s="204"/>
    </row>
    <row r="1051" spans="1:9" ht="31.5" hidden="1" x14ac:dyDescent="0.25">
      <c r="A1051" s="496" t="s">
        <v>576</v>
      </c>
      <c r="B1051" s="490">
        <v>910</v>
      </c>
      <c r="C1051" s="492" t="s">
        <v>118</v>
      </c>
      <c r="D1051" s="492" t="s">
        <v>213</v>
      </c>
      <c r="E1051" s="492" t="s">
        <v>988</v>
      </c>
      <c r="F1051" s="492"/>
      <c r="G1051" s="497">
        <f>G1052+G1054</f>
        <v>0</v>
      </c>
      <c r="H1051" s="497">
        <f>H1052+H1054</f>
        <v>0</v>
      </c>
      <c r="I1051" s="204"/>
    </row>
    <row r="1052" spans="1:9" ht="78.75" hidden="1" x14ac:dyDescent="0.25">
      <c r="A1052" s="496" t="s">
        <v>127</v>
      </c>
      <c r="B1052" s="490">
        <v>910</v>
      </c>
      <c r="C1052" s="492" t="s">
        <v>118</v>
      </c>
      <c r="D1052" s="492" t="s">
        <v>213</v>
      </c>
      <c r="E1052" s="492" t="s">
        <v>988</v>
      </c>
      <c r="F1052" s="492" t="s">
        <v>128</v>
      </c>
      <c r="G1052" s="497">
        <f>G1053</f>
        <v>0</v>
      </c>
      <c r="H1052" s="497">
        <f>H1053</f>
        <v>0</v>
      </c>
      <c r="I1052" s="204"/>
    </row>
    <row r="1053" spans="1:9" ht="31.5" hidden="1" x14ac:dyDescent="0.25">
      <c r="A1053" s="496" t="s">
        <v>129</v>
      </c>
      <c r="B1053" s="490">
        <v>910</v>
      </c>
      <c r="C1053" s="492" t="s">
        <v>118</v>
      </c>
      <c r="D1053" s="492" t="s">
        <v>213</v>
      </c>
      <c r="E1053" s="492" t="s">
        <v>988</v>
      </c>
      <c r="F1053" s="492" t="s">
        <v>130</v>
      </c>
      <c r="G1053" s="497">
        <v>0</v>
      </c>
      <c r="H1053" s="497">
        <v>0</v>
      </c>
      <c r="I1053" s="204"/>
    </row>
    <row r="1054" spans="1:9" ht="31.5" hidden="1" x14ac:dyDescent="0.25">
      <c r="A1054" s="496" t="s">
        <v>198</v>
      </c>
      <c r="B1054" s="490">
        <v>910</v>
      </c>
      <c r="C1054" s="492" t="s">
        <v>118</v>
      </c>
      <c r="D1054" s="492" t="s">
        <v>213</v>
      </c>
      <c r="E1054" s="492" t="s">
        <v>988</v>
      </c>
      <c r="F1054" s="492" t="s">
        <v>132</v>
      </c>
      <c r="G1054" s="497">
        <f>G1055</f>
        <v>0</v>
      </c>
      <c r="H1054" s="497">
        <f>H1055</f>
        <v>0</v>
      </c>
      <c r="I1054" s="204"/>
    </row>
    <row r="1055" spans="1:9" ht="31.5" hidden="1" x14ac:dyDescent="0.25">
      <c r="A1055" s="496" t="s">
        <v>133</v>
      </c>
      <c r="B1055" s="490">
        <v>910</v>
      </c>
      <c r="C1055" s="492" t="s">
        <v>118</v>
      </c>
      <c r="D1055" s="492" t="s">
        <v>213</v>
      </c>
      <c r="E1055" s="492" t="s">
        <v>988</v>
      </c>
      <c r="F1055" s="492" t="s">
        <v>134</v>
      </c>
      <c r="G1055" s="497">
        <v>0</v>
      </c>
      <c r="H1055" s="497">
        <v>0</v>
      </c>
      <c r="I1055" s="204"/>
    </row>
    <row r="1056" spans="1:9" ht="47.25" hidden="1" x14ac:dyDescent="0.25">
      <c r="A1056" s="496" t="s">
        <v>839</v>
      </c>
      <c r="B1056" s="490">
        <v>910</v>
      </c>
      <c r="C1056" s="492" t="s">
        <v>118</v>
      </c>
      <c r="D1056" s="492" t="s">
        <v>213</v>
      </c>
      <c r="E1056" s="492" t="s">
        <v>989</v>
      </c>
      <c r="F1056" s="492"/>
      <c r="G1056" s="497">
        <f>G1057</f>
        <v>0</v>
      </c>
      <c r="H1056" s="497">
        <f>H1057</f>
        <v>0</v>
      </c>
      <c r="I1056" s="204"/>
    </row>
    <row r="1057" spans="1:9" ht="78.75" hidden="1" x14ac:dyDescent="0.25">
      <c r="A1057" s="496" t="s">
        <v>127</v>
      </c>
      <c r="B1057" s="490">
        <v>910</v>
      </c>
      <c r="C1057" s="492" t="s">
        <v>118</v>
      </c>
      <c r="D1057" s="492" t="s">
        <v>213</v>
      </c>
      <c r="E1057" s="492" t="s">
        <v>989</v>
      </c>
      <c r="F1057" s="492" t="s">
        <v>128</v>
      </c>
      <c r="G1057" s="497">
        <f>G1058</f>
        <v>0</v>
      </c>
      <c r="H1057" s="497">
        <f>H1058</f>
        <v>0</v>
      </c>
      <c r="I1057" s="204"/>
    </row>
    <row r="1058" spans="1:9" ht="31.5" hidden="1" x14ac:dyDescent="0.25">
      <c r="A1058" s="496" t="s">
        <v>129</v>
      </c>
      <c r="B1058" s="490">
        <v>910</v>
      </c>
      <c r="C1058" s="492" t="s">
        <v>118</v>
      </c>
      <c r="D1058" s="492" t="s">
        <v>213</v>
      </c>
      <c r="E1058" s="492" t="s">
        <v>989</v>
      </c>
      <c r="F1058" s="492" t="s">
        <v>130</v>
      </c>
      <c r="G1058" s="497">
        <v>0</v>
      </c>
      <c r="H1058" s="497">
        <v>0</v>
      </c>
      <c r="I1058" s="204"/>
    </row>
    <row r="1059" spans="1:9" ht="47.25" hidden="1" x14ac:dyDescent="0.25">
      <c r="A1059" s="494" t="s">
        <v>1178</v>
      </c>
      <c r="B1059" s="491">
        <v>910</v>
      </c>
      <c r="C1059" s="495" t="s">
        <v>118</v>
      </c>
      <c r="D1059" s="495" t="s">
        <v>213</v>
      </c>
      <c r="E1059" s="495" t="s">
        <v>162</v>
      </c>
      <c r="F1059" s="495"/>
      <c r="G1059" s="493">
        <f>G1060</f>
        <v>0</v>
      </c>
      <c r="H1059" s="493">
        <f>H1060</f>
        <v>0</v>
      </c>
      <c r="I1059" s="204"/>
    </row>
    <row r="1060" spans="1:9" ht="63" hidden="1" x14ac:dyDescent="0.25">
      <c r="A1060" s="220" t="s">
        <v>843</v>
      </c>
      <c r="B1060" s="491">
        <v>910</v>
      </c>
      <c r="C1060" s="495" t="s">
        <v>118</v>
      </c>
      <c r="D1060" s="495" t="s">
        <v>213</v>
      </c>
      <c r="E1060" s="495" t="s">
        <v>850</v>
      </c>
      <c r="F1060" s="495"/>
      <c r="G1060" s="493">
        <f>G1061+G1064</f>
        <v>0</v>
      </c>
      <c r="H1060" s="493">
        <f>H1061+H1064</f>
        <v>0</v>
      </c>
      <c r="I1060" s="204"/>
    </row>
    <row r="1061" spans="1:9" ht="47.25" hidden="1" x14ac:dyDescent="0.25">
      <c r="A1061" s="31" t="s">
        <v>695</v>
      </c>
      <c r="B1061" s="490">
        <v>910</v>
      </c>
      <c r="C1061" s="492" t="s">
        <v>118</v>
      </c>
      <c r="D1061" s="492" t="s">
        <v>213</v>
      </c>
      <c r="E1061" s="499" t="s">
        <v>993</v>
      </c>
      <c r="F1061" s="492"/>
      <c r="G1061" s="497">
        <f>G1062</f>
        <v>0</v>
      </c>
      <c r="H1061" s="497">
        <f>H1062</f>
        <v>0</v>
      </c>
      <c r="I1061" s="204"/>
    </row>
    <row r="1062" spans="1:9" ht="31.5" hidden="1" x14ac:dyDescent="0.25">
      <c r="A1062" s="496" t="s">
        <v>131</v>
      </c>
      <c r="B1062" s="490">
        <v>910</v>
      </c>
      <c r="C1062" s="492" t="s">
        <v>118</v>
      </c>
      <c r="D1062" s="492" t="s">
        <v>213</v>
      </c>
      <c r="E1062" s="499" t="s">
        <v>993</v>
      </c>
      <c r="F1062" s="492" t="s">
        <v>132</v>
      </c>
      <c r="G1062" s="497">
        <f>G1063</f>
        <v>0</v>
      </c>
      <c r="H1062" s="497">
        <f>H1063</f>
        <v>0</v>
      </c>
      <c r="I1062" s="204"/>
    </row>
    <row r="1063" spans="1:9" ht="31.5" hidden="1" x14ac:dyDescent="0.25">
      <c r="A1063" s="496" t="s">
        <v>133</v>
      </c>
      <c r="B1063" s="490">
        <v>910</v>
      </c>
      <c r="C1063" s="492" t="s">
        <v>118</v>
      </c>
      <c r="D1063" s="492" t="s">
        <v>213</v>
      </c>
      <c r="E1063" s="499" t="s">
        <v>696</v>
      </c>
      <c r="F1063" s="492" t="s">
        <v>134</v>
      </c>
      <c r="G1063" s="497">
        <v>0</v>
      </c>
      <c r="H1063" s="497">
        <v>0</v>
      </c>
      <c r="I1063" s="204"/>
    </row>
    <row r="1064" spans="1:9" ht="47.25" hidden="1" x14ac:dyDescent="0.25">
      <c r="A1064" s="31" t="s">
        <v>695</v>
      </c>
      <c r="B1064" s="490">
        <v>910</v>
      </c>
      <c r="C1064" s="492" t="s">
        <v>118</v>
      </c>
      <c r="D1064" s="492" t="s">
        <v>213</v>
      </c>
      <c r="E1064" s="492" t="s">
        <v>992</v>
      </c>
      <c r="F1064" s="492"/>
      <c r="G1064" s="497">
        <f>G1065</f>
        <v>0</v>
      </c>
      <c r="H1064" s="497">
        <f>H1065</f>
        <v>0</v>
      </c>
      <c r="I1064" s="204"/>
    </row>
    <row r="1065" spans="1:9" ht="31.5" hidden="1" x14ac:dyDescent="0.25">
      <c r="A1065" s="496" t="s">
        <v>131</v>
      </c>
      <c r="B1065" s="490">
        <v>910</v>
      </c>
      <c r="C1065" s="492" t="s">
        <v>118</v>
      </c>
      <c r="D1065" s="492" t="s">
        <v>213</v>
      </c>
      <c r="E1065" s="492" t="s">
        <v>992</v>
      </c>
      <c r="F1065" s="492" t="s">
        <v>132</v>
      </c>
      <c r="G1065" s="497">
        <f>G1066</f>
        <v>0</v>
      </c>
      <c r="H1065" s="497">
        <f>H1066</f>
        <v>0</v>
      </c>
      <c r="I1065" s="204"/>
    </row>
    <row r="1066" spans="1:9" ht="31.5" hidden="1" x14ac:dyDescent="0.25">
      <c r="A1066" s="496" t="s">
        <v>133</v>
      </c>
      <c r="B1066" s="490">
        <v>910</v>
      </c>
      <c r="C1066" s="492" t="s">
        <v>118</v>
      </c>
      <c r="D1066" s="492" t="s">
        <v>213</v>
      </c>
      <c r="E1066" s="492" t="s">
        <v>992</v>
      </c>
      <c r="F1066" s="492" t="s">
        <v>134</v>
      </c>
      <c r="G1066" s="497">
        <v>0</v>
      </c>
      <c r="H1066" s="497">
        <v>0</v>
      </c>
      <c r="I1066" s="204"/>
    </row>
    <row r="1067" spans="1:9" ht="63" x14ac:dyDescent="0.25">
      <c r="A1067" s="494" t="s">
        <v>578</v>
      </c>
      <c r="B1067" s="491">
        <v>910</v>
      </c>
      <c r="C1067" s="495" t="s">
        <v>118</v>
      </c>
      <c r="D1067" s="495" t="s">
        <v>215</v>
      </c>
      <c r="E1067" s="495"/>
      <c r="F1067" s="495"/>
      <c r="G1067" s="493">
        <f>G1068</f>
        <v>5488</v>
      </c>
      <c r="H1067" s="493">
        <f>H1068</f>
        <v>5488</v>
      </c>
      <c r="I1067" s="204"/>
    </row>
    <row r="1068" spans="1:9" ht="31.5" x14ac:dyDescent="0.25">
      <c r="A1068" s="494" t="s">
        <v>917</v>
      </c>
      <c r="B1068" s="491">
        <v>910</v>
      </c>
      <c r="C1068" s="495" t="s">
        <v>118</v>
      </c>
      <c r="D1068" s="495" t="s">
        <v>215</v>
      </c>
      <c r="E1068" s="495" t="s">
        <v>858</v>
      </c>
      <c r="F1068" s="495"/>
      <c r="G1068" s="493">
        <f>G1069</f>
        <v>5488</v>
      </c>
      <c r="H1068" s="493">
        <f>H1069</f>
        <v>5488</v>
      </c>
      <c r="I1068" s="204"/>
    </row>
    <row r="1069" spans="1:9" ht="31.5" x14ac:dyDescent="0.25">
      <c r="A1069" s="494" t="s">
        <v>986</v>
      </c>
      <c r="B1069" s="491">
        <v>910</v>
      </c>
      <c r="C1069" s="495" t="s">
        <v>118</v>
      </c>
      <c r="D1069" s="495" t="s">
        <v>215</v>
      </c>
      <c r="E1069" s="495" t="s">
        <v>987</v>
      </c>
      <c r="F1069" s="495"/>
      <c r="G1069" s="493">
        <f>G1075+G1080+G1070</f>
        <v>5488</v>
      </c>
      <c r="H1069" s="493">
        <f>H1075+H1080+H1070</f>
        <v>5488</v>
      </c>
      <c r="I1069" s="204"/>
    </row>
    <row r="1070" spans="1:9" ht="47.25" x14ac:dyDescent="0.25">
      <c r="A1070" s="291" t="s">
        <v>1363</v>
      </c>
      <c r="B1070" s="490">
        <v>910</v>
      </c>
      <c r="C1070" s="492" t="s">
        <v>118</v>
      </c>
      <c r="D1070" s="492" t="s">
        <v>215</v>
      </c>
      <c r="E1070" s="492" t="s">
        <v>1401</v>
      </c>
      <c r="F1070" s="495"/>
      <c r="G1070" s="497">
        <f>G1071+G1073</f>
        <v>4247.6000000000004</v>
      </c>
      <c r="H1070" s="497">
        <f>H1071+H1073</f>
        <v>4247.6000000000004</v>
      </c>
      <c r="I1070" s="204"/>
    </row>
    <row r="1071" spans="1:9" ht="78.75" x14ac:dyDescent="0.25">
      <c r="A1071" s="496" t="s">
        <v>127</v>
      </c>
      <c r="B1071" s="490">
        <v>910</v>
      </c>
      <c r="C1071" s="492" t="s">
        <v>118</v>
      </c>
      <c r="D1071" s="492" t="s">
        <v>215</v>
      </c>
      <c r="E1071" s="492" t="s">
        <v>1401</v>
      </c>
      <c r="F1071" s="492" t="s">
        <v>128</v>
      </c>
      <c r="G1071" s="497">
        <f>G1072</f>
        <v>4154.6000000000004</v>
      </c>
      <c r="H1071" s="497">
        <f>H1072</f>
        <v>4154.6000000000004</v>
      </c>
      <c r="I1071" s="204"/>
    </row>
    <row r="1072" spans="1:9" ht="31.5" x14ac:dyDescent="0.25">
      <c r="A1072" s="496" t="s">
        <v>129</v>
      </c>
      <c r="B1072" s="490">
        <v>910</v>
      </c>
      <c r="C1072" s="492" t="s">
        <v>118</v>
      </c>
      <c r="D1072" s="492" t="s">
        <v>215</v>
      </c>
      <c r="E1072" s="492" t="s">
        <v>1401</v>
      </c>
      <c r="F1072" s="492" t="s">
        <v>130</v>
      </c>
      <c r="G1072" s="497">
        <v>4154.6000000000004</v>
      </c>
      <c r="H1072" s="497">
        <f>G1072</f>
        <v>4154.6000000000004</v>
      </c>
      <c r="I1072" s="204"/>
    </row>
    <row r="1073" spans="1:9" ht="31.5" x14ac:dyDescent="0.25">
      <c r="A1073" s="496" t="s">
        <v>198</v>
      </c>
      <c r="B1073" s="490">
        <v>910</v>
      </c>
      <c r="C1073" s="492" t="s">
        <v>118</v>
      </c>
      <c r="D1073" s="492" t="s">
        <v>215</v>
      </c>
      <c r="E1073" s="492" t="s">
        <v>1401</v>
      </c>
      <c r="F1073" s="492" t="s">
        <v>132</v>
      </c>
      <c r="G1073" s="497">
        <f>G1074</f>
        <v>93</v>
      </c>
      <c r="H1073" s="497">
        <f>H1074</f>
        <v>93</v>
      </c>
      <c r="I1073" s="204"/>
    </row>
    <row r="1074" spans="1:9" ht="31.5" x14ac:dyDescent="0.25">
      <c r="A1074" s="496" t="s">
        <v>133</v>
      </c>
      <c r="B1074" s="490">
        <v>910</v>
      </c>
      <c r="C1074" s="492" t="s">
        <v>118</v>
      </c>
      <c r="D1074" s="492" t="s">
        <v>215</v>
      </c>
      <c r="E1074" s="492" t="s">
        <v>1401</v>
      </c>
      <c r="F1074" s="492" t="s">
        <v>134</v>
      </c>
      <c r="G1074" s="497">
        <v>93</v>
      </c>
      <c r="H1074" s="497">
        <f>G1074</f>
        <v>93</v>
      </c>
      <c r="I1074" s="204"/>
    </row>
    <row r="1075" spans="1:9" ht="31.5" x14ac:dyDescent="0.25">
      <c r="A1075" s="496" t="s">
        <v>990</v>
      </c>
      <c r="B1075" s="490">
        <v>910</v>
      </c>
      <c r="C1075" s="492" t="s">
        <v>118</v>
      </c>
      <c r="D1075" s="492" t="s">
        <v>215</v>
      </c>
      <c r="E1075" s="492" t="s">
        <v>991</v>
      </c>
      <c r="F1075" s="492"/>
      <c r="G1075" s="497">
        <f>G1076+G1078</f>
        <v>1240.4000000000001</v>
      </c>
      <c r="H1075" s="497">
        <f>H1076+H1078</f>
        <v>1240.4000000000001</v>
      </c>
      <c r="I1075" s="204"/>
    </row>
    <row r="1076" spans="1:9" ht="78.75" x14ac:dyDescent="0.25">
      <c r="A1076" s="496" t="s">
        <v>127</v>
      </c>
      <c r="B1076" s="490">
        <v>910</v>
      </c>
      <c r="C1076" s="492" t="s">
        <v>118</v>
      </c>
      <c r="D1076" s="492" t="s">
        <v>215</v>
      </c>
      <c r="E1076" s="492" t="s">
        <v>991</v>
      </c>
      <c r="F1076" s="492" t="s">
        <v>128</v>
      </c>
      <c r="G1076" s="497">
        <f>G1077</f>
        <v>1240.4000000000001</v>
      </c>
      <c r="H1076" s="497">
        <f>H1077</f>
        <v>1240.4000000000001</v>
      </c>
      <c r="I1076" s="204"/>
    </row>
    <row r="1077" spans="1:9" ht="31.5" x14ac:dyDescent="0.25">
      <c r="A1077" s="496" t="s">
        <v>129</v>
      </c>
      <c r="B1077" s="490">
        <v>910</v>
      </c>
      <c r="C1077" s="492" t="s">
        <v>118</v>
      </c>
      <c r="D1077" s="492" t="s">
        <v>215</v>
      </c>
      <c r="E1077" s="492" t="s">
        <v>991</v>
      </c>
      <c r="F1077" s="492" t="s">
        <v>130</v>
      </c>
      <c r="G1077" s="497">
        <v>1240.4000000000001</v>
      </c>
      <c r="H1077" s="497">
        <f t="shared" si="92"/>
        <v>1240.4000000000001</v>
      </c>
      <c r="I1077" s="204"/>
    </row>
    <row r="1078" spans="1:9" ht="31.5" hidden="1" x14ac:dyDescent="0.25">
      <c r="A1078" s="496" t="s">
        <v>198</v>
      </c>
      <c r="B1078" s="490">
        <v>910</v>
      </c>
      <c r="C1078" s="492" t="s">
        <v>118</v>
      </c>
      <c r="D1078" s="492" t="s">
        <v>215</v>
      </c>
      <c r="E1078" s="492" t="s">
        <v>991</v>
      </c>
      <c r="F1078" s="492" t="s">
        <v>132</v>
      </c>
      <c r="G1078" s="497">
        <f>G1079</f>
        <v>0</v>
      </c>
      <c r="H1078" s="497">
        <f>H1079</f>
        <v>0</v>
      </c>
      <c r="I1078" s="204"/>
    </row>
    <row r="1079" spans="1:9" ht="31.5" hidden="1" x14ac:dyDescent="0.25">
      <c r="A1079" s="496" t="s">
        <v>133</v>
      </c>
      <c r="B1079" s="490">
        <v>910</v>
      </c>
      <c r="C1079" s="492" t="s">
        <v>118</v>
      </c>
      <c r="D1079" s="492" t="s">
        <v>215</v>
      </c>
      <c r="E1079" s="492" t="s">
        <v>991</v>
      </c>
      <c r="F1079" s="492" t="s">
        <v>134</v>
      </c>
      <c r="G1079" s="497">
        <v>0</v>
      </c>
      <c r="H1079" s="497">
        <f t="shared" si="92"/>
        <v>0</v>
      </c>
      <c r="I1079" s="204"/>
    </row>
    <row r="1080" spans="1:9" ht="47.25" hidden="1" x14ac:dyDescent="0.25">
      <c r="A1080" s="496" t="s">
        <v>839</v>
      </c>
      <c r="B1080" s="490">
        <v>910</v>
      </c>
      <c r="C1080" s="492" t="s">
        <v>118</v>
      </c>
      <c r="D1080" s="492" t="s">
        <v>215</v>
      </c>
      <c r="E1080" s="492" t="s">
        <v>989</v>
      </c>
      <c r="F1080" s="492"/>
      <c r="G1080" s="497">
        <f>'[1]Пр.5 ведом.21'!G1051</f>
        <v>0</v>
      </c>
      <c r="H1080" s="497">
        <f t="shared" si="92"/>
        <v>0</v>
      </c>
      <c r="I1080" s="204"/>
    </row>
    <row r="1081" spans="1:9" ht="78.75" hidden="1" x14ac:dyDescent="0.25">
      <c r="A1081" s="496" t="s">
        <v>127</v>
      </c>
      <c r="B1081" s="490">
        <v>910</v>
      </c>
      <c r="C1081" s="492" t="s">
        <v>118</v>
      </c>
      <c r="D1081" s="492" t="s">
        <v>215</v>
      </c>
      <c r="E1081" s="492" t="s">
        <v>989</v>
      </c>
      <c r="F1081" s="492" t="s">
        <v>128</v>
      </c>
      <c r="G1081" s="497">
        <f>'[1]Пр.5 ведом.21'!G1052</f>
        <v>0</v>
      </c>
      <c r="H1081" s="497">
        <f t="shared" si="92"/>
        <v>0</v>
      </c>
      <c r="I1081" s="204"/>
    </row>
    <row r="1082" spans="1:9" ht="31.5" hidden="1" x14ac:dyDescent="0.25">
      <c r="A1082" s="496" t="s">
        <v>129</v>
      </c>
      <c r="B1082" s="490">
        <v>910</v>
      </c>
      <c r="C1082" s="492" t="s">
        <v>118</v>
      </c>
      <c r="D1082" s="492" t="s">
        <v>215</v>
      </c>
      <c r="E1082" s="492" t="s">
        <v>989</v>
      </c>
      <c r="F1082" s="492" t="s">
        <v>130</v>
      </c>
      <c r="G1082" s="497">
        <f>'[1]Пр.5 ведом.21'!G1053</f>
        <v>0</v>
      </c>
      <c r="H1082" s="497">
        <f t="shared" si="92"/>
        <v>0</v>
      </c>
      <c r="I1082" s="204"/>
    </row>
    <row r="1083" spans="1:9" ht="47.25" x14ac:dyDescent="0.25">
      <c r="A1083" s="494" t="s">
        <v>119</v>
      </c>
      <c r="B1083" s="491">
        <v>910</v>
      </c>
      <c r="C1083" s="495" t="s">
        <v>118</v>
      </c>
      <c r="D1083" s="495" t="s">
        <v>120</v>
      </c>
      <c r="E1083" s="495"/>
      <c r="F1083" s="495"/>
      <c r="G1083" s="493">
        <f>G1084</f>
        <v>1798.5</v>
      </c>
      <c r="H1083" s="493">
        <f>H1084</f>
        <v>1798.5</v>
      </c>
      <c r="I1083" s="204"/>
    </row>
    <row r="1084" spans="1:9" ht="31.5" x14ac:dyDescent="0.25">
      <c r="A1084" s="494" t="s">
        <v>917</v>
      </c>
      <c r="B1084" s="491">
        <v>910</v>
      </c>
      <c r="C1084" s="495" t="s">
        <v>118</v>
      </c>
      <c r="D1084" s="495" t="s">
        <v>120</v>
      </c>
      <c r="E1084" s="495" t="s">
        <v>858</v>
      </c>
      <c r="F1084" s="495"/>
      <c r="G1084" s="493">
        <f>G1085</f>
        <v>1798.5</v>
      </c>
      <c r="H1084" s="493">
        <f>H1085</f>
        <v>1798.5</v>
      </c>
      <c r="I1084" s="204"/>
    </row>
    <row r="1085" spans="1:9" ht="31.5" x14ac:dyDescent="0.25">
      <c r="A1085" s="494" t="s">
        <v>986</v>
      </c>
      <c r="B1085" s="491">
        <v>910</v>
      </c>
      <c r="C1085" s="495" t="s">
        <v>118</v>
      </c>
      <c r="D1085" s="495" t="s">
        <v>120</v>
      </c>
      <c r="E1085" s="495" t="s">
        <v>987</v>
      </c>
      <c r="F1085" s="495"/>
      <c r="G1085" s="493">
        <f>G1086+G1091</f>
        <v>1798.5</v>
      </c>
      <c r="H1085" s="493">
        <f>H1086+H1091</f>
        <v>1798.5</v>
      </c>
      <c r="I1085" s="204"/>
    </row>
    <row r="1086" spans="1:9" ht="31.5" x14ac:dyDescent="0.25">
      <c r="A1086" s="496" t="s">
        <v>897</v>
      </c>
      <c r="B1086" s="490">
        <v>910</v>
      </c>
      <c r="C1086" s="492" t="s">
        <v>118</v>
      </c>
      <c r="D1086" s="492" t="s">
        <v>120</v>
      </c>
      <c r="E1086" s="492" t="s">
        <v>991</v>
      </c>
      <c r="F1086" s="492"/>
      <c r="G1086" s="497">
        <f>G1087+G1089</f>
        <v>1752.5</v>
      </c>
      <c r="H1086" s="497">
        <f>H1087+H1089</f>
        <v>1752.5</v>
      </c>
      <c r="I1086" s="204"/>
    </row>
    <row r="1087" spans="1:9" ht="78.75" x14ac:dyDescent="0.25">
      <c r="A1087" s="496" t="s">
        <v>127</v>
      </c>
      <c r="B1087" s="490">
        <v>910</v>
      </c>
      <c r="C1087" s="492" t="s">
        <v>118</v>
      </c>
      <c r="D1087" s="492" t="s">
        <v>120</v>
      </c>
      <c r="E1087" s="492" t="s">
        <v>991</v>
      </c>
      <c r="F1087" s="492" t="s">
        <v>128</v>
      </c>
      <c r="G1087" s="497">
        <f>G1088</f>
        <v>1734.5</v>
      </c>
      <c r="H1087" s="497">
        <f>H1088</f>
        <v>1734.5</v>
      </c>
      <c r="I1087" s="204"/>
    </row>
    <row r="1088" spans="1:9" ht="31.5" x14ac:dyDescent="0.25">
      <c r="A1088" s="496" t="s">
        <v>129</v>
      </c>
      <c r="B1088" s="490">
        <v>910</v>
      </c>
      <c r="C1088" s="492" t="s">
        <v>118</v>
      </c>
      <c r="D1088" s="492" t="s">
        <v>120</v>
      </c>
      <c r="E1088" s="492" t="s">
        <v>991</v>
      </c>
      <c r="F1088" s="492" t="s">
        <v>130</v>
      </c>
      <c r="G1088" s="497">
        <v>1734.5</v>
      </c>
      <c r="H1088" s="497">
        <f t="shared" si="92"/>
        <v>1734.5</v>
      </c>
      <c r="I1088" s="204"/>
    </row>
    <row r="1089" spans="1:41" ht="31.5" x14ac:dyDescent="0.25">
      <c r="A1089" s="496" t="s">
        <v>198</v>
      </c>
      <c r="B1089" s="490">
        <v>910</v>
      </c>
      <c r="C1089" s="492" t="s">
        <v>118</v>
      </c>
      <c r="D1089" s="492" t="s">
        <v>120</v>
      </c>
      <c r="E1089" s="492" t="s">
        <v>991</v>
      </c>
      <c r="F1089" s="492" t="s">
        <v>132</v>
      </c>
      <c r="G1089" s="497">
        <f>G1090</f>
        <v>18</v>
      </c>
      <c r="H1089" s="497">
        <f>H1090</f>
        <v>18</v>
      </c>
      <c r="I1089" s="204"/>
    </row>
    <row r="1090" spans="1:41" ht="34.700000000000003" customHeight="1" x14ac:dyDescent="0.25">
      <c r="A1090" s="496" t="s">
        <v>133</v>
      </c>
      <c r="B1090" s="490">
        <v>910</v>
      </c>
      <c r="C1090" s="492" t="s">
        <v>118</v>
      </c>
      <c r="D1090" s="492" t="s">
        <v>120</v>
      </c>
      <c r="E1090" s="492" t="s">
        <v>991</v>
      </c>
      <c r="F1090" s="492" t="s">
        <v>134</v>
      </c>
      <c r="G1090" s="497">
        <f>18</f>
        <v>18</v>
      </c>
      <c r="H1090" s="497">
        <f t="shared" si="92"/>
        <v>18</v>
      </c>
      <c r="I1090" s="204"/>
    </row>
    <row r="1091" spans="1:41" ht="47.25" x14ac:dyDescent="0.25">
      <c r="A1091" s="496" t="s">
        <v>839</v>
      </c>
      <c r="B1091" s="490">
        <v>910</v>
      </c>
      <c r="C1091" s="492" t="s">
        <v>118</v>
      </c>
      <c r="D1091" s="492" t="s">
        <v>120</v>
      </c>
      <c r="E1091" s="492" t="s">
        <v>989</v>
      </c>
      <c r="F1091" s="492"/>
      <c r="G1091" s="497">
        <f>G1092</f>
        <v>46</v>
      </c>
      <c r="H1091" s="497">
        <f>H1092</f>
        <v>46</v>
      </c>
      <c r="I1091" s="204"/>
    </row>
    <row r="1092" spans="1:41" ht="78.75" x14ac:dyDescent="0.25">
      <c r="A1092" s="496" t="s">
        <v>127</v>
      </c>
      <c r="B1092" s="490">
        <v>910</v>
      </c>
      <c r="C1092" s="492" t="s">
        <v>118</v>
      </c>
      <c r="D1092" s="492" t="s">
        <v>120</v>
      </c>
      <c r="E1092" s="492" t="s">
        <v>989</v>
      </c>
      <c r="F1092" s="492" t="s">
        <v>128</v>
      </c>
      <c r="G1092" s="497">
        <f>G1093</f>
        <v>46</v>
      </c>
      <c r="H1092" s="497">
        <f>H1093</f>
        <v>46</v>
      </c>
      <c r="I1092" s="204"/>
    </row>
    <row r="1093" spans="1:41" ht="31.5" x14ac:dyDescent="0.25">
      <c r="A1093" s="496" t="s">
        <v>129</v>
      </c>
      <c r="B1093" s="490">
        <v>910</v>
      </c>
      <c r="C1093" s="492" t="s">
        <v>118</v>
      </c>
      <c r="D1093" s="492" t="s">
        <v>120</v>
      </c>
      <c r="E1093" s="492" t="s">
        <v>989</v>
      </c>
      <c r="F1093" s="492" t="s">
        <v>130</v>
      </c>
      <c r="G1093" s="497">
        <v>46</v>
      </c>
      <c r="H1093" s="497">
        <f t="shared" si="92"/>
        <v>46</v>
      </c>
      <c r="I1093" s="204"/>
    </row>
    <row r="1094" spans="1:41" ht="15.75" x14ac:dyDescent="0.25">
      <c r="A1094" s="48" t="s">
        <v>587</v>
      </c>
      <c r="B1094" s="48"/>
      <c r="C1094" s="495"/>
      <c r="D1094" s="495"/>
      <c r="E1094" s="495"/>
      <c r="F1094" s="495"/>
      <c r="G1094" s="394">
        <f>G1046+G831+G756+G537+G488+G242+G31+G10+G9</f>
        <v>736280.59999999986</v>
      </c>
      <c r="H1094" s="394">
        <f>H1046+H831+H756+H537+H488+H242+H31+H10+H9</f>
        <v>777267.39999999991</v>
      </c>
      <c r="I1094" s="204"/>
      <c r="N1094" s="742" t="s">
        <v>1542</v>
      </c>
      <c r="O1094" s="742"/>
      <c r="P1094" s="742"/>
      <c r="Q1094" s="742"/>
      <c r="R1094" s="742"/>
      <c r="S1094" s="742"/>
      <c r="T1094" s="742"/>
      <c r="U1094" s="742"/>
      <c r="V1094" s="742"/>
      <c r="W1094" s="742"/>
      <c r="X1094" s="742" t="s">
        <v>1543</v>
      </c>
      <c r="Y1094" s="742"/>
      <c r="Z1094" s="742"/>
      <c r="AA1094" s="742"/>
      <c r="AB1094" s="742"/>
      <c r="AC1094" s="742"/>
      <c r="AD1094" s="742"/>
      <c r="AE1094" s="742"/>
      <c r="AF1094" s="742"/>
      <c r="AG1094" s="742"/>
      <c r="AH1094" s="422"/>
      <c r="AI1094" s="422"/>
      <c r="AJ1094" s="422"/>
    </row>
    <row r="1095" spans="1:41" ht="48" x14ac:dyDescent="0.25">
      <c r="A1095" s="50"/>
      <c r="B1095" s="50"/>
      <c r="C1095" s="50"/>
      <c r="D1095" s="50"/>
      <c r="E1095" s="360">
        <f>G1096-G1095</f>
        <v>-48048.540539054084</v>
      </c>
      <c r="F1095" s="50"/>
      <c r="G1095" s="399">
        <f>'Пр.1.1. дох.23-24'!C160</f>
        <v>547196.24</v>
      </c>
      <c r="H1095" s="399">
        <f>'Пр.1.1. дох.23-24'!D160</f>
        <v>567369.71000000008</v>
      </c>
      <c r="L1095" s="230">
        <f>H1096-H1095</f>
        <v>-58332.211089109129</v>
      </c>
      <c r="M1095" s="204"/>
      <c r="N1095" s="324" t="s">
        <v>1280</v>
      </c>
      <c r="O1095" s="324" t="s">
        <v>1281</v>
      </c>
      <c r="P1095" s="324" t="s">
        <v>1282</v>
      </c>
      <c r="Q1095" s="324" t="s">
        <v>1283</v>
      </c>
      <c r="R1095" s="324" t="s">
        <v>1333</v>
      </c>
      <c r="S1095" s="324" t="s">
        <v>1409</v>
      </c>
      <c r="T1095" s="324" t="s">
        <v>1477</v>
      </c>
      <c r="U1095" s="324" t="s">
        <v>1478</v>
      </c>
      <c r="V1095" s="324" t="s">
        <v>1479</v>
      </c>
      <c r="W1095" s="324" t="s">
        <v>1483</v>
      </c>
      <c r="X1095" s="420" t="s">
        <v>1280</v>
      </c>
      <c r="Y1095" s="420" t="s">
        <v>1281</v>
      </c>
      <c r="Z1095" s="420" t="s">
        <v>1282</v>
      </c>
      <c r="AA1095" s="420" t="s">
        <v>1283</v>
      </c>
      <c r="AB1095" s="420" t="s">
        <v>1333</v>
      </c>
      <c r="AC1095" s="420" t="s">
        <v>1409</v>
      </c>
      <c r="AD1095" s="420" t="s">
        <v>1477</v>
      </c>
      <c r="AE1095" s="420" t="s">
        <v>1478</v>
      </c>
      <c r="AF1095" s="420" t="s">
        <v>1479</v>
      </c>
      <c r="AG1095" s="420" t="s">
        <v>1483</v>
      </c>
    </row>
    <row r="1096" spans="1:41" ht="18.75" x14ac:dyDescent="0.3">
      <c r="A1096" s="50"/>
      <c r="B1096" s="50"/>
      <c r="C1096" s="51"/>
      <c r="D1096" s="51"/>
      <c r="E1096" s="51"/>
      <c r="F1096" s="101" t="s">
        <v>588</v>
      </c>
      <c r="G1096" s="395">
        <f>G1094-G1097</f>
        <v>499147.69946094591</v>
      </c>
      <c r="H1096" s="395">
        <f>H1094-H1097</f>
        <v>509037.49891089095</v>
      </c>
      <c r="L1096" s="204"/>
      <c r="M1096" s="321" t="s">
        <v>588</v>
      </c>
      <c r="N1096" s="323">
        <v>500</v>
      </c>
      <c r="O1096" s="323">
        <v>0</v>
      </c>
      <c r="P1096" s="323">
        <f>300</f>
        <v>300</v>
      </c>
      <c r="Q1096" s="350">
        <f>Q1097*100/90.9-Q1097</f>
        <v>26.809460946094589</v>
      </c>
      <c r="R1096" s="323">
        <v>0</v>
      </c>
      <c r="S1096" s="323">
        <v>222.05</v>
      </c>
      <c r="T1096" s="323"/>
      <c r="U1096" s="423"/>
      <c r="V1096" s="423">
        <v>0</v>
      </c>
      <c r="W1096" s="350">
        <v>71.75</v>
      </c>
      <c r="X1096" s="421">
        <v>500</v>
      </c>
      <c r="Y1096" s="421">
        <v>0</v>
      </c>
      <c r="Z1096" s="421">
        <v>1500</v>
      </c>
      <c r="AA1096" s="424">
        <f>AA1097*100/90.9-AA1097</f>
        <v>26.308910891089056</v>
      </c>
      <c r="AB1096" s="421">
        <v>0</v>
      </c>
      <c r="AC1096" s="424">
        <v>210.85</v>
      </c>
      <c r="AD1096" s="421"/>
      <c r="AE1096" s="425"/>
      <c r="AF1096" s="425"/>
      <c r="AG1096" s="424">
        <v>96</v>
      </c>
    </row>
    <row r="1097" spans="1:41" ht="18.75" x14ac:dyDescent="0.3">
      <c r="A1097" s="50"/>
      <c r="B1097" s="50"/>
      <c r="C1097" s="51"/>
      <c r="D1097" s="51"/>
      <c r="E1097" s="51"/>
      <c r="F1097" s="101" t="s">
        <v>589</v>
      </c>
      <c r="G1097" s="395">
        <f>G70+G198+G207+G236+G317+G378+G449+G517+G555+G615+G697+G726+G789+G991+G998+G902+G110+G1064+G596+G503+G231+G393+G534+G103+G672-N1096-O1096-P1096-Q1096-R1096+G676+G400-S1096+G51+G668+G677-W1096+G723+G663+G659+G655+G589+G390+G282+G248+G228+G215+G195+G107+G46-T1096-U1096-V1096-N1103-O1103-P1103-Q1103-R1103-S1103-T1103-U1103-V1103-W1103-X1103-Y1103-Z1103-AA1103</f>
        <v>237132.90053905392</v>
      </c>
      <c r="H1097" s="395">
        <f>H70+H198+H207+H236+H317+H378+H449+H517+H555+H615+H697+H726+H789+H991+H998+H902+H110+H1064+H596+H503+H231+H393+H534+H103+H672+H676+H400+H51+H668+H677+H723+H663+H659+H655+H589+H390+H282+H248+H228+H215+H195+H107+H46-X1096-Y1096-Z1096-AA1096-AB1096-AC1096-AD1096-AE1096-AF1096-AG1096-AB1103-AC1103-AD1103-AE1103-AF1103-AG1103-AH1103-AI1103-AJ1103-AK1103-AL1103-AM1103-AN1103-AO1103</f>
        <v>268229.90108910896</v>
      </c>
      <c r="I1097" s="209">
        <v>267446.40000000002</v>
      </c>
      <c r="J1097" s="487">
        <v>260319.2</v>
      </c>
      <c r="L1097" s="204"/>
      <c r="M1097" s="322" t="s">
        <v>1482</v>
      </c>
      <c r="N1097" s="323">
        <v>0</v>
      </c>
      <c r="O1097" s="323">
        <v>0</v>
      </c>
      <c r="P1097" s="323">
        <v>0</v>
      </c>
      <c r="Q1097" s="323">
        <f>238.3+29.5</f>
        <v>267.8</v>
      </c>
      <c r="R1097" s="323">
        <v>0</v>
      </c>
      <c r="S1097" s="323">
        <f>4622.3+571.3</f>
        <v>5193.6000000000004</v>
      </c>
      <c r="T1097" s="423"/>
      <c r="U1097" s="423"/>
      <c r="V1097" s="423">
        <v>0</v>
      </c>
      <c r="W1097" s="323">
        <f>1644.1+33.6</f>
        <v>1677.6999999999998</v>
      </c>
      <c r="X1097" s="421">
        <v>0</v>
      </c>
      <c r="Y1097" s="421">
        <v>0</v>
      </c>
      <c r="Z1097" s="421">
        <v>0</v>
      </c>
      <c r="AA1097" s="421">
        <f>233.9+28.9</f>
        <v>262.8</v>
      </c>
      <c r="AB1097" s="421">
        <v>0</v>
      </c>
      <c r="AC1097" s="421">
        <f>4389.1+542.5</f>
        <v>4931.6000000000004</v>
      </c>
      <c r="AD1097" s="425">
        <f>[1]пр.1дох.21!M64</f>
        <v>0</v>
      </c>
      <c r="AE1097" s="425"/>
      <c r="AF1097" s="425"/>
      <c r="AG1097" s="421">
        <f>2200+45</f>
        <v>2245</v>
      </c>
    </row>
    <row r="1098" spans="1:41" ht="15.75" x14ac:dyDescent="0.25">
      <c r="A1098" s="50"/>
      <c r="B1098" s="50"/>
      <c r="C1098" s="51"/>
      <c r="D1098" s="53"/>
      <c r="E1098" s="53"/>
      <c r="F1098" s="53"/>
      <c r="G1098" s="400">
        <f>'Пр.1.1. дох.23-24'!C159</f>
        <v>260806.59999999998</v>
      </c>
      <c r="H1098" s="400">
        <f>'Пр.1.1. дох.23-24'!D159</f>
        <v>210285</v>
      </c>
      <c r="I1098" s="232">
        <f>I1097-G1097</f>
        <v>30313.499460946099</v>
      </c>
      <c r="J1098" s="232">
        <f>J1097-H1097</f>
        <v>-7910.7010891089449</v>
      </c>
      <c r="L1098" s="230"/>
      <c r="M1098" s="230"/>
      <c r="N1098" s="426" t="s">
        <v>1285</v>
      </c>
      <c r="O1098" s="426" t="s">
        <v>1286</v>
      </c>
      <c r="P1098" s="426" t="s">
        <v>1287</v>
      </c>
      <c r="Q1098" s="426" t="s">
        <v>1288</v>
      </c>
      <c r="R1098" s="426" t="s">
        <v>1287</v>
      </c>
      <c r="S1098" s="426" t="s">
        <v>1408</v>
      </c>
      <c r="T1098" s="426" t="s">
        <v>1408</v>
      </c>
      <c r="U1098" s="349" t="s">
        <v>1408</v>
      </c>
      <c r="V1098" s="426" t="s">
        <v>1480</v>
      </c>
      <c r="W1098" s="426" t="s">
        <v>1408</v>
      </c>
      <c r="X1098" s="426" t="s">
        <v>1285</v>
      </c>
      <c r="Y1098" s="426" t="s">
        <v>1286</v>
      </c>
      <c r="Z1098" s="426" t="s">
        <v>1287</v>
      </c>
      <c r="AA1098" s="426" t="s">
        <v>1288</v>
      </c>
      <c r="AB1098" s="426" t="s">
        <v>1287</v>
      </c>
      <c r="AC1098" s="426" t="s">
        <v>1408</v>
      </c>
      <c r="AD1098" s="426" t="s">
        <v>1408</v>
      </c>
      <c r="AE1098" s="349" t="s">
        <v>1408</v>
      </c>
      <c r="AF1098" s="426" t="s">
        <v>1480</v>
      </c>
      <c r="AG1098" s="426" t="s">
        <v>1408</v>
      </c>
    </row>
    <row r="1099" spans="1:41" ht="15.75" x14ac:dyDescent="0.25">
      <c r="A1099" s="50"/>
      <c r="B1099" s="50"/>
      <c r="C1099" s="51"/>
      <c r="D1099" s="53"/>
      <c r="E1099" s="53"/>
      <c r="F1099" s="53"/>
      <c r="G1099" s="400">
        <f>G1097-G1098</f>
        <v>-23673.699460946053</v>
      </c>
      <c r="H1099" s="400">
        <f>H1097-H1098</f>
        <v>57944.901089108957</v>
      </c>
    </row>
    <row r="1100" spans="1:41" ht="15.75" x14ac:dyDescent="0.25">
      <c r="A1100" s="50"/>
      <c r="B1100" s="50"/>
      <c r="C1100" s="51"/>
      <c r="D1100" s="53"/>
      <c r="E1100" s="53"/>
      <c r="F1100" s="398" t="s">
        <v>674</v>
      </c>
      <c r="G1100" s="400">
        <f>'Пр.1.1. дох.23-24'!C158-'пр.4.1. рдпр 22-23 (2)'!D51</f>
        <v>70521.024000000092</v>
      </c>
      <c r="H1100" s="400">
        <f>'Пр.1.1. дох.23-24'!D158-'пр.4.1. рдпр 22-23 (2)'!E51</f>
        <v>387.31000000017229</v>
      </c>
    </row>
    <row r="1101" spans="1:41" ht="15.75" x14ac:dyDescent="0.25">
      <c r="A1101" s="50"/>
      <c r="B1101" s="50"/>
      <c r="C1101" s="51"/>
      <c r="D1101" s="53"/>
      <c r="E1101" s="53"/>
      <c r="F1101" s="53"/>
      <c r="G1101" s="102"/>
      <c r="H1101" s="102"/>
      <c r="M1101" s="204"/>
      <c r="N1101" s="735" t="s">
        <v>1544</v>
      </c>
      <c r="O1101" s="736"/>
      <c r="P1101" s="736"/>
      <c r="Q1101" s="736"/>
      <c r="R1101" s="736"/>
      <c r="S1101" s="736"/>
      <c r="T1101" s="736"/>
      <c r="U1101" s="736"/>
      <c r="V1101" s="736"/>
      <c r="W1101" s="736"/>
      <c r="X1101" s="736"/>
      <c r="Y1101" s="736"/>
      <c r="Z1101" s="736"/>
      <c r="AA1101" s="737"/>
      <c r="AB1101" s="743" t="s">
        <v>1545</v>
      </c>
      <c r="AC1101" s="743"/>
      <c r="AD1101" s="743"/>
      <c r="AE1101" s="743"/>
      <c r="AF1101" s="743"/>
      <c r="AG1101" s="743"/>
      <c r="AH1101" s="743"/>
      <c r="AI1101" s="743"/>
      <c r="AJ1101" s="743"/>
      <c r="AK1101" s="743"/>
      <c r="AL1101" s="743"/>
      <c r="AM1101" s="743"/>
      <c r="AN1101" s="743"/>
      <c r="AO1101" s="743"/>
    </row>
    <row r="1102" spans="1:41" ht="72" x14ac:dyDescent="0.25">
      <c r="A1102" s="50"/>
      <c r="B1102" s="50"/>
      <c r="E1102" s="54">
        <v>1</v>
      </c>
      <c r="F1102" s="53"/>
      <c r="G1102" s="102">
        <f>G10+G32+G243+G489+G538+G832+G1047+G757</f>
        <v>136787.41</v>
      </c>
      <c r="H1102" s="102">
        <f>H10+H32+H243+H489+H538+H832+H1047+H757</f>
        <v>123941.72</v>
      </c>
      <c r="M1102" s="204"/>
      <c r="N1102" s="479" t="s">
        <v>1485</v>
      </c>
      <c r="O1102" s="479" t="s">
        <v>1486</v>
      </c>
      <c r="P1102" s="479" t="s">
        <v>1488</v>
      </c>
      <c r="Q1102" s="479" t="s">
        <v>1489</v>
      </c>
      <c r="R1102" s="479" t="s">
        <v>1490</v>
      </c>
      <c r="S1102" s="479" t="s">
        <v>1491</v>
      </c>
      <c r="T1102" s="479" t="s">
        <v>1494</v>
      </c>
      <c r="U1102" s="479" t="s">
        <v>1496</v>
      </c>
      <c r="V1102" s="479" t="s">
        <v>1497</v>
      </c>
      <c r="W1102" s="479" t="s">
        <v>1498</v>
      </c>
      <c r="X1102" s="479" t="s">
        <v>1503</v>
      </c>
      <c r="Y1102" s="479" t="s">
        <v>1541</v>
      </c>
      <c r="Z1102" s="479" t="s">
        <v>1546</v>
      </c>
      <c r="AA1102" s="479" t="s">
        <v>1547</v>
      </c>
      <c r="AB1102" s="361" t="s">
        <v>1485</v>
      </c>
      <c r="AC1102" s="361" t="s">
        <v>1486</v>
      </c>
      <c r="AD1102" s="361" t="s">
        <v>1488</v>
      </c>
      <c r="AE1102" s="361" t="s">
        <v>1489</v>
      </c>
      <c r="AF1102" s="361" t="s">
        <v>1490</v>
      </c>
      <c r="AG1102" s="361" t="s">
        <v>1491</v>
      </c>
      <c r="AH1102" s="361" t="s">
        <v>1494</v>
      </c>
      <c r="AI1102" s="361" t="s">
        <v>1496</v>
      </c>
      <c r="AJ1102" s="361" t="s">
        <v>1497</v>
      </c>
      <c r="AK1102" s="361" t="s">
        <v>1498</v>
      </c>
      <c r="AL1102" s="361" t="s">
        <v>1503</v>
      </c>
      <c r="AM1102" s="361" t="s">
        <v>1541</v>
      </c>
      <c r="AN1102" s="361" t="s">
        <v>1546</v>
      </c>
      <c r="AO1102" s="361" t="s">
        <v>1547</v>
      </c>
    </row>
    <row r="1103" spans="1:41" ht="15.75" x14ac:dyDescent="0.25">
      <c r="A1103" s="50"/>
      <c r="B1103" s="50"/>
      <c r="E1103" s="54" t="s">
        <v>588</v>
      </c>
      <c r="F1103" s="53"/>
      <c r="G1103" s="102">
        <f>G1102-G1104</f>
        <v>133416.51</v>
      </c>
      <c r="H1103" s="102">
        <f>H1102-H1104</f>
        <v>120786.32</v>
      </c>
      <c r="M1103" s="319" t="s">
        <v>588</v>
      </c>
      <c r="N1103" s="356">
        <v>3.5</v>
      </c>
      <c r="O1103" s="356">
        <v>3584</v>
      </c>
      <c r="P1103" s="356">
        <v>2200</v>
      </c>
      <c r="Q1103" s="356">
        <v>0</v>
      </c>
      <c r="R1103" s="356">
        <v>868</v>
      </c>
      <c r="S1103" s="356">
        <v>124.4</v>
      </c>
      <c r="T1103" s="356">
        <v>0</v>
      </c>
      <c r="U1103" s="356">
        <v>678</v>
      </c>
      <c r="V1103" s="356">
        <v>19</v>
      </c>
      <c r="W1103" s="356">
        <v>1</v>
      </c>
      <c r="X1103" s="356">
        <v>60</v>
      </c>
      <c r="Y1103" s="356">
        <v>10</v>
      </c>
      <c r="Z1103" s="356">
        <v>150</v>
      </c>
      <c r="AA1103" s="356">
        <v>200</v>
      </c>
      <c r="AB1103" s="362">
        <v>3.5</v>
      </c>
      <c r="AC1103" s="362">
        <v>3584</v>
      </c>
      <c r="AD1103" s="362">
        <v>2200</v>
      </c>
      <c r="AE1103" s="362">
        <v>0</v>
      </c>
      <c r="AF1103" s="362">
        <v>868</v>
      </c>
      <c r="AG1103" s="362">
        <v>124.4</v>
      </c>
      <c r="AH1103" s="362">
        <v>0</v>
      </c>
      <c r="AI1103" s="362">
        <v>678</v>
      </c>
      <c r="AJ1103" s="362">
        <v>19</v>
      </c>
      <c r="AK1103" s="362">
        <v>1</v>
      </c>
      <c r="AL1103" s="362">
        <v>60</v>
      </c>
      <c r="AM1103" s="362">
        <v>10</v>
      </c>
      <c r="AN1103" s="362">
        <v>150</v>
      </c>
      <c r="AO1103" s="362">
        <v>500</v>
      </c>
    </row>
    <row r="1104" spans="1:41" ht="15.75" x14ac:dyDescent="0.25">
      <c r="A1104" s="50"/>
      <c r="B1104" s="50"/>
      <c r="E1104" s="54" t="s">
        <v>589</v>
      </c>
      <c r="F1104" s="53"/>
      <c r="G1104" s="102">
        <f>G1064+G517+G110+G70+G503-O1096+G105+G51-AA1103-W1103+G248+G107+G46</f>
        <v>3370.9</v>
      </c>
      <c r="H1104" s="102">
        <f>H1064+H517+H110+H70+H503-Y1096+H105+H51-AK1103-AO1103+H248+H107+H46</f>
        <v>3155.4</v>
      </c>
      <c r="M1104" s="320" t="s">
        <v>589</v>
      </c>
      <c r="N1104" s="356">
        <v>65.2</v>
      </c>
      <c r="O1104" s="356">
        <v>2161.1</v>
      </c>
      <c r="P1104" s="356">
        <v>1731.8</v>
      </c>
      <c r="Q1104" s="356">
        <v>0</v>
      </c>
      <c r="R1104" s="356">
        <v>516.6</v>
      </c>
      <c r="S1104" s="356">
        <v>173.3</v>
      </c>
      <c r="T1104" s="356">
        <v>1666.6</v>
      </c>
      <c r="U1104" s="356">
        <v>77.8</v>
      </c>
      <c r="V1104" s="356">
        <v>255</v>
      </c>
      <c r="W1104" s="356">
        <v>40</v>
      </c>
      <c r="X1104" s="356">
        <v>200</v>
      </c>
      <c r="Y1104" s="356">
        <v>0</v>
      </c>
      <c r="Z1104" s="356">
        <v>0</v>
      </c>
      <c r="AA1104" s="356">
        <v>0</v>
      </c>
      <c r="AB1104" s="362">
        <v>65.2</v>
      </c>
      <c r="AC1104" s="362">
        <v>2161.1</v>
      </c>
      <c r="AD1104" s="362">
        <v>1665.2</v>
      </c>
      <c r="AE1104" s="362">
        <v>0</v>
      </c>
      <c r="AF1104" s="362">
        <v>516.6</v>
      </c>
      <c r="AG1104" s="362">
        <v>173.3</v>
      </c>
      <c r="AH1104" s="362">
        <v>915</v>
      </c>
      <c r="AI1104" s="362">
        <v>81</v>
      </c>
      <c r="AJ1104" s="362">
        <v>255</v>
      </c>
      <c r="AK1104" s="362">
        <v>40</v>
      </c>
      <c r="AL1104" s="362">
        <v>200</v>
      </c>
      <c r="AM1104" s="362">
        <v>0</v>
      </c>
      <c r="AN1104" s="362">
        <v>0</v>
      </c>
      <c r="AO1104" s="362">
        <v>0</v>
      </c>
    </row>
    <row r="1105" spans="1:41" ht="15.75" x14ac:dyDescent="0.25">
      <c r="A1105" s="50"/>
      <c r="B1105" s="50"/>
      <c r="E1105" s="54">
        <v>2</v>
      </c>
      <c r="F1105" s="53"/>
      <c r="G1105" s="102">
        <f>G165</f>
        <v>0</v>
      </c>
      <c r="H1105" s="102">
        <f>H165</f>
        <v>0</v>
      </c>
      <c r="M1105" s="230"/>
      <c r="N1105" s="426" t="s">
        <v>1287</v>
      </c>
      <c r="O1105" s="426" t="s">
        <v>1487</v>
      </c>
      <c r="P1105" s="426" t="s">
        <v>1408</v>
      </c>
      <c r="Q1105" s="426" t="s">
        <v>1408</v>
      </c>
      <c r="R1105" s="426" t="s">
        <v>1408</v>
      </c>
      <c r="S1105" s="426" t="s">
        <v>1492</v>
      </c>
      <c r="T1105" s="426" t="s">
        <v>1495</v>
      </c>
      <c r="U1105" s="426" t="s">
        <v>1408</v>
      </c>
      <c r="V1105" s="426" t="s">
        <v>1499</v>
      </c>
      <c r="W1105" s="426" t="s">
        <v>1500</v>
      </c>
      <c r="X1105" s="426" t="s">
        <v>1502</v>
      </c>
      <c r="Y1105" s="426" t="s">
        <v>1288</v>
      </c>
      <c r="Z1105" s="426" t="s">
        <v>1502</v>
      </c>
      <c r="AA1105" s="426" t="s">
        <v>1286</v>
      </c>
      <c r="AB1105" s="547" t="s">
        <v>1287</v>
      </c>
      <c r="AC1105" s="426" t="s">
        <v>1487</v>
      </c>
      <c r="AD1105" s="426" t="s">
        <v>1408</v>
      </c>
      <c r="AE1105" s="547" t="s">
        <v>1408</v>
      </c>
      <c r="AF1105" s="547" t="s">
        <v>1408</v>
      </c>
      <c r="AG1105" s="426" t="s">
        <v>1492</v>
      </c>
      <c r="AH1105" s="547" t="s">
        <v>1492</v>
      </c>
      <c r="AI1105" s="547" t="s">
        <v>1408</v>
      </c>
      <c r="AJ1105" s="547" t="s">
        <v>1499</v>
      </c>
      <c r="AK1105" s="547" t="s">
        <v>1500</v>
      </c>
      <c r="AL1105" s="547" t="s">
        <v>1502</v>
      </c>
      <c r="AM1105" s="426" t="s">
        <v>1288</v>
      </c>
      <c r="AN1105" s="426" t="s">
        <v>1502</v>
      </c>
      <c r="AO1105" s="426" t="s">
        <v>1286</v>
      </c>
    </row>
    <row r="1106" spans="1:41" ht="15.75" x14ac:dyDescent="0.25">
      <c r="A1106" s="50"/>
      <c r="B1106" s="50"/>
      <c r="E1106" s="54">
        <v>3</v>
      </c>
      <c r="F1106" s="53"/>
      <c r="G1106" s="102">
        <f>G846+G172</f>
        <v>8197.1</v>
      </c>
      <c r="H1106" s="102">
        <f>H846+H172</f>
        <v>8197.1</v>
      </c>
    </row>
    <row r="1107" spans="1:41" ht="15.75" x14ac:dyDescent="0.25">
      <c r="A1107" s="50"/>
      <c r="B1107" s="50"/>
      <c r="E1107" s="54">
        <v>4</v>
      </c>
      <c r="F1107" s="53"/>
      <c r="G1107" s="102">
        <f>G191+G853+G273</f>
        <v>6525.2</v>
      </c>
      <c r="H1107" s="102">
        <f>H191+H853+H273</f>
        <v>6535.8</v>
      </c>
    </row>
    <row r="1108" spans="1:41" ht="15.75" x14ac:dyDescent="0.25">
      <c r="A1108" s="50"/>
      <c r="B1108" s="50"/>
      <c r="E1108" s="54" t="s">
        <v>588</v>
      </c>
      <c r="F1108" s="53"/>
      <c r="G1108" s="102">
        <f>G1107-G1109</f>
        <v>5806</v>
      </c>
      <c r="H1108" s="102">
        <f>H1107-H1109</f>
        <v>5806</v>
      </c>
    </row>
    <row r="1109" spans="1:41" ht="15.75" x14ac:dyDescent="0.25">
      <c r="A1109" s="50"/>
      <c r="B1109" s="50"/>
      <c r="E1109" s="54" t="s">
        <v>589</v>
      </c>
      <c r="F1109" s="53"/>
      <c r="G1109" s="102">
        <f>G207+G198-Z1103-X1103-V1103+G282+G215+G195</f>
        <v>719.2</v>
      </c>
      <c r="H1109" s="102">
        <f>H207+H198-AJ1103-AL1103-AN1103+H282+H215+H195</f>
        <v>729.8</v>
      </c>
    </row>
    <row r="1110" spans="1:41" ht="15.75" x14ac:dyDescent="0.25">
      <c r="A1110" s="50"/>
      <c r="B1110" s="50"/>
      <c r="E1110" s="54">
        <v>5</v>
      </c>
      <c r="F1110" s="53"/>
      <c r="G1110" s="102">
        <f>G874+G521</f>
        <v>41786.1</v>
      </c>
      <c r="H1110" s="102">
        <f>H874+H521</f>
        <v>49898.450000000004</v>
      </c>
    </row>
    <row r="1111" spans="1:41" ht="15.75" x14ac:dyDescent="0.25">
      <c r="A1111" s="50"/>
      <c r="B1111" s="50"/>
      <c r="E1111" s="54" t="s">
        <v>588</v>
      </c>
      <c r="F1111" s="53"/>
      <c r="G1111" s="102">
        <f>G1110-G1112</f>
        <v>41786.1</v>
      </c>
      <c r="H1111" s="102">
        <f>H1110-H1112</f>
        <v>49898.450000000004</v>
      </c>
    </row>
    <row r="1112" spans="1:41" ht="15.75" x14ac:dyDescent="0.25">
      <c r="A1112" s="50"/>
      <c r="B1112" s="50"/>
      <c r="E1112" s="54" t="s">
        <v>589</v>
      </c>
      <c r="F1112" s="53"/>
      <c r="G1112" s="102">
        <f>G902+G991+G1000+G880-N1096</f>
        <v>0</v>
      </c>
      <c r="H1112" s="102">
        <f>H902+H991+H1000+H880-X1096</f>
        <v>0</v>
      </c>
    </row>
    <row r="1113" spans="1:41" ht="15.75" x14ac:dyDescent="0.25">
      <c r="A1113" s="50"/>
      <c r="B1113" s="50"/>
      <c r="E1113" s="54">
        <v>7</v>
      </c>
      <c r="F1113" s="53"/>
      <c r="G1113" s="102">
        <f>G548+G293</f>
        <v>366206.80999999994</v>
      </c>
      <c r="H1113" s="102">
        <f>H548+H293</f>
        <v>389340.16000000003</v>
      </c>
    </row>
    <row r="1114" spans="1:41" ht="15.75" x14ac:dyDescent="0.25">
      <c r="A1114" s="50"/>
      <c r="B1114" s="50"/>
      <c r="E1114" s="54" t="s">
        <v>588</v>
      </c>
      <c r="F1114" s="53"/>
      <c r="G1114" s="102">
        <f>G1113-G1115</f>
        <v>142872.00999999992</v>
      </c>
      <c r="H1114" s="102">
        <f>H1113-H1115</f>
        <v>142988.55999999997</v>
      </c>
    </row>
    <row r="1115" spans="1:41" ht="15.75" x14ac:dyDescent="0.25">
      <c r="A1115" s="50"/>
      <c r="B1115" s="50"/>
      <c r="E1115" s="54" t="s">
        <v>589</v>
      </c>
      <c r="F1115" s="53"/>
      <c r="G1115" s="102">
        <f>G726+G697+G615+G555+G317+G596+G672+G676-S1096+G668-W1096+G680-T1096-U1096-O1103-P1103-Q1103-R1103-S1103-T1103-U1103+G723+G663+G659+G655+G589</f>
        <v>223334.80000000002</v>
      </c>
      <c r="H1115" s="102">
        <f>H726+H697+H615+H555+H317+H596+H672+H676-AC1096+H668-AG1096+H680-AD1096-AE1096-AC1103-AD1103-AE1103-AF1103-AG1103-AH1103-AI1103+H723+H663+H659+H655+H589</f>
        <v>246351.60000000006</v>
      </c>
    </row>
    <row r="1116" spans="1:41" ht="15.75" x14ac:dyDescent="0.25">
      <c r="A1116" s="50"/>
      <c r="B1116" s="50"/>
      <c r="E1116" s="54">
        <v>8</v>
      </c>
      <c r="F1116" s="53"/>
      <c r="G1116" s="102">
        <f>G357</f>
        <v>76411.28</v>
      </c>
      <c r="H1116" s="102">
        <f>H357</f>
        <v>77665.48</v>
      </c>
    </row>
    <row r="1117" spans="1:41" ht="15.75" x14ac:dyDescent="0.25">
      <c r="A1117" s="50"/>
      <c r="B1117" s="50"/>
      <c r="E1117" s="54" t="s">
        <v>588</v>
      </c>
      <c r="F1117" s="53"/>
      <c r="G1117" s="102">
        <f>G1116-G1118</f>
        <v>73904.08</v>
      </c>
      <c r="H1117" s="102">
        <f>H1116-H1118</f>
        <v>75158.28</v>
      </c>
    </row>
    <row r="1118" spans="1:41" ht="15.75" x14ac:dyDescent="0.25">
      <c r="A1118" s="50"/>
      <c r="B1118" s="50"/>
      <c r="E1118" s="54" t="s">
        <v>589</v>
      </c>
      <c r="F1118" s="53"/>
      <c r="G1118" s="102">
        <f>G378+G393+G400-P1096-R1096-N1103+G390</f>
        <v>2507.1999999999998</v>
      </c>
      <c r="H1118" s="102">
        <f>H378+H393+H400-Z1096-AB1096-AB1103+H390</f>
        <v>2507.1999999999998</v>
      </c>
    </row>
    <row r="1119" spans="1:41" ht="15.75" x14ac:dyDescent="0.25">
      <c r="A1119" s="50"/>
      <c r="B1119" s="50"/>
      <c r="E1119" s="54">
        <v>10</v>
      </c>
      <c r="F1119" s="53"/>
      <c r="G1119" s="102">
        <f>G1038+G445+G218+G531</f>
        <v>18033.41</v>
      </c>
      <c r="H1119" s="102">
        <f>H1038+H445+H218+H531</f>
        <v>26348.010000000002</v>
      </c>
    </row>
    <row r="1120" spans="1:41" ht="15.75" x14ac:dyDescent="0.25">
      <c r="A1120" s="50"/>
      <c r="B1120" s="50"/>
      <c r="E1120" s="54" t="s">
        <v>588</v>
      </c>
      <c r="F1120" s="53"/>
      <c r="G1120" s="102">
        <f>G1119-G1121</f>
        <v>11646.109460946094</v>
      </c>
      <c r="H1120" s="102">
        <f>H1119-H1121</f>
        <v>11675.608910891089</v>
      </c>
    </row>
    <row r="1121" spans="1:13" ht="15.75" x14ac:dyDescent="0.25">
      <c r="A1121" s="50"/>
      <c r="B1121" s="50"/>
      <c r="E1121" s="54" t="s">
        <v>589</v>
      </c>
      <c r="F1121" s="53"/>
      <c r="G1121" s="102">
        <f>G236+G450+G231-Q1096+G536-Y1103+G228</f>
        <v>6387.3005390539056</v>
      </c>
      <c r="H1121" s="102">
        <f>H236+H450+H231-AA1096+H536-AM1103+H228</f>
        <v>14672.401089108913</v>
      </c>
    </row>
    <row r="1122" spans="1:13" ht="15.75" x14ac:dyDescent="0.25">
      <c r="A1122" s="50"/>
      <c r="B1122" s="50"/>
      <c r="E1122" s="54">
        <v>11</v>
      </c>
      <c r="F1122" s="53"/>
      <c r="G1122" s="102">
        <f>G764</f>
        <v>63981.399999999994</v>
      </c>
      <c r="H1122" s="102">
        <f>H764</f>
        <v>64012.600000000006</v>
      </c>
    </row>
    <row r="1123" spans="1:13" ht="15.75" x14ac:dyDescent="0.25">
      <c r="A1123" s="50"/>
      <c r="B1123" s="50"/>
      <c r="E1123" s="54" t="s">
        <v>588</v>
      </c>
      <c r="F1123" s="53"/>
      <c r="G1123" s="102">
        <f>G1122-G1124</f>
        <v>63167.899999999994</v>
      </c>
      <c r="H1123" s="102">
        <f>H1122-H1124</f>
        <v>63199.100000000006</v>
      </c>
    </row>
    <row r="1124" spans="1:13" ht="15.75" x14ac:dyDescent="0.25">
      <c r="A1124" s="50"/>
      <c r="B1124" s="50"/>
      <c r="E1124" s="54" t="s">
        <v>589</v>
      </c>
      <c r="F1124" s="53"/>
      <c r="G1124" s="102">
        <f>G789</f>
        <v>813.5</v>
      </c>
      <c r="H1124" s="102">
        <f>H789</f>
        <v>813.5</v>
      </c>
    </row>
    <row r="1125" spans="1:13" ht="15.75" x14ac:dyDescent="0.25">
      <c r="A1125" s="50"/>
      <c r="B1125" s="50"/>
      <c r="E1125" s="54">
        <v>12</v>
      </c>
      <c r="F1125" s="53"/>
      <c r="G1125" s="102">
        <f>G468</f>
        <v>5873.2</v>
      </c>
      <c r="H1125" s="102">
        <f>H468</f>
        <v>5876.2</v>
      </c>
    </row>
    <row r="1126" spans="1:13" ht="15.75" x14ac:dyDescent="0.25">
      <c r="A1126" s="50"/>
      <c r="B1126" s="50"/>
      <c r="C1126" s="487"/>
      <c r="D1126" s="487"/>
      <c r="E1126" s="54" t="s">
        <v>1413</v>
      </c>
      <c r="F1126" s="53"/>
      <c r="G1126" s="102">
        <f>G9</f>
        <v>12478.69</v>
      </c>
      <c r="H1126" s="102">
        <f>H9</f>
        <v>25451.88</v>
      </c>
    </row>
    <row r="1127" spans="1:13" ht="15.75" x14ac:dyDescent="0.25">
      <c r="A1127" s="50"/>
      <c r="B1127" s="50"/>
      <c r="E1127" s="55"/>
      <c r="F1127" s="53"/>
      <c r="G1127" s="396">
        <f>G1102+G1105+G1106+G1107+G1110+G1113+G1116+G1119+G1122+G1125+G1126</f>
        <v>736280.6</v>
      </c>
      <c r="H1127" s="396">
        <f>H1102+H1105+H1106+H1107+H1110+H1113+H1116+H1119+H1122+H1125+H1126</f>
        <v>777267.39999999991</v>
      </c>
    </row>
    <row r="1128" spans="1:13" ht="15.75" x14ac:dyDescent="0.25">
      <c r="A1128" s="50"/>
      <c r="B1128" s="50"/>
      <c r="E1128" s="54" t="s">
        <v>588</v>
      </c>
      <c r="F1128" s="53"/>
      <c r="G1128" s="396">
        <f>G1103+G1105+G1106+G1108+G1111+G1114+G1117+G1120+G1123+G1125+G1126</f>
        <v>499147.69946094614</v>
      </c>
      <c r="H1128" s="396">
        <f>H1103+H1105+H1106+H1108+H1111+H1114+H1117+H1120+H1123+H1125+H1126</f>
        <v>509037.49891089107</v>
      </c>
      <c r="L1128" s="225">
        <f>G1128-G1096</f>
        <v>0</v>
      </c>
      <c r="M1128" s="225">
        <f>H1128-H1096</f>
        <v>0</v>
      </c>
    </row>
    <row r="1129" spans="1:13" ht="15.75" x14ac:dyDescent="0.25">
      <c r="A1129" s="50"/>
      <c r="B1129" s="50"/>
      <c r="E1129" s="54" t="s">
        <v>589</v>
      </c>
      <c r="F1129" s="53"/>
      <c r="G1129" s="396">
        <f>G1127-G1128</f>
        <v>237132.90053905384</v>
      </c>
      <c r="H1129" s="396">
        <f>H1127-H1128</f>
        <v>268229.90108910884</v>
      </c>
    </row>
    <row r="1130" spans="1:13" x14ac:dyDescent="0.25">
      <c r="G1130" s="115">
        <f>G1127-G1094</f>
        <v>0</v>
      </c>
      <c r="H1130" s="115">
        <f>H1127-H1094</f>
        <v>0</v>
      </c>
      <c r="L1130" s="287">
        <f>H1130-G1130</f>
        <v>0</v>
      </c>
    </row>
    <row r="1131" spans="1:13" x14ac:dyDescent="0.25">
      <c r="D1131" s="204" t="s">
        <v>590</v>
      </c>
      <c r="E1131" s="204">
        <v>50</v>
      </c>
      <c r="G1131" s="115">
        <f>G861</f>
        <v>2319</v>
      </c>
      <c r="H1131" s="115">
        <f>H861</f>
        <v>2319</v>
      </c>
    </row>
    <row r="1132" spans="1:13" x14ac:dyDescent="0.25">
      <c r="E1132" s="204">
        <v>51</v>
      </c>
      <c r="G1132" s="115">
        <f>G245+G275+G338+G434+G447</f>
        <v>3481.61</v>
      </c>
      <c r="H1132" s="115">
        <f>H245+H275+H338+H434+H447</f>
        <v>3896.11</v>
      </c>
    </row>
    <row r="1133" spans="1:13" x14ac:dyDescent="0.25">
      <c r="E1133" s="204">
        <v>52</v>
      </c>
      <c r="G1133" s="115">
        <f>G550+G610+G692+G721</f>
        <v>324504.29999999993</v>
      </c>
      <c r="H1133" s="115">
        <f>H550+H610+H692+H721</f>
        <v>347534.15</v>
      </c>
    </row>
    <row r="1134" spans="1:13" x14ac:dyDescent="0.25">
      <c r="E1134" s="204">
        <v>53</v>
      </c>
      <c r="G1134" s="115">
        <f>G213</f>
        <v>150</v>
      </c>
      <c r="H1134" s="115">
        <f>H213</f>
        <v>150</v>
      </c>
    </row>
    <row r="1135" spans="1:13" x14ac:dyDescent="0.25">
      <c r="E1135" s="204">
        <v>54</v>
      </c>
      <c r="G1135" s="115">
        <f>G1059+G89+G44</f>
        <v>724</v>
      </c>
      <c r="H1135" s="115">
        <f>H1059+H89+H44</f>
        <v>724</v>
      </c>
    </row>
    <row r="1136" spans="1:13" x14ac:dyDescent="0.25">
      <c r="E1136" s="204">
        <v>55</v>
      </c>
      <c r="G1136" s="115">
        <f>G226</f>
        <v>10</v>
      </c>
      <c r="H1136" s="115">
        <f>H226</f>
        <v>10</v>
      </c>
    </row>
    <row r="1137" spans="5:8" x14ac:dyDescent="0.25">
      <c r="E1137" s="204">
        <v>56</v>
      </c>
    </row>
    <row r="1138" spans="5:8" x14ac:dyDescent="0.25">
      <c r="E1138" s="204">
        <v>57</v>
      </c>
      <c r="G1138" s="115">
        <f>G766+G824</f>
        <v>52873.1</v>
      </c>
      <c r="H1138" s="115">
        <f>H766+H824</f>
        <v>52873.1</v>
      </c>
    </row>
    <row r="1139" spans="5:8" x14ac:dyDescent="0.25">
      <c r="E1139" s="204">
        <v>58</v>
      </c>
      <c r="G1139" s="115">
        <f>G295+G359+G470</f>
        <v>81484.89</v>
      </c>
      <c r="H1139" s="115">
        <f>H295+H359+H470</f>
        <v>82684.89</v>
      </c>
    </row>
    <row r="1140" spans="5:8" x14ac:dyDescent="0.25">
      <c r="E1140" s="204">
        <v>59</v>
      </c>
      <c r="G1140" s="115">
        <f>G599+G681+G1033+G401+G440+G327+G141+G793</f>
        <v>168</v>
      </c>
      <c r="H1140" s="115">
        <f>H599+H681+H1033+H401+H440+H327+H141+H793</f>
        <v>147</v>
      </c>
    </row>
    <row r="1141" spans="5:8" x14ac:dyDescent="0.25">
      <c r="E1141" s="204">
        <v>60</v>
      </c>
      <c r="G1141" s="115">
        <f>G959</f>
        <v>1920</v>
      </c>
      <c r="H1141" s="115">
        <f>H959</f>
        <v>2173</v>
      </c>
    </row>
    <row r="1142" spans="5:8" x14ac:dyDescent="0.25">
      <c r="E1142" s="204">
        <v>61</v>
      </c>
      <c r="G1142" s="115">
        <f>G193</f>
        <v>274</v>
      </c>
      <c r="H1142" s="115">
        <f>H193</f>
        <v>274</v>
      </c>
    </row>
    <row r="1143" spans="5:8" x14ac:dyDescent="0.25">
      <c r="E1143" s="204">
        <v>62</v>
      </c>
      <c r="G1143" s="115">
        <f>G919</f>
        <v>700</v>
      </c>
      <c r="H1143" s="115">
        <f>H919</f>
        <v>700</v>
      </c>
    </row>
    <row r="1144" spans="5:8" x14ac:dyDescent="0.25">
      <c r="E1144" s="204">
        <v>63</v>
      </c>
      <c r="G1144" s="115">
        <f>G251+G540+G759</f>
        <v>120</v>
      </c>
      <c r="H1144" s="115">
        <f>H251+H540+H759</f>
        <v>120</v>
      </c>
    </row>
    <row r="1145" spans="5:8" x14ac:dyDescent="0.25">
      <c r="E1145" s="204">
        <v>64</v>
      </c>
      <c r="G1145" s="115">
        <f>G146+G332+G406+G604+G686+G715+G798+G268+G483</f>
        <v>3815</v>
      </c>
      <c r="H1145" s="115">
        <f>H146+H332+H406+H604+H686+H715+H798+H268+H483</f>
        <v>3965.9</v>
      </c>
    </row>
    <row r="1146" spans="5:8" x14ac:dyDescent="0.25">
      <c r="E1146" s="204">
        <v>65</v>
      </c>
      <c r="G1146" s="115">
        <f>G998</f>
        <v>500</v>
      </c>
      <c r="H1146" s="115">
        <f>H998</f>
        <v>500</v>
      </c>
    </row>
    <row r="1147" spans="5:8" x14ac:dyDescent="0.25">
      <c r="E1147" s="204">
        <v>66</v>
      </c>
      <c r="G1147" s="115">
        <f>G516</f>
        <v>0</v>
      </c>
      <c r="H1147" s="115">
        <f>H516</f>
        <v>0</v>
      </c>
    </row>
    <row r="1148" spans="5:8" x14ac:dyDescent="0.25">
      <c r="E1148" s="204">
        <v>67</v>
      </c>
      <c r="G1148" s="115">
        <f>G155</f>
        <v>45</v>
      </c>
      <c r="H1148" s="115">
        <f>H155</f>
        <v>50</v>
      </c>
    </row>
    <row r="1149" spans="5:8" x14ac:dyDescent="0.25">
      <c r="E1149" s="204">
        <v>69</v>
      </c>
      <c r="G1149" s="115">
        <f>G160</f>
        <v>80</v>
      </c>
      <c r="H1149" s="115">
        <f>H160</f>
        <v>90</v>
      </c>
    </row>
    <row r="1150" spans="5:8" x14ac:dyDescent="0.25">
      <c r="E1150" s="204">
        <v>70</v>
      </c>
      <c r="G1150" s="115">
        <f>G948</f>
        <v>204</v>
      </c>
      <c r="H1150" s="115">
        <f>H948</f>
        <v>215</v>
      </c>
    </row>
    <row r="1151" spans="5:8" x14ac:dyDescent="0.25">
      <c r="G1151" s="115">
        <f>SUM(G1131:G1150)</f>
        <v>473372.89999999991</v>
      </c>
      <c r="H1151" s="115">
        <f>SUM(H1131:H1150)</f>
        <v>498426.15</v>
      </c>
    </row>
  </sheetData>
  <mergeCells count="9">
    <mergeCell ref="G1:H1"/>
    <mergeCell ref="G2:H2"/>
    <mergeCell ref="G3:H3"/>
    <mergeCell ref="A4:F4"/>
    <mergeCell ref="A5:H5"/>
    <mergeCell ref="N1094:W1094"/>
    <mergeCell ref="X1094:AG1094"/>
    <mergeCell ref="N1101:AA1101"/>
    <mergeCell ref="AB1101:AO1101"/>
  </mergeCells>
  <pageMargins left="0.23622047244094491" right="0.23622047244094491" top="0.74803149606299213" bottom="0.74803149606299213" header="0.31496062992125984" footer="0.31496062992125984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32"/>
  <sheetViews>
    <sheetView view="pageBreakPreview" zoomScaleNormal="100" zoomScaleSheetLayoutView="100" workbookViewId="0">
      <selection activeCell="J12" sqref="J12"/>
    </sheetView>
  </sheetViews>
  <sheetFormatPr defaultColWidth="9.140625" defaultRowHeight="15" x14ac:dyDescent="0.25"/>
  <cols>
    <col min="1" max="1" width="62.28515625" style="578" customWidth="1"/>
    <col min="2" max="2" width="7" style="578" customWidth="1"/>
    <col min="3" max="3" width="4.28515625" style="578" customWidth="1"/>
    <col min="4" max="4" width="4.85546875" style="578" customWidth="1"/>
    <col min="5" max="5" width="15.42578125" style="578" customWidth="1"/>
    <col min="6" max="6" width="5.7109375" style="578" customWidth="1"/>
    <col min="7" max="8" width="15" style="115" customWidth="1"/>
    <col min="9" max="9" width="21.85546875" style="527" customWidth="1"/>
    <col min="10" max="10" width="24.140625" style="578" customWidth="1"/>
    <col min="11" max="11" width="12.42578125" style="578" customWidth="1"/>
    <col min="12" max="12" width="10.5703125" style="578" customWidth="1"/>
    <col min="13" max="13" width="12.7109375" style="578" customWidth="1"/>
    <col min="14" max="14" width="16.42578125" style="578" customWidth="1"/>
    <col min="15" max="15" width="9.140625" style="578"/>
    <col min="16" max="16" width="10" style="578" customWidth="1"/>
    <col min="17" max="17" width="9.140625" style="578" customWidth="1"/>
    <col min="18" max="18" width="10.28515625" style="578" customWidth="1"/>
    <col min="19" max="19" width="9.140625" style="578" customWidth="1"/>
    <col min="20" max="26" width="9.140625" style="578"/>
    <col min="27" max="27" width="11.42578125" style="578" customWidth="1"/>
    <col min="28" max="44" width="9.140625" style="578"/>
    <col min="45" max="45" width="11.42578125" style="578" customWidth="1"/>
    <col min="46" max="16384" width="9.140625" style="578"/>
  </cols>
  <sheetData>
    <row r="1" spans="1:10" ht="15.75" x14ac:dyDescent="0.25">
      <c r="A1" s="63"/>
      <c r="B1" s="63"/>
      <c r="C1" s="63"/>
      <c r="D1" s="63"/>
      <c r="E1" s="699"/>
      <c r="F1" s="699"/>
      <c r="G1" s="714" t="s">
        <v>1822</v>
      </c>
      <c r="H1" s="714"/>
    </row>
    <row r="2" spans="1:10" ht="15.75" x14ac:dyDescent="0.25">
      <c r="A2" s="63"/>
      <c r="B2" s="63"/>
      <c r="C2" s="63"/>
      <c r="D2" s="63"/>
      <c r="E2" s="699"/>
      <c r="F2" s="699"/>
      <c r="G2" s="714" t="s">
        <v>0</v>
      </c>
      <c r="H2" s="714"/>
    </row>
    <row r="3" spans="1:10" ht="15.75" x14ac:dyDescent="0.25">
      <c r="A3" s="130"/>
      <c r="B3" s="130"/>
      <c r="C3" s="130"/>
      <c r="D3" s="130"/>
      <c r="E3" s="699"/>
      <c r="F3" s="699"/>
      <c r="G3" s="714" t="s">
        <v>1725</v>
      </c>
      <c r="H3" s="714"/>
    </row>
    <row r="4" spans="1:10" ht="15.75" x14ac:dyDescent="0.25">
      <c r="A4" s="638"/>
      <c r="B4" s="638"/>
      <c r="C4" s="638"/>
      <c r="D4" s="638"/>
      <c r="E4" s="638"/>
      <c r="F4" s="638"/>
      <c r="G4" s="634"/>
      <c r="H4" s="634"/>
    </row>
    <row r="5" spans="1:10" ht="15.75" customHeight="1" x14ac:dyDescent="0.25">
      <c r="A5" s="731" t="s">
        <v>1805</v>
      </c>
      <c r="B5" s="731"/>
      <c r="C5" s="731"/>
      <c r="D5" s="731"/>
      <c r="E5" s="731"/>
      <c r="F5" s="731"/>
      <c r="G5" s="731"/>
      <c r="H5" s="578"/>
    </row>
    <row r="6" spans="1:10" ht="15.75" x14ac:dyDescent="0.25">
      <c r="A6" s="636"/>
      <c r="B6" s="636"/>
      <c r="C6" s="636"/>
      <c r="D6" s="636"/>
      <c r="E6" s="636"/>
      <c r="F6" s="636"/>
    </row>
    <row r="7" spans="1:10" ht="15.75" x14ac:dyDescent="0.25">
      <c r="A7" s="13"/>
      <c r="B7" s="13"/>
      <c r="C7" s="13"/>
      <c r="D7" s="13"/>
      <c r="E7" s="13"/>
      <c r="F7" s="13"/>
      <c r="G7" s="275"/>
      <c r="H7" s="275" t="s">
        <v>1</v>
      </c>
    </row>
    <row r="8" spans="1:10" ht="47.25" x14ac:dyDescent="0.25">
      <c r="A8" s="635" t="s">
        <v>110</v>
      </c>
      <c r="B8" s="635" t="s">
        <v>111</v>
      </c>
      <c r="C8" s="15" t="s">
        <v>112</v>
      </c>
      <c r="D8" s="15" t="s">
        <v>113</v>
      </c>
      <c r="E8" s="15" t="s">
        <v>114</v>
      </c>
      <c r="F8" s="15" t="s">
        <v>115</v>
      </c>
      <c r="G8" s="392" t="s">
        <v>1290</v>
      </c>
      <c r="H8" s="392" t="s">
        <v>1783</v>
      </c>
      <c r="I8" s="526"/>
      <c r="J8" s="501"/>
    </row>
    <row r="9" spans="1:10" ht="15.75" x14ac:dyDescent="0.25">
      <c r="A9" s="308" t="s">
        <v>1411</v>
      </c>
      <c r="B9" s="635"/>
      <c r="C9" s="15"/>
      <c r="D9" s="15"/>
      <c r="E9" s="15"/>
      <c r="F9" s="15"/>
      <c r="G9" s="710">
        <f>700+12979.9</f>
        <v>13679.9</v>
      </c>
      <c r="H9" s="710">
        <f>21071+124.6+7172.9</f>
        <v>28368.5</v>
      </c>
      <c r="I9" s="117">
        <f>('Пр.1.1. дох.23-24'!C9+'Пр.1.1. дох.23-24'!C79)*2.5%</f>
        <v>13679.906000000001</v>
      </c>
      <c r="J9" s="117">
        <f>('Пр.1.1. дох.23-24'!D9+'Пр.1.1. дох.23-24'!D79)*5%</f>
        <v>28368.485500000006</v>
      </c>
    </row>
    <row r="10" spans="1:10" ht="31.5" x14ac:dyDescent="0.25">
      <c r="A10" s="491" t="s">
        <v>116</v>
      </c>
      <c r="B10" s="491">
        <v>901</v>
      </c>
      <c r="C10" s="580"/>
      <c r="D10" s="580"/>
      <c r="E10" s="580"/>
      <c r="F10" s="580"/>
      <c r="G10" s="493">
        <f>G11</f>
        <v>14531.4</v>
      </c>
      <c r="H10" s="493">
        <f>H11</f>
        <v>14531.4</v>
      </c>
      <c r="I10" s="117">
        <f>G11+G32+G242+G521+G536+G588+G822+G913+G1155</f>
        <v>155143.59999999998</v>
      </c>
      <c r="J10" s="117">
        <f>H11+H32+H242+H521+H536+H588+H822+H913+H1155</f>
        <v>160977.99999999997</v>
      </c>
    </row>
    <row r="11" spans="1:10" ht="15.75" x14ac:dyDescent="0.25">
      <c r="A11" s="494" t="s">
        <v>117</v>
      </c>
      <c r="B11" s="491">
        <v>901</v>
      </c>
      <c r="C11" s="495" t="s">
        <v>118</v>
      </c>
      <c r="D11" s="580"/>
      <c r="E11" s="580"/>
      <c r="F11" s="580"/>
      <c r="G11" s="493">
        <f>G12+G25</f>
        <v>14531.4</v>
      </c>
      <c r="H11" s="493">
        <f>H12+H25</f>
        <v>14531.4</v>
      </c>
      <c r="I11" s="526"/>
      <c r="J11" s="501"/>
    </row>
    <row r="12" spans="1:10" ht="47.25" x14ac:dyDescent="0.25">
      <c r="A12" s="494" t="s">
        <v>119</v>
      </c>
      <c r="B12" s="491">
        <v>901</v>
      </c>
      <c r="C12" s="495" t="s">
        <v>118</v>
      </c>
      <c r="D12" s="495" t="s">
        <v>120</v>
      </c>
      <c r="E12" s="495"/>
      <c r="F12" s="495"/>
      <c r="G12" s="493">
        <f>G13</f>
        <v>14481.4</v>
      </c>
      <c r="H12" s="493">
        <f>H13</f>
        <v>14481.4</v>
      </c>
      <c r="I12" s="526"/>
      <c r="J12" s="501"/>
    </row>
    <row r="13" spans="1:10" ht="31.5" x14ac:dyDescent="0.25">
      <c r="A13" s="494" t="s">
        <v>917</v>
      </c>
      <c r="B13" s="491">
        <v>901</v>
      </c>
      <c r="C13" s="495" t="s">
        <v>118</v>
      </c>
      <c r="D13" s="495" t="s">
        <v>120</v>
      </c>
      <c r="E13" s="495" t="s">
        <v>858</v>
      </c>
      <c r="F13" s="495"/>
      <c r="G13" s="493">
        <f>G14</f>
        <v>14481.4</v>
      </c>
      <c r="H13" s="493">
        <f>H14</f>
        <v>14481.4</v>
      </c>
      <c r="I13" s="526"/>
      <c r="J13" s="501"/>
    </row>
    <row r="14" spans="1:10" ht="15.75" x14ac:dyDescent="0.25">
      <c r="A14" s="494" t="s">
        <v>918</v>
      </c>
      <c r="B14" s="491">
        <v>901</v>
      </c>
      <c r="C14" s="495" t="s">
        <v>118</v>
      </c>
      <c r="D14" s="495" t="s">
        <v>120</v>
      </c>
      <c r="E14" s="495" t="s">
        <v>859</v>
      </c>
      <c r="F14" s="495"/>
      <c r="G14" s="493">
        <f>G15+G22</f>
        <v>14481.4</v>
      </c>
      <c r="H14" s="493">
        <f>H15+H22</f>
        <v>14481.4</v>
      </c>
      <c r="I14" s="526"/>
      <c r="J14" s="501"/>
    </row>
    <row r="15" spans="1:10" ht="31.5" x14ac:dyDescent="0.25">
      <c r="A15" s="579" t="s">
        <v>897</v>
      </c>
      <c r="B15" s="490">
        <v>901</v>
      </c>
      <c r="C15" s="580" t="s">
        <v>118</v>
      </c>
      <c r="D15" s="580" t="s">
        <v>120</v>
      </c>
      <c r="E15" s="580" t="s">
        <v>860</v>
      </c>
      <c r="F15" s="580"/>
      <c r="G15" s="497">
        <f>G16+G18+G20</f>
        <v>14031.4</v>
      </c>
      <c r="H15" s="497">
        <f>H16+H18+H20</f>
        <v>14031.4</v>
      </c>
      <c r="I15" s="526"/>
      <c r="J15" s="501"/>
    </row>
    <row r="16" spans="1:10" ht="63" x14ac:dyDescent="0.25">
      <c r="A16" s="579" t="s">
        <v>127</v>
      </c>
      <c r="B16" s="490">
        <v>901</v>
      </c>
      <c r="C16" s="580" t="s">
        <v>118</v>
      </c>
      <c r="D16" s="580" t="s">
        <v>120</v>
      </c>
      <c r="E16" s="580" t="s">
        <v>860</v>
      </c>
      <c r="F16" s="580" t="s">
        <v>128</v>
      </c>
      <c r="G16" s="497">
        <f>G17</f>
        <v>13033.9</v>
      </c>
      <c r="H16" s="497">
        <f>H17</f>
        <v>13033.9</v>
      </c>
      <c r="I16" s="526"/>
      <c r="J16" s="501"/>
    </row>
    <row r="17" spans="1:11" ht="31.5" x14ac:dyDescent="0.25">
      <c r="A17" s="579" t="s">
        <v>129</v>
      </c>
      <c r="B17" s="490">
        <v>901</v>
      </c>
      <c r="C17" s="580" t="s">
        <v>118</v>
      </c>
      <c r="D17" s="580" t="s">
        <v>120</v>
      </c>
      <c r="E17" s="580" t="s">
        <v>860</v>
      </c>
      <c r="F17" s="580" t="s">
        <v>130</v>
      </c>
      <c r="G17" s="27">
        <v>13033.9</v>
      </c>
      <c r="H17" s="27">
        <v>13033.9</v>
      </c>
      <c r="I17" s="526"/>
      <c r="J17" s="526"/>
    </row>
    <row r="18" spans="1:11" ht="31.5" x14ac:dyDescent="0.25">
      <c r="A18" s="579" t="s">
        <v>131</v>
      </c>
      <c r="B18" s="490">
        <v>901</v>
      </c>
      <c r="C18" s="580" t="s">
        <v>118</v>
      </c>
      <c r="D18" s="580" t="s">
        <v>120</v>
      </c>
      <c r="E18" s="580" t="s">
        <v>860</v>
      </c>
      <c r="F18" s="580" t="s">
        <v>132</v>
      </c>
      <c r="G18" s="497">
        <f>G19</f>
        <v>969.5</v>
      </c>
      <c r="H18" s="497">
        <f>H19</f>
        <v>969.5</v>
      </c>
      <c r="I18" s="526"/>
      <c r="J18" s="501"/>
    </row>
    <row r="19" spans="1:11" ht="31.5" x14ac:dyDescent="0.25">
      <c r="A19" s="579" t="s">
        <v>133</v>
      </c>
      <c r="B19" s="490">
        <v>901</v>
      </c>
      <c r="C19" s="580" t="s">
        <v>118</v>
      </c>
      <c r="D19" s="580" t="s">
        <v>120</v>
      </c>
      <c r="E19" s="580" t="s">
        <v>860</v>
      </c>
      <c r="F19" s="580" t="s">
        <v>134</v>
      </c>
      <c r="G19" s="27">
        <v>969.5</v>
      </c>
      <c r="H19" s="27">
        <v>969.5</v>
      </c>
      <c r="I19" s="526"/>
      <c r="J19" s="501"/>
    </row>
    <row r="20" spans="1:11" ht="15.75" x14ac:dyDescent="0.25">
      <c r="A20" s="579" t="s">
        <v>135</v>
      </c>
      <c r="B20" s="490">
        <v>901</v>
      </c>
      <c r="C20" s="580" t="s">
        <v>118</v>
      </c>
      <c r="D20" s="580" t="s">
        <v>120</v>
      </c>
      <c r="E20" s="580" t="s">
        <v>860</v>
      </c>
      <c r="F20" s="580" t="s">
        <v>136</v>
      </c>
      <c r="G20" s="497">
        <f>G21</f>
        <v>28</v>
      </c>
      <c r="H20" s="497">
        <f>H21</f>
        <v>28</v>
      </c>
      <c r="I20" s="526"/>
      <c r="J20" s="501"/>
    </row>
    <row r="21" spans="1:11" ht="15.75" x14ac:dyDescent="0.25">
      <c r="A21" s="579" t="s">
        <v>568</v>
      </c>
      <c r="B21" s="490">
        <v>901</v>
      </c>
      <c r="C21" s="580" t="s">
        <v>118</v>
      </c>
      <c r="D21" s="580" t="s">
        <v>120</v>
      </c>
      <c r="E21" s="580" t="s">
        <v>860</v>
      </c>
      <c r="F21" s="580" t="s">
        <v>138</v>
      </c>
      <c r="G21" s="497">
        <v>28</v>
      </c>
      <c r="H21" s="497">
        <v>28</v>
      </c>
      <c r="I21" s="526"/>
      <c r="J21" s="501"/>
    </row>
    <row r="22" spans="1:11" ht="31.5" x14ac:dyDescent="0.25">
      <c r="A22" s="579" t="s">
        <v>839</v>
      </c>
      <c r="B22" s="490">
        <v>901</v>
      </c>
      <c r="C22" s="580" t="s">
        <v>118</v>
      </c>
      <c r="D22" s="580" t="s">
        <v>120</v>
      </c>
      <c r="E22" s="580" t="s">
        <v>862</v>
      </c>
      <c r="F22" s="580"/>
      <c r="G22" s="497">
        <f>G23</f>
        <v>450</v>
      </c>
      <c r="H22" s="497">
        <f>H23</f>
        <v>450</v>
      </c>
      <c r="I22" s="526"/>
      <c r="J22" s="501"/>
    </row>
    <row r="23" spans="1:11" ht="63" x14ac:dyDescent="0.25">
      <c r="A23" s="579" t="s">
        <v>127</v>
      </c>
      <c r="B23" s="490">
        <v>901</v>
      </c>
      <c r="C23" s="580" t="s">
        <v>118</v>
      </c>
      <c r="D23" s="580" t="s">
        <v>120</v>
      </c>
      <c r="E23" s="580" t="s">
        <v>862</v>
      </c>
      <c r="F23" s="580" t="s">
        <v>128</v>
      </c>
      <c r="G23" s="497">
        <f>G24</f>
        <v>450</v>
      </c>
      <c r="H23" s="497">
        <f>H24</f>
        <v>450</v>
      </c>
      <c r="I23" s="526"/>
      <c r="J23" s="501"/>
    </row>
    <row r="24" spans="1:11" ht="31.5" x14ac:dyDescent="0.25">
      <c r="A24" s="579" t="s">
        <v>129</v>
      </c>
      <c r="B24" s="490">
        <v>901</v>
      </c>
      <c r="C24" s="580" t="s">
        <v>118</v>
      </c>
      <c r="D24" s="580" t="s">
        <v>120</v>
      </c>
      <c r="E24" s="580" t="s">
        <v>862</v>
      </c>
      <c r="F24" s="580" t="s">
        <v>130</v>
      </c>
      <c r="G24" s="497">
        <v>450</v>
      </c>
      <c r="H24" s="497">
        <v>450</v>
      </c>
      <c r="I24" s="526"/>
      <c r="J24" s="501"/>
    </row>
    <row r="25" spans="1:11" ht="15.75" x14ac:dyDescent="0.25">
      <c r="A25" s="494" t="s">
        <v>1400</v>
      </c>
      <c r="B25" s="491">
        <v>901</v>
      </c>
      <c r="C25" s="495" t="s">
        <v>118</v>
      </c>
      <c r="D25" s="495" t="s">
        <v>491</v>
      </c>
      <c r="E25" s="495"/>
      <c r="F25" s="495"/>
      <c r="G25" s="493">
        <f t="shared" ref="G25:H29" si="0">G26</f>
        <v>50</v>
      </c>
      <c r="H25" s="493">
        <f t="shared" si="0"/>
        <v>50</v>
      </c>
      <c r="I25" s="526"/>
      <c r="J25" s="501"/>
    </row>
    <row r="26" spans="1:11" ht="15.75" x14ac:dyDescent="0.25">
      <c r="A26" s="494" t="s">
        <v>141</v>
      </c>
      <c r="B26" s="491">
        <v>901</v>
      </c>
      <c r="C26" s="495" t="s">
        <v>118</v>
      </c>
      <c r="D26" s="495" t="s">
        <v>491</v>
      </c>
      <c r="E26" s="495" t="s">
        <v>866</v>
      </c>
      <c r="F26" s="495"/>
      <c r="G26" s="493">
        <f t="shared" si="0"/>
        <v>50</v>
      </c>
      <c r="H26" s="493">
        <f t="shared" si="0"/>
        <v>50</v>
      </c>
      <c r="I26" s="526"/>
      <c r="J26" s="501"/>
    </row>
    <row r="27" spans="1:11" ht="31.5" x14ac:dyDescent="0.25">
      <c r="A27" s="494" t="s">
        <v>870</v>
      </c>
      <c r="B27" s="491">
        <v>901</v>
      </c>
      <c r="C27" s="495" t="s">
        <v>118</v>
      </c>
      <c r="D27" s="495" t="s">
        <v>491</v>
      </c>
      <c r="E27" s="495" t="s">
        <v>865</v>
      </c>
      <c r="F27" s="495"/>
      <c r="G27" s="493">
        <f t="shared" si="0"/>
        <v>50</v>
      </c>
      <c r="H27" s="493">
        <f t="shared" si="0"/>
        <v>50</v>
      </c>
      <c r="I27" s="526"/>
      <c r="J27" s="501"/>
    </row>
    <row r="28" spans="1:11" ht="15.75" x14ac:dyDescent="0.25">
      <c r="A28" s="579" t="s">
        <v>1137</v>
      </c>
      <c r="B28" s="490">
        <v>901</v>
      </c>
      <c r="C28" s="580" t="s">
        <v>118</v>
      </c>
      <c r="D28" s="580" t="s">
        <v>491</v>
      </c>
      <c r="E28" s="580" t="s">
        <v>1138</v>
      </c>
      <c r="F28" s="580"/>
      <c r="G28" s="497">
        <f t="shared" si="0"/>
        <v>50</v>
      </c>
      <c r="H28" s="497">
        <f t="shared" si="0"/>
        <v>50</v>
      </c>
      <c r="I28" s="526"/>
      <c r="J28" s="501"/>
    </row>
    <row r="29" spans="1:11" ht="15.75" x14ac:dyDescent="0.25">
      <c r="A29" s="579" t="s">
        <v>135</v>
      </c>
      <c r="B29" s="490">
        <v>901</v>
      </c>
      <c r="C29" s="580" t="s">
        <v>118</v>
      </c>
      <c r="D29" s="580" t="s">
        <v>491</v>
      </c>
      <c r="E29" s="580" t="s">
        <v>1138</v>
      </c>
      <c r="F29" s="580" t="s">
        <v>145</v>
      </c>
      <c r="G29" s="497">
        <f t="shared" si="0"/>
        <v>50</v>
      </c>
      <c r="H29" s="497">
        <f t="shared" si="0"/>
        <v>50</v>
      </c>
      <c r="I29" s="526"/>
      <c r="J29" s="501"/>
    </row>
    <row r="30" spans="1:11" ht="15.75" x14ac:dyDescent="0.25">
      <c r="A30" s="579" t="s">
        <v>1137</v>
      </c>
      <c r="B30" s="490">
        <v>901</v>
      </c>
      <c r="C30" s="580" t="s">
        <v>118</v>
      </c>
      <c r="D30" s="580" t="s">
        <v>491</v>
      </c>
      <c r="E30" s="580" t="s">
        <v>1138</v>
      </c>
      <c r="F30" s="580" t="s">
        <v>1139</v>
      </c>
      <c r="G30" s="497">
        <v>50</v>
      </c>
      <c r="H30" s="497">
        <v>50</v>
      </c>
      <c r="I30" s="526"/>
      <c r="J30" s="501"/>
    </row>
    <row r="31" spans="1:11" ht="15.75" x14ac:dyDescent="0.25">
      <c r="A31" s="491" t="s">
        <v>148</v>
      </c>
      <c r="B31" s="491">
        <v>902</v>
      </c>
      <c r="C31" s="580"/>
      <c r="D31" s="580"/>
      <c r="E31" s="580"/>
      <c r="F31" s="580"/>
      <c r="G31" s="493">
        <f>G32+G166+G196+G220+G159</f>
        <v>85999</v>
      </c>
      <c r="H31" s="493">
        <f>H32+H166+H196+H220+H159</f>
        <v>92171.299999999988</v>
      </c>
      <c r="I31" s="526"/>
      <c r="J31" s="501"/>
      <c r="K31" s="230"/>
    </row>
    <row r="32" spans="1:11" ht="15.75" x14ac:dyDescent="0.25">
      <c r="A32" s="494" t="s">
        <v>117</v>
      </c>
      <c r="B32" s="491">
        <v>902</v>
      </c>
      <c r="C32" s="495" t="s">
        <v>118</v>
      </c>
      <c r="D32" s="580"/>
      <c r="E32" s="580"/>
      <c r="F32" s="580"/>
      <c r="G32" s="493">
        <f>G49+G104+G121+G113+G33</f>
        <v>63443.900000000009</v>
      </c>
      <c r="H32" s="493">
        <f>H49+H104+H121+H113+H33</f>
        <v>69455.199999999997</v>
      </c>
      <c r="I32" s="526"/>
      <c r="J32" s="501"/>
    </row>
    <row r="33" spans="1:11" ht="31.9" customHeight="1" x14ac:dyDescent="0.25">
      <c r="A33" s="494" t="s">
        <v>575</v>
      </c>
      <c r="B33" s="491">
        <v>902</v>
      </c>
      <c r="C33" s="495" t="s">
        <v>118</v>
      </c>
      <c r="D33" s="495" t="s">
        <v>213</v>
      </c>
      <c r="E33" s="580"/>
      <c r="F33" s="580"/>
      <c r="G33" s="493">
        <f>G34</f>
        <v>5300.4</v>
      </c>
      <c r="H33" s="493">
        <f>H34</f>
        <v>5386.4</v>
      </c>
      <c r="I33" s="526"/>
      <c r="J33" s="501"/>
    </row>
    <row r="34" spans="1:11" ht="31.5" x14ac:dyDescent="0.25">
      <c r="A34" s="494" t="s">
        <v>917</v>
      </c>
      <c r="B34" s="491">
        <v>902</v>
      </c>
      <c r="C34" s="495" t="s">
        <v>118</v>
      </c>
      <c r="D34" s="495" t="s">
        <v>213</v>
      </c>
      <c r="E34" s="495" t="s">
        <v>858</v>
      </c>
      <c r="F34" s="580"/>
      <c r="G34" s="493">
        <f>G35+G44</f>
        <v>5300.4</v>
      </c>
      <c r="H34" s="493">
        <f>H35+H44</f>
        <v>5386.4</v>
      </c>
      <c r="I34" s="526"/>
      <c r="J34" s="501"/>
    </row>
    <row r="35" spans="1:11" ht="15.75" x14ac:dyDescent="0.25">
      <c r="A35" s="494" t="s">
        <v>918</v>
      </c>
      <c r="B35" s="491">
        <v>902</v>
      </c>
      <c r="C35" s="495" t="s">
        <v>118</v>
      </c>
      <c r="D35" s="495" t="s">
        <v>213</v>
      </c>
      <c r="E35" s="495" t="s">
        <v>859</v>
      </c>
      <c r="F35" s="580"/>
      <c r="G35" s="493">
        <f>G36+G41</f>
        <v>5299.9</v>
      </c>
      <c r="H35" s="493">
        <f>H36+H41</f>
        <v>5385.9</v>
      </c>
      <c r="I35" s="526"/>
      <c r="J35" s="501"/>
    </row>
    <row r="36" spans="1:11" ht="31.5" x14ac:dyDescent="0.25">
      <c r="A36" s="579" t="s">
        <v>576</v>
      </c>
      <c r="B36" s="490">
        <v>902</v>
      </c>
      <c r="C36" s="580" t="s">
        <v>118</v>
      </c>
      <c r="D36" s="580" t="s">
        <v>213</v>
      </c>
      <c r="E36" s="580" t="s">
        <v>1330</v>
      </c>
      <c r="F36" s="580"/>
      <c r="G36" s="497">
        <f>G37+G39</f>
        <v>5299.9</v>
      </c>
      <c r="H36" s="497">
        <f>H37+H39</f>
        <v>5299.9</v>
      </c>
      <c r="I36" s="526"/>
      <c r="J36" s="501"/>
    </row>
    <row r="37" spans="1:11" ht="63" x14ac:dyDescent="0.25">
      <c r="A37" s="579" t="s">
        <v>127</v>
      </c>
      <c r="B37" s="490">
        <v>902</v>
      </c>
      <c r="C37" s="580" t="s">
        <v>118</v>
      </c>
      <c r="D37" s="580" t="s">
        <v>213</v>
      </c>
      <c r="E37" s="580" t="s">
        <v>1330</v>
      </c>
      <c r="F37" s="580" t="s">
        <v>128</v>
      </c>
      <c r="G37" s="497">
        <f>G38</f>
        <v>5209.8999999999996</v>
      </c>
      <c r="H37" s="497">
        <f>H38</f>
        <v>5209.8999999999996</v>
      </c>
      <c r="I37" s="526"/>
      <c r="J37" s="501"/>
    </row>
    <row r="38" spans="1:11" ht="31.5" x14ac:dyDescent="0.25">
      <c r="A38" s="579" t="s">
        <v>129</v>
      </c>
      <c r="B38" s="490">
        <v>902</v>
      </c>
      <c r="C38" s="580" t="s">
        <v>118</v>
      </c>
      <c r="D38" s="580" t="s">
        <v>213</v>
      </c>
      <c r="E38" s="580" t="s">
        <v>1330</v>
      </c>
      <c r="F38" s="580" t="s">
        <v>130</v>
      </c>
      <c r="G38" s="27">
        <v>5209.8999999999996</v>
      </c>
      <c r="H38" s="27">
        <v>5209.8999999999996</v>
      </c>
      <c r="I38" s="526"/>
      <c r="J38" s="501"/>
      <c r="K38" s="537"/>
    </row>
    <row r="39" spans="1:11" ht="31.5" x14ac:dyDescent="0.25">
      <c r="A39" s="579" t="s">
        <v>198</v>
      </c>
      <c r="B39" s="490">
        <v>902</v>
      </c>
      <c r="C39" s="580" t="s">
        <v>118</v>
      </c>
      <c r="D39" s="580" t="s">
        <v>213</v>
      </c>
      <c r="E39" s="580" t="s">
        <v>1330</v>
      </c>
      <c r="F39" s="580" t="s">
        <v>132</v>
      </c>
      <c r="G39" s="497">
        <f>G40</f>
        <v>90</v>
      </c>
      <c r="H39" s="497">
        <f>H40</f>
        <v>90</v>
      </c>
      <c r="I39" s="526"/>
      <c r="J39" s="501"/>
    </row>
    <row r="40" spans="1:11" ht="31.5" x14ac:dyDescent="0.25">
      <c r="A40" s="579" t="s">
        <v>133</v>
      </c>
      <c r="B40" s="490">
        <v>902</v>
      </c>
      <c r="C40" s="580" t="s">
        <v>118</v>
      </c>
      <c r="D40" s="580" t="s">
        <v>213</v>
      </c>
      <c r="E40" s="580" t="s">
        <v>1330</v>
      </c>
      <c r="F40" s="580" t="s">
        <v>134</v>
      </c>
      <c r="G40" s="497">
        <f>90</f>
        <v>90</v>
      </c>
      <c r="H40" s="497">
        <f>90</f>
        <v>90</v>
      </c>
      <c r="I40" s="526"/>
      <c r="J40" s="501"/>
    </row>
    <row r="41" spans="1:11" ht="31.5" x14ac:dyDescent="0.25">
      <c r="A41" s="579" t="s">
        <v>839</v>
      </c>
      <c r="B41" s="490">
        <v>902</v>
      </c>
      <c r="C41" s="580" t="s">
        <v>118</v>
      </c>
      <c r="D41" s="580" t="s">
        <v>213</v>
      </c>
      <c r="E41" s="580" t="s">
        <v>862</v>
      </c>
      <c r="F41" s="580"/>
      <c r="G41" s="497">
        <f>G42</f>
        <v>0</v>
      </c>
      <c r="H41" s="497">
        <f>H42</f>
        <v>86</v>
      </c>
      <c r="I41" s="526"/>
      <c r="J41" s="501"/>
    </row>
    <row r="42" spans="1:11" ht="63" x14ac:dyDescent="0.25">
      <c r="A42" s="579" t="s">
        <v>127</v>
      </c>
      <c r="B42" s="490">
        <v>902</v>
      </c>
      <c r="C42" s="580" t="s">
        <v>118</v>
      </c>
      <c r="D42" s="580" t="s">
        <v>213</v>
      </c>
      <c r="E42" s="580" t="s">
        <v>862</v>
      </c>
      <c r="F42" s="580" t="s">
        <v>128</v>
      </c>
      <c r="G42" s="497">
        <f>G43</f>
        <v>0</v>
      </c>
      <c r="H42" s="497">
        <f>H43</f>
        <v>86</v>
      </c>
      <c r="I42" s="526"/>
      <c r="J42" s="501"/>
    </row>
    <row r="43" spans="1:11" ht="31.5" x14ac:dyDescent="0.25">
      <c r="A43" s="579" t="s">
        <v>129</v>
      </c>
      <c r="B43" s="490">
        <v>902</v>
      </c>
      <c r="C43" s="580" t="s">
        <v>118</v>
      </c>
      <c r="D43" s="580" t="s">
        <v>213</v>
      </c>
      <c r="E43" s="580" t="s">
        <v>862</v>
      </c>
      <c r="F43" s="580" t="s">
        <v>130</v>
      </c>
      <c r="G43" s="497">
        <v>0</v>
      </c>
      <c r="H43" s="497">
        <v>86</v>
      </c>
      <c r="I43" s="526"/>
      <c r="J43" s="501"/>
    </row>
    <row r="44" spans="1:11" ht="31.5" x14ac:dyDescent="0.25">
      <c r="A44" s="494" t="s">
        <v>1338</v>
      </c>
      <c r="B44" s="491">
        <v>902</v>
      </c>
      <c r="C44" s="495" t="s">
        <v>118</v>
      </c>
      <c r="D44" s="495" t="s">
        <v>213</v>
      </c>
      <c r="E44" s="495" t="s">
        <v>162</v>
      </c>
      <c r="F44" s="495"/>
      <c r="G44" s="493">
        <f t="shared" ref="G44:H47" si="1">G45</f>
        <v>0.5</v>
      </c>
      <c r="H44" s="493">
        <f t="shared" si="1"/>
        <v>0.5</v>
      </c>
      <c r="I44" s="526"/>
      <c r="J44" s="501"/>
    </row>
    <row r="45" spans="1:11" ht="63" x14ac:dyDescent="0.25">
      <c r="A45" s="216" t="s">
        <v>1340</v>
      </c>
      <c r="B45" s="277">
        <v>902</v>
      </c>
      <c r="C45" s="495" t="s">
        <v>118</v>
      </c>
      <c r="D45" s="495" t="s">
        <v>213</v>
      </c>
      <c r="E45" s="7" t="s">
        <v>850</v>
      </c>
      <c r="F45" s="495"/>
      <c r="G45" s="493">
        <f t="shared" si="1"/>
        <v>0.5</v>
      </c>
      <c r="H45" s="493">
        <f t="shared" si="1"/>
        <v>0.5</v>
      </c>
      <c r="I45" s="526"/>
      <c r="J45" s="501"/>
    </row>
    <row r="46" spans="1:11" ht="59.1" customHeight="1" x14ac:dyDescent="0.25">
      <c r="A46" s="31" t="s">
        <v>695</v>
      </c>
      <c r="B46" s="490">
        <v>902</v>
      </c>
      <c r="C46" s="580" t="s">
        <v>118</v>
      </c>
      <c r="D46" s="580" t="s">
        <v>213</v>
      </c>
      <c r="E46" s="573" t="s">
        <v>993</v>
      </c>
      <c r="F46" s="580"/>
      <c r="G46" s="497">
        <f t="shared" si="1"/>
        <v>0.5</v>
      </c>
      <c r="H46" s="497">
        <f t="shared" si="1"/>
        <v>0.5</v>
      </c>
      <c r="I46" s="526"/>
      <c r="J46" s="501"/>
    </row>
    <row r="47" spans="1:11" ht="31.5" x14ac:dyDescent="0.25">
      <c r="A47" s="579" t="s">
        <v>131</v>
      </c>
      <c r="B47" s="490">
        <v>902</v>
      </c>
      <c r="C47" s="580" t="s">
        <v>118</v>
      </c>
      <c r="D47" s="580" t="s">
        <v>213</v>
      </c>
      <c r="E47" s="573" t="s">
        <v>993</v>
      </c>
      <c r="F47" s="580" t="s">
        <v>132</v>
      </c>
      <c r="G47" s="497">
        <f t="shared" si="1"/>
        <v>0.5</v>
      </c>
      <c r="H47" s="497">
        <f t="shared" si="1"/>
        <v>0.5</v>
      </c>
      <c r="I47" s="526"/>
      <c r="J47" s="501"/>
    </row>
    <row r="48" spans="1:11" ht="31.5" x14ac:dyDescent="0.25">
      <c r="A48" s="579" t="s">
        <v>133</v>
      </c>
      <c r="B48" s="490">
        <v>902</v>
      </c>
      <c r="C48" s="580" t="s">
        <v>118</v>
      </c>
      <c r="D48" s="580" t="s">
        <v>213</v>
      </c>
      <c r="E48" s="573" t="s">
        <v>993</v>
      </c>
      <c r="F48" s="580" t="s">
        <v>134</v>
      </c>
      <c r="G48" s="497">
        <v>0.5</v>
      </c>
      <c r="H48" s="497">
        <v>0.5</v>
      </c>
      <c r="I48" s="526"/>
      <c r="J48" s="501"/>
    </row>
    <row r="49" spans="1:11" ht="46.15" customHeight="1" x14ac:dyDescent="0.25">
      <c r="A49" s="494" t="s">
        <v>149</v>
      </c>
      <c r="B49" s="491">
        <v>902</v>
      </c>
      <c r="C49" s="495" t="s">
        <v>118</v>
      </c>
      <c r="D49" s="495" t="s">
        <v>150</v>
      </c>
      <c r="E49" s="495"/>
      <c r="F49" s="495"/>
      <c r="G49" s="493">
        <f>G50+G86</f>
        <v>50280.900000000009</v>
      </c>
      <c r="H49" s="493">
        <f>H50+H86</f>
        <v>56292.200000000004</v>
      </c>
      <c r="I49" s="526"/>
      <c r="J49" s="501"/>
    </row>
    <row r="50" spans="1:11" ht="31.5" x14ac:dyDescent="0.25">
      <c r="A50" s="494" t="s">
        <v>917</v>
      </c>
      <c r="B50" s="491">
        <v>902</v>
      </c>
      <c r="C50" s="495" t="s">
        <v>118</v>
      </c>
      <c r="D50" s="495" t="s">
        <v>150</v>
      </c>
      <c r="E50" s="495" t="s">
        <v>858</v>
      </c>
      <c r="F50" s="495"/>
      <c r="G50" s="44">
        <f>G51+G67</f>
        <v>49677.400000000009</v>
      </c>
      <c r="H50" s="44">
        <f>H51+H67</f>
        <v>55688.700000000004</v>
      </c>
      <c r="I50" s="526"/>
      <c r="J50" s="501"/>
    </row>
    <row r="51" spans="1:11" ht="15.75" x14ac:dyDescent="0.25">
      <c r="A51" s="494" t="s">
        <v>918</v>
      </c>
      <c r="B51" s="491">
        <v>902</v>
      </c>
      <c r="C51" s="495" t="s">
        <v>118</v>
      </c>
      <c r="D51" s="495" t="s">
        <v>150</v>
      </c>
      <c r="E51" s="495" t="s">
        <v>859</v>
      </c>
      <c r="F51" s="495"/>
      <c r="G51" s="44">
        <f>G52+G61+G64</f>
        <v>45957.000000000007</v>
      </c>
      <c r="H51" s="44">
        <f>H52+H61+H64</f>
        <v>51836.000000000007</v>
      </c>
      <c r="I51" s="526"/>
      <c r="J51" s="501"/>
    </row>
    <row r="52" spans="1:11" ht="31.5" x14ac:dyDescent="0.25">
      <c r="A52" s="579" t="s">
        <v>897</v>
      </c>
      <c r="B52" s="490">
        <v>902</v>
      </c>
      <c r="C52" s="580" t="s">
        <v>118</v>
      </c>
      <c r="D52" s="580" t="s">
        <v>150</v>
      </c>
      <c r="E52" s="580" t="s">
        <v>860</v>
      </c>
      <c r="F52" s="580"/>
      <c r="G52" s="497">
        <f>G53+G55+G59+G57</f>
        <v>41808.500000000007</v>
      </c>
      <c r="H52" s="497">
        <f>H53+H55+H59+H57</f>
        <v>47687.500000000007</v>
      </c>
      <c r="I52" s="526"/>
      <c r="J52" s="501"/>
    </row>
    <row r="53" spans="1:11" ht="62.1" customHeight="1" x14ac:dyDescent="0.25">
      <c r="A53" s="579" t="s">
        <v>127</v>
      </c>
      <c r="B53" s="490">
        <v>902</v>
      </c>
      <c r="C53" s="580" t="s">
        <v>118</v>
      </c>
      <c r="D53" s="580" t="s">
        <v>150</v>
      </c>
      <c r="E53" s="580" t="s">
        <v>860</v>
      </c>
      <c r="F53" s="580" t="s">
        <v>128</v>
      </c>
      <c r="G53" s="497">
        <f>G54</f>
        <v>39073.200000000004</v>
      </c>
      <c r="H53" s="497">
        <f>H54</f>
        <v>44952.200000000004</v>
      </c>
      <c r="I53" s="526"/>
      <c r="J53" s="501"/>
    </row>
    <row r="54" spans="1:11" ht="31.5" x14ac:dyDescent="0.25">
      <c r="A54" s="579" t="s">
        <v>129</v>
      </c>
      <c r="B54" s="490">
        <v>902</v>
      </c>
      <c r="C54" s="580" t="s">
        <v>118</v>
      </c>
      <c r="D54" s="580" t="s">
        <v>150</v>
      </c>
      <c r="E54" s="580" t="s">
        <v>860</v>
      </c>
      <c r="F54" s="580" t="s">
        <v>130</v>
      </c>
      <c r="G54" s="27">
        <f>45725.3-12979.9+6327.8</f>
        <v>39073.200000000004</v>
      </c>
      <c r="H54" s="27">
        <f>45725.3-7172.9+6399.8</f>
        <v>44952.200000000004</v>
      </c>
      <c r="I54" s="526"/>
      <c r="J54" s="501"/>
      <c r="K54" s="537"/>
    </row>
    <row r="55" spans="1:11" ht="31.5" x14ac:dyDescent="0.25">
      <c r="A55" s="579" t="s">
        <v>131</v>
      </c>
      <c r="B55" s="490">
        <v>902</v>
      </c>
      <c r="C55" s="580" t="s">
        <v>118</v>
      </c>
      <c r="D55" s="580" t="s">
        <v>150</v>
      </c>
      <c r="E55" s="580" t="s">
        <v>860</v>
      </c>
      <c r="F55" s="580" t="s">
        <v>132</v>
      </c>
      <c r="G55" s="497">
        <f>G56</f>
        <v>2660.3</v>
      </c>
      <c r="H55" s="497">
        <f>H56</f>
        <v>2660.3</v>
      </c>
      <c r="I55" s="526"/>
      <c r="J55" s="501"/>
    </row>
    <row r="56" spans="1:11" ht="31.5" x14ac:dyDescent="0.25">
      <c r="A56" s="579" t="s">
        <v>133</v>
      </c>
      <c r="B56" s="490">
        <v>902</v>
      </c>
      <c r="C56" s="580" t="s">
        <v>118</v>
      </c>
      <c r="D56" s="580" t="s">
        <v>150</v>
      </c>
      <c r="E56" s="580" t="s">
        <v>860</v>
      </c>
      <c r="F56" s="580" t="s">
        <v>134</v>
      </c>
      <c r="G56" s="27">
        <v>2660.3</v>
      </c>
      <c r="H56" s="27">
        <v>2660.3</v>
      </c>
      <c r="I56" s="528"/>
      <c r="J56" s="501"/>
    </row>
    <row r="57" spans="1:11" ht="15.75" hidden="1" x14ac:dyDescent="0.25">
      <c r="A57" s="579" t="s">
        <v>248</v>
      </c>
      <c r="B57" s="490">
        <v>902</v>
      </c>
      <c r="C57" s="580" t="s">
        <v>118</v>
      </c>
      <c r="D57" s="580" t="s">
        <v>150</v>
      </c>
      <c r="E57" s="580" t="s">
        <v>860</v>
      </c>
      <c r="F57" s="580" t="s">
        <v>249</v>
      </c>
      <c r="G57" s="27">
        <f>G58</f>
        <v>0</v>
      </c>
      <c r="H57" s="27">
        <f>H58</f>
        <v>0</v>
      </c>
      <c r="I57" s="526"/>
      <c r="J57" s="501"/>
    </row>
    <row r="58" spans="1:11" ht="31.5" hidden="1" x14ac:dyDescent="0.25">
      <c r="A58" s="579" t="s">
        <v>250</v>
      </c>
      <c r="B58" s="490">
        <v>902</v>
      </c>
      <c r="C58" s="580" t="s">
        <v>118</v>
      </c>
      <c r="D58" s="580" t="s">
        <v>150</v>
      </c>
      <c r="E58" s="580" t="s">
        <v>860</v>
      </c>
      <c r="F58" s="580" t="s">
        <v>251</v>
      </c>
      <c r="G58" s="27">
        <f>755-755</f>
        <v>0</v>
      </c>
      <c r="H58" s="27">
        <f>755-755</f>
        <v>0</v>
      </c>
      <c r="I58" s="526"/>
      <c r="J58" s="501"/>
    </row>
    <row r="59" spans="1:11" ht="15.75" x14ac:dyDescent="0.25">
      <c r="A59" s="579" t="s">
        <v>135</v>
      </c>
      <c r="B59" s="490">
        <v>902</v>
      </c>
      <c r="C59" s="580" t="s">
        <v>118</v>
      </c>
      <c r="D59" s="580" t="s">
        <v>150</v>
      </c>
      <c r="E59" s="580" t="s">
        <v>860</v>
      </c>
      <c r="F59" s="580" t="s">
        <v>145</v>
      </c>
      <c r="G59" s="497">
        <f>G60</f>
        <v>75</v>
      </c>
      <c r="H59" s="497">
        <f>H60</f>
        <v>75</v>
      </c>
      <c r="I59" s="528"/>
      <c r="J59" s="501"/>
    </row>
    <row r="60" spans="1:11" ht="15.75" x14ac:dyDescent="0.25">
      <c r="A60" s="579" t="s">
        <v>568</v>
      </c>
      <c r="B60" s="490">
        <v>902</v>
      </c>
      <c r="C60" s="580" t="s">
        <v>118</v>
      </c>
      <c r="D60" s="580" t="s">
        <v>150</v>
      </c>
      <c r="E60" s="580" t="s">
        <v>860</v>
      </c>
      <c r="F60" s="580" t="s">
        <v>138</v>
      </c>
      <c r="G60" s="27">
        <v>75</v>
      </c>
      <c r="H60" s="27">
        <v>75</v>
      </c>
      <c r="I60" s="526"/>
      <c r="J60" s="501"/>
    </row>
    <row r="61" spans="1:11" ht="31.5" x14ac:dyDescent="0.25">
      <c r="A61" s="579" t="s">
        <v>840</v>
      </c>
      <c r="B61" s="490">
        <v>902</v>
      </c>
      <c r="C61" s="580" t="s">
        <v>118</v>
      </c>
      <c r="D61" s="580" t="s">
        <v>150</v>
      </c>
      <c r="E61" s="580" t="s">
        <v>861</v>
      </c>
      <c r="F61" s="580"/>
      <c r="G61" s="27">
        <f>G62</f>
        <v>2614.9</v>
      </c>
      <c r="H61" s="27">
        <f>H62</f>
        <v>2614.9</v>
      </c>
      <c r="I61" s="526"/>
      <c r="J61" s="501"/>
    </row>
    <row r="62" spans="1:11" ht="67.7" customHeight="1" x14ac:dyDescent="0.25">
      <c r="A62" s="579" t="s">
        <v>127</v>
      </c>
      <c r="B62" s="490">
        <v>902</v>
      </c>
      <c r="C62" s="580" t="s">
        <v>118</v>
      </c>
      <c r="D62" s="580" t="s">
        <v>150</v>
      </c>
      <c r="E62" s="580" t="s">
        <v>861</v>
      </c>
      <c r="F62" s="580" t="s">
        <v>128</v>
      </c>
      <c r="G62" s="27">
        <f>G63</f>
        <v>2614.9</v>
      </c>
      <c r="H62" s="27">
        <f>H63</f>
        <v>2614.9</v>
      </c>
      <c r="I62" s="526"/>
      <c r="J62" s="501"/>
    </row>
    <row r="63" spans="1:11" ht="31.5" x14ac:dyDescent="0.25">
      <c r="A63" s="579" t="s">
        <v>129</v>
      </c>
      <c r="B63" s="490">
        <v>902</v>
      </c>
      <c r="C63" s="580" t="s">
        <v>118</v>
      </c>
      <c r="D63" s="580" t="s">
        <v>150</v>
      </c>
      <c r="E63" s="580" t="s">
        <v>861</v>
      </c>
      <c r="F63" s="580" t="s">
        <v>130</v>
      </c>
      <c r="G63" s="27">
        <v>2614.9</v>
      </c>
      <c r="H63" s="27">
        <v>2614.9</v>
      </c>
      <c r="I63" s="526"/>
      <c r="J63" s="501"/>
    </row>
    <row r="64" spans="1:11" ht="31.5" x14ac:dyDescent="0.25">
      <c r="A64" s="579" t="s">
        <v>839</v>
      </c>
      <c r="B64" s="490">
        <v>902</v>
      </c>
      <c r="C64" s="580" t="s">
        <v>118</v>
      </c>
      <c r="D64" s="580" t="s">
        <v>150</v>
      </c>
      <c r="E64" s="580" t="s">
        <v>862</v>
      </c>
      <c r="F64" s="580"/>
      <c r="G64" s="497">
        <f>G65</f>
        <v>1533.6</v>
      </c>
      <c r="H64" s="497">
        <f>H65</f>
        <v>1533.6</v>
      </c>
      <c r="I64" s="526"/>
      <c r="J64" s="501"/>
    </row>
    <row r="65" spans="1:11" ht="63" x14ac:dyDescent="0.25">
      <c r="A65" s="579" t="s">
        <v>127</v>
      </c>
      <c r="B65" s="490">
        <v>902</v>
      </c>
      <c r="C65" s="580" t="s">
        <v>118</v>
      </c>
      <c r="D65" s="580" t="s">
        <v>150</v>
      </c>
      <c r="E65" s="580" t="s">
        <v>862</v>
      </c>
      <c r="F65" s="580" t="s">
        <v>128</v>
      </c>
      <c r="G65" s="497">
        <f>G66</f>
        <v>1533.6</v>
      </c>
      <c r="H65" s="497">
        <f>H66</f>
        <v>1533.6</v>
      </c>
      <c r="I65" s="526"/>
      <c r="J65" s="501"/>
    </row>
    <row r="66" spans="1:11" ht="31.5" x14ac:dyDescent="0.25">
      <c r="A66" s="579" t="s">
        <v>129</v>
      </c>
      <c r="B66" s="490">
        <v>902</v>
      </c>
      <c r="C66" s="580" t="s">
        <v>118</v>
      </c>
      <c r="D66" s="580" t="s">
        <v>150</v>
      </c>
      <c r="E66" s="580" t="s">
        <v>862</v>
      </c>
      <c r="F66" s="580" t="s">
        <v>130</v>
      </c>
      <c r="G66" s="497">
        <v>1533.6</v>
      </c>
      <c r="H66" s="497">
        <v>1533.6</v>
      </c>
      <c r="I66" s="526"/>
      <c r="J66" s="501"/>
      <c r="K66" s="537"/>
    </row>
    <row r="67" spans="1:11" ht="31.5" x14ac:dyDescent="0.25">
      <c r="A67" s="494" t="s">
        <v>885</v>
      </c>
      <c r="B67" s="491">
        <v>902</v>
      </c>
      <c r="C67" s="495" t="s">
        <v>118</v>
      </c>
      <c r="D67" s="495" t="s">
        <v>150</v>
      </c>
      <c r="E67" s="495" t="s">
        <v>863</v>
      </c>
      <c r="F67" s="495"/>
      <c r="G67" s="493">
        <f>G68+G71+G76+G81</f>
        <v>3720.3999999999996</v>
      </c>
      <c r="H67" s="493">
        <f>H68+H71+H76+H81</f>
        <v>3852.7</v>
      </c>
      <c r="I67" s="526"/>
      <c r="J67" s="501"/>
    </row>
    <row r="68" spans="1:11" ht="35.450000000000003" hidden="1" customHeight="1" x14ac:dyDescent="0.25">
      <c r="A68" s="579" t="s">
        <v>779</v>
      </c>
      <c r="B68" s="490">
        <v>902</v>
      </c>
      <c r="C68" s="580" t="s">
        <v>118</v>
      </c>
      <c r="D68" s="580" t="s">
        <v>150</v>
      </c>
      <c r="E68" s="580" t="s">
        <v>919</v>
      </c>
      <c r="F68" s="495"/>
      <c r="G68" s="497">
        <f>G69</f>
        <v>0</v>
      </c>
      <c r="H68" s="497">
        <f>H69</f>
        <v>0</v>
      </c>
      <c r="I68" s="526"/>
      <c r="J68" s="501"/>
    </row>
    <row r="69" spans="1:11" ht="31.5" hidden="1" x14ac:dyDescent="0.25">
      <c r="A69" s="579" t="s">
        <v>131</v>
      </c>
      <c r="B69" s="490">
        <v>902</v>
      </c>
      <c r="C69" s="580" t="s">
        <v>118</v>
      </c>
      <c r="D69" s="580" t="s">
        <v>150</v>
      </c>
      <c r="E69" s="580" t="s">
        <v>919</v>
      </c>
      <c r="F69" s="580" t="s">
        <v>132</v>
      </c>
      <c r="G69" s="497">
        <f>G70</f>
        <v>0</v>
      </c>
      <c r="H69" s="497">
        <f>H70</f>
        <v>0</v>
      </c>
      <c r="I69" s="526"/>
      <c r="J69" s="501"/>
    </row>
    <row r="70" spans="1:11" ht="31.5" hidden="1" x14ac:dyDescent="0.25">
      <c r="A70" s="579" t="s">
        <v>133</v>
      </c>
      <c r="B70" s="490">
        <v>902</v>
      </c>
      <c r="C70" s="580" t="s">
        <v>118</v>
      </c>
      <c r="D70" s="580" t="s">
        <v>150</v>
      </c>
      <c r="E70" s="580" t="s">
        <v>919</v>
      </c>
      <c r="F70" s="580" t="s">
        <v>134</v>
      </c>
      <c r="G70" s="497">
        <v>0</v>
      </c>
      <c r="H70" s="497">
        <v>0</v>
      </c>
      <c r="I70" s="526"/>
      <c r="J70" s="501"/>
    </row>
    <row r="71" spans="1:11" ht="47.25" x14ac:dyDescent="0.25">
      <c r="A71" s="31" t="s">
        <v>189</v>
      </c>
      <c r="B71" s="490">
        <v>902</v>
      </c>
      <c r="C71" s="580" t="s">
        <v>118</v>
      </c>
      <c r="D71" s="580" t="s">
        <v>150</v>
      </c>
      <c r="E71" s="580" t="s">
        <v>920</v>
      </c>
      <c r="F71" s="580"/>
      <c r="G71" s="497">
        <f>G72+G74</f>
        <v>601</v>
      </c>
      <c r="H71" s="497">
        <f>H72+H74</f>
        <v>624.20000000000005</v>
      </c>
      <c r="I71" s="526"/>
      <c r="J71" s="501"/>
    </row>
    <row r="72" spans="1:11" ht="63" x14ac:dyDescent="0.25">
      <c r="A72" s="579" t="s">
        <v>127</v>
      </c>
      <c r="B72" s="490">
        <v>902</v>
      </c>
      <c r="C72" s="580" t="s">
        <v>118</v>
      </c>
      <c r="D72" s="580" t="s">
        <v>150</v>
      </c>
      <c r="E72" s="580" t="s">
        <v>920</v>
      </c>
      <c r="F72" s="580" t="s">
        <v>128</v>
      </c>
      <c r="G72" s="497">
        <f>G73</f>
        <v>601</v>
      </c>
      <c r="H72" s="497">
        <f>H73</f>
        <v>624.20000000000005</v>
      </c>
      <c r="I72" s="526"/>
      <c r="J72" s="501"/>
    </row>
    <row r="73" spans="1:11" ht="31.5" x14ac:dyDescent="0.25">
      <c r="A73" s="579" t="s">
        <v>129</v>
      </c>
      <c r="B73" s="490">
        <v>902</v>
      </c>
      <c r="C73" s="580" t="s">
        <v>118</v>
      </c>
      <c r="D73" s="580" t="s">
        <v>150</v>
      </c>
      <c r="E73" s="580" t="s">
        <v>920</v>
      </c>
      <c r="F73" s="580" t="s">
        <v>130</v>
      </c>
      <c r="G73" s="497">
        <v>601</v>
      </c>
      <c r="H73" s="497">
        <v>624.20000000000005</v>
      </c>
      <c r="I73" s="526"/>
      <c r="J73" s="501"/>
    </row>
    <row r="74" spans="1:11" ht="31.5" hidden="1" x14ac:dyDescent="0.25">
      <c r="A74" s="579" t="s">
        <v>131</v>
      </c>
      <c r="B74" s="490">
        <v>902</v>
      </c>
      <c r="C74" s="580" t="s">
        <v>118</v>
      </c>
      <c r="D74" s="580" t="s">
        <v>150</v>
      </c>
      <c r="E74" s="580" t="s">
        <v>920</v>
      </c>
      <c r="F74" s="580" t="s">
        <v>132</v>
      </c>
      <c r="G74" s="497">
        <f>G75</f>
        <v>0</v>
      </c>
      <c r="H74" s="497">
        <f>H75</f>
        <v>0</v>
      </c>
      <c r="I74" s="526"/>
      <c r="J74" s="501"/>
    </row>
    <row r="75" spans="1:11" ht="31.5" hidden="1" x14ac:dyDescent="0.25">
      <c r="A75" s="579" t="s">
        <v>133</v>
      </c>
      <c r="B75" s="490">
        <v>902</v>
      </c>
      <c r="C75" s="580" t="s">
        <v>118</v>
      </c>
      <c r="D75" s="580" t="s">
        <v>150</v>
      </c>
      <c r="E75" s="580" t="s">
        <v>920</v>
      </c>
      <c r="F75" s="580" t="s">
        <v>134</v>
      </c>
      <c r="G75" s="497">
        <v>0</v>
      </c>
      <c r="H75" s="497">
        <v>0</v>
      </c>
      <c r="I75" s="526"/>
      <c r="J75" s="501"/>
    </row>
    <row r="76" spans="1:11" ht="31.5" x14ac:dyDescent="0.25">
      <c r="A76" s="31" t="s">
        <v>196</v>
      </c>
      <c r="B76" s="490">
        <v>902</v>
      </c>
      <c r="C76" s="580" t="s">
        <v>118</v>
      </c>
      <c r="D76" s="580" t="s">
        <v>150</v>
      </c>
      <c r="E76" s="580" t="s">
        <v>921</v>
      </c>
      <c r="F76" s="580"/>
      <c r="G76" s="497">
        <f>G77+G79</f>
        <v>1477.7</v>
      </c>
      <c r="H76" s="497">
        <f>H77+H79</f>
        <v>1536.8000000000002</v>
      </c>
      <c r="I76" s="526"/>
      <c r="J76" s="501"/>
    </row>
    <row r="77" spans="1:11" ht="63" x14ac:dyDescent="0.25">
      <c r="A77" s="579" t="s">
        <v>127</v>
      </c>
      <c r="B77" s="490">
        <v>902</v>
      </c>
      <c r="C77" s="580" t="s">
        <v>118</v>
      </c>
      <c r="D77" s="580" t="s">
        <v>150</v>
      </c>
      <c r="E77" s="580" t="s">
        <v>921</v>
      </c>
      <c r="F77" s="580" t="s">
        <v>128</v>
      </c>
      <c r="G77" s="497">
        <f>G78</f>
        <v>1383.2</v>
      </c>
      <c r="H77" s="497">
        <f>H78</f>
        <v>1436.9</v>
      </c>
      <c r="I77" s="526"/>
      <c r="J77" s="501"/>
    </row>
    <row r="78" spans="1:11" ht="31.5" x14ac:dyDescent="0.25">
      <c r="A78" s="579" t="s">
        <v>129</v>
      </c>
      <c r="B78" s="490">
        <v>902</v>
      </c>
      <c r="C78" s="580" t="s">
        <v>118</v>
      </c>
      <c r="D78" s="580" t="s">
        <v>150</v>
      </c>
      <c r="E78" s="580" t="s">
        <v>921</v>
      </c>
      <c r="F78" s="580" t="s">
        <v>130</v>
      </c>
      <c r="G78" s="712">
        <v>1383.2</v>
      </c>
      <c r="H78" s="712">
        <v>1436.9</v>
      </c>
      <c r="I78" s="526"/>
      <c r="J78" s="501"/>
    </row>
    <row r="79" spans="1:11" ht="31.5" x14ac:dyDescent="0.25">
      <c r="A79" s="579" t="s">
        <v>198</v>
      </c>
      <c r="B79" s="490">
        <v>902</v>
      </c>
      <c r="C79" s="580" t="s">
        <v>118</v>
      </c>
      <c r="D79" s="580" t="s">
        <v>150</v>
      </c>
      <c r="E79" s="580" t="s">
        <v>921</v>
      </c>
      <c r="F79" s="580" t="s">
        <v>132</v>
      </c>
      <c r="G79" s="497">
        <f>G80</f>
        <v>94.5</v>
      </c>
      <c r="H79" s="497">
        <f>H80</f>
        <v>99.9</v>
      </c>
      <c r="I79" s="526"/>
      <c r="J79" s="501"/>
    </row>
    <row r="80" spans="1:11" ht="31.5" x14ac:dyDescent="0.25">
      <c r="A80" s="579" t="s">
        <v>133</v>
      </c>
      <c r="B80" s="490">
        <v>902</v>
      </c>
      <c r="C80" s="580" t="s">
        <v>118</v>
      </c>
      <c r="D80" s="580" t="s">
        <v>150</v>
      </c>
      <c r="E80" s="580" t="s">
        <v>921</v>
      </c>
      <c r="F80" s="580" t="s">
        <v>134</v>
      </c>
      <c r="G80" s="712">
        <v>94.5</v>
      </c>
      <c r="H80" s="712">
        <v>99.9</v>
      </c>
      <c r="I80" s="526"/>
      <c r="J80" s="501"/>
    </row>
    <row r="81" spans="1:10" ht="31.5" x14ac:dyDescent="0.25">
      <c r="A81" s="579" t="s">
        <v>1766</v>
      </c>
      <c r="B81" s="490">
        <v>902</v>
      </c>
      <c r="C81" s="580" t="s">
        <v>118</v>
      </c>
      <c r="D81" s="580" t="s">
        <v>150</v>
      </c>
      <c r="E81" s="580" t="s">
        <v>1777</v>
      </c>
      <c r="F81" s="580"/>
      <c r="G81" s="497">
        <f>G82+G84</f>
        <v>1641.6999999999998</v>
      </c>
      <c r="H81" s="497">
        <f>H82+H84</f>
        <v>1691.6999999999998</v>
      </c>
      <c r="I81" s="526"/>
      <c r="J81" s="501"/>
    </row>
    <row r="82" spans="1:10" ht="63" x14ac:dyDescent="0.25">
      <c r="A82" s="579" t="s">
        <v>127</v>
      </c>
      <c r="B82" s="490">
        <v>902</v>
      </c>
      <c r="C82" s="580" t="s">
        <v>118</v>
      </c>
      <c r="D82" s="580" t="s">
        <v>150</v>
      </c>
      <c r="E82" s="580" t="s">
        <v>1777</v>
      </c>
      <c r="F82" s="580" t="s">
        <v>128</v>
      </c>
      <c r="G82" s="497">
        <f>G83</f>
        <v>1605.6</v>
      </c>
      <c r="H82" s="497">
        <f>H83</f>
        <v>1560.6</v>
      </c>
      <c r="I82" s="526"/>
      <c r="J82" s="501"/>
    </row>
    <row r="83" spans="1:10" ht="31.5" x14ac:dyDescent="0.25">
      <c r="A83" s="579" t="s">
        <v>129</v>
      </c>
      <c r="B83" s="490">
        <v>902</v>
      </c>
      <c r="C83" s="580" t="s">
        <v>118</v>
      </c>
      <c r="D83" s="580" t="s">
        <v>150</v>
      </c>
      <c r="E83" s="580" t="s">
        <v>1777</v>
      </c>
      <c r="F83" s="580" t="s">
        <v>130</v>
      </c>
      <c r="G83" s="497">
        <v>1605.6</v>
      </c>
      <c r="H83" s="497">
        <v>1560.6</v>
      </c>
      <c r="I83" s="526"/>
      <c r="J83" s="501"/>
    </row>
    <row r="84" spans="1:10" ht="31.5" x14ac:dyDescent="0.25">
      <c r="A84" s="579" t="s">
        <v>131</v>
      </c>
      <c r="B84" s="490">
        <v>902</v>
      </c>
      <c r="C84" s="580" t="s">
        <v>118</v>
      </c>
      <c r="D84" s="580" t="s">
        <v>150</v>
      </c>
      <c r="E84" s="580" t="s">
        <v>1777</v>
      </c>
      <c r="F84" s="580" t="s">
        <v>132</v>
      </c>
      <c r="G84" s="497">
        <f>G85</f>
        <v>36.1</v>
      </c>
      <c r="H84" s="497">
        <f>H85</f>
        <v>131.1</v>
      </c>
      <c r="I84" s="526"/>
      <c r="J84" s="501"/>
    </row>
    <row r="85" spans="1:10" ht="31.5" x14ac:dyDescent="0.25">
      <c r="A85" s="579" t="s">
        <v>133</v>
      </c>
      <c r="B85" s="490">
        <v>902</v>
      </c>
      <c r="C85" s="580" t="s">
        <v>118</v>
      </c>
      <c r="D85" s="580" t="s">
        <v>150</v>
      </c>
      <c r="E85" s="580" t="s">
        <v>1777</v>
      </c>
      <c r="F85" s="580" t="s">
        <v>134</v>
      </c>
      <c r="G85" s="497">
        <v>36.1</v>
      </c>
      <c r="H85" s="497">
        <v>131.1</v>
      </c>
      <c r="I85" s="526"/>
      <c r="J85" s="501"/>
    </row>
    <row r="86" spans="1:10" ht="31.5" x14ac:dyDescent="0.25">
      <c r="A86" s="494" t="s">
        <v>1338</v>
      </c>
      <c r="B86" s="491">
        <v>902</v>
      </c>
      <c r="C86" s="495" t="s">
        <v>118</v>
      </c>
      <c r="D86" s="495" t="s">
        <v>150</v>
      </c>
      <c r="E86" s="495" t="s">
        <v>162</v>
      </c>
      <c r="F86" s="495"/>
      <c r="G86" s="493">
        <f>G87+G91+G100</f>
        <v>603.5</v>
      </c>
      <c r="H86" s="493">
        <f>H87+H91+H100</f>
        <v>603.5</v>
      </c>
      <c r="I86" s="526"/>
      <c r="J86" s="501"/>
    </row>
    <row r="87" spans="1:10" ht="63" x14ac:dyDescent="0.25">
      <c r="A87" s="305" t="s">
        <v>1339</v>
      </c>
      <c r="B87" s="491">
        <v>902</v>
      </c>
      <c r="C87" s="495" t="s">
        <v>118</v>
      </c>
      <c r="D87" s="495" t="s">
        <v>150</v>
      </c>
      <c r="E87" s="7" t="s">
        <v>849</v>
      </c>
      <c r="F87" s="495"/>
      <c r="G87" s="493">
        <f t="shared" ref="G87:H89" si="2">G88</f>
        <v>526</v>
      </c>
      <c r="H87" s="493">
        <f t="shared" si="2"/>
        <v>526</v>
      </c>
      <c r="I87" s="526"/>
      <c r="J87" s="501"/>
    </row>
    <row r="88" spans="1:10" ht="47.25" x14ac:dyDescent="0.25">
      <c r="A88" s="29" t="s">
        <v>1308</v>
      </c>
      <c r="B88" s="490">
        <v>902</v>
      </c>
      <c r="C88" s="580" t="s">
        <v>118</v>
      </c>
      <c r="D88" s="580" t="s">
        <v>150</v>
      </c>
      <c r="E88" s="573" t="s">
        <v>841</v>
      </c>
      <c r="F88" s="580"/>
      <c r="G88" s="497">
        <f t="shared" si="2"/>
        <v>526</v>
      </c>
      <c r="H88" s="497">
        <f t="shared" si="2"/>
        <v>526</v>
      </c>
      <c r="I88" s="526"/>
      <c r="J88" s="501"/>
    </row>
    <row r="89" spans="1:10" ht="31.5" x14ac:dyDescent="0.25">
      <c r="A89" s="579" t="s">
        <v>131</v>
      </c>
      <c r="B89" s="490">
        <v>902</v>
      </c>
      <c r="C89" s="580" t="s">
        <v>118</v>
      </c>
      <c r="D89" s="580" t="s">
        <v>150</v>
      </c>
      <c r="E89" s="573" t="s">
        <v>841</v>
      </c>
      <c r="F89" s="580" t="s">
        <v>132</v>
      </c>
      <c r="G89" s="497">
        <f t="shared" si="2"/>
        <v>526</v>
      </c>
      <c r="H89" s="497">
        <f t="shared" si="2"/>
        <v>526</v>
      </c>
      <c r="I89" s="526"/>
      <c r="J89" s="501"/>
    </row>
    <row r="90" spans="1:10" ht="31.5" x14ac:dyDescent="0.25">
      <c r="A90" s="579" t="s">
        <v>133</v>
      </c>
      <c r="B90" s="490">
        <v>902</v>
      </c>
      <c r="C90" s="580" t="s">
        <v>118</v>
      </c>
      <c r="D90" s="580" t="s">
        <v>150</v>
      </c>
      <c r="E90" s="573" t="s">
        <v>841</v>
      </c>
      <c r="F90" s="580" t="s">
        <v>134</v>
      </c>
      <c r="G90" s="497">
        <v>526</v>
      </c>
      <c r="H90" s="497">
        <v>526</v>
      </c>
      <c r="I90" s="526"/>
      <c r="J90" s="501"/>
    </row>
    <row r="91" spans="1:10" ht="69.75" customHeight="1" x14ac:dyDescent="0.25">
      <c r="A91" s="216" t="s">
        <v>1340</v>
      </c>
      <c r="B91" s="277">
        <v>902</v>
      </c>
      <c r="C91" s="495" t="s">
        <v>118</v>
      </c>
      <c r="D91" s="495" t="s">
        <v>150</v>
      </c>
      <c r="E91" s="7" t="s">
        <v>850</v>
      </c>
      <c r="F91" s="495"/>
      <c r="G91" s="493">
        <f>G92+G97</f>
        <v>77</v>
      </c>
      <c r="H91" s="493">
        <f>H92+H97</f>
        <v>77</v>
      </c>
      <c r="I91" s="526"/>
      <c r="J91" s="501"/>
    </row>
    <row r="92" spans="1:10" ht="47.25" x14ac:dyDescent="0.25">
      <c r="A92" s="174" t="s">
        <v>165</v>
      </c>
      <c r="B92" s="490">
        <v>902</v>
      </c>
      <c r="C92" s="580" t="s">
        <v>118</v>
      </c>
      <c r="D92" s="580" t="s">
        <v>150</v>
      </c>
      <c r="E92" s="573" t="s">
        <v>842</v>
      </c>
      <c r="F92" s="580"/>
      <c r="G92" s="497">
        <f>G93+G95</f>
        <v>77</v>
      </c>
      <c r="H92" s="497">
        <f>H93+H95</f>
        <v>77</v>
      </c>
      <c r="I92" s="526"/>
      <c r="J92" s="501"/>
    </row>
    <row r="93" spans="1:10" ht="63" x14ac:dyDescent="0.25">
      <c r="A93" s="579" t="s">
        <v>127</v>
      </c>
      <c r="B93" s="490">
        <v>902</v>
      </c>
      <c r="C93" s="580" t="s">
        <v>118</v>
      </c>
      <c r="D93" s="580" t="s">
        <v>150</v>
      </c>
      <c r="E93" s="573" t="s">
        <v>842</v>
      </c>
      <c r="F93" s="580" t="s">
        <v>128</v>
      </c>
      <c r="G93" s="497">
        <f>G94</f>
        <v>37.200000000000003</v>
      </c>
      <c r="H93" s="497">
        <f>H94</f>
        <v>37.200000000000003</v>
      </c>
      <c r="I93" s="526"/>
      <c r="J93" s="501"/>
    </row>
    <row r="94" spans="1:10" ht="31.5" x14ac:dyDescent="0.25">
      <c r="A94" s="579" t="s">
        <v>129</v>
      </c>
      <c r="B94" s="490">
        <v>902</v>
      </c>
      <c r="C94" s="580" t="s">
        <v>118</v>
      </c>
      <c r="D94" s="580" t="s">
        <v>150</v>
      </c>
      <c r="E94" s="573" t="s">
        <v>842</v>
      </c>
      <c r="F94" s="580" t="s">
        <v>130</v>
      </c>
      <c r="G94" s="497">
        <v>37.200000000000003</v>
      </c>
      <c r="H94" s="497">
        <v>37.200000000000003</v>
      </c>
      <c r="I94" s="526"/>
      <c r="J94" s="501"/>
    </row>
    <row r="95" spans="1:10" ht="31.5" x14ac:dyDescent="0.25">
      <c r="A95" s="579" t="s">
        <v>131</v>
      </c>
      <c r="B95" s="490">
        <v>902</v>
      </c>
      <c r="C95" s="580" t="s">
        <v>118</v>
      </c>
      <c r="D95" s="580" t="s">
        <v>150</v>
      </c>
      <c r="E95" s="573" t="s">
        <v>842</v>
      </c>
      <c r="F95" s="580" t="s">
        <v>132</v>
      </c>
      <c r="G95" s="497">
        <f>G96</f>
        <v>39.799999999999997</v>
      </c>
      <c r="H95" s="497">
        <f>H96</f>
        <v>39.799999999999997</v>
      </c>
      <c r="I95" s="526"/>
      <c r="J95" s="501"/>
    </row>
    <row r="96" spans="1:10" ht="31.5" x14ac:dyDescent="0.25">
      <c r="A96" s="579" t="s">
        <v>133</v>
      </c>
      <c r="B96" s="490">
        <v>902</v>
      </c>
      <c r="C96" s="580" t="s">
        <v>118</v>
      </c>
      <c r="D96" s="580" t="s">
        <v>150</v>
      </c>
      <c r="E96" s="573" t="s">
        <v>842</v>
      </c>
      <c r="F96" s="580" t="s">
        <v>134</v>
      </c>
      <c r="G96" s="497">
        <v>39.799999999999997</v>
      </c>
      <c r="H96" s="497">
        <v>39.799999999999997</v>
      </c>
      <c r="I96" s="526"/>
      <c r="J96" s="501"/>
    </row>
    <row r="97" spans="1:10" ht="47.25" hidden="1" x14ac:dyDescent="0.25">
      <c r="A97" s="31" t="s">
        <v>1094</v>
      </c>
      <c r="B97" s="490">
        <v>902</v>
      </c>
      <c r="C97" s="580" t="s">
        <v>118</v>
      </c>
      <c r="D97" s="580" t="s">
        <v>150</v>
      </c>
      <c r="E97" s="573" t="s">
        <v>993</v>
      </c>
      <c r="F97" s="580"/>
      <c r="G97" s="497">
        <f>G98</f>
        <v>0</v>
      </c>
      <c r="H97" s="497">
        <f>H98</f>
        <v>0</v>
      </c>
      <c r="I97" s="526"/>
      <c r="J97" s="501"/>
    </row>
    <row r="98" spans="1:10" ht="31.5" hidden="1" x14ac:dyDescent="0.25">
      <c r="A98" s="579" t="s">
        <v>131</v>
      </c>
      <c r="B98" s="490">
        <v>902</v>
      </c>
      <c r="C98" s="580" t="s">
        <v>118</v>
      </c>
      <c r="D98" s="580" t="s">
        <v>150</v>
      </c>
      <c r="E98" s="573" t="s">
        <v>993</v>
      </c>
      <c r="F98" s="580" t="s">
        <v>132</v>
      </c>
      <c r="G98" s="497">
        <f>G99</f>
        <v>0</v>
      </c>
      <c r="H98" s="497">
        <f>H99</f>
        <v>0</v>
      </c>
      <c r="I98" s="526"/>
      <c r="J98" s="501"/>
    </row>
    <row r="99" spans="1:10" ht="31.5" hidden="1" x14ac:dyDescent="0.25">
      <c r="A99" s="579" t="s">
        <v>133</v>
      </c>
      <c r="B99" s="490">
        <v>902</v>
      </c>
      <c r="C99" s="580" t="s">
        <v>118</v>
      </c>
      <c r="D99" s="580" t="s">
        <v>150</v>
      </c>
      <c r="E99" s="573" t="s">
        <v>696</v>
      </c>
      <c r="F99" s="580" t="s">
        <v>134</v>
      </c>
      <c r="G99" s="497">
        <v>0</v>
      </c>
      <c r="H99" s="497">
        <v>0</v>
      </c>
      <c r="I99" s="526"/>
      <c r="J99" s="501"/>
    </row>
    <row r="100" spans="1:10" ht="51" customHeight="1" x14ac:dyDescent="0.25">
      <c r="A100" s="221" t="s">
        <v>1003</v>
      </c>
      <c r="B100" s="491">
        <v>902</v>
      </c>
      <c r="C100" s="495" t="s">
        <v>118</v>
      </c>
      <c r="D100" s="495" t="s">
        <v>150</v>
      </c>
      <c r="E100" s="7" t="s">
        <v>851</v>
      </c>
      <c r="F100" s="495"/>
      <c r="G100" s="493">
        <f t="shared" ref="G100:H102" si="3">G101</f>
        <v>0.5</v>
      </c>
      <c r="H100" s="493">
        <f t="shared" si="3"/>
        <v>0.5</v>
      </c>
      <c r="I100" s="526"/>
      <c r="J100" s="501"/>
    </row>
    <row r="101" spans="1:10" ht="31.5" x14ac:dyDescent="0.25">
      <c r="A101" s="33" t="s">
        <v>191</v>
      </c>
      <c r="B101" s="490">
        <v>902</v>
      </c>
      <c r="C101" s="580" t="s">
        <v>118</v>
      </c>
      <c r="D101" s="580" t="s">
        <v>150</v>
      </c>
      <c r="E101" s="573" t="s">
        <v>844</v>
      </c>
      <c r="F101" s="580" t="s">
        <v>1811</v>
      </c>
      <c r="G101" s="497">
        <f t="shared" si="3"/>
        <v>0.5</v>
      </c>
      <c r="H101" s="497">
        <f t="shared" si="3"/>
        <v>0.5</v>
      </c>
      <c r="I101" s="526"/>
      <c r="J101" s="501"/>
    </row>
    <row r="102" spans="1:10" ht="31.5" x14ac:dyDescent="0.25">
      <c r="A102" s="579" t="s">
        <v>131</v>
      </c>
      <c r="B102" s="490">
        <v>902</v>
      </c>
      <c r="C102" s="580" t="s">
        <v>118</v>
      </c>
      <c r="D102" s="580" t="s">
        <v>150</v>
      </c>
      <c r="E102" s="573" t="s">
        <v>844</v>
      </c>
      <c r="F102" s="580" t="s">
        <v>132</v>
      </c>
      <c r="G102" s="497">
        <f t="shared" si="3"/>
        <v>0.5</v>
      </c>
      <c r="H102" s="497">
        <f t="shared" si="3"/>
        <v>0.5</v>
      </c>
      <c r="I102" s="526"/>
      <c r="J102" s="501"/>
    </row>
    <row r="103" spans="1:10" ht="31.5" x14ac:dyDescent="0.25">
      <c r="A103" s="579" t="s">
        <v>133</v>
      </c>
      <c r="B103" s="490">
        <v>902</v>
      </c>
      <c r="C103" s="580" t="s">
        <v>118</v>
      </c>
      <c r="D103" s="580" t="s">
        <v>150</v>
      </c>
      <c r="E103" s="573" t="s">
        <v>844</v>
      </c>
      <c r="F103" s="580" t="s">
        <v>134</v>
      </c>
      <c r="G103" s="497">
        <v>0.5</v>
      </c>
      <c r="H103" s="497">
        <v>0.5</v>
      </c>
      <c r="I103" s="526"/>
      <c r="J103" s="501"/>
    </row>
    <row r="104" spans="1:10" ht="47.25" x14ac:dyDescent="0.25">
      <c r="A104" s="494" t="s">
        <v>119</v>
      </c>
      <c r="B104" s="491">
        <v>902</v>
      </c>
      <c r="C104" s="495" t="s">
        <v>118</v>
      </c>
      <c r="D104" s="495" t="s">
        <v>120</v>
      </c>
      <c r="E104" s="495"/>
      <c r="F104" s="580"/>
      <c r="G104" s="493">
        <f>G105</f>
        <v>1492</v>
      </c>
      <c r="H104" s="493">
        <f>H105</f>
        <v>1406</v>
      </c>
      <c r="I104" s="526"/>
      <c r="J104" s="501"/>
    </row>
    <row r="105" spans="1:10" ht="39.200000000000003" customHeight="1" x14ac:dyDescent="0.25">
      <c r="A105" s="494" t="s">
        <v>917</v>
      </c>
      <c r="B105" s="491">
        <v>902</v>
      </c>
      <c r="C105" s="495" t="s">
        <v>118</v>
      </c>
      <c r="D105" s="495" t="s">
        <v>120</v>
      </c>
      <c r="E105" s="495" t="s">
        <v>858</v>
      </c>
      <c r="F105" s="495"/>
      <c r="G105" s="493">
        <f>G106</f>
        <v>1492</v>
      </c>
      <c r="H105" s="493">
        <f>H106</f>
        <v>1406</v>
      </c>
      <c r="I105" s="526"/>
      <c r="J105" s="501"/>
    </row>
    <row r="106" spans="1:10" ht="15.75" x14ac:dyDescent="0.25">
      <c r="A106" s="494" t="s">
        <v>918</v>
      </c>
      <c r="B106" s="491">
        <v>902</v>
      </c>
      <c r="C106" s="495" t="s">
        <v>118</v>
      </c>
      <c r="D106" s="495" t="s">
        <v>120</v>
      </c>
      <c r="E106" s="495" t="s">
        <v>859</v>
      </c>
      <c r="F106" s="495"/>
      <c r="G106" s="493">
        <f>G107+G110</f>
        <v>1492</v>
      </c>
      <c r="H106" s="493">
        <f>H107+H110</f>
        <v>1406</v>
      </c>
      <c r="I106" s="526"/>
      <c r="J106" s="501"/>
    </row>
    <row r="107" spans="1:10" ht="31.5" x14ac:dyDescent="0.25">
      <c r="A107" s="579" t="s">
        <v>897</v>
      </c>
      <c r="B107" s="490">
        <v>902</v>
      </c>
      <c r="C107" s="580" t="s">
        <v>118</v>
      </c>
      <c r="D107" s="580" t="s">
        <v>120</v>
      </c>
      <c r="E107" s="580" t="s">
        <v>860</v>
      </c>
      <c r="F107" s="580"/>
      <c r="G107" s="497">
        <f>G108</f>
        <v>1406</v>
      </c>
      <c r="H107" s="497">
        <f>H108</f>
        <v>1406</v>
      </c>
      <c r="I107" s="526"/>
      <c r="J107" s="501"/>
    </row>
    <row r="108" spans="1:10" ht="63" x14ac:dyDescent="0.25">
      <c r="A108" s="579" t="s">
        <v>127</v>
      </c>
      <c r="B108" s="490">
        <v>902</v>
      </c>
      <c r="C108" s="580" t="s">
        <v>118</v>
      </c>
      <c r="D108" s="580" t="s">
        <v>120</v>
      </c>
      <c r="E108" s="580" t="s">
        <v>860</v>
      </c>
      <c r="F108" s="580" t="s">
        <v>128</v>
      </c>
      <c r="G108" s="497">
        <f>G109</f>
        <v>1406</v>
      </c>
      <c r="H108" s="497">
        <f>H109</f>
        <v>1406</v>
      </c>
      <c r="I108" s="526"/>
      <c r="J108" s="501"/>
    </row>
    <row r="109" spans="1:10" ht="31.5" x14ac:dyDescent="0.25">
      <c r="A109" s="579" t="s">
        <v>129</v>
      </c>
      <c r="B109" s="490">
        <v>902</v>
      </c>
      <c r="C109" s="580" t="s">
        <v>118</v>
      </c>
      <c r="D109" s="580" t="s">
        <v>120</v>
      </c>
      <c r="E109" s="580" t="s">
        <v>860</v>
      </c>
      <c r="F109" s="580" t="s">
        <v>130</v>
      </c>
      <c r="G109" s="27">
        <v>1406</v>
      </c>
      <c r="H109" s="27">
        <f>G109</f>
        <v>1406</v>
      </c>
      <c r="I109" s="526"/>
      <c r="J109" s="501"/>
    </row>
    <row r="110" spans="1:10" ht="31.7" customHeight="1" x14ac:dyDescent="0.25">
      <c r="A110" s="579" t="s">
        <v>839</v>
      </c>
      <c r="B110" s="490">
        <v>902</v>
      </c>
      <c r="C110" s="580" t="s">
        <v>118</v>
      </c>
      <c r="D110" s="580" t="s">
        <v>120</v>
      </c>
      <c r="E110" s="580" t="s">
        <v>862</v>
      </c>
      <c r="F110" s="580"/>
      <c r="G110" s="497">
        <f>G111</f>
        <v>86</v>
      </c>
      <c r="H110" s="497">
        <f>H111</f>
        <v>0</v>
      </c>
      <c r="I110" s="526"/>
      <c r="J110" s="501"/>
    </row>
    <row r="111" spans="1:10" ht="31.7" customHeight="1" x14ac:dyDescent="0.25">
      <c r="A111" s="579" t="s">
        <v>127</v>
      </c>
      <c r="B111" s="490">
        <v>902</v>
      </c>
      <c r="C111" s="580" t="s">
        <v>118</v>
      </c>
      <c r="D111" s="580" t="s">
        <v>120</v>
      </c>
      <c r="E111" s="580" t="s">
        <v>862</v>
      </c>
      <c r="F111" s="580" t="s">
        <v>128</v>
      </c>
      <c r="G111" s="497">
        <f>G112</f>
        <v>86</v>
      </c>
      <c r="H111" s="497">
        <f>H112</f>
        <v>0</v>
      </c>
      <c r="I111" s="526"/>
      <c r="J111" s="501"/>
    </row>
    <row r="112" spans="1:10" ht="34.5" customHeight="1" x14ac:dyDescent="0.25">
      <c r="A112" s="579" t="s">
        <v>129</v>
      </c>
      <c r="B112" s="490">
        <v>902</v>
      </c>
      <c r="C112" s="580" t="s">
        <v>118</v>
      </c>
      <c r="D112" s="580" t="s">
        <v>120</v>
      </c>
      <c r="E112" s="580" t="s">
        <v>862</v>
      </c>
      <c r="F112" s="580" t="s">
        <v>130</v>
      </c>
      <c r="G112" s="497">
        <v>86</v>
      </c>
      <c r="H112" s="497">
        <v>0</v>
      </c>
      <c r="I112" s="526"/>
      <c r="J112" s="501"/>
    </row>
    <row r="113" spans="1:11" ht="17.45" hidden="1" customHeight="1" x14ac:dyDescent="0.25">
      <c r="A113" s="494" t="s">
        <v>1147</v>
      </c>
      <c r="B113" s="491">
        <v>902</v>
      </c>
      <c r="C113" s="495" t="s">
        <v>118</v>
      </c>
      <c r="D113" s="495" t="s">
        <v>264</v>
      </c>
      <c r="E113" s="495"/>
      <c r="F113" s="580"/>
      <c r="G113" s="493">
        <f t="shared" ref="G113:H115" si="4">G114</f>
        <v>0</v>
      </c>
      <c r="H113" s="493">
        <f t="shared" si="4"/>
        <v>0</v>
      </c>
      <c r="I113" s="526"/>
      <c r="J113" s="501"/>
    </row>
    <row r="114" spans="1:11" ht="21.75" hidden="1" customHeight="1" x14ac:dyDescent="0.25">
      <c r="A114" s="494" t="s">
        <v>141</v>
      </c>
      <c r="B114" s="491">
        <v>902</v>
      </c>
      <c r="C114" s="495" t="s">
        <v>118</v>
      </c>
      <c r="D114" s="495" t="s">
        <v>264</v>
      </c>
      <c r="E114" s="495" t="s">
        <v>866</v>
      </c>
      <c r="F114" s="580"/>
      <c r="G114" s="493">
        <f t="shared" si="4"/>
        <v>0</v>
      </c>
      <c r="H114" s="493">
        <f t="shared" si="4"/>
        <v>0</v>
      </c>
      <c r="I114" s="526"/>
      <c r="J114" s="501"/>
    </row>
    <row r="115" spans="1:11" ht="34.5" hidden="1" customHeight="1" x14ac:dyDescent="0.25">
      <c r="A115" s="494" t="s">
        <v>870</v>
      </c>
      <c r="B115" s="491">
        <v>902</v>
      </c>
      <c r="C115" s="495" t="s">
        <v>118</v>
      </c>
      <c r="D115" s="495" t="s">
        <v>264</v>
      </c>
      <c r="E115" s="495" t="s">
        <v>865</v>
      </c>
      <c r="F115" s="580"/>
      <c r="G115" s="493">
        <f t="shared" si="4"/>
        <v>0</v>
      </c>
      <c r="H115" s="493">
        <f t="shared" si="4"/>
        <v>0</v>
      </c>
      <c r="I115" s="526"/>
      <c r="J115" s="501"/>
    </row>
    <row r="116" spans="1:11" ht="18" hidden="1" customHeight="1" x14ac:dyDescent="0.25">
      <c r="A116" s="45" t="s">
        <v>199</v>
      </c>
      <c r="B116" s="490">
        <v>902</v>
      </c>
      <c r="C116" s="580" t="s">
        <v>118</v>
      </c>
      <c r="D116" s="580" t="s">
        <v>264</v>
      </c>
      <c r="E116" s="580" t="s">
        <v>1146</v>
      </c>
      <c r="F116" s="580"/>
      <c r="G116" s="497">
        <f>G117+G119</f>
        <v>0</v>
      </c>
      <c r="H116" s="497">
        <f>H117+H119</f>
        <v>0</v>
      </c>
      <c r="I116" s="526"/>
      <c r="J116" s="501"/>
    </row>
    <row r="117" spans="1:11" ht="69.75" hidden="1" customHeight="1" x14ac:dyDescent="0.25">
      <c r="A117" s="579" t="s">
        <v>127</v>
      </c>
      <c r="B117" s="490">
        <v>902</v>
      </c>
      <c r="C117" s="580" t="s">
        <v>118</v>
      </c>
      <c r="D117" s="580" t="s">
        <v>264</v>
      </c>
      <c r="E117" s="580" t="s">
        <v>1146</v>
      </c>
      <c r="F117" s="580" t="s">
        <v>128</v>
      </c>
      <c r="G117" s="497">
        <f>G118</f>
        <v>0</v>
      </c>
      <c r="H117" s="497">
        <f>H118</f>
        <v>0</v>
      </c>
      <c r="I117" s="526"/>
      <c r="J117" s="501"/>
    </row>
    <row r="118" spans="1:11" ht="34.5" hidden="1" customHeight="1" x14ac:dyDescent="0.25">
      <c r="A118" s="579" t="s">
        <v>129</v>
      </c>
      <c r="B118" s="490">
        <v>902</v>
      </c>
      <c r="C118" s="580" t="s">
        <v>118</v>
      </c>
      <c r="D118" s="580" t="s">
        <v>264</v>
      </c>
      <c r="E118" s="580" t="s">
        <v>1146</v>
      </c>
      <c r="F118" s="580" t="s">
        <v>130</v>
      </c>
      <c r="G118" s="497">
        <v>0</v>
      </c>
      <c r="H118" s="497">
        <v>0</v>
      </c>
      <c r="I118" s="526"/>
      <c r="J118" s="501"/>
    </row>
    <row r="119" spans="1:11" ht="34.5" hidden="1" customHeight="1" x14ac:dyDescent="0.25">
      <c r="A119" s="579" t="s">
        <v>198</v>
      </c>
      <c r="B119" s="490">
        <v>902</v>
      </c>
      <c r="C119" s="580" t="s">
        <v>118</v>
      </c>
      <c r="D119" s="580" t="s">
        <v>264</v>
      </c>
      <c r="E119" s="580" t="s">
        <v>1146</v>
      </c>
      <c r="F119" s="580" t="s">
        <v>132</v>
      </c>
      <c r="G119" s="497">
        <f>G120</f>
        <v>0</v>
      </c>
      <c r="H119" s="497">
        <f>H120</f>
        <v>0</v>
      </c>
      <c r="I119" s="526"/>
      <c r="J119" s="501"/>
    </row>
    <row r="120" spans="1:11" ht="34.5" hidden="1" customHeight="1" x14ac:dyDescent="0.25">
      <c r="A120" s="579" t="s">
        <v>133</v>
      </c>
      <c r="B120" s="490">
        <v>902</v>
      </c>
      <c r="C120" s="580" t="s">
        <v>118</v>
      </c>
      <c r="D120" s="580" t="s">
        <v>264</v>
      </c>
      <c r="E120" s="580" t="s">
        <v>1146</v>
      </c>
      <c r="F120" s="580" t="s">
        <v>134</v>
      </c>
      <c r="G120" s="497">
        <v>0</v>
      </c>
      <c r="H120" s="497">
        <v>0</v>
      </c>
      <c r="I120" s="526"/>
      <c r="J120" s="501"/>
    </row>
    <row r="121" spans="1:11" ht="15.75" x14ac:dyDescent="0.25">
      <c r="A121" s="494" t="s">
        <v>139</v>
      </c>
      <c r="B121" s="491">
        <v>902</v>
      </c>
      <c r="C121" s="495" t="s">
        <v>118</v>
      </c>
      <c r="D121" s="495" t="s">
        <v>140</v>
      </c>
      <c r="E121" s="495"/>
      <c r="F121" s="495"/>
      <c r="G121" s="493">
        <f>G140+G149+G122+G154+G136</f>
        <v>6370.6</v>
      </c>
      <c r="H121" s="493">
        <f>H140+H149+H122+H154+H136</f>
        <v>6370.6</v>
      </c>
      <c r="I121" s="526"/>
      <c r="J121" s="501">
        <v>113</v>
      </c>
      <c r="K121" s="115">
        <f>G121+G243+G554+G588+G823+G914</f>
        <v>61283.8</v>
      </c>
    </row>
    <row r="122" spans="1:11" ht="19.5" customHeight="1" x14ac:dyDescent="0.25">
      <c r="A122" s="494" t="s">
        <v>141</v>
      </c>
      <c r="B122" s="491">
        <v>902</v>
      </c>
      <c r="C122" s="495" t="s">
        <v>118</v>
      </c>
      <c r="D122" s="495" t="s">
        <v>140</v>
      </c>
      <c r="E122" s="495" t="s">
        <v>866</v>
      </c>
      <c r="F122" s="495"/>
      <c r="G122" s="493">
        <f>G127+G123</f>
        <v>6181.6</v>
      </c>
      <c r="H122" s="493">
        <f>H127+H123</f>
        <v>6181.6</v>
      </c>
      <c r="I122" s="526"/>
      <c r="J122" s="501"/>
    </row>
    <row r="123" spans="1:11" ht="30.6" hidden="1" customHeight="1" x14ac:dyDescent="0.25">
      <c r="A123" s="494" t="s">
        <v>870</v>
      </c>
      <c r="B123" s="491">
        <v>902</v>
      </c>
      <c r="C123" s="495" t="s">
        <v>118</v>
      </c>
      <c r="D123" s="495" t="s">
        <v>140</v>
      </c>
      <c r="E123" s="495" t="s">
        <v>865</v>
      </c>
      <c r="F123" s="495"/>
      <c r="G123" s="493">
        <f t="shared" ref="G123:H125" si="5">G124</f>
        <v>0</v>
      </c>
      <c r="H123" s="493">
        <f t="shared" si="5"/>
        <v>0</v>
      </c>
      <c r="I123" s="526"/>
      <c r="J123" s="501"/>
    </row>
    <row r="124" spans="1:11" ht="19.5" hidden="1" customHeight="1" x14ac:dyDescent="0.25">
      <c r="A124" s="579" t="s">
        <v>199</v>
      </c>
      <c r="B124" s="490">
        <v>902</v>
      </c>
      <c r="C124" s="580" t="s">
        <v>118</v>
      </c>
      <c r="D124" s="580" t="s">
        <v>140</v>
      </c>
      <c r="E124" s="580" t="s">
        <v>1146</v>
      </c>
      <c r="F124" s="580"/>
      <c r="G124" s="497">
        <f t="shared" si="5"/>
        <v>0</v>
      </c>
      <c r="H124" s="497">
        <f t="shared" si="5"/>
        <v>0</v>
      </c>
      <c r="I124" s="526"/>
      <c r="J124" s="501"/>
    </row>
    <row r="125" spans="1:11" ht="19.5" hidden="1" customHeight="1" x14ac:dyDescent="0.25">
      <c r="A125" s="579" t="s">
        <v>135</v>
      </c>
      <c r="B125" s="490">
        <v>902</v>
      </c>
      <c r="C125" s="580" t="s">
        <v>118</v>
      </c>
      <c r="D125" s="580" t="s">
        <v>140</v>
      </c>
      <c r="E125" s="580" t="s">
        <v>1146</v>
      </c>
      <c r="F125" s="580" t="s">
        <v>145</v>
      </c>
      <c r="G125" s="497">
        <f t="shared" si="5"/>
        <v>0</v>
      </c>
      <c r="H125" s="497">
        <f t="shared" si="5"/>
        <v>0</v>
      </c>
      <c r="I125" s="526"/>
      <c r="J125" s="501"/>
    </row>
    <row r="126" spans="1:11" ht="19.5" hidden="1" customHeight="1" x14ac:dyDescent="0.25">
      <c r="A126" s="579" t="s">
        <v>568</v>
      </c>
      <c r="B126" s="490">
        <v>902</v>
      </c>
      <c r="C126" s="580" t="s">
        <v>118</v>
      </c>
      <c r="D126" s="580" t="s">
        <v>140</v>
      </c>
      <c r="E126" s="580" t="s">
        <v>1146</v>
      </c>
      <c r="F126" s="580" t="s">
        <v>138</v>
      </c>
      <c r="G126" s="497"/>
      <c r="H126" s="497"/>
      <c r="I126" s="526"/>
      <c r="J126" s="501"/>
    </row>
    <row r="127" spans="1:11" ht="34.5" customHeight="1" x14ac:dyDescent="0.25">
      <c r="A127" s="494" t="s">
        <v>922</v>
      </c>
      <c r="B127" s="491">
        <v>902</v>
      </c>
      <c r="C127" s="495" t="s">
        <v>118</v>
      </c>
      <c r="D127" s="495" t="s">
        <v>140</v>
      </c>
      <c r="E127" s="495" t="s">
        <v>867</v>
      </c>
      <c r="F127" s="495"/>
      <c r="G127" s="493">
        <f>G128+G133</f>
        <v>6181.6</v>
      </c>
      <c r="H127" s="493">
        <f>H128+H133</f>
        <v>6181.6</v>
      </c>
      <c r="I127" s="526"/>
      <c r="J127" s="501"/>
    </row>
    <row r="128" spans="1:11" ht="21.75" customHeight="1" x14ac:dyDescent="0.25">
      <c r="A128" s="579" t="s">
        <v>928</v>
      </c>
      <c r="B128" s="490">
        <v>902</v>
      </c>
      <c r="C128" s="580" t="s">
        <v>118</v>
      </c>
      <c r="D128" s="580" t="s">
        <v>140</v>
      </c>
      <c r="E128" s="580" t="s">
        <v>868</v>
      </c>
      <c r="F128" s="580"/>
      <c r="G128" s="497">
        <f>G129+G131</f>
        <v>6052.6</v>
      </c>
      <c r="H128" s="497">
        <f>H129+H131</f>
        <v>6052.6</v>
      </c>
      <c r="I128" s="526"/>
      <c r="J128" s="501"/>
    </row>
    <row r="129" spans="1:15" ht="66.75" customHeight="1" x14ac:dyDescent="0.25">
      <c r="A129" s="579" t="s">
        <v>127</v>
      </c>
      <c r="B129" s="490">
        <v>902</v>
      </c>
      <c r="C129" s="580" t="s">
        <v>118</v>
      </c>
      <c r="D129" s="580" t="s">
        <v>140</v>
      </c>
      <c r="E129" s="580" t="s">
        <v>868</v>
      </c>
      <c r="F129" s="580" t="s">
        <v>128</v>
      </c>
      <c r="G129" s="497">
        <f>G130</f>
        <v>4703.3</v>
      </c>
      <c r="H129" s="497">
        <f>H130</f>
        <v>4703.3</v>
      </c>
      <c r="I129" s="526"/>
      <c r="J129" s="501"/>
    </row>
    <row r="130" spans="1:15" ht="36" customHeight="1" x14ac:dyDescent="0.25">
      <c r="A130" s="579" t="s">
        <v>129</v>
      </c>
      <c r="B130" s="490">
        <v>902</v>
      </c>
      <c r="C130" s="580" t="s">
        <v>118</v>
      </c>
      <c r="D130" s="580" t="s">
        <v>140</v>
      </c>
      <c r="E130" s="580" t="s">
        <v>868</v>
      </c>
      <c r="F130" s="580" t="s">
        <v>130</v>
      </c>
      <c r="G130" s="27">
        <v>4703.3</v>
      </c>
      <c r="H130" s="27">
        <f>G130</f>
        <v>4703.3</v>
      </c>
      <c r="I130" s="526"/>
      <c r="J130" s="501"/>
    </row>
    <row r="131" spans="1:15" ht="39.200000000000003" customHeight="1" x14ac:dyDescent="0.25">
      <c r="A131" s="579" t="s">
        <v>198</v>
      </c>
      <c r="B131" s="490">
        <v>902</v>
      </c>
      <c r="C131" s="580" t="s">
        <v>118</v>
      </c>
      <c r="D131" s="580" t="s">
        <v>140</v>
      </c>
      <c r="E131" s="580" t="s">
        <v>868</v>
      </c>
      <c r="F131" s="580" t="s">
        <v>132</v>
      </c>
      <c r="G131" s="497">
        <f>G132</f>
        <v>1349.3</v>
      </c>
      <c r="H131" s="497">
        <f>H132</f>
        <v>1349.3</v>
      </c>
      <c r="I131" s="526"/>
      <c r="J131" s="501"/>
    </row>
    <row r="132" spans="1:15" ht="39.200000000000003" customHeight="1" x14ac:dyDescent="0.25">
      <c r="A132" s="579" t="s">
        <v>133</v>
      </c>
      <c r="B132" s="490">
        <v>902</v>
      </c>
      <c r="C132" s="580" t="s">
        <v>118</v>
      </c>
      <c r="D132" s="580" t="s">
        <v>140</v>
      </c>
      <c r="E132" s="580" t="s">
        <v>868</v>
      </c>
      <c r="F132" s="580" t="s">
        <v>134</v>
      </c>
      <c r="G132" s="27">
        <v>1349.3</v>
      </c>
      <c r="H132" s="27">
        <v>1349.3</v>
      </c>
      <c r="I132" s="526"/>
      <c r="J132" s="501"/>
    </row>
    <row r="133" spans="1:15" ht="28.5" customHeight="1" x14ac:dyDescent="0.25">
      <c r="A133" s="579" t="s">
        <v>839</v>
      </c>
      <c r="B133" s="490">
        <v>902</v>
      </c>
      <c r="C133" s="580" t="s">
        <v>118</v>
      </c>
      <c r="D133" s="580" t="s">
        <v>140</v>
      </c>
      <c r="E133" s="580" t="s">
        <v>869</v>
      </c>
      <c r="F133" s="580"/>
      <c r="G133" s="497">
        <f>G134</f>
        <v>129</v>
      </c>
      <c r="H133" s="497">
        <f>H134</f>
        <v>129</v>
      </c>
      <c r="I133" s="526"/>
      <c r="J133" s="501"/>
    </row>
    <row r="134" spans="1:15" ht="63" customHeight="1" x14ac:dyDescent="0.25">
      <c r="A134" s="579" t="s">
        <v>127</v>
      </c>
      <c r="B134" s="490">
        <v>902</v>
      </c>
      <c r="C134" s="580" t="s">
        <v>118</v>
      </c>
      <c r="D134" s="580" t="s">
        <v>140</v>
      </c>
      <c r="E134" s="580" t="s">
        <v>869</v>
      </c>
      <c r="F134" s="580" t="s">
        <v>128</v>
      </c>
      <c r="G134" s="497">
        <f>G135</f>
        <v>129</v>
      </c>
      <c r="H134" s="497">
        <f>H135</f>
        <v>129</v>
      </c>
      <c r="I134" s="526"/>
      <c r="J134" s="501"/>
    </row>
    <row r="135" spans="1:15" ht="32.25" customHeight="1" x14ac:dyDescent="0.25">
      <c r="A135" s="579" t="s">
        <v>129</v>
      </c>
      <c r="B135" s="490">
        <v>902</v>
      </c>
      <c r="C135" s="580" t="s">
        <v>118</v>
      </c>
      <c r="D135" s="580" t="s">
        <v>140</v>
      </c>
      <c r="E135" s="580" t="s">
        <v>869</v>
      </c>
      <c r="F135" s="580" t="s">
        <v>130</v>
      </c>
      <c r="G135" s="497">
        <v>129</v>
      </c>
      <c r="H135" s="497">
        <v>129</v>
      </c>
      <c r="I135" s="526"/>
      <c r="J135" s="501"/>
      <c r="K135" s="537"/>
      <c r="M135" s="537"/>
      <c r="O135" s="537"/>
    </row>
    <row r="136" spans="1:15" ht="45" customHeight="1" x14ac:dyDescent="0.25">
      <c r="A136" s="494" t="s">
        <v>1357</v>
      </c>
      <c r="B136" s="491">
        <v>902</v>
      </c>
      <c r="C136" s="495" t="s">
        <v>118</v>
      </c>
      <c r="D136" s="495" t="s">
        <v>140</v>
      </c>
      <c r="E136" s="495" t="s">
        <v>324</v>
      </c>
      <c r="F136" s="495"/>
      <c r="G136" s="493">
        <f t="shared" ref="G136:H138" si="6">G137</f>
        <v>12</v>
      </c>
      <c r="H136" s="493">
        <f t="shared" si="6"/>
        <v>12</v>
      </c>
      <c r="I136" s="526"/>
      <c r="J136" s="501"/>
      <c r="K136" s="537"/>
      <c r="M136" s="537"/>
      <c r="O136" s="537"/>
    </row>
    <row r="137" spans="1:15" ht="51" customHeight="1" x14ac:dyDescent="0.25">
      <c r="A137" s="579" t="s">
        <v>1080</v>
      </c>
      <c r="B137" s="490">
        <v>902</v>
      </c>
      <c r="C137" s="580" t="s">
        <v>118</v>
      </c>
      <c r="D137" s="580" t="s">
        <v>140</v>
      </c>
      <c r="E137" s="580" t="s">
        <v>1026</v>
      </c>
      <c r="F137" s="580"/>
      <c r="G137" s="497">
        <f t="shared" si="6"/>
        <v>12</v>
      </c>
      <c r="H137" s="497">
        <f t="shared" si="6"/>
        <v>12</v>
      </c>
      <c r="I137" s="526"/>
      <c r="J137" s="501"/>
      <c r="K137" s="537"/>
      <c r="M137" s="537"/>
      <c r="O137" s="537"/>
    </row>
    <row r="138" spans="1:15" ht="32.450000000000003" customHeight="1" x14ac:dyDescent="0.25">
      <c r="A138" s="579" t="s">
        <v>198</v>
      </c>
      <c r="B138" s="490">
        <v>902</v>
      </c>
      <c r="C138" s="580" t="s">
        <v>118</v>
      </c>
      <c r="D138" s="580" t="s">
        <v>140</v>
      </c>
      <c r="E138" s="580" t="s">
        <v>1026</v>
      </c>
      <c r="F138" s="580" t="s">
        <v>132</v>
      </c>
      <c r="G138" s="497">
        <f t="shared" si="6"/>
        <v>12</v>
      </c>
      <c r="H138" s="497">
        <f t="shared" si="6"/>
        <v>12</v>
      </c>
      <c r="I138" s="526"/>
      <c r="J138" s="501"/>
      <c r="K138" s="537"/>
      <c r="M138" s="537"/>
      <c r="O138" s="537"/>
    </row>
    <row r="139" spans="1:15" ht="33.6" customHeight="1" x14ac:dyDescent="0.25">
      <c r="A139" s="579" t="s">
        <v>133</v>
      </c>
      <c r="B139" s="490">
        <v>902</v>
      </c>
      <c r="C139" s="580" t="s">
        <v>118</v>
      </c>
      <c r="D139" s="580" t="s">
        <v>140</v>
      </c>
      <c r="E139" s="580" t="s">
        <v>1026</v>
      </c>
      <c r="F139" s="580" t="s">
        <v>134</v>
      </c>
      <c r="G139" s="497">
        <v>12</v>
      </c>
      <c r="H139" s="497">
        <v>12</v>
      </c>
      <c r="I139" s="526"/>
      <c r="J139" s="501"/>
      <c r="K139" s="537"/>
      <c r="M139" s="537"/>
      <c r="O139" s="537"/>
    </row>
    <row r="140" spans="1:15" ht="47.25" x14ac:dyDescent="0.25">
      <c r="A140" s="572" t="s">
        <v>1341</v>
      </c>
      <c r="B140" s="491">
        <v>902</v>
      </c>
      <c r="C140" s="495" t="s">
        <v>118</v>
      </c>
      <c r="D140" s="495" t="s">
        <v>140</v>
      </c>
      <c r="E140" s="495" t="s">
        <v>705</v>
      </c>
      <c r="F140" s="504"/>
      <c r="G140" s="493">
        <f>G141+G145</f>
        <v>52</v>
      </c>
      <c r="H140" s="493">
        <f>H141+H145</f>
        <v>52</v>
      </c>
      <c r="I140" s="526"/>
      <c r="J140" s="501"/>
    </row>
    <row r="141" spans="1:15" ht="47.25" customHeight="1" x14ac:dyDescent="0.25">
      <c r="A141" s="571" t="s">
        <v>846</v>
      </c>
      <c r="B141" s="491">
        <v>902</v>
      </c>
      <c r="C141" s="495" t="s">
        <v>118</v>
      </c>
      <c r="D141" s="495" t="s">
        <v>140</v>
      </c>
      <c r="E141" s="495" t="s">
        <v>852</v>
      </c>
      <c r="F141" s="504"/>
      <c r="G141" s="493">
        <f t="shared" ref="G141:H143" si="7">G142</f>
        <v>37</v>
      </c>
      <c r="H141" s="493">
        <f t="shared" si="7"/>
        <v>37</v>
      </c>
      <c r="I141" s="526"/>
      <c r="J141" s="501"/>
    </row>
    <row r="142" spans="1:15" ht="36.75" customHeight="1" x14ac:dyDescent="0.25">
      <c r="A142" s="98" t="s">
        <v>776</v>
      </c>
      <c r="B142" s="490">
        <v>902</v>
      </c>
      <c r="C142" s="580" t="s">
        <v>118</v>
      </c>
      <c r="D142" s="580" t="s">
        <v>140</v>
      </c>
      <c r="E142" s="580" t="s">
        <v>847</v>
      </c>
      <c r="F142" s="498"/>
      <c r="G142" s="497">
        <f t="shared" si="7"/>
        <v>37</v>
      </c>
      <c r="H142" s="497">
        <f t="shared" si="7"/>
        <v>37</v>
      </c>
      <c r="I142" s="526"/>
      <c r="J142" s="501"/>
    </row>
    <row r="143" spans="1:15" ht="31.5" x14ac:dyDescent="0.25">
      <c r="A143" s="579" t="s">
        <v>131</v>
      </c>
      <c r="B143" s="490">
        <v>902</v>
      </c>
      <c r="C143" s="580" t="s">
        <v>118</v>
      </c>
      <c r="D143" s="580" t="s">
        <v>140</v>
      </c>
      <c r="E143" s="580" t="s">
        <v>847</v>
      </c>
      <c r="F143" s="498" t="s">
        <v>132</v>
      </c>
      <c r="G143" s="497">
        <f t="shared" si="7"/>
        <v>37</v>
      </c>
      <c r="H143" s="497">
        <f t="shared" si="7"/>
        <v>37</v>
      </c>
      <c r="I143" s="526"/>
      <c r="J143" s="501"/>
    </row>
    <row r="144" spans="1:15" ht="31.5" x14ac:dyDescent="0.25">
      <c r="A144" s="579" t="s">
        <v>133</v>
      </c>
      <c r="B144" s="490">
        <v>902</v>
      </c>
      <c r="C144" s="580" t="s">
        <v>118</v>
      </c>
      <c r="D144" s="580" t="s">
        <v>140</v>
      </c>
      <c r="E144" s="580" t="s">
        <v>847</v>
      </c>
      <c r="F144" s="498" t="s">
        <v>134</v>
      </c>
      <c r="G144" s="497">
        <v>37</v>
      </c>
      <c r="H144" s="497">
        <v>37</v>
      </c>
      <c r="I144" s="526"/>
      <c r="J144" s="501"/>
    </row>
    <row r="145" spans="1:10" ht="34.5" customHeight="1" x14ac:dyDescent="0.25">
      <c r="A145" s="503" t="s">
        <v>1023</v>
      </c>
      <c r="B145" s="491">
        <v>902</v>
      </c>
      <c r="C145" s="495" t="s">
        <v>118</v>
      </c>
      <c r="D145" s="495" t="s">
        <v>140</v>
      </c>
      <c r="E145" s="495" t="s">
        <v>853</v>
      </c>
      <c r="F145" s="504"/>
      <c r="G145" s="493">
        <f t="shared" ref="G145:H147" si="8">G146</f>
        <v>15</v>
      </c>
      <c r="H145" s="493">
        <f t="shared" si="8"/>
        <v>15</v>
      </c>
      <c r="I145" s="526"/>
      <c r="J145" s="501"/>
    </row>
    <row r="146" spans="1:10" ht="39.200000000000003" customHeight="1" x14ac:dyDescent="0.25">
      <c r="A146" s="98" t="s">
        <v>777</v>
      </c>
      <c r="B146" s="490">
        <v>902</v>
      </c>
      <c r="C146" s="580" t="s">
        <v>118</v>
      </c>
      <c r="D146" s="580" t="s">
        <v>140</v>
      </c>
      <c r="E146" s="580" t="s">
        <v>848</v>
      </c>
      <c r="F146" s="498"/>
      <c r="G146" s="497">
        <f t="shared" si="8"/>
        <v>15</v>
      </c>
      <c r="H146" s="497">
        <f t="shared" si="8"/>
        <v>15</v>
      </c>
      <c r="I146" s="526"/>
      <c r="J146" s="501"/>
    </row>
    <row r="147" spans="1:10" ht="31.7" customHeight="1" x14ac:dyDescent="0.25">
      <c r="A147" s="579" t="s">
        <v>131</v>
      </c>
      <c r="B147" s="490">
        <v>902</v>
      </c>
      <c r="C147" s="580" t="s">
        <v>118</v>
      </c>
      <c r="D147" s="580" t="s">
        <v>140</v>
      </c>
      <c r="E147" s="580" t="s">
        <v>848</v>
      </c>
      <c r="F147" s="498" t="s">
        <v>132</v>
      </c>
      <c r="G147" s="497">
        <f t="shared" si="8"/>
        <v>15</v>
      </c>
      <c r="H147" s="497">
        <f t="shared" si="8"/>
        <v>15</v>
      </c>
      <c r="I147" s="526"/>
      <c r="J147" s="501"/>
    </row>
    <row r="148" spans="1:10" ht="32.25" customHeight="1" x14ac:dyDescent="0.25">
      <c r="A148" s="579" t="s">
        <v>133</v>
      </c>
      <c r="B148" s="490">
        <v>902</v>
      </c>
      <c r="C148" s="580" t="s">
        <v>118</v>
      </c>
      <c r="D148" s="580" t="s">
        <v>140</v>
      </c>
      <c r="E148" s="580" t="s">
        <v>848</v>
      </c>
      <c r="F148" s="498" t="s">
        <v>134</v>
      </c>
      <c r="G148" s="497">
        <v>15</v>
      </c>
      <c r="H148" s="497">
        <v>15</v>
      </c>
      <c r="I148" s="526"/>
      <c r="J148" s="501"/>
    </row>
    <row r="149" spans="1:10" ht="68.25" customHeight="1" x14ac:dyDescent="0.25">
      <c r="A149" s="572" t="s">
        <v>1342</v>
      </c>
      <c r="B149" s="491">
        <v>902</v>
      </c>
      <c r="C149" s="8" t="s">
        <v>118</v>
      </c>
      <c r="D149" s="8" t="s">
        <v>140</v>
      </c>
      <c r="E149" s="194" t="s">
        <v>817</v>
      </c>
      <c r="F149" s="8"/>
      <c r="G149" s="493">
        <f>G151</f>
        <v>45</v>
      </c>
      <c r="H149" s="493">
        <f>H151</f>
        <v>45</v>
      </c>
      <c r="I149" s="526"/>
      <c r="J149" s="501"/>
    </row>
    <row r="150" spans="1:10" ht="35.450000000000003" customHeight="1" x14ac:dyDescent="0.25">
      <c r="A150" s="213" t="s">
        <v>854</v>
      </c>
      <c r="B150" s="491">
        <v>902</v>
      </c>
      <c r="C150" s="8" t="s">
        <v>118</v>
      </c>
      <c r="D150" s="8" t="s">
        <v>140</v>
      </c>
      <c r="E150" s="194" t="s">
        <v>1075</v>
      </c>
      <c r="F150" s="8"/>
      <c r="G150" s="493">
        <f t="shared" ref="G150:H152" si="9">G151</f>
        <v>45</v>
      </c>
      <c r="H150" s="493">
        <f t="shared" si="9"/>
        <v>45</v>
      </c>
      <c r="I150" s="526"/>
      <c r="J150" s="501"/>
    </row>
    <row r="151" spans="1:10" ht="31.7" customHeight="1" x14ac:dyDescent="0.25">
      <c r="A151" s="97" t="s">
        <v>171</v>
      </c>
      <c r="B151" s="490">
        <v>902</v>
      </c>
      <c r="C151" s="9" t="s">
        <v>118</v>
      </c>
      <c r="D151" s="9" t="s">
        <v>140</v>
      </c>
      <c r="E151" s="5" t="s">
        <v>855</v>
      </c>
      <c r="F151" s="9"/>
      <c r="G151" s="497">
        <f t="shared" si="9"/>
        <v>45</v>
      </c>
      <c r="H151" s="497">
        <f t="shared" si="9"/>
        <v>45</v>
      </c>
      <c r="I151" s="526"/>
      <c r="J151" s="501"/>
    </row>
    <row r="152" spans="1:10" ht="35.450000000000003" customHeight="1" x14ac:dyDescent="0.25">
      <c r="A152" s="579" t="s">
        <v>131</v>
      </c>
      <c r="B152" s="490">
        <v>902</v>
      </c>
      <c r="C152" s="9" t="s">
        <v>118</v>
      </c>
      <c r="D152" s="9" t="s">
        <v>140</v>
      </c>
      <c r="E152" s="5" t="s">
        <v>855</v>
      </c>
      <c r="F152" s="9" t="s">
        <v>132</v>
      </c>
      <c r="G152" s="497">
        <f t="shared" si="9"/>
        <v>45</v>
      </c>
      <c r="H152" s="497">
        <f t="shared" si="9"/>
        <v>45</v>
      </c>
      <c r="I152" s="526"/>
      <c r="J152" s="501"/>
    </row>
    <row r="153" spans="1:10" ht="33" customHeight="1" x14ac:dyDescent="0.25">
      <c r="A153" s="579" t="s">
        <v>133</v>
      </c>
      <c r="B153" s="490">
        <v>902</v>
      </c>
      <c r="C153" s="9" t="s">
        <v>118</v>
      </c>
      <c r="D153" s="9" t="s">
        <v>140</v>
      </c>
      <c r="E153" s="5" t="s">
        <v>855</v>
      </c>
      <c r="F153" s="9" t="s">
        <v>134</v>
      </c>
      <c r="G153" s="497">
        <v>45</v>
      </c>
      <c r="H153" s="497">
        <v>45</v>
      </c>
      <c r="I153" s="526"/>
      <c r="J153" s="501"/>
    </row>
    <row r="154" spans="1:10" ht="63" x14ac:dyDescent="0.25">
      <c r="A154" s="572" t="s">
        <v>1343</v>
      </c>
      <c r="B154" s="491">
        <v>902</v>
      </c>
      <c r="C154" s="8" t="s">
        <v>118</v>
      </c>
      <c r="D154" s="8" t="s">
        <v>140</v>
      </c>
      <c r="E154" s="194" t="s">
        <v>818</v>
      </c>
      <c r="F154" s="8"/>
      <c r="G154" s="493">
        <f>G156</f>
        <v>80</v>
      </c>
      <c r="H154" s="493">
        <f>H156</f>
        <v>80</v>
      </c>
      <c r="I154" s="526"/>
      <c r="J154" s="501"/>
    </row>
    <row r="155" spans="1:10" ht="31.5" x14ac:dyDescent="0.25">
      <c r="A155" s="58" t="s">
        <v>856</v>
      </c>
      <c r="B155" s="491">
        <v>902</v>
      </c>
      <c r="C155" s="8" t="s">
        <v>118</v>
      </c>
      <c r="D155" s="8" t="s">
        <v>140</v>
      </c>
      <c r="E155" s="194" t="s">
        <v>864</v>
      </c>
      <c r="F155" s="8"/>
      <c r="G155" s="493">
        <f t="shared" ref="G155:H157" si="10">G156</f>
        <v>80</v>
      </c>
      <c r="H155" s="493">
        <f t="shared" si="10"/>
        <v>80</v>
      </c>
      <c r="I155" s="526"/>
      <c r="J155" s="501"/>
    </row>
    <row r="156" spans="1:10" ht="15.75" x14ac:dyDescent="0.25">
      <c r="A156" s="45" t="s">
        <v>822</v>
      </c>
      <c r="B156" s="490">
        <v>902</v>
      </c>
      <c r="C156" s="9" t="s">
        <v>118</v>
      </c>
      <c r="D156" s="9" t="s">
        <v>140</v>
      </c>
      <c r="E156" s="5" t="s">
        <v>857</v>
      </c>
      <c r="F156" s="9"/>
      <c r="G156" s="497">
        <f t="shared" si="10"/>
        <v>80</v>
      </c>
      <c r="H156" s="497">
        <f t="shared" si="10"/>
        <v>80</v>
      </c>
      <c r="I156" s="526"/>
      <c r="J156" s="501"/>
    </row>
    <row r="157" spans="1:10" ht="31.5" x14ac:dyDescent="0.25">
      <c r="A157" s="579" t="s">
        <v>131</v>
      </c>
      <c r="B157" s="490">
        <v>902</v>
      </c>
      <c r="C157" s="9" t="s">
        <v>118</v>
      </c>
      <c r="D157" s="9" t="s">
        <v>140</v>
      </c>
      <c r="E157" s="5" t="s">
        <v>857</v>
      </c>
      <c r="F157" s="9" t="s">
        <v>132</v>
      </c>
      <c r="G157" s="497">
        <f t="shared" si="10"/>
        <v>80</v>
      </c>
      <c r="H157" s="497">
        <f t="shared" si="10"/>
        <v>80</v>
      </c>
      <c r="I157" s="526"/>
      <c r="J157" s="501"/>
    </row>
    <row r="158" spans="1:10" ht="31.5" x14ac:dyDescent="0.25">
      <c r="A158" s="579" t="s">
        <v>133</v>
      </c>
      <c r="B158" s="490">
        <v>902</v>
      </c>
      <c r="C158" s="9" t="s">
        <v>118</v>
      </c>
      <c r="D158" s="9" t="s">
        <v>140</v>
      </c>
      <c r="E158" s="5" t="s">
        <v>857</v>
      </c>
      <c r="F158" s="9" t="s">
        <v>134</v>
      </c>
      <c r="G158" s="497">
        <v>80</v>
      </c>
      <c r="H158" s="497">
        <v>80</v>
      </c>
      <c r="I158" s="526"/>
      <c r="J158" s="501"/>
    </row>
    <row r="159" spans="1:10" ht="15.75" hidden="1" customHeight="1" x14ac:dyDescent="0.25">
      <c r="A159" s="494" t="s">
        <v>212</v>
      </c>
      <c r="B159" s="491">
        <v>902</v>
      </c>
      <c r="C159" s="495" t="s">
        <v>213</v>
      </c>
      <c r="D159" s="495"/>
      <c r="E159" s="495"/>
      <c r="F159" s="495"/>
      <c r="G159" s="493">
        <f t="shared" ref="G159:H164" si="11">G160</f>
        <v>0</v>
      </c>
      <c r="H159" s="493">
        <f t="shared" si="11"/>
        <v>0</v>
      </c>
      <c r="I159" s="526"/>
      <c r="J159" s="501"/>
    </row>
    <row r="160" spans="1:10" ht="20.25" hidden="1" customHeight="1" x14ac:dyDescent="0.25">
      <c r="A160" s="494" t="s">
        <v>218</v>
      </c>
      <c r="B160" s="491">
        <v>902</v>
      </c>
      <c r="C160" s="495" t="s">
        <v>213</v>
      </c>
      <c r="D160" s="495" t="s">
        <v>219</v>
      </c>
      <c r="E160" s="495"/>
      <c r="F160" s="495"/>
      <c r="G160" s="493">
        <f t="shared" si="11"/>
        <v>0</v>
      </c>
      <c r="H160" s="493">
        <f t="shared" si="11"/>
        <v>0</v>
      </c>
      <c r="I160" s="526"/>
      <c r="J160" s="501"/>
    </row>
    <row r="161" spans="1:10" ht="15.75" hidden="1" customHeight="1" x14ac:dyDescent="0.25">
      <c r="A161" s="494" t="s">
        <v>141</v>
      </c>
      <c r="B161" s="491">
        <v>902</v>
      </c>
      <c r="C161" s="495" t="s">
        <v>213</v>
      </c>
      <c r="D161" s="495" t="s">
        <v>219</v>
      </c>
      <c r="E161" s="495" t="s">
        <v>866</v>
      </c>
      <c r="F161" s="495"/>
      <c r="G161" s="493">
        <f t="shared" si="11"/>
        <v>0</v>
      </c>
      <c r="H161" s="493">
        <f t="shared" si="11"/>
        <v>0</v>
      </c>
      <c r="I161" s="526"/>
      <c r="J161" s="501"/>
    </row>
    <row r="162" spans="1:10" ht="33.75" hidden="1" customHeight="1" x14ac:dyDescent="0.25">
      <c r="A162" s="494" t="s">
        <v>870</v>
      </c>
      <c r="B162" s="491">
        <v>902</v>
      </c>
      <c r="C162" s="495" t="s">
        <v>213</v>
      </c>
      <c r="D162" s="495" t="s">
        <v>219</v>
      </c>
      <c r="E162" s="495" t="s">
        <v>865</v>
      </c>
      <c r="F162" s="495"/>
      <c r="G162" s="493">
        <f t="shared" si="11"/>
        <v>0</v>
      </c>
      <c r="H162" s="493">
        <f t="shared" si="11"/>
        <v>0</v>
      </c>
      <c r="I162" s="526"/>
      <c r="J162" s="501"/>
    </row>
    <row r="163" spans="1:10" ht="15.75" hidden="1" customHeight="1" x14ac:dyDescent="0.25">
      <c r="A163" s="579" t="s">
        <v>220</v>
      </c>
      <c r="B163" s="490">
        <v>902</v>
      </c>
      <c r="C163" s="580" t="s">
        <v>213</v>
      </c>
      <c r="D163" s="580" t="s">
        <v>219</v>
      </c>
      <c r="E163" s="580" t="s">
        <v>871</v>
      </c>
      <c r="F163" s="580"/>
      <c r="G163" s="497">
        <f t="shared" si="11"/>
        <v>0</v>
      </c>
      <c r="H163" s="497">
        <f t="shared" si="11"/>
        <v>0</v>
      </c>
      <c r="I163" s="526"/>
      <c r="J163" s="501"/>
    </row>
    <row r="164" spans="1:10" ht="33.75" hidden="1" customHeight="1" x14ac:dyDescent="0.25">
      <c r="A164" s="579" t="s">
        <v>198</v>
      </c>
      <c r="B164" s="490">
        <v>902</v>
      </c>
      <c r="C164" s="580" t="s">
        <v>213</v>
      </c>
      <c r="D164" s="580" t="s">
        <v>219</v>
      </c>
      <c r="E164" s="580" t="s">
        <v>871</v>
      </c>
      <c r="F164" s="580" t="s">
        <v>132</v>
      </c>
      <c r="G164" s="497">
        <f t="shared" si="11"/>
        <v>0</v>
      </c>
      <c r="H164" s="497">
        <f t="shared" si="11"/>
        <v>0</v>
      </c>
      <c r="I164" s="526"/>
      <c r="J164" s="501"/>
    </row>
    <row r="165" spans="1:10" ht="40.700000000000003" hidden="1" customHeight="1" x14ac:dyDescent="0.25">
      <c r="A165" s="579" t="s">
        <v>133</v>
      </c>
      <c r="B165" s="490">
        <v>902</v>
      </c>
      <c r="C165" s="580" t="s">
        <v>213</v>
      </c>
      <c r="D165" s="580" t="s">
        <v>219</v>
      </c>
      <c r="E165" s="580" t="s">
        <v>871</v>
      </c>
      <c r="F165" s="580" t="s">
        <v>134</v>
      </c>
      <c r="G165" s="27">
        <v>0</v>
      </c>
      <c r="H165" s="27">
        <v>0</v>
      </c>
      <c r="I165" s="526"/>
      <c r="J165" s="501"/>
    </row>
    <row r="166" spans="1:10" ht="31.5" x14ac:dyDescent="0.25">
      <c r="A166" s="494" t="s">
        <v>222</v>
      </c>
      <c r="B166" s="491">
        <v>902</v>
      </c>
      <c r="C166" s="495" t="s">
        <v>215</v>
      </c>
      <c r="D166" s="495"/>
      <c r="E166" s="495"/>
      <c r="F166" s="495"/>
      <c r="G166" s="493">
        <f>G167</f>
        <v>8185.4</v>
      </c>
      <c r="H166" s="493">
        <f>H167</f>
        <v>8185.4</v>
      </c>
      <c r="I166" s="526"/>
      <c r="J166" s="501"/>
    </row>
    <row r="167" spans="1:10" ht="47.25" customHeight="1" x14ac:dyDescent="0.25">
      <c r="A167" s="494" t="s">
        <v>1345</v>
      </c>
      <c r="B167" s="491">
        <v>902</v>
      </c>
      <c r="C167" s="495" t="s">
        <v>215</v>
      </c>
      <c r="D167" s="495" t="s">
        <v>244</v>
      </c>
      <c r="E167" s="580"/>
      <c r="F167" s="580"/>
      <c r="G167" s="493">
        <f>G168+G185</f>
        <v>8185.4</v>
      </c>
      <c r="H167" s="493">
        <f>H168+H185</f>
        <v>8185.4</v>
      </c>
      <c r="I167" s="526"/>
      <c r="J167" s="501"/>
    </row>
    <row r="168" spans="1:10" ht="15.75" x14ac:dyDescent="0.25">
      <c r="A168" s="494" t="s">
        <v>141</v>
      </c>
      <c r="B168" s="491">
        <v>902</v>
      </c>
      <c r="C168" s="495" t="s">
        <v>215</v>
      </c>
      <c r="D168" s="495" t="s">
        <v>244</v>
      </c>
      <c r="E168" s="495" t="s">
        <v>866</v>
      </c>
      <c r="F168" s="495"/>
      <c r="G168" s="493">
        <f>G169+G176</f>
        <v>8185.4</v>
      </c>
      <c r="H168" s="493">
        <f>H169+H176</f>
        <v>8185.4</v>
      </c>
      <c r="I168" s="526"/>
      <c r="J168" s="501"/>
    </row>
    <row r="169" spans="1:10" ht="31.5" x14ac:dyDescent="0.25">
      <c r="A169" s="494" t="s">
        <v>870</v>
      </c>
      <c r="B169" s="491">
        <v>902</v>
      </c>
      <c r="C169" s="495" t="s">
        <v>215</v>
      </c>
      <c r="D169" s="495" t="s">
        <v>244</v>
      </c>
      <c r="E169" s="495" t="s">
        <v>865</v>
      </c>
      <c r="F169" s="495"/>
      <c r="G169" s="493">
        <f>G170+G173</f>
        <v>1482</v>
      </c>
      <c r="H169" s="493">
        <f>H170+H173</f>
        <v>1482</v>
      </c>
      <c r="I169" s="526"/>
      <c r="J169" s="501"/>
    </row>
    <row r="170" spans="1:10" ht="31.5" x14ac:dyDescent="0.25">
      <c r="A170" s="579" t="s">
        <v>224</v>
      </c>
      <c r="B170" s="490">
        <v>902</v>
      </c>
      <c r="C170" s="580" t="s">
        <v>215</v>
      </c>
      <c r="D170" s="580" t="s">
        <v>244</v>
      </c>
      <c r="E170" s="580" t="s">
        <v>875</v>
      </c>
      <c r="F170" s="580"/>
      <c r="G170" s="497">
        <f>G171</f>
        <v>1285</v>
      </c>
      <c r="H170" s="497">
        <f>H171</f>
        <v>1285</v>
      </c>
      <c r="I170" s="526"/>
      <c r="J170" s="501"/>
    </row>
    <row r="171" spans="1:10" ht="31.5" x14ac:dyDescent="0.25">
      <c r="A171" s="579" t="s">
        <v>198</v>
      </c>
      <c r="B171" s="490">
        <v>902</v>
      </c>
      <c r="C171" s="580" t="s">
        <v>215</v>
      </c>
      <c r="D171" s="580" t="s">
        <v>244</v>
      </c>
      <c r="E171" s="580" t="s">
        <v>875</v>
      </c>
      <c r="F171" s="580" t="s">
        <v>132</v>
      </c>
      <c r="G171" s="497">
        <f>G172</f>
        <v>1285</v>
      </c>
      <c r="H171" s="497">
        <f>H172</f>
        <v>1285</v>
      </c>
      <c r="I171" s="526"/>
      <c r="J171" s="501"/>
    </row>
    <row r="172" spans="1:10" ht="31.5" x14ac:dyDescent="0.25">
      <c r="A172" s="579" t="s">
        <v>133</v>
      </c>
      <c r="B172" s="490">
        <v>902</v>
      </c>
      <c r="C172" s="580" t="s">
        <v>215</v>
      </c>
      <c r="D172" s="580" t="s">
        <v>244</v>
      </c>
      <c r="E172" s="580" t="s">
        <v>875</v>
      </c>
      <c r="F172" s="580" t="s">
        <v>134</v>
      </c>
      <c r="G172" s="254">
        <v>1285</v>
      </c>
      <c r="H172" s="254">
        <v>1285</v>
      </c>
      <c r="I172" s="526"/>
      <c r="J172" s="501"/>
    </row>
    <row r="173" spans="1:10" ht="15.75" x14ac:dyDescent="0.25">
      <c r="A173" s="579" t="s">
        <v>230</v>
      </c>
      <c r="B173" s="490">
        <v>902</v>
      </c>
      <c r="C173" s="580" t="s">
        <v>215</v>
      </c>
      <c r="D173" s="580" t="s">
        <v>244</v>
      </c>
      <c r="E173" s="580" t="s">
        <v>876</v>
      </c>
      <c r="F173" s="580"/>
      <c r="G173" s="27">
        <f>G174</f>
        <v>197</v>
      </c>
      <c r="H173" s="27">
        <f>H174</f>
        <v>197</v>
      </c>
      <c r="I173" s="526"/>
      <c r="J173" s="501"/>
    </row>
    <row r="174" spans="1:10" ht="31.5" x14ac:dyDescent="0.25">
      <c r="A174" s="579" t="s">
        <v>198</v>
      </c>
      <c r="B174" s="490">
        <v>902</v>
      </c>
      <c r="C174" s="580" t="s">
        <v>215</v>
      </c>
      <c r="D174" s="580" t="s">
        <v>244</v>
      </c>
      <c r="E174" s="580" t="s">
        <v>876</v>
      </c>
      <c r="F174" s="580" t="s">
        <v>132</v>
      </c>
      <c r="G174" s="27">
        <f>G175</f>
        <v>197</v>
      </c>
      <c r="H174" s="27">
        <f>H175</f>
        <v>197</v>
      </c>
      <c r="I174" s="526"/>
      <c r="J174" s="501"/>
    </row>
    <row r="175" spans="1:10" ht="31.5" x14ac:dyDescent="0.25">
      <c r="A175" s="579" t="s">
        <v>133</v>
      </c>
      <c r="B175" s="490">
        <v>902</v>
      </c>
      <c r="C175" s="580" t="s">
        <v>215</v>
      </c>
      <c r="D175" s="580" t="s">
        <v>244</v>
      </c>
      <c r="E175" s="580" t="s">
        <v>876</v>
      </c>
      <c r="F175" s="580" t="s">
        <v>134</v>
      </c>
      <c r="G175" s="27">
        <v>197</v>
      </c>
      <c r="H175" s="27">
        <v>197</v>
      </c>
      <c r="I175" s="526"/>
      <c r="J175" s="501"/>
    </row>
    <row r="176" spans="1:10" ht="34.5" customHeight="1" x14ac:dyDescent="0.25">
      <c r="A176" s="494" t="s">
        <v>923</v>
      </c>
      <c r="B176" s="491">
        <v>902</v>
      </c>
      <c r="C176" s="495" t="s">
        <v>215</v>
      </c>
      <c r="D176" s="495" t="s">
        <v>244</v>
      </c>
      <c r="E176" s="495" t="s">
        <v>872</v>
      </c>
      <c r="F176" s="495"/>
      <c r="G176" s="493">
        <f>G177+G182</f>
        <v>6703.4</v>
      </c>
      <c r="H176" s="493">
        <f>H177+H182</f>
        <v>6703.4</v>
      </c>
      <c r="I176" s="526"/>
      <c r="J176" s="501"/>
    </row>
    <row r="177" spans="1:10" ht="31.5" x14ac:dyDescent="0.25">
      <c r="A177" s="579" t="s">
        <v>927</v>
      </c>
      <c r="B177" s="490">
        <v>902</v>
      </c>
      <c r="C177" s="580" t="s">
        <v>215</v>
      </c>
      <c r="D177" s="580" t="s">
        <v>244</v>
      </c>
      <c r="E177" s="580" t="s">
        <v>873</v>
      </c>
      <c r="F177" s="580"/>
      <c r="G177" s="497">
        <f>G178+G180</f>
        <v>6445.4</v>
      </c>
      <c r="H177" s="497">
        <f>H178+H180</f>
        <v>6445.4</v>
      </c>
      <c r="I177" s="526"/>
      <c r="J177" s="501"/>
    </row>
    <row r="178" spans="1:10" ht="63" x14ac:dyDescent="0.25">
      <c r="A178" s="579" t="s">
        <v>127</v>
      </c>
      <c r="B178" s="490">
        <v>902</v>
      </c>
      <c r="C178" s="580" t="s">
        <v>215</v>
      </c>
      <c r="D178" s="580" t="s">
        <v>244</v>
      </c>
      <c r="E178" s="580" t="s">
        <v>873</v>
      </c>
      <c r="F178" s="580" t="s">
        <v>128</v>
      </c>
      <c r="G178" s="497">
        <f>G179</f>
        <v>6119.4</v>
      </c>
      <c r="H178" s="497">
        <f>H179</f>
        <v>6119.4</v>
      </c>
      <c r="I178" s="526"/>
      <c r="J178" s="501"/>
    </row>
    <row r="179" spans="1:10" ht="15.75" x14ac:dyDescent="0.25">
      <c r="A179" s="579" t="s">
        <v>208</v>
      </c>
      <c r="B179" s="490">
        <v>902</v>
      </c>
      <c r="C179" s="580" t="s">
        <v>215</v>
      </c>
      <c r="D179" s="580" t="s">
        <v>244</v>
      </c>
      <c r="E179" s="580" t="s">
        <v>873</v>
      </c>
      <c r="F179" s="580" t="s">
        <v>209</v>
      </c>
      <c r="G179" s="27">
        <v>6119.4</v>
      </c>
      <c r="H179" s="27">
        <f>G179</f>
        <v>6119.4</v>
      </c>
      <c r="I179" s="526"/>
      <c r="J179" s="501"/>
    </row>
    <row r="180" spans="1:10" ht="31.5" x14ac:dyDescent="0.25">
      <c r="A180" s="579" t="s">
        <v>198</v>
      </c>
      <c r="B180" s="490">
        <v>902</v>
      </c>
      <c r="C180" s="580" t="s">
        <v>215</v>
      </c>
      <c r="D180" s="580" t="s">
        <v>244</v>
      </c>
      <c r="E180" s="580" t="s">
        <v>873</v>
      </c>
      <c r="F180" s="580" t="s">
        <v>132</v>
      </c>
      <c r="G180" s="497">
        <f>G181</f>
        <v>326</v>
      </c>
      <c r="H180" s="497">
        <f>H181</f>
        <v>326</v>
      </c>
      <c r="I180" s="526"/>
      <c r="J180" s="501"/>
    </row>
    <row r="181" spans="1:10" ht="31.5" x14ac:dyDescent="0.25">
      <c r="A181" s="579" t="s">
        <v>133</v>
      </c>
      <c r="B181" s="490">
        <v>902</v>
      </c>
      <c r="C181" s="580" t="s">
        <v>215</v>
      </c>
      <c r="D181" s="580" t="s">
        <v>244</v>
      </c>
      <c r="E181" s="580" t="s">
        <v>873</v>
      </c>
      <c r="F181" s="580" t="s">
        <v>134</v>
      </c>
      <c r="G181" s="27">
        <v>326</v>
      </c>
      <c r="H181" s="27">
        <v>326</v>
      </c>
      <c r="I181" s="526"/>
      <c r="J181" s="501"/>
    </row>
    <row r="182" spans="1:10" ht="31.5" x14ac:dyDescent="0.25">
      <c r="A182" s="579" t="s">
        <v>839</v>
      </c>
      <c r="B182" s="490">
        <v>902</v>
      </c>
      <c r="C182" s="580" t="s">
        <v>215</v>
      </c>
      <c r="D182" s="580" t="s">
        <v>244</v>
      </c>
      <c r="E182" s="580" t="s">
        <v>874</v>
      </c>
      <c r="F182" s="580"/>
      <c r="G182" s="497">
        <f>G183</f>
        <v>258</v>
      </c>
      <c r="H182" s="497">
        <f>H183</f>
        <v>258</v>
      </c>
      <c r="I182" s="526"/>
      <c r="J182" s="501"/>
    </row>
    <row r="183" spans="1:10" ht="63" x14ac:dyDescent="0.25">
      <c r="A183" s="579" t="s">
        <v>127</v>
      </c>
      <c r="B183" s="490">
        <v>902</v>
      </c>
      <c r="C183" s="580" t="s">
        <v>215</v>
      </c>
      <c r="D183" s="580" t="s">
        <v>244</v>
      </c>
      <c r="E183" s="580" t="s">
        <v>874</v>
      </c>
      <c r="F183" s="580" t="s">
        <v>128</v>
      </c>
      <c r="G183" s="497">
        <f>G184</f>
        <v>258</v>
      </c>
      <c r="H183" s="497">
        <f>H184</f>
        <v>258</v>
      </c>
      <c r="I183" s="526"/>
      <c r="J183" s="501"/>
    </row>
    <row r="184" spans="1:10" ht="15.75" x14ac:dyDescent="0.25">
      <c r="A184" s="579" t="s">
        <v>208</v>
      </c>
      <c r="B184" s="490">
        <v>902</v>
      </c>
      <c r="C184" s="580" t="s">
        <v>215</v>
      </c>
      <c r="D184" s="580" t="s">
        <v>244</v>
      </c>
      <c r="E184" s="580" t="s">
        <v>874</v>
      </c>
      <c r="F184" s="580" t="s">
        <v>209</v>
      </c>
      <c r="G184" s="497">
        <v>258</v>
      </c>
      <c r="H184" s="497">
        <v>258</v>
      </c>
      <c r="I184" s="526"/>
      <c r="J184" s="501"/>
    </row>
    <row r="185" spans="1:10" ht="47.25" hidden="1" x14ac:dyDescent="0.25">
      <c r="A185" s="572" t="s">
        <v>1341</v>
      </c>
      <c r="B185" s="491">
        <v>902</v>
      </c>
      <c r="C185" s="495" t="s">
        <v>215</v>
      </c>
      <c r="D185" s="495" t="s">
        <v>244</v>
      </c>
      <c r="E185" s="495" t="s">
        <v>705</v>
      </c>
      <c r="F185" s="580"/>
      <c r="G185" s="493">
        <f>G186</f>
        <v>0</v>
      </c>
      <c r="H185" s="493">
        <f>H186</f>
        <v>0</v>
      </c>
      <c r="I185" s="526"/>
      <c r="J185" s="501"/>
    </row>
    <row r="186" spans="1:10" ht="31.5" hidden="1" x14ac:dyDescent="0.25">
      <c r="A186" s="503" t="s">
        <v>1624</v>
      </c>
      <c r="B186" s="491">
        <v>902</v>
      </c>
      <c r="C186" s="495" t="s">
        <v>215</v>
      </c>
      <c r="D186" s="495" t="s">
        <v>244</v>
      </c>
      <c r="E186" s="495" t="s">
        <v>1625</v>
      </c>
      <c r="F186" s="504"/>
      <c r="G186" s="493">
        <f>G187+G190+G193</f>
        <v>0</v>
      </c>
      <c r="H186" s="493">
        <f>H187+H190+H193</f>
        <v>0</v>
      </c>
      <c r="I186" s="526"/>
      <c r="J186" s="501"/>
    </row>
    <row r="187" spans="1:10" ht="15.75" hidden="1" x14ac:dyDescent="0.25">
      <c r="A187" s="579" t="s">
        <v>230</v>
      </c>
      <c r="B187" s="490">
        <v>902</v>
      </c>
      <c r="C187" s="580" t="s">
        <v>215</v>
      </c>
      <c r="D187" s="580" t="s">
        <v>244</v>
      </c>
      <c r="E187" s="580" t="s">
        <v>1626</v>
      </c>
      <c r="F187" s="498"/>
      <c r="G187" s="497">
        <f>G188</f>
        <v>0</v>
      </c>
      <c r="H187" s="497">
        <f>H188</f>
        <v>0</v>
      </c>
      <c r="I187" s="526"/>
      <c r="J187" s="501"/>
    </row>
    <row r="188" spans="1:10" ht="31.5" hidden="1" x14ac:dyDescent="0.25">
      <c r="A188" s="579" t="s">
        <v>131</v>
      </c>
      <c r="B188" s="490">
        <v>902</v>
      </c>
      <c r="C188" s="580" t="s">
        <v>215</v>
      </c>
      <c r="D188" s="580" t="s">
        <v>244</v>
      </c>
      <c r="E188" s="580" t="s">
        <v>1626</v>
      </c>
      <c r="F188" s="498" t="s">
        <v>132</v>
      </c>
      <c r="G188" s="497">
        <f>G189</f>
        <v>0</v>
      </c>
      <c r="H188" s="497">
        <f>H189</f>
        <v>0</v>
      </c>
      <c r="I188" s="526"/>
      <c r="J188" s="501"/>
    </row>
    <row r="189" spans="1:10" ht="31.5" hidden="1" x14ac:dyDescent="0.25">
      <c r="A189" s="579" t="s">
        <v>133</v>
      </c>
      <c r="B189" s="490">
        <v>902</v>
      </c>
      <c r="C189" s="580" t="s">
        <v>215</v>
      </c>
      <c r="D189" s="580" t="s">
        <v>244</v>
      </c>
      <c r="E189" s="580" t="s">
        <v>1626</v>
      </c>
      <c r="F189" s="498" t="s">
        <v>134</v>
      </c>
      <c r="G189" s="497">
        <f>100-100</f>
        <v>0</v>
      </c>
      <c r="H189" s="497">
        <f>100-100</f>
        <v>0</v>
      </c>
      <c r="I189" s="526"/>
      <c r="J189" s="501"/>
    </row>
    <row r="190" spans="1:10" ht="31.5" hidden="1" x14ac:dyDescent="0.25">
      <c r="A190" s="579" t="s">
        <v>1659</v>
      </c>
      <c r="B190" s="490">
        <v>902</v>
      </c>
      <c r="C190" s="580" t="s">
        <v>215</v>
      </c>
      <c r="D190" s="580" t="s">
        <v>244</v>
      </c>
      <c r="E190" s="580" t="s">
        <v>1660</v>
      </c>
      <c r="F190" s="498"/>
      <c r="G190" s="497">
        <f>G191+G194</f>
        <v>0</v>
      </c>
      <c r="H190" s="497">
        <f>H191+H194</f>
        <v>0</v>
      </c>
      <c r="I190" s="526"/>
      <c r="J190" s="501"/>
    </row>
    <row r="191" spans="1:10" ht="31.5" hidden="1" x14ac:dyDescent="0.25">
      <c r="A191" s="579" t="s">
        <v>131</v>
      </c>
      <c r="B191" s="490">
        <v>902</v>
      </c>
      <c r="C191" s="580" t="s">
        <v>215</v>
      </c>
      <c r="D191" s="580" t="s">
        <v>244</v>
      </c>
      <c r="E191" s="580" t="s">
        <v>1660</v>
      </c>
      <c r="F191" s="498" t="s">
        <v>132</v>
      </c>
      <c r="G191" s="497">
        <f>G192</f>
        <v>0</v>
      </c>
      <c r="H191" s="497">
        <f>H192</f>
        <v>0</v>
      </c>
      <c r="I191" s="526"/>
      <c r="J191" s="501"/>
    </row>
    <row r="192" spans="1:10" ht="31.5" hidden="1" x14ac:dyDescent="0.25">
      <c r="A192" s="579" t="s">
        <v>133</v>
      </c>
      <c r="B192" s="490">
        <v>902</v>
      </c>
      <c r="C192" s="580" t="s">
        <v>215</v>
      </c>
      <c r="D192" s="580" t="s">
        <v>244</v>
      </c>
      <c r="E192" s="580" t="s">
        <v>1660</v>
      </c>
      <c r="F192" s="498" t="s">
        <v>134</v>
      </c>
      <c r="G192" s="497">
        <f>448+100-548</f>
        <v>0</v>
      </c>
      <c r="H192" s="497">
        <f>448+100-548</f>
        <v>0</v>
      </c>
      <c r="I192" s="526"/>
      <c r="J192" s="501"/>
    </row>
    <row r="193" spans="1:10" ht="31.5" hidden="1" x14ac:dyDescent="0.25">
      <c r="A193" s="579" t="s">
        <v>1659</v>
      </c>
      <c r="B193" s="490">
        <v>902</v>
      </c>
      <c r="C193" s="580" t="s">
        <v>215</v>
      </c>
      <c r="D193" s="580" t="s">
        <v>244</v>
      </c>
      <c r="E193" s="580" t="s">
        <v>1660</v>
      </c>
      <c r="F193" s="498"/>
      <c r="G193" s="497"/>
      <c r="H193" s="497"/>
      <c r="I193" s="526"/>
      <c r="J193" s="501"/>
    </row>
    <row r="194" spans="1:10" ht="15.75" hidden="1" x14ac:dyDescent="0.25">
      <c r="A194" s="579" t="s">
        <v>248</v>
      </c>
      <c r="B194" s="490">
        <v>902</v>
      </c>
      <c r="C194" s="580" t="s">
        <v>215</v>
      </c>
      <c r="D194" s="580" t="s">
        <v>244</v>
      </c>
      <c r="E194" s="580" t="s">
        <v>1660</v>
      </c>
      <c r="F194" s="498" t="s">
        <v>249</v>
      </c>
      <c r="G194" s="497">
        <f>G195</f>
        <v>0</v>
      </c>
      <c r="H194" s="497">
        <f>H195</f>
        <v>0</v>
      </c>
      <c r="I194" s="526"/>
      <c r="J194" s="501"/>
    </row>
    <row r="195" spans="1:10" ht="30" hidden="1" customHeight="1" x14ac:dyDescent="0.25">
      <c r="A195" s="579" t="s">
        <v>250</v>
      </c>
      <c r="B195" s="490">
        <v>902</v>
      </c>
      <c r="C195" s="580" t="s">
        <v>215</v>
      </c>
      <c r="D195" s="580" t="s">
        <v>244</v>
      </c>
      <c r="E195" s="580" t="s">
        <v>1660</v>
      </c>
      <c r="F195" s="498" t="s">
        <v>251</v>
      </c>
      <c r="G195" s="497"/>
      <c r="H195" s="497"/>
      <c r="I195" s="526"/>
      <c r="J195" s="501"/>
    </row>
    <row r="196" spans="1:10" ht="15.75" x14ac:dyDescent="0.25">
      <c r="A196" s="494" t="s">
        <v>232</v>
      </c>
      <c r="B196" s="491">
        <v>902</v>
      </c>
      <c r="C196" s="495" t="s">
        <v>150</v>
      </c>
      <c r="D196" s="495"/>
      <c r="E196" s="495"/>
      <c r="F196" s="580"/>
      <c r="G196" s="493">
        <f>G207+G197</f>
        <v>752.5</v>
      </c>
      <c r="H196" s="493">
        <f>H207+H197</f>
        <v>765.7</v>
      </c>
      <c r="I196" s="526"/>
      <c r="J196" s="501"/>
    </row>
    <row r="197" spans="1:10" ht="15.75" x14ac:dyDescent="0.25">
      <c r="A197" s="494" t="s">
        <v>233</v>
      </c>
      <c r="B197" s="491">
        <v>902</v>
      </c>
      <c r="C197" s="495" t="s">
        <v>150</v>
      </c>
      <c r="D197" s="495" t="s">
        <v>234</v>
      </c>
      <c r="E197" s="495"/>
      <c r="F197" s="580"/>
      <c r="G197" s="493">
        <f>G198</f>
        <v>274</v>
      </c>
      <c r="H197" s="493">
        <f>H198</f>
        <v>274</v>
      </c>
      <c r="I197" s="526"/>
      <c r="J197" s="501"/>
    </row>
    <row r="198" spans="1:10" ht="42.4" customHeight="1" x14ac:dyDescent="0.25">
      <c r="A198" s="34" t="s">
        <v>1344</v>
      </c>
      <c r="B198" s="491">
        <v>902</v>
      </c>
      <c r="C198" s="495" t="s">
        <v>150</v>
      </c>
      <c r="D198" s="495" t="s">
        <v>234</v>
      </c>
      <c r="E198" s="194" t="s">
        <v>182</v>
      </c>
      <c r="F198" s="504"/>
      <c r="G198" s="493">
        <f>G199+G203</f>
        <v>274</v>
      </c>
      <c r="H198" s="493">
        <f>H199+H203</f>
        <v>274</v>
      </c>
      <c r="I198" s="526"/>
      <c r="J198" s="501"/>
    </row>
    <row r="199" spans="1:10" ht="35.450000000000003" customHeight="1" x14ac:dyDescent="0.25">
      <c r="A199" s="34" t="s">
        <v>1006</v>
      </c>
      <c r="B199" s="491">
        <v>902</v>
      </c>
      <c r="C199" s="495" t="s">
        <v>150</v>
      </c>
      <c r="D199" s="495" t="s">
        <v>234</v>
      </c>
      <c r="E199" s="251" t="s">
        <v>877</v>
      </c>
      <c r="F199" s="504"/>
      <c r="G199" s="493">
        <f t="shared" ref="G199:H201" si="12">G200</f>
        <v>274</v>
      </c>
      <c r="H199" s="493">
        <f t="shared" si="12"/>
        <v>274</v>
      </c>
      <c r="I199" s="526"/>
      <c r="J199" s="501"/>
    </row>
    <row r="200" spans="1:10" ht="31.5" x14ac:dyDescent="0.25">
      <c r="A200" s="579" t="s">
        <v>235</v>
      </c>
      <c r="B200" s="490">
        <v>902</v>
      </c>
      <c r="C200" s="580" t="s">
        <v>150</v>
      </c>
      <c r="D200" s="580" t="s">
        <v>234</v>
      </c>
      <c r="E200" s="580" t="s">
        <v>898</v>
      </c>
      <c r="F200" s="498"/>
      <c r="G200" s="497">
        <f t="shared" si="12"/>
        <v>274</v>
      </c>
      <c r="H200" s="497">
        <f t="shared" si="12"/>
        <v>274</v>
      </c>
      <c r="I200" s="526"/>
      <c r="J200" s="501"/>
    </row>
    <row r="201" spans="1:10" ht="15.75" x14ac:dyDescent="0.25">
      <c r="A201" s="29" t="s">
        <v>135</v>
      </c>
      <c r="B201" s="490">
        <v>902</v>
      </c>
      <c r="C201" s="580" t="s">
        <v>150</v>
      </c>
      <c r="D201" s="580" t="s">
        <v>234</v>
      </c>
      <c r="E201" s="580" t="s">
        <v>898</v>
      </c>
      <c r="F201" s="498" t="s">
        <v>145</v>
      </c>
      <c r="G201" s="497">
        <f t="shared" si="12"/>
        <v>274</v>
      </c>
      <c r="H201" s="497">
        <f t="shared" si="12"/>
        <v>274</v>
      </c>
      <c r="I201" s="526"/>
      <c r="J201" s="501"/>
    </row>
    <row r="202" spans="1:10" ht="47.25" x14ac:dyDescent="0.25">
      <c r="A202" s="29" t="s">
        <v>184</v>
      </c>
      <c r="B202" s="490">
        <v>902</v>
      </c>
      <c r="C202" s="580" t="s">
        <v>150</v>
      </c>
      <c r="D202" s="580" t="s">
        <v>234</v>
      </c>
      <c r="E202" s="580" t="s">
        <v>898</v>
      </c>
      <c r="F202" s="498" t="s">
        <v>160</v>
      </c>
      <c r="G202" s="497">
        <f>19+255</f>
        <v>274</v>
      </c>
      <c r="H202" s="497">
        <f>19+255</f>
        <v>274</v>
      </c>
      <c r="I202" s="526"/>
      <c r="J202" s="501"/>
    </row>
    <row r="203" spans="1:10" ht="31.5" hidden="1" x14ac:dyDescent="0.25">
      <c r="A203" s="243" t="s">
        <v>1007</v>
      </c>
      <c r="B203" s="491">
        <v>902</v>
      </c>
      <c r="C203" s="495" t="s">
        <v>150</v>
      </c>
      <c r="D203" s="495" t="s">
        <v>234</v>
      </c>
      <c r="E203" s="194" t="s">
        <v>879</v>
      </c>
      <c r="F203" s="504"/>
      <c r="G203" s="493">
        <f t="shared" ref="G203:H205" si="13">G204</f>
        <v>0</v>
      </c>
      <c r="H203" s="493">
        <f t="shared" si="13"/>
        <v>0</v>
      </c>
      <c r="I203" s="526"/>
      <c r="J203" s="501"/>
    </row>
    <row r="204" spans="1:10" ht="15.75" hidden="1" x14ac:dyDescent="0.25">
      <c r="A204" s="579" t="s">
        <v>878</v>
      </c>
      <c r="B204" s="490">
        <v>902</v>
      </c>
      <c r="C204" s="580" t="s">
        <v>150</v>
      </c>
      <c r="D204" s="580" t="s">
        <v>234</v>
      </c>
      <c r="E204" s="5" t="s">
        <v>899</v>
      </c>
      <c r="F204" s="498"/>
      <c r="G204" s="497">
        <f t="shared" si="13"/>
        <v>0</v>
      </c>
      <c r="H204" s="497">
        <f t="shared" si="13"/>
        <v>0</v>
      </c>
      <c r="I204" s="526"/>
      <c r="J204" s="501"/>
    </row>
    <row r="205" spans="1:10" ht="15.75" hidden="1" x14ac:dyDescent="0.25">
      <c r="A205" s="29" t="s">
        <v>135</v>
      </c>
      <c r="B205" s="490">
        <v>902</v>
      </c>
      <c r="C205" s="580" t="s">
        <v>150</v>
      </c>
      <c r="D205" s="580" t="s">
        <v>234</v>
      </c>
      <c r="E205" s="5" t="s">
        <v>899</v>
      </c>
      <c r="F205" s="498" t="s">
        <v>145</v>
      </c>
      <c r="G205" s="497">
        <f t="shared" si="13"/>
        <v>0</v>
      </c>
      <c r="H205" s="497">
        <f t="shared" si="13"/>
        <v>0</v>
      </c>
      <c r="I205" s="526"/>
      <c r="J205" s="501"/>
    </row>
    <row r="206" spans="1:10" ht="47.25" hidden="1" x14ac:dyDescent="0.25">
      <c r="A206" s="29" t="s">
        <v>184</v>
      </c>
      <c r="B206" s="490">
        <v>902</v>
      </c>
      <c r="C206" s="580" t="s">
        <v>150</v>
      </c>
      <c r="D206" s="580" t="s">
        <v>234</v>
      </c>
      <c r="E206" s="5" t="s">
        <v>899</v>
      </c>
      <c r="F206" s="498" t="s">
        <v>160</v>
      </c>
      <c r="G206" s="497">
        <v>0</v>
      </c>
      <c r="H206" s="497">
        <v>0</v>
      </c>
      <c r="I206" s="526"/>
      <c r="J206" s="501"/>
    </row>
    <row r="207" spans="1:10" ht="15.75" x14ac:dyDescent="0.25">
      <c r="A207" s="494" t="s">
        <v>237</v>
      </c>
      <c r="B207" s="491">
        <v>902</v>
      </c>
      <c r="C207" s="495" t="s">
        <v>150</v>
      </c>
      <c r="D207" s="495" t="s">
        <v>238</v>
      </c>
      <c r="E207" s="495"/>
      <c r="F207" s="495"/>
      <c r="G207" s="493">
        <f>G208+G215</f>
        <v>478.5</v>
      </c>
      <c r="H207" s="493">
        <f>H208+H215</f>
        <v>491.7</v>
      </c>
      <c r="I207" s="526"/>
      <c r="J207" s="501"/>
    </row>
    <row r="208" spans="1:10" ht="31.5" x14ac:dyDescent="0.25">
      <c r="A208" s="494" t="s">
        <v>917</v>
      </c>
      <c r="B208" s="491">
        <v>902</v>
      </c>
      <c r="C208" s="495" t="s">
        <v>150</v>
      </c>
      <c r="D208" s="495" t="s">
        <v>238</v>
      </c>
      <c r="E208" s="495" t="s">
        <v>858</v>
      </c>
      <c r="F208" s="495"/>
      <c r="G208" s="493">
        <f>G209</f>
        <v>328.5</v>
      </c>
      <c r="H208" s="493">
        <f>H209</f>
        <v>341.7</v>
      </c>
      <c r="I208" s="526"/>
      <c r="J208" s="501"/>
    </row>
    <row r="209" spans="1:10" ht="31.5" x14ac:dyDescent="0.25">
      <c r="A209" s="494" t="s">
        <v>885</v>
      </c>
      <c r="B209" s="491">
        <v>902</v>
      </c>
      <c r="C209" s="495" t="s">
        <v>150</v>
      </c>
      <c r="D209" s="495" t="s">
        <v>238</v>
      </c>
      <c r="E209" s="495" t="s">
        <v>863</v>
      </c>
      <c r="F209" s="495"/>
      <c r="G209" s="493">
        <f>G210</f>
        <v>328.5</v>
      </c>
      <c r="H209" s="493">
        <f>H210</f>
        <v>341.7</v>
      </c>
      <c r="I209" s="526"/>
      <c r="J209" s="501"/>
    </row>
    <row r="210" spans="1:10" ht="69.75" customHeight="1" x14ac:dyDescent="0.25">
      <c r="A210" s="31" t="s">
        <v>241</v>
      </c>
      <c r="B210" s="490">
        <v>902</v>
      </c>
      <c r="C210" s="580" t="s">
        <v>150</v>
      </c>
      <c r="D210" s="580" t="s">
        <v>238</v>
      </c>
      <c r="E210" s="580" t="s">
        <v>924</v>
      </c>
      <c r="F210" s="580"/>
      <c r="G210" s="497">
        <f>G211+G213</f>
        <v>328.5</v>
      </c>
      <c r="H210" s="497">
        <f>H211+H213</f>
        <v>341.7</v>
      </c>
      <c r="I210" s="526"/>
      <c r="J210" s="501"/>
    </row>
    <row r="211" spans="1:10" ht="63" x14ac:dyDescent="0.25">
      <c r="A211" s="579" t="s">
        <v>127</v>
      </c>
      <c r="B211" s="490">
        <v>902</v>
      </c>
      <c r="C211" s="580" t="s">
        <v>150</v>
      </c>
      <c r="D211" s="580" t="s">
        <v>238</v>
      </c>
      <c r="E211" s="580" t="s">
        <v>924</v>
      </c>
      <c r="F211" s="580" t="s">
        <v>128</v>
      </c>
      <c r="G211" s="497">
        <f>G212</f>
        <v>298.5</v>
      </c>
      <c r="H211" s="497">
        <f>H212</f>
        <v>310.39999999999998</v>
      </c>
      <c r="I211" s="526"/>
      <c r="J211" s="501"/>
    </row>
    <row r="212" spans="1:10" ht="31.5" x14ac:dyDescent="0.25">
      <c r="A212" s="579" t="s">
        <v>129</v>
      </c>
      <c r="B212" s="490">
        <v>902</v>
      </c>
      <c r="C212" s="580" t="s">
        <v>150</v>
      </c>
      <c r="D212" s="580" t="s">
        <v>238</v>
      </c>
      <c r="E212" s="580" t="s">
        <v>924</v>
      </c>
      <c r="F212" s="580" t="s">
        <v>130</v>
      </c>
      <c r="G212" s="712">
        <v>298.5</v>
      </c>
      <c r="H212" s="712">
        <v>310.39999999999998</v>
      </c>
      <c r="I212" s="526"/>
      <c r="J212" s="501"/>
    </row>
    <row r="213" spans="1:10" ht="31.5" x14ac:dyDescent="0.25">
      <c r="A213" s="579" t="s">
        <v>131</v>
      </c>
      <c r="B213" s="490">
        <v>902</v>
      </c>
      <c r="C213" s="580" t="s">
        <v>150</v>
      </c>
      <c r="D213" s="580" t="s">
        <v>238</v>
      </c>
      <c r="E213" s="580" t="s">
        <v>924</v>
      </c>
      <c r="F213" s="580" t="s">
        <v>132</v>
      </c>
      <c r="G213" s="497">
        <f>G214</f>
        <v>30</v>
      </c>
      <c r="H213" s="497">
        <f>H214</f>
        <v>31.3</v>
      </c>
      <c r="I213" s="526"/>
      <c r="J213" s="501"/>
    </row>
    <row r="214" spans="1:10" ht="31.5" x14ac:dyDescent="0.25">
      <c r="A214" s="579" t="s">
        <v>133</v>
      </c>
      <c r="B214" s="490">
        <v>902</v>
      </c>
      <c r="C214" s="580" t="s">
        <v>150</v>
      </c>
      <c r="D214" s="580" t="s">
        <v>238</v>
      </c>
      <c r="E214" s="580" t="s">
        <v>924</v>
      </c>
      <c r="F214" s="580" t="s">
        <v>134</v>
      </c>
      <c r="G214" s="712">
        <v>30</v>
      </c>
      <c r="H214" s="712">
        <v>31.3</v>
      </c>
      <c r="I214" s="526"/>
      <c r="J214" s="501"/>
    </row>
    <row r="215" spans="1:10" ht="33.4" customHeight="1" x14ac:dyDescent="0.25">
      <c r="A215" s="494" t="s">
        <v>1336</v>
      </c>
      <c r="B215" s="491">
        <v>902</v>
      </c>
      <c r="C215" s="495" t="s">
        <v>150</v>
      </c>
      <c r="D215" s="495" t="s">
        <v>238</v>
      </c>
      <c r="E215" s="495" t="s">
        <v>156</v>
      </c>
      <c r="F215" s="495"/>
      <c r="G215" s="493">
        <f t="shared" ref="G215:H218" si="14">G216</f>
        <v>150</v>
      </c>
      <c r="H215" s="493">
        <f t="shared" si="14"/>
        <v>150</v>
      </c>
      <c r="I215" s="526"/>
      <c r="J215" s="501"/>
    </row>
    <row r="216" spans="1:10" ht="31.5" x14ac:dyDescent="0.25">
      <c r="A216" s="494" t="s">
        <v>1064</v>
      </c>
      <c r="B216" s="491">
        <v>902</v>
      </c>
      <c r="C216" s="495" t="s">
        <v>150</v>
      </c>
      <c r="D216" s="495" t="s">
        <v>238</v>
      </c>
      <c r="E216" s="495" t="s">
        <v>1061</v>
      </c>
      <c r="F216" s="495"/>
      <c r="G216" s="493">
        <f t="shared" si="14"/>
        <v>150</v>
      </c>
      <c r="H216" s="493">
        <f t="shared" si="14"/>
        <v>150</v>
      </c>
      <c r="I216" s="526"/>
      <c r="J216" s="501"/>
    </row>
    <row r="217" spans="1:10" ht="31.5" x14ac:dyDescent="0.25">
      <c r="A217" s="579" t="s">
        <v>1065</v>
      </c>
      <c r="B217" s="490">
        <v>902</v>
      </c>
      <c r="C217" s="580" t="s">
        <v>150</v>
      </c>
      <c r="D217" s="580" t="s">
        <v>238</v>
      </c>
      <c r="E217" s="580" t="s">
        <v>1062</v>
      </c>
      <c r="F217" s="580"/>
      <c r="G217" s="497">
        <f t="shared" si="14"/>
        <v>150</v>
      </c>
      <c r="H217" s="497">
        <f t="shared" si="14"/>
        <v>150</v>
      </c>
      <c r="I217" s="526"/>
      <c r="J217" s="501"/>
    </row>
    <row r="218" spans="1:10" ht="15.75" x14ac:dyDescent="0.25">
      <c r="A218" s="579" t="s">
        <v>135</v>
      </c>
      <c r="B218" s="490">
        <v>902</v>
      </c>
      <c r="C218" s="580" t="s">
        <v>150</v>
      </c>
      <c r="D218" s="580" t="s">
        <v>238</v>
      </c>
      <c r="E218" s="580" t="s">
        <v>1062</v>
      </c>
      <c r="F218" s="580" t="s">
        <v>145</v>
      </c>
      <c r="G218" s="497">
        <f t="shared" si="14"/>
        <v>150</v>
      </c>
      <c r="H218" s="497">
        <f t="shared" si="14"/>
        <v>150</v>
      </c>
      <c r="I218" s="526"/>
      <c r="J218" s="501"/>
    </row>
    <row r="219" spans="1:10" ht="47.25" x14ac:dyDescent="0.25">
      <c r="A219" s="579" t="s">
        <v>184</v>
      </c>
      <c r="B219" s="490">
        <v>902</v>
      </c>
      <c r="C219" s="580" t="s">
        <v>150</v>
      </c>
      <c r="D219" s="580" t="s">
        <v>238</v>
      </c>
      <c r="E219" s="580" t="s">
        <v>1062</v>
      </c>
      <c r="F219" s="580" t="s">
        <v>160</v>
      </c>
      <c r="G219" s="497">
        <v>150</v>
      </c>
      <c r="H219" s="497">
        <v>150</v>
      </c>
      <c r="I219" s="526"/>
      <c r="J219" s="501"/>
    </row>
    <row r="220" spans="1:10" ht="16.5" customHeight="1" x14ac:dyDescent="0.25">
      <c r="A220" s="494" t="s">
        <v>243</v>
      </c>
      <c r="B220" s="491">
        <v>902</v>
      </c>
      <c r="C220" s="495" t="s">
        <v>244</v>
      </c>
      <c r="D220" s="495"/>
      <c r="E220" s="495"/>
      <c r="F220" s="495"/>
      <c r="G220" s="493">
        <f>G221+G227+G233</f>
        <v>13617.2</v>
      </c>
      <c r="H220" s="493">
        <f>H221+H227+H233</f>
        <v>13765</v>
      </c>
      <c r="I220" s="526"/>
      <c r="J220" s="501"/>
    </row>
    <row r="221" spans="1:10" ht="15.75" x14ac:dyDescent="0.25">
      <c r="A221" s="494" t="s">
        <v>245</v>
      </c>
      <c r="B221" s="491">
        <v>902</v>
      </c>
      <c r="C221" s="495" t="s">
        <v>244</v>
      </c>
      <c r="D221" s="495" t="s">
        <v>118</v>
      </c>
      <c r="E221" s="495"/>
      <c r="F221" s="495"/>
      <c r="G221" s="493">
        <f t="shared" ref="G221:H225" si="15">G222</f>
        <v>9913.5</v>
      </c>
      <c r="H221" s="493">
        <f t="shared" si="15"/>
        <v>9913.5</v>
      </c>
      <c r="I221" s="526"/>
      <c r="J221" s="501"/>
    </row>
    <row r="222" spans="1:10" ht="15.75" x14ac:dyDescent="0.25">
      <c r="A222" s="494" t="s">
        <v>141</v>
      </c>
      <c r="B222" s="491">
        <v>902</v>
      </c>
      <c r="C222" s="495" t="s">
        <v>244</v>
      </c>
      <c r="D222" s="495" t="s">
        <v>118</v>
      </c>
      <c r="E222" s="495" t="s">
        <v>866</v>
      </c>
      <c r="F222" s="495"/>
      <c r="G222" s="493">
        <f t="shared" si="15"/>
        <v>9913.5</v>
      </c>
      <c r="H222" s="493">
        <f t="shared" si="15"/>
        <v>9913.5</v>
      </c>
      <c r="I222" s="526"/>
      <c r="J222" s="501"/>
    </row>
    <row r="223" spans="1:10" ht="31.5" x14ac:dyDescent="0.25">
      <c r="A223" s="494" t="s">
        <v>870</v>
      </c>
      <c r="B223" s="491">
        <v>902</v>
      </c>
      <c r="C223" s="495" t="s">
        <v>244</v>
      </c>
      <c r="D223" s="495" t="s">
        <v>118</v>
      </c>
      <c r="E223" s="495" t="s">
        <v>865</v>
      </c>
      <c r="F223" s="495"/>
      <c r="G223" s="493">
        <f t="shared" si="15"/>
        <v>9913.5</v>
      </c>
      <c r="H223" s="493">
        <f t="shared" si="15"/>
        <v>9913.5</v>
      </c>
      <c r="I223" s="526"/>
      <c r="J223" s="501"/>
    </row>
    <row r="224" spans="1:10" ht="15.75" x14ac:dyDescent="0.25">
      <c r="A224" s="579" t="s">
        <v>246</v>
      </c>
      <c r="B224" s="490">
        <v>902</v>
      </c>
      <c r="C224" s="580" t="s">
        <v>244</v>
      </c>
      <c r="D224" s="580" t="s">
        <v>118</v>
      </c>
      <c r="E224" s="580" t="s">
        <v>881</v>
      </c>
      <c r="F224" s="580"/>
      <c r="G224" s="497">
        <f t="shared" si="15"/>
        <v>9913.5</v>
      </c>
      <c r="H224" s="497">
        <f t="shared" si="15"/>
        <v>9913.5</v>
      </c>
      <c r="I224" s="526"/>
      <c r="J224" s="501"/>
    </row>
    <row r="225" spans="1:10" ht="15.75" x14ac:dyDescent="0.25">
      <c r="A225" s="579" t="s">
        <v>248</v>
      </c>
      <c r="B225" s="490">
        <v>902</v>
      </c>
      <c r="C225" s="580" t="s">
        <v>244</v>
      </c>
      <c r="D225" s="580" t="s">
        <v>118</v>
      </c>
      <c r="E225" s="580" t="s">
        <v>881</v>
      </c>
      <c r="F225" s="580" t="s">
        <v>249</v>
      </c>
      <c r="G225" s="497">
        <f t="shared" si="15"/>
        <v>9913.5</v>
      </c>
      <c r="H225" s="497">
        <f t="shared" si="15"/>
        <v>9913.5</v>
      </c>
      <c r="I225" s="526"/>
      <c r="J225" s="501"/>
    </row>
    <row r="226" spans="1:10" ht="15.75" x14ac:dyDescent="0.25">
      <c r="A226" s="579" t="s">
        <v>348</v>
      </c>
      <c r="B226" s="490">
        <v>902</v>
      </c>
      <c r="C226" s="580" t="s">
        <v>244</v>
      </c>
      <c r="D226" s="580" t="s">
        <v>118</v>
      </c>
      <c r="E226" s="580" t="s">
        <v>881</v>
      </c>
      <c r="F226" s="580" t="s">
        <v>349</v>
      </c>
      <c r="G226" s="27">
        <v>9913.5</v>
      </c>
      <c r="H226" s="27">
        <v>9913.5</v>
      </c>
      <c r="I226" s="526"/>
      <c r="J226" s="501"/>
    </row>
    <row r="227" spans="1:10" ht="15.75" x14ac:dyDescent="0.25">
      <c r="A227" s="494" t="s">
        <v>252</v>
      </c>
      <c r="B227" s="491">
        <v>902</v>
      </c>
      <c r="C227" s="495" t="s">
        <v>244</v>
      </c>
      <c r="D227" s="495" t="s">
        <v>215</v>
      </c>
      <c r="E227" s="580"/>
      <c r="F227" s="580"/>
      <c r="G227" s="493">
        <f t="shared" ref="G227:H231" si="16">G228</f>
        <v>10</v>
      </c>
      <c r="H227" s="493">
        <f t="shared" si="16"/>
        <v>10</v>
      </c>
      <c r="I227" s="526"/>
      <c r="J227" s="501"/>
    </row>
    <row r="228" spans="1:10" ht="47.25" x14ac:dyDescent="0.25">
      <c r="A228" s="494" t="s">
        <v>1346</v>
      </c>
      <c r="B228" s="491">
        <v>902</v>
      </c>
      <c r="C228" s="495" t="s">
        <v>244</v>
      </c>
      <c r="D228" s="495" t="s">
        <v>215</v>
      </c>
      <c r="E228" s="495" t="s">
        <v>254</v>
      </c>
      <c r="F228" s="495"/>
      <c r="G228" s="493">
        <f t="shared" si="16"/>
        <v>10</v>
      </c>
      <c r="H228" s="493">
        <f t="shared" si="16"/>
        <v>10</v>
      </c>
      <c r="I228" s="526"/>
      <c r="J228" s="501"/>
    </row>
    <row r="229" spans="1:10" ht="31.5" x14ac:dyDescent="0.25">
      <c r="A229" s="34" t="s">
        <v>884</v>
      </c>
      <c r="B229" s="491">
        <v>902</v>
      </c>
      <c r="C229" s="495" t="s">
        <v>244</v>
      </c>
      <c r="D229" s="495" t="s">
        <v>215</v>
      </c>
      <c r="E229" s="495" t="s">
        <v>882</v>
      </c>
      <c r="F229" s="495"/>
      <c r="G229" s="493">
        <f t="shared" si="16"/>
        <v>10</v>
      </c>
      <c r="H229" s="493">
        <f t="shared" si="16"/>
        <v>10</v>
      </c>
      <c r="I229" s="526"/>
      <c r="J229" s="501"/>
    </row>
    <row r="230" spans="1:10" ht="28.5" customHeight="1" x14ac:dyDescent="0.25">
      <c r="A230" s="579" t="s">
        <v>1190</v>
      </c>
      <c r="B230" s="490">
        <v>902</v>
      </c>
      <c r="C230" s="580" t="s">
        <v>244</v>
      </c>
      <c r="D230" s="580" t="s">
        <v>215</v>
      </c>
      <c r="E230" s="580" t="s">
        <v>1188</v>
      </c>
      <c r="F230" s="580"/>
      <c r="G230" s="497">
        <f t="shared" si="16"/>
        <v>10</v>
      </c>
      <c r="H230" s="497">
        <f t="shared" si="16"/>
        <v>10</v>
      </c>
      <c r="I230" s="526"/>
      <c r="J230" s="501"/>
    </row>
    <row r="231" spans="1:10" ht="19.5" customHeight="1" x14ac:dyDescent="0.25">
      <c r="A231" s="579" t="s">
        <v>248</v>
      </c>
      <c r="B231" s="490">
        <v>902</v>
      </c>
      <c r="C231" s="580" t="s">
        <v>244</v>
      </c>
      <c r="D231" s="580" t="s">
        <v>215</v>
      </c>
      <c r="E231" s="580" t="s">
        <v>1188</v>
      </c>
      <c r="F231" s="580" t="s">
        <v>249</v>
      </c>
      <c r="G231" s="497">
        <f t="shared" si="16"/>
        <v>10</v>
      </c>
      <c r="H231" s="497">
        <f t="shared" si="16"/>
        <v>10</v>
      </c>
      <c r="I231" s="526"/>
      <c r="J231" s="501"/>
    </row>
    <row r="232" spans="1:10" ht="31.5" x14ac:dyDescent="0.25">
      <c r="A232" s="579" t="s">
        <v>250</v>
      </c>
      <c r="B232" s="490">
        <v>902</v>
      </c>
      <c r="C232" s="580" t="s">
        <v>244</v>
      </c>
      <c r="D232" s="580" t="s">
        <v>215</v>
      </c>
      <c r="E232" s="580" t="s">
        <v>1188</v>
      </c>
      <c r="F232" s="580" t="s">
        <v>251</v>
      </c>
      <c r="G232" s="497">
        <v>10</v>
      </c>
      <c r="H232" s="497">
        <v>10</v>
      </c>
      <c r="I232" s="526"/>
      <c r="J232" s="501"/>
    </row>
    <row r="233" spans="1:10" ht="15.75" x14ac:dyDescent="0.25">
      <c r="A233" s="494" t="s">
        <v>258</v>
      </c>
      <c r="B233" s="491">
        <v>902</v>
      </c>
      <c r="C233" s="495" t="s">
        <v>244</v>
      </c>
      <c r="D233" s="495" t="s">
        <v>120</v>
      </c>
      <c r="E233" s="495"/>
      <c r="F233" s="495"/>
      <c r="G233" s="493">
        <f t="shared" ref="G233:H235" si="17">G234</f>
        <v>3693.7</v>
      </c>
      <c r="H233" s="493">
        <f t="shared" si="17"/>
        <v>3841.5</v>
      </c>
      <c r="I233" s="526"/>
      <c r="J233" s="501"/>
    </row>
    <row r="234" spans="1:10" ht="31.5" x14ac:dyDescent="0.25">
      <c r="A234" s="494" t="s">
        <v>917</v>
      </c>
      <c r="B234" s="491">
        <v>902</v>
      </c>
      <c r="C234" s="495" t="s">
        <v>244</v>
      </c>
      <c r="D234" s="495" t="s">
        <v>120</v>
      </c>
      <c r="E234" s="495" t="s">
        <v>858</v>
      </c>
      <c r="F234" s="495"/>
      <c r="G234" s="493">
        <f t="shared" si="17"/>
        <v>3693.7</v>
      </c>
      <c r="H234" s="493">
        <f t="shared" si="17"/>
        <v>3841.5</v>
      </c>
      <c r="I234" s="526"/>
      <c r="J234" s="501"/>
    </row>
    <row r="235" spans="1:10" ht="31.5" x14ac:dyDescent="0.25">
      <c r="A235" s="494" t="s">
        <v>885</v>
      </c>
      <c r="B235" s="491">
        <v>902</v>
      </c>
      <c r="C235" s="495" t="s">
        <v>244</v>
      </c>
      <c r="D235" s="495" t="s">
        <v>120</v>
      </c>
      <c r="E235" s="495" t="s">
        <v>863</v>
      </c>
      <c r="F235" s="495"/>
      <c r="G235" s="493">
        <f t="shared" si="17"/>
        <v>3693.7</v>
      </c>
      <c r="H235" s="493">
        <f t="shared" si="17"/>
        <v>3841.5</v>
      </c>
      <c r="I235" s="526"/>
      <c r="J235" s="501"/>
    </row>
    <row r="236" spans="1:10" ht="47.25" customHeight="1" x14ac:dyDescent="0.25">
      <c r="A236" s="31" t="s">
        <v>259</v>
      </c>
      <c r="B236" s="490">
        <v>902</v>
      </c>
      <c r="C236" s="580" t="s">
        <v>244</v>
      </c>
      <c r="D236" s="580" t="s">
        <v>120</v>
      </c>
      <c r="E236" s="580" t="s">
        <v>925</v>
      </c>
      <c r="F236" s="580"/>
      <c r="G236" s="497">
        <f>G237+G239</f>
        <v>3693.7</v>
      </c>
      <c r="H236" s="497">
        <f>H237+H239</f>
        <v>3841.5</v>
      </c>
      <c r="I236" s="526"/>
      <c r="J236" s="501"/>
    </row>
    <row r="237" spans="1:10" ht="63" x14ac:dyDescent="0.25">
      <c r="A237" s="579" t="s">
        <v>127</v>
      </c>
      <c r="B237" s="490">
        <v>902</v>
      </c>
      <c r="C237" s="580" t="s">
        <v>244</v>
      </c>
      <c r="D237" s="580" t="s">
        <v>120</v>
      </c>
      <c r="E237" s="580" t="s">
        <v>925</v>
      </c>
      <c r="F237" s="580" t="s">
        <v>128</v>
      </c>
      <c r="G237" s="497">
        <f>G238</f>
        <v>3411.5</v>
      </c>
      <c r="H237" s="497">
        <f>H238</f>
        <v>3552.3</v>
      </c>
      <c r="I237" s="526"/>
      <c r="J237" s="501"/>
    </row>
    <row r="238" spans="1:10" ht="31.5" x14ac:dyDescent="0.25">
      <c r="A238" s="579" t="s">
        <v>129</v>
      </c>
      <c r="B238" s="490">
        <v>902</v>
      </c>
      <c r="C238" s="580" t="s">
        <v>244</v>
      </c>
      <c r="D238" s="580" t="s">
        <v>120</v>
      </c>
      <c r="E238" s="580" t="s">
        <v>925</v>
      </c>
      <c r="F238" s="580" t="s">
        <v>130</v>
      </c>
      <c r="G238" s="27">
        <v>3411.5</v>
      </c>
      <c r="H238" s="27">
        <v>3552.3</v>
      </c>
      <c r="I238" s="526"/>
      <c r="J238" s="501"/>
    </row>
    <row r="239" spans="1:10" ht="31.5" x14ac:dyDescent="0.25">
      <c r="A239" s="579" t="s">
        <v>131</v>
      </c>
      <c r="B239" s="490">
        <v>902</v>
      </c>
      <c r="C239" s="580" t="s">
        <v>244</v>
      </c>
      <c r="D239" s="580" t="s">
        <v>120</v>
      </c>
      <c r="E239" s="580" t="s">
        <v>925</v>
      </c>
      <c r="F239" s="580" t="s">
        <v>132</v>
      </c>
      <c r="G239" s="497">
        <f>G240</f>
        <v>282.2</v>
      </c>
      <c r="H239" s="497">
        <f>H240</f>
        <v>289.2</v>
      </c>
      <c r="I239" s="526"/>
      <c r="J239" s="501"/>
    </row>
    <row r="240" spans="1:10" ht="31.5" x14ac:dyDescent="0.25">
      <c r="A240" s="579" t="s">
        <v>133</v>
      </c>
      <c r="B240" s="490">
        <v>902</v>
      </c>
      <c r="C240" s="580" t="s">
        <v>244</v>
      </c>
      <c r="D240" s="580" t="s">
        <v>120</v>
      </c>
      <c r="E240" s="580" t="s">
        <v>925</v>
      </c>
      <c r="F240" s="580" t="s">
        <v>134</v>
      </c>
      <c r="G240" s="27">
        <v>282.2</v>
      </c>
      <c r="H240" s="27">
        <v>289.2</v>
      </c>
      <c r="I240" s="526"/>
      <c r="J240" s="501"/>
    </row>
    <row r="241" spans="1:10" ht="48.75" customHeight="1" x14ac:dyDescent="0.25">
      <c r="A241" s="491" t="s">
        <v>261</v>
      </c>
      <c r="B241" s="491">
        <v>903</v>
      </c>
      <c r="C241" s="580"/>
      <c r="D241" s="580"/>
      <c r="E241" s="580"/>
      <c r="F241" s="580"/>
      <c r="G241" s="493">
        <f>G298+G367+G474+G242+G278+G499</f>
        <v>113704.70999999999</v>
      </c>
      <c r="H241" s="493">
        <f>H298+H367+H474+H242+H278+H499</f>
        <v>113673.00999999998</v>
      </c>
      <c r="I241" s="526"/>
      <c r="J241" s="501"/>
    </row>
    <row r="242" spans="1:10" ht="15.75" x14ac:dyDescent="0.25">
      <c r="A242" s="494" t="s">
        <v>117</v>
      </c>
      <c r="B242" s="491">
        <v>903</v>
      </c>
      <c r="C242" s="495" t="s">
        <v>118</v>
      </c>
      <c r="D242" s="580"/>
      <c r="E242" s="580"/>
      <c r="F242" s="580"/>
      <c r="G242" s="493">
        <f>G243</f>
        <v>681.9</v>
      </c>
      <c r="H242" s="493">
        <f>H243</f>
        <v>681.9</v>
      </c>
      <c r="I242" s="526"/>
      <c r="J242" s="501"/>
    </row>
    <row r="243" spans="1:10" ht="15.75" x14ac:dyDescent="0.25">
      <c r="A243" s="494" t="s">
        <v>139</v>
      </c>
      <c r="B243" s="491">
        <v>903</v>
      </c>
      <c r="C243" s="495" t="s">
        <v>118</v>
      </c>
      <c r="D243" s="495" t="s">
        <v>140</v>
      </c>
      <c r="E243" s="580"/>
      <c r="F243" s="580"/>
      <c r="G243" s="493">
        <f>G244+G256+G273</f>
        <v>681.9</v>
      </c>
      <c r="H243" s="493">
        <f>H244+H256+H273</f>
        <v>681.9</v>
      </c>
      <c r="I243" s="526"/>
      <c r="J243" s="501"/>
    </row>
    <row r="244" spans="1:10" ht="47.25" x14ac:dyDescent="0.25">
      <c r="A244" s="494" t="s">
        <v>1347</v>
      </c>
      <c r="B244" s="491">
        <v>903</v>
      </c>
      <c r="C244" s="8" t="s">
        <v>118</v>
      </c>
      <c r="D244" s="8" t="s">
        <v>140</v>
      </c>
      <c r="E244" s="194" t="s">
        <v>344</v>
      </c>
      <c r="F244" s="8"/>
      <c r="G244" s="493">
        <f>G245</f>
        <v>655.9</v>
      </c>
      <c r="H244" s="493">
        <f>H245</f>
        <v>655.9</v>
      </c>
      <c r="I244" s="526"/>
      <c r="J244" s="501"/>
    </row>
    <row r="245" spans="1:10" ht="73.5" customHeight="1" x14ac:dyDescent="0.25">
      <c r="A245" s="572" t="s">
        <v>1348</v>
      </c>
      <c r="B245" s="491">
        <v>903</v>
      </c>
      <c r="C245" s="7" t="s">
        <v>118</v>
      </c>
      <c r="D245" s="7" t="s">
        <v>140</v>
      </c>
      <c r="E245" s="7" t="s">
        <v>359</v>
      </c>
      <c r="F245" s="7"/>
      <c r="G245" s="493">
        <f>G246</f>
        <v>655.9</v>
      </c>
      <c r="H245" s="493">
        <f>H246</f>
        <v>655.9</v>
      </c>
      <c r="I245" s="526"/>
      <c r="J245" s="501"/>
    </row>
    <row r="246" spans="1:10" ht="47.25" x14ac:dyDescent="0.25">
      <c r="A246" s="250" t="s">
        <v>1044</v>
      </c>
      <c r="B246" s="491">
        <v>903</v>
      </c>
      <c r="C246" s="7" t="s">
        <v>118</v>
      </c>
      <c r="D246" s="7" t="s">
        <v>140</v>
      </c>
      <c r="E246" s="7" t="s">
        <v>909</v>
      </c>
      <c r="F246" s="7"/>
      <c r="G246" s="493">
        <f>G247+G250+G253</f>
        <v>655.9</v>
      </c>
      <c r="H246" s="493">
        <f>H247+H250+H253</f>
        <v>655.9</v>
      </c>
      <c r="I246" s="526"/>
      <c r="J246" s="501"/>
    </row>
    <row r="247" spans="1:10" ht="47.25" x14ac:dyDescent="0.25">
      <c r="A247" s="98" t="s">
        <v>1746</v>
      </c>
      <c r="B247" s="490">
        <v>903</v>
      </c>
      <c r="C247" s="573" t="s">
        <v>118</v>
      </c>
      <c r="D247" s="573" t="s">
        <v>140</v>
      </c>
      <c r="E247" s="573" t="s">
        <v>1198</v>
      </c>
      <c r="F247" s="573"/>
      <c r="G247" s="497">
        <f>G248</f>
        <v>447.3</v>
      </c>
      <c r="H247" s="497">
        <f>H248</f>
        <v>447.3</v>
      </c>
      <c r="I247" s="526"/>
      <c r="J247" s="501"/>
    </row>
    <row r="248" spans="1:10" ht="31.5" x14ac:dyDescent="0.25">
      <c r="A248" s="29" t="s">
        <v>131</v>
      </c>
      <c r="B248" s="490">
        <v>903</v>
      </c>
      <c r="C248" s="573" t="s">
        <v>118</v>
      </c>
      <c r="D248" s="573" t="s">
        <v>140</v>
      </c>
      <c r="E248" s="573" t="s">
        <v>1198</v>
      </c>
      <c r="F248" s="573" t="s">
        <v>132</v>
      </c>
      <c r="G248" s="497">
        <f>G249</f>
        <v>447.3</v>
      </c>
      <c r="H248" s="497">
        <f>H249</f>
        <v>447.3</v>
      </c>
      <c r="I248" s="526"/>
      <c r="J248" s="501"/>
    </row>
    <row r="249" spans="1:10" ht="31.5" x14ac:dyDescent="0.25">
      <c r="A249" s="29" t="s">
        <v>133</v>
      </c>
      <c r="B249" s="490">
        <v>903</v>
      </c>
      <c r="C249" s="573" t="s">
        <v>118</v>
      </c>
      <c r="D249" s="573" t="s">
        <v>140</v>
      </c>
      <c r="E249" s="573" t="s">
        <v>1198</v>
      </c>
      <c r="F249" s="573" t="s">
        <v>134</v>
      </c>
      <c r="G249" s="497">
        <f>247.3+200</f>
        <v>447.3</v>
      </c>
      <c r="H249" s="497">
        <f>247.3+200</f>
        <v>447.3</v>
      </c>
      <c r="I249" s="526"/>
      <c r="J249" s="501"/>
    </row>
    <row r="250" spans="1:10" ht="31.5" x14ac:dyDescent="0.25">
      <c r="A250" s="45" t="s">
        <v>1622</v>
      </c>
      <c r="B250" s="490">
        <v>903</v>
      </c>
      <c r="C250" s="573" t="s">
        <v>118</v>
      </c>
      <c r="D250" s="573" t="s">
        <v>140</v>
      </c>
      <c r="E250" s="573" t="s">
        <v>1656</v>
      </c>
      <c r="F250" s="573"/>
      <c r="G250" s="497">
        <f>G251</f>
        <v>208.6</v>
      </c>
      <c r="H250" s="497">
        <f>H251</f>
        <v>208.6</v>
      </c>
      <c r="I250" s="526"/>
      <c r="J250" s="501"/>
    </row>
    <row r="251" spans="1:10" ht="31.5" x14ac:dyDescent="0.25">
      <c r="A251" s="29" t="s">
        <v>131</v>
      </c>
      <c r="B251" s="490">
        <v>903</v>
      </c>
      <c r="C251" s="573" t="s">
        <v>118</v>
      </c>
      <c r="D251" s="573" t="s">
        <v>140</v>
      </c>
      <c r="E251" s="573" t="s">
        <v>1656</v>
      </c>
      <c r="F251" s="573" t="s">
        <v>132</v>
      </c>
      <c r="G251" s="497">
        <f>G252</f>
        <v>208.6</v>
      </c>
      <c r="H251" s="497">
        <f>H252</f>
        <v>208.6</v>
      </c>
      <c r="I251" s="526"/>
      <c r="J251" s="501"/>
    </row>
    <row r="252" spans="1:10" ht="31.5" x14ac:dyDescent="0.25">
      <c r="A252" s="29" t="s">
        <v>133</v>
      </c>
      <c r="B252" s="490">
        <v>903</v>
      </c>
      <c r="C252" s="573" t="s">
        <v>118</v>
      </c>
      <c r="D252" s="573" t="s">
        <v>140</v>
      </c>
      <c r="E252" s="573" t="s">
        <v>1656</v>
      </c>
      <c r="F252" s="573" t="s">
        <v>134</v>
      </c>
      <c r="G252" s="497">
        <f>200+8.6</f>
        <v>208.6</v>
      </c>
      <c r="H252" s="497">
        <f>200+8.6</f>
        <v>208.6</v>
      </c>
      <c r="I252" s="526"/>
      <c r="J252" s="501"/>
    </row>
    <row r="253" spans="1:10" ht="30.6" hidden="1" customHeight="1" x14ac:dyDescent="0.25">
      <c r="A253" s="29" t="s">
        <v>1750</v>
      </c>
      <c r="B253" s="490">
        <v>903</v>
      </c>
      <c r="C253" s="573" t="s">
        <v>118</v>
      </c>
      <c r="D253" s="573" t="s">
        <v>140</v>
      </c>
      <c r="E253" s="9" t="s">
        <v>1751</v>
      </c>
      <c r="F253" s="573"/>
      <c r="G253" s="497">
        <f>G255</f>
        <v>0</v>
      </c>
      <c r="H253" s="497">
        <f>H255</f>
        <v>0</v>
      </c>
      <c r="I253" s="526"/>
      <c r="J253" s="501"/>
    </row>
    <row r="254" spans="1:10" ht="31.5" hidden="1" x14ac:dyDescent="0.25">
      <c r="A254" s="29" t="s">
        <v>131</v>
      </c>
      <c r="B254" s="490">
        <v>903</v>
      </c>
      <c r="C254" s="573" t="s">
        <v>118</v>
      </c>
      <c r="D254" s="573" t="s">
        <v>140</v>
      </c>
      <c r="E254" s="9" t="s">
        <v>1751</v>
      </c>
      <c r="F254" s="573" t="s">
        <v>132</v>
      </c>
      <c r="G254" s="497">
        <f>G255</f>
        <v>0</v>
      </c>
      <c r="H254" s="497">
        <f>H255</f>
        <v>0</v>
      </c>
      <c r="I254" s="526"/>
      <c r="J254" s="501"/>
    </row>
    <row r="255" spans="1:10" ht="31.5" hidden="1" x14ac:dyDescent="0.25">
      <c r="A255" s="29" t="s">
        <v>133</v>
      </c>
      <c r="B255" s="490">
        <v>903</v>
      </c>
      <c r="C255" s="573" t="s">
        <v>118</v>
      </c>
      <c r="D255" s="573" t="s">
        <v>140</v>
      </c>
      <c r="E255" s="9" t="s">
        <v>1751</v>
      </c>
      <c r="F255" s="573" t="s">
        <v>134</v>
      </c>
      <c r="G255" s="497"/>
      <c r="H255" s="497"/>
      <c r="I255" s="526"/>
      <c r="J255" s="501"/>
    </row>
    <row r="256" spans="1:10" ht="31.5" x14ac:dyDescent="0.25">
      <c r="A256" s="494" t="s">
        <v>1349</v>
      </c>
      <c r="B256" s="491">
        <v>903</v>
      </c>
      <c r="C256" s="495" t="s">
        <v>118</v>
      </c>
      <c r="D256" s="495" t="s">
        <v>140</v>
      </c>
      <c r="E256" s="495" t="s">
        <v>335</v>
      </c>
      <c r="F256" s="495"/>
      <c r="G256" s="493">
        <f>G257</f>
        <v>20</v>
      </c>
      <c r="H256" s="493">
        <f>H257</f>
        <v>20</v>
      </c>
      <c r="I256" s="526"/>
      <c r="J256" s="501"/>
    </row>
    <row r="257" spans="1:10" ht="31.5" x14ac:dyDescent="0.25">
      <c r="A257" s="494" t="s">
        <v>1049</v>
      </c>
      <c r="B257" s="491">
        <v>903</v>
      </c>
      <c r="C257" s="495" t="s">
        <v>118</v>
      </c>
      <c r="D257" s="495" t="s">
        <v>140</v>
      </c>
      <c r="E257" s="495" t="s">
        <v>1050</v>
      </c>
      <c r="F257" s="495"/>
      <c r="G257" s="493">
        <f>G258+G261+G264+G267+G270</f>
        <v>20</v>
      </c>
      <c r="H257" s="493">
        <f>H258+H261+H264+H267+H270</f>
        <v>20</v>
      </c>
      <c r="I257" s="526"/>
      <c r="J257" s="501"/>
    </row>
    <row r="258" spans="1:10" ht="31.5" hidden="1" x14ac:dyDescent="0.25">
      <c r="A258" s="97" t="s">
        <v>336</v>
      </c>
      <c r="B258" s="490">
        <v>903</v>
      </c>
      <c r="C258" s="580" t="s">
        <v>118</v>
      </c>
      <c r="D258" s="580" t="s">
        <v>140</v>
      </c>
      <c r="E258" s="580" t="s">
        <v>1051</v>
      </c>
      <c r="F258" s="580"/>
      <c r="G258" s="497">
        <f>G259</f>
        <v>0</v>
      </c>
      <c r="H258" s="497">
        <f>H259</f>
        <v>0</v>
      </c>
      <c r="I258" s="526"/>
      <c r="J258" s="501"/>
    </row>
    <row r="259" spans="1:10" ht="31.5" hidden="1" x14ac:dyDescent="0.25">
      <c r="A259" s="579" t="s">
        <v>131</v>
      </c>
      <c r="B259" s="490">
        <v>903</v>
      </c>
      <c r="C259" s="580" t="s">
        <v>118</v>
      </c>
      <c r="D259" s="580" t="s">
        <v>140</v>
      </c>
      <c r="E259" s="580" t="s">
        <v>1051</v>
      </c>
      <c r="F259" s="580" t="s">
        <v>132</v>
      </c>
      <c r="G259" s="497">
        <f>G260</f>
        <v>0</v>
      </c>
      <c r="H259" s="497">
        <f>H260</f>
        <v>0</v>
      </c>
      <c r="I259" s="526"/>
      <c r="J259" s="501"/>
    </row>
    <row r="260" spans="1:10" ht="31.5" hidden="1" x14ac:dyDescent="0.25">
      <c r="A260" s="579" t="s">
        <v>133</v>
      </c>
      <c r="B260" s="490">
        <v>903</v>
      </c>
      <c r="C260" s="580" t="s">
        <v>118</v>
      </c>
      <c r="D260" s="580" t="s">
        <v>140</v>
      </c>
      <c r="E260" s="580" t="s">
        <v>1051</v>
      </c>
      <c r="F260" s="580" t="s">
        <v>134</v>
      </c>
      <c r="G260" s="497">
        <v>0</v>
      </c>
      <c r="H260" s="497">
        <v>0</v>
      </c>
      <c r="I260" s="526"/>
      <c r="J260" s="501"/>
    </row>
    <row r="261" spans="1:10" ht="15.75" x14ac:dyDescent="0.25">
      <c r="A261" s="579" t="s">
        <v>338</v>
      </c>
      <c r="B261" s="490">
        <v>903</v>
      </c>
      <c r="C261" s="580" t="s">
        <v>118</v>
      </c>
      <c r="D261" s="580" t="s">
        <v>140</v>
      </c>
      <c r="E261" s="580" t="s">
        <v>1052</v>
      </c>
      <c r="F261" s="580"/>
      <c r="G261" s="497">
        <f>G262</f>
        <v>20</v>
      </c>
      <c r="H261" s="497">
        <f>H262</f>
        <v>20</v>
      </c>
      <c r="I261" s="526"/>
      <c r="J261" s="501"/>
    </row>
    <row r="262" spans="1:10" ht="31.5" x14ac:dyDescent="0.25">
      <c r="A262" s="579" t="s">
        <v>131</v>
      </c>
      <c r="B262" s="490">
        <v>903</v>
      </c>
      <c r="C262" s="580" t="s">
        <v>118</v>
      </c>
      <c r="D262" s="580" t="s">
        <v>140</v>
      </c>
      <c r="E262" s="580" t="s">
        <v>1052</v>
      </c>
      <c r="F262" s="580" t="s">
        <v>132</v>
      </c>
      <c r="G262" s="497">
        <f>G263</f>
        <v>20</v>
      </c>
      <c r="H262" s="497">
        <f>H263</f>
        <v>20</v>
      </c>
      <c r="I262" s="526"/>
      <c r="J262" s="501"/>
    </row>
    <row r="263" spans="1:10" ht="31.5" x14ac:dyDescent="0.25">
      <c r="A263" s="579" t="s">
        <v>133</v>
      </c>
      <c r="B263" s="490">
        <v>903</v>
      </c>
      <c r="C263" s="580" t="s">
        <v>118</v>
      </c>
      <c r="D263" s="580" t="s">
        <v>140</v>
      </c>
      <c r="E263" s="580" t="s">
        <v>1052</v>
      </c>
      <c r="F263" s="580" t="s">
        <v>134</v>
      </c>
      <c r="G263" s="497">
        <v>20</v>
      </c>
      <c r="H263" s="497">
        <v>20</v>
      </c>
      <c r="I263" s="526"/>
      <c r="J263" s="501"/>
    </row>
    <row r="264" spans="1:10" ht="36.75" hidden="1" customHeight="1" x14ac:dyDescent="0.25">
      <c r="A264" s="31" t="s">
        <v>771</v>
      </c>
      <c r="B264" s="490">
        <v>903</v>
      </c>
      <c r="C264" s="580" t="s">
        <v>118</v>
      </c>
      <c r="D264" s="580" t="s">
        <v>140</v>
      </c>
      <c r="E264" s="580" t="s">
        <v>1053</v>
      </c>
      <c r="F264" s="580"/>
      <c r="G264" s="497">
        <f>G265</f>
        <v>0</v>
      </c>
      <c r="H264" s="497">
        <f>H265</f>
        <v>0</v>
      </c>
      <c r="I264" s="526"/>
      <c r="J264" s="501"/>
    </row>
    <row r="265" spans="1:10" ht="31.15" hidden="1" customHeight="1" x14ac:dyDescent="0.25">
      <c r="A265" s="579" t="s">
        <v>131</v>
      </c>
      <c r="B265" s="490">
        <v>903</v>
      </c>
      <c r="C265" s="580" t="s">
        <v>118</v>
      </c>
      <c r="D265" s="580" t="s">
        <v>140</v>
      </c>
      <c r="E265" s="580" t="s">
        <v>1053</v>
      </c>
      <c r="F265" s="580" t="s">
        <v>132</v>
      </c>
      <c r="G265" s="497">
        <f>G266</f>
        <v>0</v>
      </c>
      <c r="H265" s="497">
        <f>H266</f>
        <v>0</v>
      </c>
      <c r="I265" s="526"/>
      <c r="J265" s="501"/>
    </row>
    <row r="266" spans="1:10" ht="31.15" hidden="1" customHeight="1" x14ac:dyDescent="0.25">
      <c r="A266" s="579" t="s">
        <v>133</v>
      </c>
      <c r="B266" s="490">
        <v>903</v>
      </c>
      <c r="C266" s="580" t="s">
        <v>118</v>
      </c>
      <c r="D266" s="580" t="s">
        <v>140</v>
      </c>
      <c r="E266" s="580" t="s">
        <v>1053</v>
      </c>
      <c r="F266" s="580" t="s">
        <v>134</v>
      </c>
      <c r="G266" s="497">
        <v>0</v>
      </c>
      <c r="H266" s="497">
        <v>0</v>
      </c>
      <c r="I266" s="526"/>
      <c r="J266" s="501"/>
    </row>
    <row r="267" spans="1:10" ht="15.6" hidden="1" customHeight="1" x14ac:dyDescent="0.25">
      <c r="A267" s="579" t="s">
        <v>994</v>
      </c>
      <c r="B267" s="490">
        <v>903</v>
      </c>
      <c r="C267" s="580" t="s">
        <v>118</v>
      </c>
      <c r="D267" s="580" t="s">
        <v>140</v>
      </c>
      <c r="E267" s="580" t="s">
        <v>1054</v>
      </c>
      <c r="F267" s="580"/>
      <c r="G267" s="497">
        <f>G268</f>
        <v>0</v>
      </c>
      <c r="H267" s="497">
        <f>H268</f>
        <v>0</v>
      </c>
      <c r="I267" s="526"/>
      <c r="J267" s="501"/>
    </row>
    <row r="268" spans="1:10" ht="31.15" hidden="1" customHeight="1" x14ac:dyDescent="0.25">
      <c r="A268" s="579" t="s">
        <v>131</v>
      </c>
      <c r="B268" s="490">
        <v>903</v>
      </c>
      <c r="C268" s="580" t="s">
        <v>118</v>
      </c>
      <c r="D268" s="580" t="s">
        <v>140</v>
      </c>
      <c r="E268" s="580" t="s">
        <v>1054</v>
      </c>
      <c r="F268" s="580" t="s">
        <v>132</v>
      </c>
      <c r="G268" s="497">
        <f>G269</f>
        <v>0</v>
      </c>
      <c r="H268" s="497">
        <f>H269</f>
        <v>0</v>
      </c>
      <c r="I268" s="526"/>
      <c r="J268" s="501"/>
    </row>
    <row r="269" spans="1:10" ht="31.15" hidden="1" customHeight="1" x14ac:dyDescent="0.25">
      <c r="A269" s="579" t="s">
        <v>133</v>
      </c>
      <c r="B269" s="490">
        <v>903</v>
      </c>
      <c r="C269" s="580" t="s">
        <v>118</v>
      </c>
      <c r="D269" s="580" t="s">
        <v>140</v>
      </c>
      <c r="E269" s="580" t="s">
        <v>1054</v>
      </c>
      <c r="F269" s="580" t="s">
        <v>134</v>
      </c>
      <c r="G269" s="497">
        <v>0</v>
      </c>
      <c r="H269" s="497">
        <v>0</v>
      </c>
      <c r="I269" s="526"/>
      <c r="J269" s="501"/>
    </row>
    <row r="270" spans="1:10" ht="40.700000000000003" hidden="1" customHeight="1" x14ac:dyDescent="0.25">
      <c r="A270" s="31" t="s">
        <v>772</v>
      </c>
      <c r="B270" s="490">
        <v>903</v>
      </c>
      <c r="C270" s="580" t="s">
        <v>118</v>
      </c>
      <c r="D270" s="580" t="s">
        <v>140</v>
      </c>
      <c r="E270" s="580" t="s">
        <v>1055</v>
      </c>
      <c r="F270" s="580"/>
      <c r="G270" s="497">
        <f>G271</f>
        <v>0</v>
      </c>
      <c r="H270" s="497">
        <f>H271</f>
        <v>0</v>
      </c>
      <c r="I270" s="526"/>
      <c r="J270" s="501"/>
    </row>
    <row r="271" spans="1:10" ht="31.15" hidden="1" customHeight="1" x14ac:dyDescent="0.25">
      <c r="A271" s="579" t="s">
        <v>131</v>
      </c>
      <c r="B271" s="490">
        <v>903</v>
      </c>
      <c r="C271" s="580" t="s">
        <v>118</v>
      </c>
      <c r="D271" s="580" t="s">
        <v>140</v>
      </c>
      <c r="E271" s="580" t="s">
        <v>1055</v>
      </c>
      <c r="F271" s="580" t="s">
        <v>132</v>
      </c>
      <c r="G271" s="497">
        <f>G272</f>
        <v>0</v>
      </c>
      <c r="H271" s="497">
        <f>H272</f>
        <v>0</v>
      </c>
      <c r="I271" s="526"/>
      <c r="J271" s="501"/>
    </row>
    <row r="272" spans="1:10" ht="31.15" hidden="1" customHeight="1" x14ac:dyDescent="0.25">
      <c r="A272" s="579" t="s">
        <v>133</v>
      </c>
      <c r="B272" s="490">
        <v>903</v>
      </c>
      <c r="C272" s="580" t="s">
        <v>118</v>
      </c>
      <c r="D272" s="580" t="s">
        <v>140</v>
      </c>
      <c r="E272" s="580" t="s">
        <v>1055</v>
      </c>
      <c r="F272" s="580" t="s">
        <v>134</v>
      </c>
      <c r="G272" s="497">
        <v>0</v>
      </c>
      <c r="H272" s="497">
        <v>0</v>
      </c>
      <c r="I272" s="526"/>
      <c r="J272" s="501"/>
    </row>
    <row r="273" spans="1:10" ht="47.25" x14ac:dyDescent="0.25">
      <c r="A273" s="572" t="s">
        <v>1350</v>
      </c>
      <c r="B273" s="491">
        <v>903</v>
      </c>
      <c r="C273" s="495" t="s">
        <v>118</v>
      </c>
      <c r="D273" s="495" t="s">
        <v>140</v>
      </c>
      <c r="E273" s="495" t="s">
        <v>705</v>
      </c>
      <c r="F273" s="495"/>
      <c r="G273" s="493">
        <f>G275</f>
        <v>6</v>
      </c>
      <c r="H273" s="493">
        <f>H275</f>
        <v>6</v>
      </c>
      <c r="I273" s="526"/>
      <c r="J273" s="501"/>
    </row>
    <row r="274" spans="1:10" ht="44.45" customHeight="1" x14ac:dyDescent="0.25">
      <c r="A274" s="571" t="s">
        <v>846</v>
      </c>
      <c r="B274" s="491">
        <v>903</v>
      </c>
      <c r="C274" s="495" t="s">
        <v>118</v>
      </c>
      <c r="D274" s="495" t="s">
        <v>140</v>
      </c>
      <c r="E274" s="495" t="s">
        <v>852</v>
      </c>
      <c r="F274" s="495"/>
      <c r="G274" s="493">
        <f t="shared" ref="G274:H276" si="18">G275</f>
        <v>6</v>
      </c>
      <c r="H274" s="493">
        <f t="shared" si="18"/>
        <v>6</v>
      </c>
      <c r="I274" s="526"/>
      <c r="J274" s="501"/>
    </row>
    <row r="275" spans="1:10" ht="31.5" x14ac:dyDescent="0.25">
      <c r="A275" s="98" t="s">
        <v>776</v>
      </c>
      <c r="B275" s="490">
        <v>903</v>
      </c>
      <c r="C275" s="580" t="s">
        <v>118</v>
      </c>
      <c r="D275" s="580" t="s">
        <v>140</v>
      </c>
      <c r="E275" s="580" t="s">
        <v>847</v>
      </c>
      <c r="F275" s="580"/>
      <c r="G275" s="497">
        <f t="shared" si="18"/>
        <v>6</v>
      </c>
      <c r="H275" s="497">
        <f t="shared" si="18"/>
        <v>6</v>
      </c>
      <c r="I275" s="526"/>
      <c r="J275" s="501"/>
    </row>
    <row r="276" spans="1:10" ht="31.5" x14ac:dyDescent="0.25">
      <c r="A276" s="579" t="s">
        <v>131</v>
      </c>
      <c r="B276" s="490">
        <v>903</v>
      </c>
      <c r="C276" s="580" t="s">
        <v>118</v>
      </c>
      <c r="D276" s="580" t="s">
        <v>140</v>
      </c>
      <c r="E276" s="580" t="s">
        <v>847</v>
      </c>
      <c r="F276" s="580" t="s">
        <v>132</v>
      </c>
      <c r="G276" s="497">
        <f t="shared" si="18"/>
        <v>6</v>
      </c>
      <c r="H276" s="497">
        <f t="shared" si="18"/>
        <v>6</v>
      </c>
      <c r="I276" s="526"/>
      <c r="J276" s="501"/>
    </row>
    <row r="277" spans="1:10" ht="31.5" x14ac:dyDescent="0.25">
      <c r="A277" s="579" t="s">
        <v>133</v>
      </c>
      <c r="B277" s="490">
        <v>903</v>
      </c>
      <c r="C277" s="580" t="s">
        <v>118</v>
      </c>
      <c r="D277" s="580" t="s">
        <v>140</v>
      </c>
      <c r="E277" s="580" t="s">
        <v>847</v>
      </c>
      <c r="F277" s="580" t="s">
        <v>134</v>
      </c>
      <c r="G277" s="497">
        <v>6</v>
      </c>
      <c r="H277" s="497">
        <v>6</v>
      </c>
      <c r="I277" s="526"/>
      <c r="J277" s="501"/>
    </row>
    <row r="278" spans="1:10" ht="21.2" customHeight="1" x14ac:dyDescent="0.25">
      <c r="A278" s="217" t="s">
        <v>232</v>
      </c>
      <c r="B278" s="491">
        <v>903</v>
      </c>
      <c r="C278" s="495" t="s">
        <v>150</v>
      </c>
      <c r="D278" s="580"/>
      <c r="E278" s="580"/>
      <c r="F278" s="498"/>
      <c r="G278" s="493">
        <f t="shared" ref="G278:H280" si="19">G279</f>
        <v>210</v>
      </c>
      <c r="H278" s="493">
        <f t="shared" si="19"/>
        <v>210</v>
      </c>
      <c r="I278" s="526"/>
      <c r="J278" s="501"/>
    </row>
    <row r="279" spans="1:10" ht="21.2" customHeight="1" x14ac:dyDescent="0.25">
      <c r="A279" s="494" t="s">
        <v>237</v>
      </c>
      <c r="B279" s="491">
        <v>903</v>
      </c>
      <c r="C279" s="495" t="s">
        <v>150</v>
      </c>
      <c r="D279" s="495" t="s">
        <v>238</v>
      </c>
      <c r="E279" s="580"/>
      <c r="F279" s="498"/>
      <c r="G279" s="493">
        <f t="shared" si="19"/>
        <v>210</v>
      </c>
      <c r="H279" s="493">
        <f t="shared" si="19"/>
        <v>210</v>
      </c>
      <c r="I279" s="526"/>
      <c r="J279" s="501"/>
    </row>
    <row r="280" spans="1:10" ht="54" customHeight="1" x14ac:dyDescent="0.25">
      <c r="A280" s="494" t="s">
        <v>1347</v>
      </c>
      <c r="B280" s="491">
        <v>903</v>
      </c>
      <c r="C280" s="495" t="s">
        <v>150</v>
      </c>
      <c r="D280" s="495" t="s">
        <v>238</v>
      </c>
      <c r="E280" s="495" t="s">
        <v>344</v>
      </c>
      <c r="F280" s="504"/>
      <c r="G280" s="493">
        <f t="shared" si="19"/>
        <v>210</v>
      </c>
      <c r="H280" s="493">
        <f t="shared" si="19"/>
        <v>210</v>
      </c>
      <c r="I280" s="526"/>
      <c r="J280" s="501"/>
    </row>
    <row r="281" spans="1:10" ht="53.45" customHeight="1" x14ac:dyDescent="0.25">
      <c r="A281" s="494" t="s">
        <v>367</v>
      </c>
      <c r="B281" s="491">
        <v>903</v>
      </c>
      <c r="C281" s="495" t="s">
        <v>150</v>
      </c>
      <c r="D281" s="495" t="s">
        <v>238</v>
      </c>
      <c r="E281" s="495" t="s">
        <v>356</v>
      </c>
      <c r="F281" s="495"/>
      <c r="G281" s="493">
        <f>G282+G286+G290+G294</f>
        <v>210</v>
      </c>
      <c r="H281" s="493">
        <f>H282+H286+H290+H294</f>
        <v>210</v>
      </c>
      <c r="I281" s="526"/>
      <c r="J281" s="501"/>
    </row>
    <row r="282" spans="1:10" ht="33" hidden="1" customHeight="1" x14ac:dyDescent="0.25">
      <c r="A282" s="215" t="s">
        <v>1042</v>
      </c>
      <c r="B282" s="491">
        <v>903</v>
      </c>
      <c r="C282" s="495" t="s">
        <v>150</v>
      </c>
      <c r="D282" s="495" t="s">
        <v>238</v>
      </c>
      <c r="E282" s="495" t="s">
        <v>907</v>
      </c>
      <c r="F282" s="495"/>
      <c r="G282" s="493">
        <f t="shared" ref="G282:H284" si="20">G283</f>
        <v>0</v>
      </c>
      <c r="H282" s="493">
        <f t="shared" si="20"/>
        <v>0</v>
      </c>
      <c r="I282" s="526"/>
      <c r="J282" s="501"/>
    </row>
    <row r="283" spans="1:10" ht="47.25" hidden="1" customHeight="1" x14ac:dyDescent="0.25">
      <c r="A283" s="579" t="s">
        <v>1093</v>
      </c>
      <c r="B283" s="490">
        <v>903</v>
      </c>
      <c r="C283" s="580" t="s">
        <v>150</v>
      </c>
      <c r="D283" s="580" t="s">
        <v>238</v>
      </c>
      <c r="E283" s="580" t="s">
        <v>1316</v>
      </c>
      <c r="F283" s="580"/>
      <c r="G283" s="497">
        <f t="shared" si="20"/>
        <v>0</v>
      </c>
      <c r="H283" s="497">
        <f t="shared" si="20"/>
        <v>0</v>
      </c>
      <c r="I283" s="526"/>
      <c r="J283" s="501"/>
    </row>
    <row r="284" spans="1:10" ht="21.2" hidden="1" customHeight="1" x14ac:dyDescent="0.25">
      <c r="A284" s="579" t="s">
        <v>248</v>
      </c>
      <c r="B284" s="490">
        <v>903</v>
      </c>
      <c r="C284" s="580" t="s">
        <v>150</v>
      </c>
      <c r="D284" s="580" t="s">
        <v>238</v>
      </c>
      <c r="E284" s="580" t="s">
        <v>1316</v>
      </c>
      <c r="F284" s="580" t="s">
        <v>249</v>
      </c>
      <c r="G284" s="497">
        <f t="shared" si="20"/>
        <v>0</v>
      </c>
      <c r="H284" s="497">
        <f t="shared" si="20"/>
        <v>0</v>
      </c>
      <c r="I284" s="526"/>
      <c r="J284" s="501"/>
    </row>
    <row r="285" spans="1:10" ht="29.25" hidden="1" customHeight="1" x14ac:dyDescent="0.25">
      <c r="A285" s="579" t="s">
        <v>250</v>
      </c>
      <c r="B285" s="490">
        <v>903</v>
      </c>
      <c r="C285" s="580" t="s">
        <v>150</v>
      </c>
      <c r="D285" s="580" t="s">
        <v>238</v>
      </c>
      <c r="E285" s="580" t="s">
        <v>1316</v>
      </c>
      <c r="F285" s="580" t="s">
        <v>251</v>
      </c>
      <c r="G285" s="497">
        <v>0</v>
      </c>
      <c r="H285" s="497">
        <v>0</v>
      </c>
      <c r="I285" s="526"/>
      <c r="J285" s="501"/>
    </row>
    <row r="286" spans="1:10" ht="33" customHeight="1" x14ac:dyDescent="0.25">
      <c r="A286" s="494" t="s">
        <v>1041</v>
      </c>
      <c r="B286" s="491">
        <v>903</v>
      </c>
      <c r="C286" s="495" t="s">
        <v>150</v>
      </c>
      <c r="D286" s="495" t="s">
        <v>238</v>
      </c>
      <c r="E286" s="495" t="s">
        <v>1199</v>
      </c>
      <c r="F286" s="495"/>
      <c r="G286" s="493">
        <f t="shared" ref="G286:H288" si="21">G287</f>
        <v>210</v>
      </c>
      <c r="H286" s="493">
        <f t="shared" si="21"/>
        <v>210</v>
      </c>
      <c r="I286" s="526"/>
      <c r="J286" s="501"/>
    </row>
    <row r="287" spans="1:10" ht="94.5" x14ac:dyDescent="0.25">
      <c r="A287" s="579" t="s">
        <v>373</v>
      </c>
      <c r="B287" s="490">
        <v>903</v>
      </c>
      <c r="C287" s="580" t="s">
        <v>150</v>
      </c>
      <c r="D287" s="580" t="s">
        <v>238</v>
      </c>
      <c r="E287" s="580" t="s">
        <v>1200</v>
      </c>
      <c r="F287" s="580"/>
      <c r="G287" s="497">
        <f t="shared" si="21"/>
        <v>210</v>
      </c>
      <c r="H287" s="497">
        <f t="shared" si="21"/>
        <v>210</v>
      </c>
      <c r="I287" s="526"/>
      <c r="J287" s="501"/>
    </row>
    <row r="288" spans="1:10" ht="31.5" x14ac:dyDescent="0.25">
      <c r="A288" s="579" t="s">
        <v>272</v>
      </c>
      <c r="B288" s="490">
        <v>903</v>
      </c>
      <c r="C288" s="580" t="s">
        <v>150</v>
      </c>
      <c r="D288" s="580" t="s">
        <v>238</v>
      </c>
      <c r="E288" s="580" t="s">
        <v>1200</v>
      </c>
      <c r="F288" s="580" t="s">
        <v>273</v>
      </c>
      <c r="G288" s="497">
        <f t="shared" si="21"/>
        <v>210</v>
      </c>
      <c r="H288" s="497">
        <f t="shared" si="21"/>
        <v>210</v>
      </c>
      <c r="I288" s="526"/>
      <c r="J288" s="501"/>
    </row>
    <row r="289" spans="1:10" ht="63" x14ac:dyDescent="0.25">
      <c r="A289" s="579" t="s">
        <v>1089</v>
      </c>
      <c r="B289" s="490">
        <v>903</v>
      </c>
      <c r="C289" s="580" t="s">
        <v>150</v>
      </c>
      <c r="D289" s="580" t="s">
        <v>238</v>
      </c>
      <c r="E289" s="580" t="s">
        <v>1200</v>
      </c>
      <c r="F289" s="580" t="s">
        <v>372</v>
      </c>
      <c r="G289" s="497">
        <v>210</v>
      </c>
      <c r="H289" s="497">
        <v>210</v>
      </c>
      <c r="I289" s="526"/>
      <c r="J289" s="501"/>
    </row>
    <row r="290" spans="1:10" ht="21.2" hidden="1" customHeight="1" x14ac:dyDescent="0.25">
      <c r="A290" s="494" t="s">
        <v>995</v>
      </c>
      <c r="B290" s="491">
        <v>903</v>
      </c>
      <c r="C290" s="495" t="s">
        <v>150</v>
      </c>
      <c r="D290" s="495" t="s">
        <v>238</v>
      </c>
      <c r="E290" s="495" t="s">
        <v>1309</v>
      </c>
      <c r="F290" s="495"/>
      <c r="G290" s="493">
        <f t="shared" ref="G290:H292" si="22">G291</f>
        <v>0</v>
      </c>
      <c r="H290" s="493">
        <f t="shared" si="22"/>
        <v>0</v>
      </c>
      <c r="I290" s="526"/>
      <c r="J290" s="501"/>
    </row>
    <row r="291" spans="1:10" ht="41.25" hidden="1" customHeight="1" x14ac:dyDescent="0.25">
      <c r="A291" s="579" t="s">
        <v>377</v>
      </c>
      <c r="B291" s="490">
        <v>903</v>
      </c>
      <c r="C291" s="580" t="s">
        <v>150</v>
      </c>
      <c r="D291" s="580" t="s">
        <v>238</v>
      </c>
      <c r="E291" s="580" t="s">
        <v>1310</v>
      </c>
      <c r="F291" s="580"/>
      <c r="G291" s="497">
        <f t="shared" si="22"/>
        <v>0</v>
      </c>
      <c r="H291" s="497">
        <f t="shared" si="22"/>
        <v>0</v>
      </c>
      <c r="I291" s="526"/>
      <c r="J291" s="501"/>
    </row>
    <row r="292" spans="1:10" ht="29.25" hidden="1" customHeight="1" x14ac:dyDescent="0.25">
      <c r="A292" s="579" t="s">
        <v>131</v>
      </c>
      <c r="B292" s="490">
        <v>903</v>
      </c>
      <c r="C292" s="580" t="s">
        <v>150</v>
      </c>
      <c r="D292" s="580" t="s">
        <v>238</v>
      </c>
      <c r="E292" s="580" t="s">
        <v>1310</v>
      </c>
      <c r="F292" s="580" t="s">
        <v>132</v>
      </c>
      <c r="G292" s="497">
        <f t="shared" si="22"/>
        <v>0</v>
      </c>
      <c r="H292" s="497">
        <f t="shared" si="22"/>
        <v>0</v>
      </c>
      <c r="I292" s="526"/>
      <c r="J292" s="501"/>
    </row>
    <row r="293" spans="1:10" ht="29.25" hidden="1" customHeight="1" x14ac:dyDescent="0.25">
      <c r="A293" s="579" t="s">
        <v>133</v>
      </c>
      <c r="B293" s="490">
        <v>903</v>
      </c>
      <c r="C293" s="580" t="s">
        <v>150</v>
      </c>
      <c r="D293" s="580" t="s">
        <v>238</v>
      </c>
      <c r="E293" s="580" t="s">
        <v>1310</v>
      </c>
      <c r="F293" s="580" t="s">
        <v>134</v>
      </c>
      <c r="G293" s="497">
        <v>0</v>
      </c>
      <c r="H293" s="497">
        <v>0</v>
      </c>
      <c r="I293" s="526"/>
      <c r="J293" s="501"/>
    </row>
    <row r="294" spans="1:10" ht="33.75" hidden="1" customHeight="1" x14ac:dyDescent="0.25">
      <c r="A294" s="503" t="s">
        <v>1102</v>
      </c>
      <c r="B294" s="491">
        <v>903</v>
      </c>
      <c r="C294" s="495" t="s">
        <v>150</v>
      </c>
      <c r="D294" s="495" t="s">
        <v>238</v>
      </c>
      <c r="E294" s="495" t="s">
        <v>1201</v>
      </c>
      <c r="F294" s="495"/>
      <c r="G294" s="493">
        <f t="shared" ref="G294:H296" si="23">G295</f>
        <v>0</v>
      </c>
      <c r="H294" s="493">
        <f t="shared" si="23"/>
        <v>0</v>
      </c>
      <c r="I294" s="526"/>
      <c r="J294" s="501"/>
    </row>
    <row r="295" spans="1:10" ht="29.25" hidden="1" customHeight="1" x14ac:dyDescent="0.25">
      <c r="A295" s="231" t="s">
        <v>1148</v>
      </c>
      <c r="B295" s="490">
        <v>903</v>
      </c>
      <c r="C295" s="580" t="s">
        <v>150</v>
      </c>
      <c r="D295" s="580" t="s">
        <v>238</v>
      </c>
      <c r="E295" s="580" t="s">
        <v>1202</v>
      </c>
      <c r="F295" s="580"/>
      <c r="G295" s="497">
        <f t="shared" si="23"/>
        <v>0</v>
      </c>
      <c r="H295" s="497">
        <f t="shared" si="23"/>
        <v>0</v>
      </c>
      <c r="I295" s="526"/>
      <c r="J295" s="501"/>
    </row>
    <row r="296" spans="1:10" ht="29.25" hidden="1" customHeight="1" x14ac:dyDescent="0.25">
      <c r="A296" s="579" t="s">
        <v>131</v>
      </c>
      <c r="B296" s="490">
        <v>903</v>
      </c>
      <c r="C296" s="580" t="s">
        <v>150</v>
      </c>
      <c r="D296" s="580" t="s">
        <v>238</v>
      </c>
      <c r="E296" s="580" t="s">
        <v>1202</v>
      </c>
      <c r="F296" s="580" t="s">
        <v>132</v>
      </c>
      <c r="G296" s="497">
        <f t="shared" si="23"/>
        <v>0</v>
      </c>
      <c r="H296" s="497">
        <f t="shared" si="23"/>
        <v>0</v>
      </c>
      <c r="I296" s="526"/>
      <c r="J296" s="501"/>
    </row>
    <row r="297" spans="1:10" ht="29.25" hidden="1" customHeight="1" x14ac:dyDescent="0.25">
      <c r="A297" s="579" t="s">
        <v>133</v>
      </c>
      <c r="B297" s="490">
        <v>903</v>
      </c>
      <c r="C297" s="580" t="s">
        <v>150</v>
      </c>
      <c r="D297" s="580" t="s">
        <v>238</v>
      </c>
      <c r="E297" s="580" t="s">
        <v>1202</v>
      </c>
      <c r="F297" s="580" t="s">
        <v>134</v>
      </c>
      <c r="G297" s="497">
        <v>0</v>
      </c>
      <c r="H297" s="497">
        <v>0</v>
      </c>
      <c r="I297" s="526"/>
      <c r="J297" s="501"/>
    </row>
    <row r="298" spans="1:10" ht="15.75" x14ac:dyDescent="0.25">
      <c r="A298" s="494" t="s">
        <v>263</v>
      </c>
      <c r="B298" s="491">
        <v>903</v>
      </c>
      <c r="C298" s="495" t="s">
        <v>264</v>
      </c>
      <c r="D298" s="580"/>
      <c r="E298" s="580"/>
      <c r="F298" s="580"/>
      <c r="G298" s="493">
        <f>G299+G342+G362</f>
        <v>22677.16</v>
      </c>
      <c r="H298" s="493">
        <f>H299+H342+H362</f>
        <v>22677.16</v>
      </c>
      <c r="I298" s="526"/>
      <c r="J298" s="501"/>
    </row>
    <row r="299" spans="1:10" ht="15.75" x14ac:dyDescent="0.25">
      <c r="A299" s="494" t="s">
        <v>265</v>
      </c>
      <c r="B299" s="491">
        <v>903</v>
      </c>
      <c r="C299" s="495" t="s">
        <v>264</v>
      </c>
      <c r="D299" s="495" t="s">
        <v>215</v>
      </c>
      <c r="E299" s="495"/>
      <c r="F299" s="495"/>
      <c r="G299" s="493">
        <f>G300+G337+G332</f>
        <v>21917.06</v>
      </c>
      <c r="H299" s="493">
        <f>H300+H337+H332</f>
        <v>21917.06</v>
      </c>
      <c r="I299" s="526"/>
      <c r="J299" s="501"/>
    </row>
    <row r="300" spans="1:10" ht="31.5" x14ac:dyDescent="0.25">
      <c r="A300" s="494" t="s">
        <v>1351</v>
      </c>
      <c r="B300" s="491">
        <v>903</v>
      </c>
      <c r="C300" s="495" t="s">
        <v>264</v>
      </c>
      <c r="D300" s="495" t="s">
        <v>215</v>
      </c>
      <c r="E300" s="495" t="s">
        <v>267</v>
      </c>
      <c r="F300" s="495"/>
      <c r="G300" s="493">
        <f>G301+G312+G321+G325</f>
        <v>21420.16</v>
      </c>
      <c r="H300" s="493">
        <f>H301+H312+H321+H325</f>
        <v>21420.16</v>
      </c>
      <c r="I300" s="526"/>
      <c r="J300" s="501"/>
    </row>
    <row r="301" spans="1:10" ht="31.5" x14ac:dyDescent="0.25">
      <c r="A301" s="494" t="s">
        <v>1299</v>
      </c>
      <c r="B301" s="491">
        <v>903</v>
      </c>
      <c r="C301" s="495" t="s">
        <v>264</v>
      </c>
      <c r="D301" s="495" t="s">
        <v>215</v>
      </c>
      <c r="E301" s="495" t="s">
        <v>1203</v>
      </c>
      <c r="F301" s="495"/>
      <c r="G301" s="44">
        <f>G302+G309</f>
        <v>19489.759999999998</v>
      </c>
      <c r="H301" s="44">
        <f>H302+H309</f>
        <v>19489.759999999998</v>
      </c>
      <c r="I301" s="526"/>
      <c r="J301" s="501"/>
    </row>
    <row r="302" spans="1:10" ht="15.75" x14ac:dyDescent="0.25">
      <c r="A302" s="579" t="s">
        <v>800</v>
      </c>
      <c r="B302" s="490">
        <v>903</v>
      </c>
      <c r="C302" s="580" t="s">
        <v>264</v>
      </c>
      <c r="D302" s="580" t="s">
        <v>215</v>
      </c>
      <c r="E302" s="580" t="s">
        <v>1204</v>
      </c>
      <c r="F302" s="580"/>
      <c r="G302" s="27">
        <f>G303+G305+G307</f>
        <v>19489.759999999998</v>
      </c>
      <c r="H302" s="27">
        <f>H303+H305+H307</f>
        <v>19489.759999999998</v>
      </c>
      <c r="I302" s="526"/>
      <c r="J302" s="501"/>
    </row>
    <row r="303" spans="1:10" ht="63" x14ac:dyDescent="0.25">
      <c r="A303" s="579" t="s">
        <v>127</v>
      </c>
      <c r="B303" s="490">
        <v>903</v>
      </c>
      <c r="C303" s="580" t="s">
        <v>264</v>
      </c>
      <c r="D303" s="580" t="s">
        <v>215</v>
      </c>
      <c r="E303" s="580" t="s">
        <v>1204</v>
      </c>
      <c r="F303" s="580" t="s">
        <v>128</v>
      </c>
      <c r="G303" s="27">
        <f>G304</f>
        <v>17442.599999999999</v>
      </c>
      <c r="H303" s="27">
        <f>H304</f>
        <v>17442.599999999999</v>
      </c>
      <c r="I303" s="526"/>
      <c r="J303" s="501"/>
    </row>
    <row r="304" spans="1:10" ht="15.75" x14ac:dyDescent="0.25">
      <c r="A304" s="46" t="s">
        <v>342</v>
      </c>
      <c r="B304" s="490">
        <v>903</v>
      </c>
      <c r="C304" s="580" t="s">
        <v>264</v>
      </c>
      <c r="D304" s="580" t="s">
        <v>215</v>
      </c>
      <c r="E304" s="580" t="s">
        <v>1204</v>
      </c>
      <c r="F304" s="580" t="s">
        <v>209</v>
      </c>
      <c r="G304" s="27">
        <v>17442.599999999999</v>
      </c>
      <c r="H304" s="27">
        <f>G304</f>
        <v>17442.599999999999</v>
      </c>
      <c r="I304" s="526"/>
      <c r="J304" s="501"/>
    </row>
    <row r="305" spans="1:10" ht="31.5" x14ac:dyDescent="0.25">
      <c r="A305" s="579" t="s">
        <v>131</v>
      </c>
      <c r="B305" s="490">
        <v>903</v>
      </c>
      <c r="C305" s="580" t="s">
        <v>264</v>
      </c>
      <c r="D305" s="580" t="s">
        <v>215</v>
      </c>
      <c r="E305" s="580" t="s">
        <v>1204</v>
      </c>
      <c r="F305" s="580" t="s">
        <v>132</v>
      </c>
      <c r="G305" s="27">
        <f>G306</f>
        <v>1974.16</v>
      </c>
      <c r="H305" s="27">
        <f>H306</f>
        <v>1974.16</v>
      </c>
      <c r="I305" s="526"/>
      <c r="J305" s="501"/>
    </row>
    <row r="306" spans="1:10" ht="31.5" x14ac:dyDescent="0.25">
      <c r="A306" s="579" t="s">
        <v>133</v>
      </c>
      <c r="B306" s="490">
        <v>903</v>
      </c>
      <c r="C306" s="580" t="s">
        <v>264</v>
      </c>
      <c r="D306" s="580" t="s">
        <v>215</v>
      </c>
      <c r="E306" s="580" t="s">
        <v>1204</v>
      </c>
      <c r="F306" s="580" t="s">
        <v>134</v>
      </c>
      <c r="G306" s="27">
        <v>1974.16</v>
      </c>
      <c r="H306" s="27">
        <v>1974.16</v>
      </c>
      <c r="I306" s="526"/>
      <c r="J306" s="501"/>
    </row>
    <row r="307" spans="1:10" ht="15.75" x14ac:dyDescent="0.25">
      <c r="A307" s="579" t="s">
        <v>135</v>
      </c>
      <c r="B307" s="490">
        <v>903</v>
      </c>
      <c r="C307" s="580" t="s">
        <v>264</v>
      </c>
      <c r="D307" s="580" t="s">
        <v>215</v>
      </c>
      <c r="E307" s="580" t="s">
        <v>1204</v>
      </c>
      <c r="F307" s="580" t="s">
        <v>145</v>
      </c>
      <c r="G307" s="27">
        <f>G308</f>
        <v>73</v>
      </c>
      <c r="H307" s="27">
        <f>H308</f>
        <v>73</v>
      </c>
      <c r="I307" s="526"/>
      <c r="J307" s="501"/>
    </row>
    <row r="308" spans="1:10" ht="15.75" x14ac:dyDescent="0.25">
      <c r="A308" s="579" t="s">
        <v>704</v>
      </c>
      <c r="B308" s="490">
        <v>903</v>
      </c>
      <c r="C308" s="580" t="s">
        <v>264</v>
      </c>
      <c r="D308" s="580" t="s">
        <v>215</v>
      </c>
      <c r="E308" s="580" t="s">
        <v>1204</v>
      </c>
      <c r="F308" s="580" t="s">
        <v>138</v>
      </c>
      <c r="G308" s="27">
        <v>73</v>
      </c>
      <c r="H308" s="27">
        <v>73</v>
      </c>
      <c r="I308" s="526"/>
      <c r="J308" s="501"/>
    </row>
    <row r="309" spans="1:10" ht="22.7" hidden="1" customHeight="1" x14ac:dyDescent="0.25">
      <c r="A309" s="31" t="s">
        <v>1505</v>
      </c>
      <c r="B309" s="490">
        <v>903</v>
      </c>
      <c r="C309" s="580" t="s">
        <v>264</v>
      </c>
      <c r="D309" s="580" t="s">
        <v>215</v>
      </c>
      <c r="E309" s="580" t="s">
        <v>1481</v>
      </c>
      <c r="F309" s="580"/>
      <c r="G309" s="497">
        <f>G310</f>
        <v>0</v>
      </c>
      <c r="H309" s="497">
        <f>H310</f>
        <v>0</v>
      </c>
      <c r="I309" s="526"/>
      <c r="J309" s="501"/>
    </row>
    <row r="310" spans="1:10" ht="63" hidden="1" x14ac:dyDescent="0.25">
      <c r="A310" s="579" t="s">
        <v>127</v>
      </c>
      <c r="B310" s="490">
        <v>903</v>
      </c>
      <c r="C310" s="580" t="s">
        <v>264</v>
      </c>
      <c r="D310" s="580" t="s">
        <v>215</v>
      </c>
      <c r="E310" s="580" t="s">
        <v>1481</v>
      </c>
      <c r="F310" s="580" t="s">
        <v>128</v>
      </c>
      <c r="G310" s="497">
        <f>G311</f>
        <v>0</v>
      </c>
      <c r="H310" s="497">
        <f>H311</f>
        <v>0</v>
      </c>
      <c r="I310" s="526"/>
      <c r="J310" s="501"/>
    </row>
    <row r="311" spans="1:10" ht="15.75" hidden="1" x14ac:dyDescent="0.25">
      <c r="A311" s="579" t="s">
        <v>208</v>
      </c>
      <c r="B311" s="490">
        <v>903</v>
      </c>
      <c r="C311" s="580" t="s">
        <v>264</v>
      </c>
      <c r="D311" s="580" t="s">
        <v>215</v>
      </c>
      <c r="E311" s="580" t="s">
        <v>1481</v>
      </c>
      <c r="F311" s="580" t="s">
        <v>209</v>
      </c>
      <c r="G311" s="497"/>
      <c r="H311" s="497"/>
      <c r="I311" s="526"/>
      <c r="J311" s="501"/>
    </row>
    <row r="312" spans="1:10" ht="29.25" customHeight="1" x14ac:dyDescent="0.25">
      <c r="A312" s="216" t="s">
        <v>1302</v>
      </c>
      <c r="B312" s="491">
        <v>903</v>
      </c>
      <c r="C312" s="495" t="s">
        <v>264</v>
      </c>
      <c r="D312" s="495" t="s">
        <v>215</v>
      </c>
      <c r="E312" s="495" t="s">
        <v>1205</v>
      </c>
      <c r="F312" s="495"/>
      <c r="G312" s="44">
        <f>G313+G316</f>
        <v>292</v>
      </c>
      <c r="H312" s="44">
        <f>H313+H316</f>
        <v>292</v>
      </c>
      <c r="I312" s="526"/>
      <c r="J312" s="501"/>
    </row>
    <row r="313" spans="1:10" ht="15.75" x14ac:dyDescent="0.25">
      <c r="A313" s="195" t="s">
        <v>799</v>
      </c>
      <c r="B313" s="490">
        <v>903</v>
      </c>
      <c r="C313" s="580" t="s">
        <v>264</v>
      </c>
      <c r="D313" s="580" t="s">
        <v>215</v>
      </c>
      <c r="E313" s="580" t="s">
        <v>1206</v>
      </c>
      <c r="F313" s="580"/>
      <c r="G313" s="27">
        <f>G314</f>
        <v>42</v>
      </c>
      <c r="H313" s="27">
        <f>H314</f>
        <v>42</v>
      </c>
      <c r="I313" s="526"/>
      <c r="J313" s="501"/>
    </row>
    <row r="314" spans="1:10" ht="15.75" x14ac:dyDescent="0.25">
      <c r="A314" s="579" t="s">
        <v>248</v>
      </c>
      <c r="B314" s="490">
        <v>903</v>
      </c>
      <c r="C314" s="580" t="s">
        <v>264</v>
      </c>
      <c r="D314" s="580" t="s">
        <v>215</v>
      </c>
      <c r="E314" s="580" t="s">
        <v>1206</v>
      </c>
      <c r="F314" s="580" t="s">
        <v>249</v>
      </c>
      <c r="G314" s="27">
        <f>G315</f>
        <v>42</v>
      </c>
      <c r="H314" s="27">
        <f>H315</f>
        <v>42</v>
      </c>
      <c r="I314" s="526"/>
      <c r="J314" s="501"/>
    </row>
    <row r="315" spans="1:10" ht="15.75" x14ac:dyDescent="0.25">
      <c r="A315" s="579" t="s">
        <v>820</v>
      </c>
      <c r="B315" s="490">
        <v>903</v>
      </c>
      <c r="C315" s="580" t="s">
        <v>264</v>
      </c>
      <c r="D315" s="580" t="s">
        <v>215</v>
      </c>
      <c r="E315" s="580" t="s">
        <v>1206</v>
      </c>
      <c r="F315" s="580" t="s">
        <v>819</v>
      </c>
      <c r="G315" s="27">
        <v>42</v>
      </c>
      <c r="H315" s="27">
        <v>42</v>
      </c>
      <c r="I315" s="526"/>
      <c r="J315" s="501"/>
    </row>
    <row r="316" spans="1:10" ht="36" customHeight="1" x14ac:dyDescent="0.25">
      <c r="A316" s="31" t="s">
        <v>816</v>
      </c>
      <c r="B316" s="490">
        <v>903</v>
      </c>
      <c r="C316" s="580" t="s">
        <v>264</v>
      </c>
      <c r="D316" s="580" t="s">
        <v>215</v>
      </c>
      <c r="E316" s="580" t="s">
        <v>1207</v>
      </c>
      <c r="F316" s="580"/>
      <c r="G316" s="27">
        <f>G319+G317</f>
        <v>250</v>
      </c>
      <c r="H316" s="27">
        <f>H319+H317</f>
        <v>250</v>
      </c>
      <c r="I316" s="526"/>
      <c r="J316" s="501"/>
    </row>
    <row r="317" spans="1:10" ht="63" x14ac:dyDescent="0.25">
      <c r="A317" s="579" t="s">
        <v>127</v>
      </c>
      <c r="B317" s="490">
        <v>903</v>
      </c>
      <c r="C317" s="580" t="s">
        <v>264</v>
      </c>
      <c r="D317" s="580" t="s">
        <v>215</v>
      </c>
      <c r="E317" s="580" t="s">
        <v>1207</v>
      </c>
      <c r="F317" s="580" t="s">
        <v>128</v>
      </c>
      <c r="G317" s="27">
        <f>G318</f>
        <v>250</v>
      </c>
      <c r="H317" s="27">
        <f>H318</f>
        <v>250</v>
      </c>
      <c r="I317" s="526"/>
      <c r="J317" s="501"/>
    </row>
    <row r="318" spans="1:10" ht="24.75" customHeight="1" x14ac:dyDescent="0.25">
      <c r="A318" s="46" t="s">
        <v>342</v>
      </c>
      <c r="B318" s="490">
        <v>903</v>
      </c>
      <c r="C318" s="580" t="s">
        <v>264</v>
      </c>
      <c r="D318" s="580" t="s">
        <v>215</v>
      </c>
      <c r="E318" s="580" t="s">
        <v>1207</v>
      </c>
      <c r="F318" s="580" t="s">
        <v>209</v>
      </c>
      <c r="G318" s="27">
        <v>250</v>
      </c>
      <c r="H318" s="27">
        <v>250</v>
      </c>
      <c r="I318" s="526"/>
      <c r="J318" s="501"/>
    </row>
    <row r="319" spans="1:10" ht="30.75" hidden="1" customHeight="1" x14ac:dyDescent="0.25">
      <c r="A319" s="579" t="s">
        <v>131</v>
      </c>
      <c r="B319" s="490">
        <v>903</v>
      </c>
      <c r="C319" s="580" t="s">
        <v>264</v>
      </c>
      <c r="D319" s="580" t="s">
        <v>215</v>
      </c>
      <c r="E319" s="580" t="s">
        <v>1207</v>
      </c>
      <c r="F319" s="580" t="s">
        <v>132</v>
      </c>
      <c r="G319" s="27">
        <f>G320</f>
        <v>0</v>
      </c>
      <c r="H319" s="27">
        <f>H320</f>
        <v>0</v>
      </c>
      <c r="I319" s="526"/>
      <c r="J319" s="501"/>
    </row>
    <row r="320" spans="1:10" ht="39.200000000000003" hidden="1" customHeight="1" x14ac:dyDescent="0.25">
      <c r="A320" s="579" t="s">
        <v>133</v>
      </c>
      <c r="B320" s="490">
        <v>903</v>
      </c>
      <c r="C320" s="580" t="s">
        <v>264</v>
      </c>
      <c r="D320" s="580" t="s">
        <v>215</v>
      </c>
      <c r="E320" s="580" t="s">
        <v>1207</v>
      </c>
      <c r="F320" s="580" t="s">
        <v>134</v>
      </c>
      <c r="G320" s="27"/>
      <c r="H320" s="27"/>
      <c r="I320" s="526"/>
      <c r="J320" s="501"/>
    </row>
    <row r="321" spans="1:10" ht="39.200000000000003" customHeight="1" x14ac:dyDescent="0.25">
      <c r="A321" s="494" t="s">
        <v>947</v>
      </c>
      <c r="B321" s="491">
        <v>903</v>
      </c>
      <c r="C321" s="495" t="s">
        <v>264</v>
      </c>
      <c r="D321" s="495" t="s">
        <v>215</v>
      </c>
      <c r="E321" s="495" t="s">
        <v>1208</v>
      </c>
      <c r="F321" s="495"/>
      <c r="G321" s="44">
        <f t="shared" ref="G321:H323" si="24">G322</f>
        <v>473</v>
      </c>
      <c r="H321" s="44">
        <f t="shared" si="24"/>
        <v>473</v>
      </c>
      <c r="I321" s="526"/>
      <c r="J321" s="501"/>
    </row>
    <row r="322" spans="1:10" ht="39.200000000000003" customHeight="1" x14ac:dyDescent="0.25">
      <c r="A322" s="579" t="s">
        <v>839</v>
      </c>
      <c r="B322" s="490">
        <v>903</v>
      </c>
      <c r="C322" s="580" t="s">
        <v>264</v>
      </c>
      <c r="D322" s="580" t="s">
        <v>215</v>
      </c>
      <c r="E322" s="580" t="s">
        <v>1209</v>
      </c>
      <c r="F322" s="580"/>
      <c r="G322" s="497">
        <f t="shared" si="24"/>
        <v>473</v>
      </c>
      <c r="H322" s="497">
        <f t="shared" si="24"/>
        <v>473</v>
      </c>
      <c r="I322" s="526"/>
      <c r="J322" s="501"/>
    </row>
    <row r="323" spans="1:10" ht="70.5" customHeight="1" x14ac:dyDescent="0.25">
      <c r="A323" s="579" t="s">
        <v>127</v>
      </c>
      <c r="B323" s="490">
        <v>903</v>
      </c>
      <c r="C323" s="580" t="s">
        <v>264</v>
      </c>
      <c r="D323" s="580" t="s">
        <v>215</v>
      </c>
      <c r="E323" s="580" t="s">
        <v>1209</v>
      </c>
      <c r="F323" s="580" t="s">
        <v>128</v>
      </c>
      <c r="G323" s="497">
        <f t="shared" si="24"/>
        <v>473</v>
      </c>
      <c r="H323" s="497">
        <f t="shared" si="24"/>
        <v>473</v>
      </c>
      <c r="I323" s="526"/>
      <c r="J323" s="501"/>
    </row>
    <row r="324" spans="1:10" ht="19.7" customHeight="1" x14ac:dyDescent="0.25">
      <c r="A324" s="579" t="s">
        <v>342</v>
      </c>
      <c r="B324" s="490">
        <v>903</v>
      </c>
      <c r="C324" s="580" t="s">
        <v>264</v>
      </c>
      <c r="D324" s="580" t="s">
        <v>215</v>
      </c>
      <c r="E324" s="580" t="s">
        <v>1209</v>
      </c>
      <c r="F324" s="580" t="s">
        <v>209</v>
      </c>
      <c r="G324" s="497">
        <v>473</v>
      </c>
      <c r="H324" s="497">
        <v>473</v>
      </c>
      <c r="I324" s="526"/>
      <c r="J324" s="501"/>
    </row>
    <row r="325" spans="1:10" ht="39.200000000000003" customHeight="1" x14ac:dyDescent="0.25">
      <c r="A325" s="494" t="s">
        <v>900</v>
      </c>
      <c r="B325" s="491">
        <v>903</v>
      </c>
      <c r="C325" s="495" t="s">
        <v>264</v>
      </c>
      <c r="D325" s="495" t="s">
        <v>215</v>
      </c>
      <c r="E325" s="495" t="s">
        <v>1210</v>
      </c>
      <c r="F325" s="495"/>
      <c r="G325" s="44">
        <f>G326+G329</f>
        <v>1165.4000000000001</v>
      </c>
      <c r="H325" s="44">
        <f>H326+H329</f>
        <v>1165.4000000000001</v>
      </c>
      <c r="I325" s="526"/>
      <c r="J325" s="501"/>
    </row>
    <row r="326" spans="1:10" ht="85.7" customHeight="1" x14ac:dyDescent="0.25">
      <c r="A326" s="31" t="s">
        <v>293</v>
      </c>
      <c r="B326" s="490">
        <v>903</v>
      </c>
      <c r="C326" s="580" t="s">
        <v>264</v>
      </c>
      <c r="D326" s="580" t="s">
        <v>215</v>
      </c>
      <c r="E326" s="580" t="s">
        <v>1403</v>
      </c>
      <c r="F326" s="580"/>
      <c r="G326" s="497">
        <f>G327</f>
        <v>761</v>
      </c>
      <c r="H326" s="497">
        <f>H327</f>
        <v>761</v>
      </c>
      <c r="I326" s="526"/>
      <c r="J326" s="501"/>
    </row>
    <row r="327" spans="1:10" ht="61.15" customHeight="1" x14ac:dyDescent="0.25">
      <c r="A327" s="579" t="s">
        <v>127</v>
      </c>
      <c r="B327" s="490">
        <v>903</v>
      </c>
      <c r="C327" s="580" t="s">
        <v>264</v>
      </c>
      <c r="D327" s="580" t="s">
        <v>215</v>
      </c>
      <c r="E327" s="580" t="s">
        <v>1403</v>
      </c>
      <c r="F327" s="580" t="s">
        <v>128</v>
      </c>
      <c r="G327" s="497">
        <f>G328</f>
        <v>761</v>
      </c>
      <c r="H327" s="497">
        <f>H328</f>
        <v>761</v>
      </c>
      <c r="I327" s="526"/>
      <c r="J327" s="501"/>
    </row>
    <row r="328" spans="1:10" ht="19.149999999999999" customHeight="1" x14ac:dyDescent="0.25">
      <c r="A328" s="46" t="s">
        <v>342</v>
      </c>
      <c r="B328" s="490">
        <v>903</v>
      </c>
      <c r="C328" s="580" t="s">
        <v>264</v>
      </c>
      <c r="D328" s="580" t="s">
        <v>215</v>
      </c>
      <c r="E328" s="580" t="s">
        <v>1403</v>
      </c>
      <c r="F328" s="580" t="s">
        <v>209</v>
      </c>
      <c r="G328" s="497">
        <v>761</v>
      </c>
      <c r="H328" s="497">
        <v>761</v>
      </c>
      <c r="I328" s="526"/>
      <c r="J328" s="501"/>
    </row>
    <row r="329" spans="1:10" ht="31.5" x14ac:dyDescent="0.25">
      <c r="A329" s="579" t="s">
        <v>1766</v>
      </c>
      <c r="B329" s="490">
        <v>903</v>
      </c>
      <c r="C329" s="580" t="s">
        <v>264</v>
      </c>
      <c r="D329" s="580" t="s">
        <v>215</v>
      </c>
      <c r="E329" s="580" t="s">
        <v>1768</v>
      </c>
      <c r="F329" s="580"/>
      <c r="G329" s="497">
        <f>G330</f>
        <v>404.4</v>
      </c>
      <c r="H329" s="497">
        <f>H330</f>
        <v>404.4</v>
      </c>
      <c r="I329" s="526"/>
      <c r="J329" s="501"/>
    </row>
    <row r="330" spans="1:10" ht="69.75" customHeight="1" x14ac:dyDescent="0.25">
      <c r="A330" s="579" t="s">
        <v>127</v>
      </c>
      <c r="B330" s="490">
        <v>903</v>
      </c>
      <c r="C330" s="580" t="s">
        <v>264</v>
      </c>
      <c r="D330" s="580" t="s">
        <v>215</v>
      </c>
      <c r="E330" s="580" t="s">
        <v>1768</v>
      </c>
      <c r="F330" s="580" t="s">
        <v>128</v>
      </c>
      <c r="G330" s="497">
        <f>G331</f>
        <v>404.4</v>
      </c>
      <c r="H330" s="497">
        <f>H331</f>
        <v>404.4</v>
      </c>
      <c r="I330" s="526"/>
      <c r="J330" s="501"/>
    </row>
    <row r="331" spans="1:10" ht="21.2" customHeight="1" x14ac:dyDescent="0.25">
      <c r="A331" s="46" t="s">
        <v>342</v>
      </c>
      <c r="B331" s="490">
        <v>903</v>
      </c>
      <c r="C331" s="580" t="s">
        <v>264</v>
      </c>
      <c r="D331" s="580" t="s">
        <v>215</v>
      </c>
      <c r="E331" s="580" t="s">
        <v>1768</v>
      </c>
      <c r="F331" s="580" t="s">
        <v>209</v>
      </c>
      <c r="G331" s="497">
        <v>404.4</v>
      </c>
      <c r="H331" s="497">
        <v>404.4</v>
      </c>
      <c r="I331" s="526"/>
      <c r="J331" s="501"/>
    </row>
    <row r="332" spans="1:10" ht="50.25" customHeight="1" x14ac:dyDescent="0.25">
      <c r="A332" s="34" t="s">
        <v>1357</v>
      </c>
      <c r="B332" s="491">
        <v>903</v>
      </c>
      <c r="C332" s="495" t="s">
        <v>264</v>
      </c>
      <c r="D332" s="495" t="s">
        <v>215</v>
      </c>
      <c r="E332" s="495" t="s">
        <v>324</v>
      </c>
      <c r="F332" s="495"/>
      <c r="G332" s="493">
        <f>G334</f>
        <v>6</v>
      </c>
      <c r="H332" s="493">
        <f>H334</f>
        <v>6</v>
      </c>
      <c r="I332" s="526"/>
      <c r="J332" s="501"/>
    </row>
    <row r="333" spans="1:10" ht="49.7" customHeight="1" x14ac:dyDescent="0.25">
      <c r="A333" s="34" t="s">
        <v>1025</v>
      </c>
      <c r="B333" s="491">
        <v>903</v>
      </c>
      <c r="C333" s="495" t="s">
        <v>264</v>
      </c>
      <c r="D333" s="495" t="s">
        <v>215</v>
      </c>
      <c r="E333" s="495" t="s">
        <v>934</v>
      </c>
      <c r="F333" s="495"/>
      <c r="G333" s="493">
        <f>G336</f>
        <v>6</v>
      </c>
      <c r="H333" s="493">
        <f>H336</f>
        <v>6</v>
      </c>
      <c r="I333" s="526"/>
      <c r="J333" s="501"/>
    </row>
    <row r="334" spans="1:10" ht="48.2" customHeight="1" x14ac:dyDescent="0.25">
      <c r="A334" s="31" t="s">
        <v>1080</v>
      </c>
      <c r="B334" s="490">
        <v>903</v>
      </c>
      <c r="C334" s="580" t="s">
        <v>264</v>
      </c>
      <c r="D334" s="580" t="s">
        <v>215</v>
      </c>
      <c r="E334" s="580" t="s">
        <v>1026</v>
      </c>
      <c r="F334" s="580"/>
      <c r="G334" s="497">
        <f>G335</f>
        <v>6</v>
      </c>
      <c r="H334" s="497">
        <f>H335</f>
        <v>6</v>
      </c>
      <c r="I334" s="526"/>
      <c r="J334" s="501"/>
    </row>
    <row r="335" spans="1:10" ht="31.9" customHeight="1" x14ac:dyDescent="0.25">
      <c r="A335" s="579" t="s">
        <v>131</v>
      </c>
      <c r="B335" s="490">
        <v>903</v>
      </c>
      <c r="C335" s="580" t="s">
        <v>264</v>
      </c>
      <c r="D335" s="580" t="s">
        <v>215</v>
      </c>
      <c r="E335" s="580" t="s">
        <v>1026</v>
      </c>
      <c r="F335" s="580" t="s">
        <v>132</v>
      </c>
      <c r="G335" s="497">
        <f>G336</f>
        <v>6</v>
      </c>
      <c r="H335" s="497">
        <f>H336</f>
        <v>6</v>
      </c>
      <c r="I335" s="526"/>
      <c r="J335" s="501"/>
    </row>
    <row r="336" spans="1:10" ht="34.700000000000003" customHeight="1" x14ac:dyDescent="0.25">
      <c r="A336" s="579" t="s">
        <v>133</v>
      </c>
      <c r="B336" s="490">
        <v>903</v>
      </c>
      <c r="C336" s="580" t="s">
        <v>264</v>
      </c>
      <c r="D336" s="580" t="s">
        <v>215</v>
      </c>
      <c r="E336" s="580" t="s">
        <v>1026</v>
      </c>
      <c r="F336" s="580" t="s">
        <v>134</v>
      </c>
      <c r="G336" s="497">
        <v>6</v>
      </c>
      <c r="H336" s="497">
        <v>6</v>
      </c>
      <c r="I336" s="526"/>
      <c r="J336" s="501"/>
    </row>
    <row r="337" spans="1:10" ht="51" customHeight="1" x14ac:dyDescent="0.25">
      <c r="A337" s="572" t="s">
        <v>1352</v>
      </c>
      <c r="B337" s="491">
        <v>903</v>
      </c>
      <c r="C337" s="495" t="s">
        <v>264</v>
      </c>
      <c r="D337" s="495" t="s">
        <v>215</v>
      </c>
      <c r="E337" s="495" t="s">
        <v>705</v>
      </c>
      <c r="F337" s="495"/>
      <c r="G337" s="493">
        <f>G339</f>
        <v>490.9</v>
      </c>
      <c r="H337" s="493">
        <f>H339</f>
        <v>490.9</v>
      </c>
      <c r="I337" s="526"/>
      <c r="J337" s="501"/>
    </row>
    <row r="338" spans="1:10" ht="48.75" customHeight="1" x14ac:dyDescent="0.25">
      <c r="A338" s="572" t="s">
        <v>890</v>
      </c>
      <c r="B338" s="491">
        <v>903</v>
      </c>
      <c r="C338" s="495" t="s">
        <v>264</v>
      </c>
      <c r="D338" s="495" t="s">
        <v>215</v>
      </c>
      <c r="E338" s="495" t="s">
        <v>888</v>
      </c>
      <c r="F338" s="495"/>
      <c r="G338" s="493">
        <f t="shared" ref="G338:H340" si="25">G339</f>
        <v>490.9</v>
      </c>
      <c r="H338" s="493">
        <f t="shared" si="25"/>
        <v>490.9</v>
      </c>
      <c r="I338" s="526"/>
      <c r="J338" s="501"/>
    </row>
    <row r="339" spans="1:10" ht="32.25" customHeight="1" x14ac:dyDescent="0.25">
      <c r="A339" s="98" t="s">
        <v>1004</v>
      </c>
      <c r="B339" s="580" t="s">
        <v>627</v>
      </c>
      <c r="C339" s="580" t="s">
        <v>264</v>
      </c>
      <c r="D339" s="580" t="s">
        <v>215</v>
      </c>
      <c r="E339" s="580" t="s">
        <v>889</v>
      </c>
      <c r="F339" s="498"/>
      <c r="G339" s="497">
        <f t="shared" si="25"/>
        <v>490.9</v>
      </c>
      <c r="H339" s="497">
        <f t="shared" si="25"/>
        <v>490.9</v>
      </c>
      <c r="I339" s="526"/>
      <c r="J339" s="501"/>
    </row>
    <row r="340" spans="1:10" ht="33" customHeight="1" x14ac:dyDescent="0.25">
      <c r="A340" s="579" t="s">
        <v>131</v>
      </c>
      <c r="B340" s="490">
        <v>903</v>
      </c>
      <c r="C340" s="580" t="s">
        <v>264</v>
      </c>
      <c r="D340" s="580" t="s">
        <v>215</v>
      </c>
      <c r="E340" s="580" t="s">
        <v>889</v>
      </c>
      <c r="F340" s="498" t="s">
        <v>132</v>
      </c>
      <c r="G340" s="497">
        <f t="shared" si="25"/>
        <v>490.9</v>
      </c>
      <c r="H340" s="497">
        <f t="shared" si="25"/>
        <v>490.9</v>
      </c>
      <c r="I340" s="526"/>
      <c r="J340" s="501"/>
    </row>
    <row r="341" spans="1:10" ht="34.5" customHeight="1" x14ac:dyDescent="0.25">
      <c r="A341" s="579" t="s">
        <v>133</v>
      </c>
      <c r="B341" s="490">
        <v>903</v>
      </c>
      <c r="C341" s="580" t="s">
        <v>264</v>
      </c>
      <c r="D341" s="580" t="s">
        <v>215</v>
      </c>
      <c r="E341" s="580" t="s">
        <v>889</v>
      </c>
      <c r="F341" s="498" t="s">
        <v>134</v>
      </c>
      <c r="G341" s="497">
        <v>490.9</v>
      </c>
      <c r="H341" s="497">
        <v>490.9</v>
      </c>
      <c r="I341" s="526"/>
      <c r="J341" s="526"/>
    </row>
    <row r="342" spans="1:10" ht="19.5" customHeight="1" x14ac:dyDescent="0.25">
      <c r="A342" s="494" t="s">
        <v>466</v>
      </c>
      <c r="B342" s="491">
        <v>903</v>
      </c>
      <c r="C342" s="495" t="s">
        <v>264</v>
      </c>
      <c r="D342" s="495" t="s">
        <v>264</v>
      </c>
      <c r="E342" s="580"/>
      <c r="F342" s="580"/>
      <c r="G342" s="493">
        <f>G343</f>
        <v>760.1</v>
      </c>
      <c r="H342" s="493">
        <f>H343</f>
        <v>760.1</v>
      </c>
      <c r="I342" s="526"/>
      <c r="J342" s="501"/>
    </row>
    <row r="343" spans="1:10" ht="50.25" customHeight="1" x14ac:dyDescent="0.25">
      <c r="A343" s="494" t="s">
        <v>1347</v>
      </c>
      <c r="B343" s="491">
        <v>903</v>
      </c>
      <c r="C343" s="495" t="s">
        <v>264</v>
      </c>
      <c r="D343" s="495" t="s">
        <v>264</v>
      </c>
      <c r="E343" s="495" t="s">
        <v>344</v>
      </c>
      <c r="F343" s="495"/>
      <c r="G343" s="493">
        <f>G344</f>
        <v>760.1</v>
      </c>
      <c r="H343" s="493">
        <f>H344</f>
        <v>760.1</v>
      </c>
      <c r="I343" s="526"/>
      <c r="J343" s="501"/>
    </row>
    <row r="344" spans="1:10" ht="32.25" customHeight="1" x14ac:dyDescent="0.25">
      <c r="A344" s="494" t="s">
        <v>345</v>
      </c>
      <c r="B344" s="491">
        <v>903</v>
      </c>
      <c r="C344" s="495" t="s">
        <v>264</v>
      </c>
      <c r="D344" s="495" t="s">
        <v>264</v>
      </c>
      <c r="E344" s="495" t="s">
        <v>346</v>
      </c>
      <c r="F344" s="495"/>
      <c r="G344" s="493">
        <f>G345+G352+G358</f>
        <v>760.1</v>
      </c>
      <c r="H344" s="493">
        <f>H345+H352+H358</f>
        <v>760.1</v>
      </c>
      <c r="I344" s="526"/>
      <c r="J344" s="501"/>
    </row>
    <row r="345" spans="1:10" ht="48.75" customHeight="1" x14ac:dyDescent="0.25">
      <c r="A345" s="571" t="s">
        <v>1029</v>
      </c>
      <c r="B345" s="491">
        <v>903</v>
      </c>
      <c r="C345" s="495" t="s">
        <v>264</v>
      </c>
      <c r="D345" s="495" t="s">
        <v>264</v>
      </c>
      <c r="E345" s="495" t="s">
        <v>892</v>
      </c>
      <c r="F345" s="495"/>
      <c r="G345" s="493">
        <f>G346+G349</f>
        <v>280</v>
      </c>
      <c r="H345" s="493">
        <f>H346+H349</f>
        <v>280</v>
      </c>
      <c r="I345" s="526"/>
      <c r="J345" s="501"/>
    </row>
    <row r="346" spans="1:10" ht="23.25" customHeight="1" x14ac:dyDescent="0.25">
      <c r="A346" s="98" t="s">
        <v>1035</v>
      </c>
      <c r="B346" s="490">
        <v>903</v>
      </c>
      <c r="C346" s="580" t="s">
        <v>264</v>
      </c>
      <c r="D346" s="580" t="s">
        <v>264</v>
      </c>
      <c r="E346" s="580" t="s">
        <v>893</v>
      </c>
      <c r="F346" s="580"/>
      <c r="G346" s="497">
        <f>G347</f>
        <v>280</v>
      </c>
      <c r="H346" s="497">
        <f>H347</f>
        <v>280</v>
      </c>
      <c r="I346" s="526"/>
      <c r="J346" s="501"/>
    </row>
    <row r="347" spans="1:10" ht="66.599999999999994" customHeight="1" x14ac:dyDescent="0.25">
      <c r="A347" s="579" t="s">
        <v>127</v>
      </c>
      <c r="B347" s="490">
        <v>903</v>
      </c>
      <c r="C347" s="580" t="s">
        <v>264</v>
      </c>
      <c r="D347" s="580" t="s">
        <v>264</v>
      </c>
      <c r="E347" s="580" t="s">
        <v>893</v>
      </c>
      <c r="F347" s="580" t="s">
        <v>128</v>
      </c>
      <c r="G347" s="497">
        <f>G348</f>
        <v>280</v>
      </c>
      <c r="H347" s="497">
        <f>H348</f>
        <v>280</v>
      </c>
      <c r="I347" s="526"/>
      <c r="J347" s="501"/>
    </row>
    <row r="348" spans="1:10" ht="18" customHeight="1" x14ac:dyDescent="0.25">
      <c r="A348" s="579" t="s">
        <v>342</v>
      </c>
      <c r="B348" s="490">
        <v>903</v>
      </c>
      <c r="C348" s="580" t="s">
        <v>264</v>
      </c>
      <c r="D348" s="580" t="s">
        <v>264</v>
      </c>
      <c r="E348" s="580" t="s">
        <v>893</v>
      </c>
      <c r="F348" s="580" t="s">
        <v>209</v>
      </c>
      <c r="G348" s="497">
        <v>280</v>
      </c>
      <c r="H348" s="497">
        <v>280</v>
      </c>
      <c r="I348" s="526"/>
      <c r="J348" s="501"/>
    </row>
    <row r="349" spans="1:10" ht="19.5" hidden="1" customHeight="1" x14ac:dyDescent="0.25">
      <c r="A349" s="579" t="s">
        <v>1030</v>
      </c>
      <c r="B349" s="490">
        <v>903</v>
      </c>
      <c r="C349" s="580" t="s">
        <v>264</v>
      </c>
      <c r="D349" s="580" t="s">
        <v>264</v>
      </c>
      <c r="E349" s="580" t="s">
        <v>1046</v>
      </c>
      <c r="F349" s="580"/>
      <c r="G349" s="497">
        <f>G350</f>
        <v>0</v>
      </c>
      <c r="H349" s="497">
        <f>H350</f>
        <v>0</v>
      </c>
      <c r="I349" s="526"/>
      <c r="J349" s="501"/>
    </row>
    <row r="350" spans="1:10" ht="32.25" hidden="1" customHeight="1" x14ac:dyDescent="0.25">
      <c r="A350" s="579" t="s">
        <v>131</v>
      </c>
      <c r="B350" s="490">
        <v>903</v>
      </c>
      <c r="C350" s="580" t="s">
        <v>264</v>
      </c>
      <c r="D350" s="580" t="s">
        <v>264</v>
      </c>
      <c r="E350" s="580" t="s">
        <v>1046</v>
      </c>
      <c r="F350" s="580" t="s">
        <v>132</v>
      </c>
      <c r="G350" s="497">
        <f>G351</f>
        <v>0</v>
      </c>
      <c r="H350" s="497">
        <f>H351</f>
        <v>0</v>
      </c>
      <c r="I350" s="526"/>
      <c r="J350" s="501"/>
    </row>
    <row r="351" spans="1:10" ht="37.5" hidden="1" customHeight="1" x14ac:dyDescent="0.25">
      <c r="A351" s="579" t="s">
        <v>133</v>
      </c>
      <c r="B351" s="490">
        <v>903</v>
      </c>
      <c r="C351" s="580" t="s">
        <v>264</v>
      </c>
      <c r="D351" s="580" t="s">
        <v>264</v>
      </c>
      <c r="E351" s="580" t="s">
        <v>1046</v>
      </c>
      <c r="F351" s="580" t="s">
        <v>134</v>
      </c>
      <c r="G351" s="497">
        <v>0</v>
      </c>
      <c r="H351" s="497">
        <v>0</v>
      </c>
      <c r="I351" s="526"/>
      <c r="J351" s="501"/>
    </row>
    <row r="352" spans="1:10" ht="64.5" customHeight="1" x14ac:dyDescent="0.25">
      <c r="A352" s="494" t="s">
        <v>1031</v>
      </c>
      <c r="B352" s="491">
        <v>903</v>
      </c>
      <c r="C352" s="495" t="s">
        <v>264</v>
      </c>
      <c r="D352" s="495" t="s">
        <v>264</v>
      </c>
      <c r="E352" s="495" t="s">
        <v>894</v>
      </c>
      <c r="F352" s="495"/>
      <c r="G352" s="493">
        <f>G353</f>
        <v>455.1</v>
      </c>
      <c r="H352" s="493">
        <f>H353</f>
        <v>455.1</v>
      </c>
      <c r="I352" s="526"/>
      <c r="J352" s="501"/>
    </row>
    <row r="353" spans="1:10" ht="15.75" customHeight="1" x14ac:dyDescent="0.25">
      <c r="A353" s="579" t="s">
        <v>1032</v>
      </c>
      <c r="B353" s="490">
        <v>903</v>
      </c>
      <c r="C353" s="580" t="s">
        <v>264</v>
      </c>
      <c r="D353" s="580" t="s">
        <v>264</v>
      </c>
      <c r="E353" s="580" t="s">
        <v>901</v>
      </c>
      <c r="F353" s="580"/>
      <c r="G353" s="497">
        <f>G356+G355</f>
        <v>455.1</v>
      </c>
      <c r="H353" s="497">
        <f>H356+H355</f>
        <v>455.1</v>
      </c>
      <c r="I353" s="526"/>
      <c r="J353" s="501"/>
    </row>
    <row r="354" spans="1:10" ht="63" customHeight="1" x14ac:dyDescent="0.25">
      <c r="A354" s="579" t="s">
        <v>127</v>
      </c>
      <c r="B354" s="490">
        <v>903</v>
      </c>
      <c r="C354" s="580" t="s">
        <v>264</v>
      </c>
      <c r="D354" s="580" t="s">
        <v>264</v>
      </c>
      <c r="E354" s="580" t="s">
        <v>901</v>
      </c>
      <c r="F354" s="580" t="s">
        <v>128</v>
      </c>
      <c r="G354" s="497">
        <f>G355</f>
        <v>40.1</v>
      </c>
      <c r="H354" s="497">
        <f>H355</f>
        <v>40.1</v>
      </c>
      <c r="I354" s="526"/>
      <c r="J354" s="501"/>
    </row>
    <row r="355" spans="1:10" ht="20.25" customHeight="1" x14ac:dyDescent="0.25">
      <c r="A355" s="579" t="s">
        <v>342</v>
      </c>
      <c r="B355" s="490">
        <v>903</v>
      </c>
      <c r="C355" s="580" t="s">
        <v>264</v>
      </c>
      <c r="D355" s="580" t="s">
        <v>264</v>
      </c>
      <c r="E355" s="580" t="s">
        <v>901</v>
      </c>
      <c r="F355" s="580" t="s">
        <v>209</v>
      </c>
      <c r="G355" s="497">
        <v>40.1</v>
      </c>
      <c r="H355" s="497">
        <v>40.1</v>
      </c>
      <c r="I355" s="526"/>
      <c r="J355" s="501"/>
    </row>
    <row r="356" spans="1:10" ht="36.75" customHeight="1" x14ac:dyDescent="0.25">
      <c r="A356" s="579" t="s">
        <v>131</v>
      </c>
      <c r="B356" s="490">
        <v>903</v>
      </c>
      <c r="C356" s="580" t="s">
        <v>264</v>
      </c>
      <c r="D356" s="580" t="s">
        <v>264</v>
      </c>
      <c r="E356" s="580" t="s">
        <v>901</v>
      </c>
      <c r="F356" s="580" t="s">
        <v>132</v>
      </c>
      <c r="G356" s="497">
        <f>G357</f>
        <v>415</v>
      </c>
      <c r="H356" s="497">
        <f>H357</f>
        <v>415</v>
      </c>
      <c r="I356" s="526"/>
      <c r="J356" s="501"/>
    </row>
    <row r="357" spans="1:10" ht="39.200000000000003" customHeight="1" x14ac:dyDescent="0.25">
      <c r="A357" s="579" t="s">
        <v>133</v>
      </c>
      <c r="B357" s="490">
        <v>903</v>
      </c>
      <c r="C357" s="580" t="s">
        <v>264</v>
      </c>
      <c r="D357" s="580" t="s">
        <v>264</v>
      </c>
      <c r="E357" s="580" t="s">
        <v>901</v>
      </c>
      <c r="F357" s="580" t="s">
        <v>134</v>
      </c>
      <c r="G357" s="497">
        <f>415-135.5+135.5</f>
        <v>415</v>
      </c>
      <c r="H357" s="497">
        <f>415-135.5+135.5</f>
        <v>415</v>
      </c>
      <c r="I357" s="526"/>
      <c r="J357" s="501"/>
    </row>
    <row r="358" spans="1:10" ht="35.450000000000003" customHeight="1" x14ac:dyDescent="0.25">
      <c r="A358" s="494" t="s">
        <v>1037</v>
      </c>
      <c r="B358" s="491">
        <v>903</v>
      </c>
      <c r="C358" s="495" t="s">
        <v>264</v>
      </c>
      <c r="D358" s="495" t="s">
        <v>264</v>
      </c>
      <c r="E358" s="495" t="s">
        <v>1033</v>
      </c>
      <c r="F358" s="495"/>
      <c r="G358" s="493">
        <f t="shared" ref="G358:H360" si="26">G359</f>
        <v>25</v>
      </c>
      <c r="H358" s="493">
        <f t="shared" si="26"/>
        <v>25</v>
      </c>
      <c r="I358" s="526"/>
      <c r="J358" s="501"/>
    </row>
    <row r="359" spans="1:10" ht="39.75" customHeight="1" x14ac:dyDescent="0.25">
      <c r="A359" s="231" t="s">
        <v>1034</v>
      </c>
      <c r="B359" s="490">
        <v>903</v>
      </c>
      <c r="C359" s="580" t="s">
        <v>264</v>
      </c>
      <c r="D359" s="580" t="s">
        <v>264</v>
      </c>
      <c r="E359" s="580" t="s">
        <v>1047</v>
      </c>
      <c r="F359" s="580"/>
      <c r="G359" s="497">
        <f t="shared" si="26"/>
        <v>25</v>
      </c>
      <c r="H359" s="497">
        <f t="shared" si="26"/>
        <v>25</v>
      </c>
      <c r="I359" s="526"/>
      <c r="J359" s="501"/>
    </row>
    <row r="360" spans="1:10" ht="17.45" customHeight="1" x14ac:dyDescent="0.25">
      <c r="A360" s="579" t="s">
        <v>248</v>
      </c>
      <c r="B360" s="490">
        <v>903</v>
      </c>
      <c r="C360" s="580" t="s">
        <v>264</v>
      </c>
      <c r="D360" s="580" t="s">
        <v>264</v>
      </c>
      <c r="E360" s="580" t="s">
        <v>1047</v>
      </c>
      <c r="F360" s="580" t="s">
        <v>249</v>
      </c>
      <c r="G360" s="497">
        <f t="shared" si="26"/>
        <v>25</v>
      </c>
      <c r="H360" s="497">
        <f t="shared" si="26"/>
        <v>25</v>
      </c>
      <c r="I360" s="526"/>
      <c r="J360" s="501"/>
    </row>
    <row r="361" spans="1:10" ht="35.450000000000003" customHeight="1" x14ac:dyDescent="0.25">
      <c r="A361" s="579" t="s">
        <v>1196</v>
      </c>
      <c r="B361" s="490">
        <v>903</v>
      </c>
      <c r="C361" s="580" t="s">
        <v>264</v>
      </c>
      <c r="D361" s="580" t="s">
        <v>264</v>
      </c>
      <c r="E361" s="580" t="s">
        <v>1047</v>
      </c>
      <c r="F361" s="580" t="s">
        <v>1195</v>
      </c>
      <c r="G361" s="497">
        <v>25</v>
      </c>
      <c r="H361" s="497">
        <v>25</v>
      </c>
      <c r="I361" s="526"/>
      <c r="J361" s="501"/>
    </row>
    <row r="362" spans="1:10" ht="21.75" hidden="1" customHeight="1" x14ac:dyDescent="0.25">
      <c r="A362" s="494" t="s">
        <v>295</v>
      </c>
      <c r="B362" s="491">
        <v>903</v>
      </c>
      <c r="C362" s="495" t="s">
        <v>264</v>
      </c>
      <c r="D362" s="495" t="s">
        <v>219</v>
      </c>
      <c r="E362" s="495"/>
      <c r="F362" s="495"/>
      <c r="G362" s="493">
        <f t="shared" ref="G362:H365" si="27">G363</f>
        <v>0</v>
      </c>
      <c r="H362" s="493">
        <f t="shared" si="27"/>
        <v>0</v>
      </c>
      <c r="I362" s="526"/>
      <c r="J362" s="501"/>
    </row>
    <row r="363" spans="1:10" ht="35.450000000000003" hidden="1" customHeight="1" x14ac:dyDescent="0.25">
      <c r="A363" s="34" t="s">
        <v>870</v>
      </c>
      <c r="B363" s="491">
        <v>903</v>
      </c>
      <c r="C363" s="495" t="s">
        <v>264</v>
      </c>
      <c r="D363" s="495" t="s">
        <v>219</v>
      </c>
      <c r="E363" s="495" t="s">
        <v>865</v>
      </c>
      <c r="F363" s="495"/>
      <c r="G363" s="493">
        <f t="shared" si="27"/>
        <v>0</v>
      </c>
      <c r="H363" s="493">
        <f t="shared" si="27"/>
        <v>0</v>
      </c>
      <c r="I363" s="526"/>
      <c r="J363" s="501"/>
    </row>
    <row r="364" spans="1:10" ht="54.4" hidden="1" customHeight="1" x14ac:dyDescent="0.25">
      <c r="A364" s="31" t="s">
        <v>1664</v>
      </c>
      <c r="B364" s="490">
        <v>903</v>
      </c>
      <c r="C364" s="580" t="s">
        <v>264</v>
      </c>
      <c r="D364" s="580" t="s">
        <v>219</v>
      </c>
      <c r="E364" s="580" t="s">
        <v>1663</v>
      </c>
      <c r="F364" s="580"/>
      <c r="G364" s="497">
        <f t="shared" si="27"/>
        <v>0</v>
      </c>
      <c r="H364" s="497">
        <f t="shared" si="27"/>
        <v>0</v>
      </c>
      <c r="I364" s="526"/>
      <c r="J364" s="501"/>
    </row>
    <row r="365" spans="1:10" ht="35.450000000000003" hidden="1" customHeight="1" x14ac:dyDescent="0.25">
      <c r="A365" s="579" t="s">
        <v>131</v>
      </c>
      <c r="B365" s="490">
        <v>903</v>
      </c>
      <c r="C365" s="580" t="s">
        <v>264</v>
      </c>
      <c r="D365" s="580" t="s">
        <v>219</v>
      </c>
      <c r="E365" s="580" t="s">
        <v>1663</v>
      </c>
      <c r="F365" s="580" t="s">
        <v>132</v>
      </c>
      <c r="G365" s="497">
        <f t="shared" si="27"/>
        <v>0</v>
      </c>
      <c r="H365" s="497">
        <f t="shared" si="27"/>
        <v>0</v>
      </c>
      <c r="I365" s="526"/>
      <c r="J365" s="501"/>
    </row>
    <row r="366" spans="1:10" ht="35.450000000000003" hidden="1" customHeight="1" x14ac:dyDescent="0.25">
      <c r="A366" s="579" t="s">
        <v>133</v>
      </c>
      <c r="B366" s="490">
        <v>903</v>
      </c>
      <c r="C366" s="580" t="s">
        <v>264</v>
      </c>
      <c r="D366" s="580" t="s">
        <v>219</v>
      </c>
      <c r="E366" s="580" t="s">
        <v>1663</v>
      </c>
      <c r="F366" s="580" t="s">
        <v>134</v>
      </c>
      <c r="G366" s="497"/>
      <c r="H366" s="497"/>
      <c r="I366" s="526"/>
      <c r="J366" s="501"/>
    </row>
    <row r="367" spans="1:10" ht="15.75" x14ac:dyDescent="0.25">
      <c r="A367" s="494" t="s">
        <v>298</v>
      </c>
      <c r="B367" s="491">
        <v>903</v>
      </c>
      <c r="C367" s="495" t="s">
        <v>299</v>
      </c>
      <c r="D367" s="495"/>
      <c r="E367" s="495"/>
      <c r="F367" s="495"/>
      <c r="G367" s="493">
        <f>G368+G433</f>
        <v>82217.399999999994</v>
      </c>
      <c r="H367" s="493">
        <f>H368+H433</f>
        <v>82221.399999999994</v>
      </c>
      <c r="I367" s="526"/>
      <c r="J367" s="501"/>
    </row>
    <row r="368" spans="1:10" ht="15.75" x14ac:dyDescent="0.25">
      <c r="A368" s="494" t="s">
        <v>300</v>
      </c>
      <c r="B368" s="491">
        <v>903</v>
      </c>
      <c r="C368" s="495" t="s">
        <v>299</v>
      </c>
      <c r="D368" s="495" t="s">
        <v>118</v>
      </c>
      <c r="E368" s="495"/>
      <c r="F368" s="495"/>
      <c r="G368" s="493">
        <f>G369+G428+G423</f>
        <v>60054.659999999996</v>
      </c>
      <c r="H368" s="493">
        <f>H369+H428+H423</f>
        <v>60054.659999999996</v>
      </c>
      <c r="I368" s="526"/>
      <c r="J368" s="501"/>
    </row>
    <row r="369" spans="1:12" ht="35.450000000000003" customHeight="1" x14ac:dyDescent="0.25">
      <c r="A369" s="494" t="s">
        <v>1351</v>
      </c>
      <c r="B369" s="491">
        <v>903</v>
      </c>
      <c r="C369" s="495" t="s">
        <v>299</v>
      </c>
      <c r="D369" s="495" t="s">
        <v>118</v>
      </c>
      <c r="E369" s="495" t="s">
        <v>267</v>
      </c>
      <c r="F369" s="495"/>
      <c r="G369" s="493">
        <f>G370+G381+G387+G391+G398+G402+G413</f>
        <v>59165.96</v>
      </c>
      <c r="H369" s="493">
        <f>H370+H381+H387+H391+H398+H402+H413</f>
        <v>59165.96</v>
      </c>
      <c r="I369" s="526"/>
      <c r="J369" s="501"/>
    </row>
    <row r="370" spans="1:12" ht="30.2" customHeight="1" x14ac:dyDescent="0.25">
      <c r="A370" s="494" t="s">
        <v>1299</v>
      </c>
      <c r="B370" s="491">
        <v>903</v>
      </c>
      <c r="C370" s="495" t="s">
        <v>299</v>
      </c>
      <c r="D370" s="495" t="s">
        <v>118</v>
      </c>
      <c r="E370" s="495" t="s">
        <v>1203</v>
      </c>
      <c r="F370" s="495"/>
      <c r="G370" s="493">
        <f>G371+G378</f>
        <v>55444.46</v>
      </c>
      <c r="H370" s="493">
        <f>H371+H378</f>
        <v>55444.46</v>
      </c>
      <c r="I370" s="526"/>
      <c r="J370" s="501"/>
    </row>
    <row r="371" spans="1:12" ht="17.45" customHeight="1" x14ac:dyDescent="0.25">
      <c r="A371" s="579" t="s">
        <v>800</v>
      </c>
      <c r="B371" s="490">
        <v>903</v>
      </c>
      <c r="C371" s="580" t="s">
        <v>299</v>
      </c>
      <c r="D371" s="580" t="s">
        <v>118</v>
      </c>
      <c r="E371" s="580" t="s">
        <v>1204</v>
      </c>
      <c r="F371" s="580"/>
      <c r="G371" s="497">
        <f>G372+G374+G376</f>
        <v>55444.46</v>
      </c>
      <c r="H371" s="497">
        <f>H372+H374+H376</f>
        <v>55444.46</v>
      </c>
      <c r="I371" s="526"/>
      <c r="J371" s="501"/>
    </row>
    <row r="372" spans="1:12" ht="46.5" customHeight="1" x14ac:dyDescent="0.25">
      <c r="A372" s="579" t="s">
        <v>127</v>
      </c>
      <c r="B372" s="490">
        <v>903</v>
      </c>
      <c r="C372" s="580" t="s">
        <v>299</v>
      </c>
      <c r="D372" s="580" t="s">
        <v>118</v>
      </c>
      <c r="E372" s="580" t="s">
        <v>1204</v>
      </c>
      <c r="F372" s="580" t="s">
        <v>128</v>
      </c>
      <c r="G372" s="497">
        <f>G373</f>
        <v>44809.1</v>
      </c>
      <c r="H372" s="497">
        <f>H373</f>
        <v>44809.1</v>
      </c>
      <c r="I372" s="526"/>
      <c r="J372" s="501"/>
    </row>
    <row r="373" spans="1:12" ht="21.75" customHeight="1" x14ac:dyDescent="0.25">
      <c r="A373" s="579" t="s">
        <v>208</v>
      </c>
      <c r="B373" s="490">
        <v>903</v>
      </c>
      <c r="C373" s="580" t="s">
        <v>299</v>
      </c>
      <c r="D373" s="580" t="s">
        <v>118</v>
      </c>
      <c r="E373" s="580" t="s">
        <v>1204</v>
      </c>
      <c r="F373" s="580" t="s">
        <v>209</v>
      </c>
      <c r="G373" s="27">
        <f>44809.1</f>
        <v>44809.1</v>
      </c>
      <c r="H373" s="27">
        <f>G373</f>
        <v>44809.1</v>
      </c>
      <c r="I373" s="526"/>
      <c r="J373" s="526"/>
    </row>
    <row r="374" spans="1:12" ht="36.75" customHeight="1" x14ac:dyDescent="0.25">
      <c r="A374" s="579" t="s">
        <v>131</v>
      </c>
      <c r="B374" s="490">
        <v>903</v>
      </c>
      <c r="C374" s="580" t="s">
        <v>299</v>
      </c>
      <c r="D374" s="580" t="s">
        <v>118</v>
      </c>
      <c r="E374" s="580" t="s">
        <v>1204</v>
      </c>
      <c r="F374" s="580" t="s">
        <v>132</v>
      </c>
      <c r="G374" s="497">
        <f>G375</f>
        <v>10572.36</v>
      </c>
      <c r="H374" s="497">
        <f>H375</f>
        <v>10572.36</v>
      </c>
      <c r="I374" s="526"/>
      <c r="J374" s="501"/>
    </row>
    <row r="375" spans="1:12" ht="33" customHeight="1" x14ac:dyDescent="0.25">
      <c r="A375" s="579" t="s">
        <v>133</v>
      </c>
      <c r="B375" s="490">
        <v>903</v>
      </c>
      <c r="C375" s="580" t="s">
        <v>299</v>
      </c>
      <c r="D375" s="580" t="s">
        <v>118</v>
      </c>
      <c r="E375" s="580" t="s">
        <v>1204</v>
      </c>
      <c r="F375" s="580" t="s">
        <v>134</v>
      </c>
      <c r="G375" s="27">
        <f>6466.5+4105.86</f>
        <v>10572.36</v>
      </c>
      <c r="H375" s="27">
        <f>6466.5+4105.86</f>
        <v>10572.36</v>
      </c>
      <c r="I375" s="526"/>
      <c r="J375" s="501"/>
      <c r="K375" s="451"/>
      <c r="L375" s="537"/>
    </row>
    <row r="376" spans="1:12" ht="18" customHeight="1" x14ac:dyDescent="0.25">
      <c r="A376" s="579" t="s">
        <v>135</v>
      </c>
      <c r="B376" s="490">
        <v>903</v>
      </c>
      <c r="C376" s="580" t="s">
        <v>299</v>
      </c>
      <c r="D376" s="580" t="s">
        <v>118</v>
      </c>
      <c r="E376" s="580" t="s">
        <v>1204</v>
      </c>
      <c r="F376" s="580" t="s">
        <v>145</v>
      </c>
      <c r="G376" s="497">
        <f>G377</f>
        <v>63</v>
      </c>
      <c r="H376" s="497">
        <f>H377</f>
        <v>63</v>
      </c>
      <c r="I376" s="526"/>
      <c r="J376" s="501"/>
    </row>
    <row r="377" spans="1:12" ht="16.5" customHeight="1" x14ac:dyDescent="0.25">
      <c r="A377" s="579" t="s">
        <v>568</v>
      </c>
      <c r="B377" s="490">
        <v>903</v>
      </c>
      <c r="C377" s="580" t="s">
        <v>299</v>
      </c>
      <c r="D377" s="580" t="s">
        <v>118</v>
      </c>
      <c r="E377" s="580" t="s">
        <v>1204</v>
      </c>
      <c r="F377" s="580" t="s">
        <v>138</v>
      </c>
      <c r="G377" s="497">
        <f>37+26</f>
        <v>63</v>
      </c>
      <c r="H377" s="497">
        <f>37+26</f>
        <v>63</v>
      </c>
      <c r="I377" s="526"/>
      <c r="J377" s="526"/>
    </row>
    <row r="378" spans="1:12" ht="21.75" hidden="1" customHeight="1" x14ac:dyDescent="0.25">
      <c r="A378" s="31" t="s">
        <v>1505</v>
      </c>
      <c r="B378" s="490">
        <v>903</v>
      </c>
      <c r="C378" s="580" t="s">
        <v>299</v>
      </c>
      <c r="D378" s="580" t="s">
        <v>118</v>
      </c>
      <c r="E378" s="580" t="s">
        <v>1481</v>
      </c>
      <c r="F378" s="580"/>
      <c r="G378" s="497">
        <f>G379</f>
        <v>0</v>
      </c>
      <c r="H378" s="497">
        <f>H379</f>
        <v>0</v>
      </c>
      <c r="I378" s="526"/>
      <c r="J378" s="501"/>
    </row>
    <row r="379" spans="1:12" ht="60.4" hidden="1" customHeight="1" x14ac:dyDescent="0.25">
      <c r="A379" s="579" t="s">
        <v>127</v>
      </c>
      <c r="B379" s="490">
        <v>903</v>
      </c>
      <c r="C379" s="580" t="s">
        <v>299</v>
      </c>
      <c r="D379" s="580" t="s">
        <v>118</v>
      </c>
      <c r="E379" s="580" t="s">
        <v>1481</v>
      </c>
      <c r="F379" s="580" t="s">
        <v>128</v>
      </c>
      <c r="G379" s="497">
        <f>G380</f>
        <v>0</v>
      </c>
      <c r="H379" s="497">
        <f>H380</f>
        <v>0</v>
      </c>
      <c r="I379" s="526"/>
      <c r="J379" s="501"/>
    </row>
    <row r="380" spans="1:12" ht="17.100000000000001" hidden="1" customHeight="1" x14ac:dyDescent="0.25">
      <c r="A380" s="579" t="s">
        <v>208</v>
      </c>
      <c r="B380" s="490">
        <v>903</v>
      </c>
      <c r="C380" s="580" t="s">
        <v>299</v>
      </c>
      <c r="D380" s="580" t="s">
        <v>118</v>
      </c>
      <c r="E380" s="580" t="s">
        <v>1481</v>
      </c>
      <c r="F380" s="580" t="s">
        <v>209</v>
      </c>
      <c r="G380" s="497"/>
      <c r="H380" s="497"/>
      <c r="I380" s="526"/>
      <c r="J380" s="501"/>
    </row>
    <row r="381" spans="1:12" ht="35.450000000000003" customHeight="1" x14ac:dyDescent="0.25">
      <c r="A381" s="217" t="s">
        <v>1301</v>
      </c>
      <c r="B381" s="491">
        <v>903</v>
      </c>
      <c r="C381" s="495" t="s">
        <v>299</v>
      </c>
      <c r="D381" s="495" t="s">
        <v>118</v>
      </c>
      <c r="E381" s="495" t="s">
        <v>1205</v>
      </c>
      <c r="F381" s="495"/>
      <c r="G381" s="493">
        <f>G382</f>
        <v>280</v>
      </c>
      <c r="H381" s="493">
        <f>H382</f>
        <v>280</v>
      </c>
      <c r="I381" s="526"/>
      <c r="J381" s="501"/>
    </row>
    <row r="382" spans="1:12" ht="35.450000000000003" customHeight="1" x14ac:dyDescent="0.25">
      <c r="A382" s="31" t="s">
        <v>816</v>
      </c>
      <c r="B382" s="490">
        <v>903</v>
      </c>
      <c r="C382" s="580" t="s">
        <v>299</v>
      </c>
      <c r="D382" s="580" t="s">
        <v>118</v>
      </c>
      <c r="E382" s="580" t="s">
        <v>1207</v>
      </c>
      <c r="F382" s="580"/>
      <c r="G382" s="27">
        <f>G385+G383</f>
        <v>280</v>
      </c>
      <c r="H382" s="27">
        <f>H385+H383</f>
        <v>280</v>
      </c>
      <c r="I382" s="526"/>
      <c r="J382" s="501"/>
    </row>
    <row r="383" spans="1:12" ht="66.2" customHeight="1" x14ac:dyDescent="0.25">
      <c r="A383" s="579" t="s">
        <v>127</v>
      </c>
      <c r="B383" s="490">
        <v>903</v>
      </c>
      <c r="C383" s="580" t="s">
        <v>299</v>
      </c>
      <c r="D383" s="580" t="s">
        <v>118</v>
      </c>
      <c r="E383" s="580" t="s">
        <v>1207</v>
      </c>
      <c r="F383" s="580" t="s">
        <v>128</v>
      </c>
      <c r="G383" s="27">
        <f>G384</f>
        <v>280</v>
      </c>
      <c r="H383" s="27">
        <f>H384</f>
        <v>280</v>
      </c>
      <c r="I383" s="526"/>
      <c r="J383" s="501"/>
    </row>
    <row r="384" spans="1:12" ht="20.25" customHeight="1" x14ac:dyDescent="0.25">
      <c r="A384" s="579" t="s">
        <v>208</v>
      </c>
      <c r="B384" s="490">
        <v>903</v>
      </c>
      <c r="C384" s="580" t="s">
        <v>299</v>
      </c>
      <c r="D384" s="580" t="s">
        <v>118</v>
      </c>
      <c r="E384" s="580" t="s">
        <v>1207</v>
      </c>
      <c r="F384" s="580" t="s">
        <v>209</v>
      </c>
      <c r="G384" s="27">
        <v>280</v>
      </c>
      <c r="H384" s="27">
        <v>280</v>
      </c>
      <c r="I384" s="526"/>
      <c r="J384" s="501"/>
    </row>
    <row r="385" spans="1:10" ht="33.75" hidden="1" customHeight="1" x14ac:dyDescent="0.25">
      <c r="A385" s="579" t="s">
        <v>131</v>
      </c>
      <c r="B385" s="490">
        <v>903</v>
      </c>
      <c r="C385" s="580" t="s">
        <v>299</v>
      </c>
      <c r="D385" s="580" t="s">
        <v>118</v>
      </c>
      <c r="E385" s="580" t="s">
        <v>1207</v>
      </c>
      <c r="F385" s="580" t="s">
        <v>132</v>
      </c>
      <c r="G385" s="27">
        <f>G386</f>
        <v>0</v>
      </c>
      <c r="H385" s="27">
        <f>H386</f>
        <v>0</v>
      </c>
      <c r="I385" s="526"/>
      <c r="J385" s="501"/>
    </row>
    <row r="386" spans="1:10" ht="36.75" hidden="1" customHeight="1" x14ac:dyDescent="0.25">
      <c r="A386" s="579" t="s">
        <v>133</v>
      </c>
      <c r="B386" s="490">
        <v>903</v>
      </c>
      <c r="C386" s="580" t="s">
        <v>299</v>
      </c>
      <c r="D386" s="580" t="s">
        <v>118</v>
      </c>
      <c r="E386" s="580" t="s">
        <v>1207</v>
      </c>
      <c r="F386" s="580" t="s">
        <v>134</v>
      </c>
      <c r="G386" s="27"/>
      <c r="H386" s="27"/>
      <c r="I386" s="526"/>
      <c r="J386" s="501"/>
    </row>
    <row r="387" spans="1:10" ht="36.75" customHeight="1" x14ac:dyDescent="0.25">
      <c r="A387" s="494" t="s">
        <v>947</v>
      </c>
      <c r="B387" s="491">
        <v>903</v>
      </c>
      <c r="C387" s="495" t="s">
        <v>299</v>
      </c>
      <c r="D387" s="495" t="s">
        <v>118</v>
      </c>
      <c r="E387" s="495" t="s">
        <v>1208</v>
      </c>
      <c r="F387" s="495"/>
      <c r="G387" s="44">
        <f t="shared" ref="G387:H389" si="28">G388</f>
        <v>903</v>
      </c>
      <c r="H387" s="44">
        <f t="shared" si="28"/>
        <v>903</v>
      </c>
      <c r="I387" s="526"/>
      <c r="J387" s="501"/>
    </row>
    <row r="388" spans="1:10" ht="36.75" customHeight="1" x14ac:dyDescent="0.25">
      <c r="A388" s="579" t="s">
        <v>839</v>
      </c>
      <c r="B388" s="490">
        <v>903</v>
      </c>
      <c r="C388" s="580" t="s">
        <v>299</v>
      </c>
      <c r="D388" s="580" t="s">
        <v>118</v>
      </c>
      <c r="E388" s="580" t="s">
        <v>1209</v>
      </c>
      <c r="F388" s="580"/>
      <c r="G388" s="497">
        <f t="shared" si="28"/>
        <v>903</v>
      </c>
      <c r="H388" s="497">
        <f t="shared" si="28"/>
        <v>903</v>
      </c>
      <c r="I388" s="526"/>
      <c r="J388" s="501"/>
    </row>
    <row r="389" spans="1:10" ht="62.45" customHeight="1" x14ac:dyDescent="0.25">
      <c r="A389" s="579" t="s">
        <v>127</v>
      </c>
      <c r="B389" s="490">
        <v>903</v>
      </c>
      <c r="C389" s="580" t="s">
        <v>299</v>
      </c>
      <c r="D389" s="580" t="s">
        <v>118</v>
      </c>
      <c r="E389" s="580" t="s">
        <v>1209</v>
      </c>
      <c r="F389" s="580" t="s">
        <v>128</v>
      </c>
      <c r="G389" s="497">
        <f t="shared" si="28"/>
        <v>903</v>
      </c>
      <c r="H389" s="497">
        <f t="shared" si="28"/>
        <v>903</v>
      </c>
      <c r="I389" s="526"/>
      <c r="J389" s="501"/>
    </row>
    <row r="390" spans="1:10" ht="36.75" customHeight="1" x14ac:dyDescent="0.25">
      <c r="A390" s="579" t="s">
        <v>129</v>
      </c>
      <c r="B390" s="490">
        <v>903</v>
      </c>
      <c r="C390" s="580" t="s">
        <v>299</v>
      </c>
      <c r="D390" s="580" t="s">
        <v>118</v>
      </c>
      <c r="E390" s="580" t="s">
        <v>1209</v>
      </c>
      <c r="F390" s="580" t="s">
        <v>209</v>
      </c>
      <c r="G390" s="497">
        <v>903</v>
      </c>
      <c r="H390" s="497">
        <v>903</v>
      </c>
      <c r="I390" s="526"/>
      <c r="J390" s="526"/>
    </row>
    <row r="391" spans="1:10" ht="36.75" customHeight="1" x14ac:dyDescent="0.25">
      <c r="A391" s="218" t="s">
        <v>900</v>
      </c>
      <c r="B391" s="491">
        <v>903</v>
      </c>
      <c r="C391" s="495" t="s">
        <v>299</v>
      </c>
      <c r="D391" s="495" t="s">
        <v>118</v>
      </c>
      <c r="E391" s="495" t="s">
        <v>1210</v>
      </c>
      <c r="F391" s="495"/>
      <c r="G391" s="493">
        <f>G392+G395</f>
        <v>2485</v>
      </c>
      <c r="H391" s="493">
        <f>H392+H395</f>
        <v>2485</v>
      </c>
      <c r="I391" s="526"/>
      <c r="J391" s="501"/>
    </row>
    <row r="392" spans="1:10" ht="87" customHeight="1" x14ac:dyDescent="0.25">
      <c r="A392" s="31" t="s">
        <v>293</v>
      </c>
      <c r="B392" s="490">
        <v>903</v>
      </c>
      <c r="C392" s="580" t="s">
        <v>299</v>
      </c>
      <c r="D392" s="580" t="s">
        <v>118</v>
      </c>
      <c r="E392" s="580" t="s">
        <v>1403</v>
      </c>
      <c r="F392" s="580"/>
      <c r="G392" s="497">
        <f>G393</f>
        <v>2100.5</v>
      </c>
      <c r="H392" s="497">
        <f>H393</f>
        <v>2100.5</v>
      </c>
      <c r="I392" s="526"/>
      <c r="J392" s="501"/>
    </row>
    <row r="393" spans="1:10" ht="66.599999999999994" customHeight="1" x14ac:dyDescent="0.25">
      <c r="A393" s="579" t="s">
        <v>127</v>
      </c>
      <c r="B393" s="490">
        <v>903</v>
      </c>
      <c r="C393" s="580" t="s">
        <v>299</v>
      </c>
      <c r="D393" s="580" t="s">
        <v>118</v>
      </c>
      <c r="E393" s="580" t="s">
        <v>1403</v>
      </c>
      <c r="F393" s="580" t="s">
        <v>128</v>
      </c>
      <c r="G393" s="497">
        <f>G394</f>
        <v>2100.5</v>
      </c>
      <c r="H393" s="497">
        <f>H394</f>
        <v>2100.5</v>
      </c>
      <c r="I393" s="526"/>
      <c r="J393" s="501"/>
    </row>
    <row r="394" spans="1:10" ht="21.75" customHeight="1" x14ac:dyDescent="0.25">
      <c r="A394" s="579" t="s">
        <v>208</v>
      </c>
      <c r="B394" s="490">
        <v>903</v>
      </c>
      <c r="C394" s="580" t="s">
        <v>299</v>
      </c>
      <c r="D394" s="580" t="s">
        <v>118</v>
      </c>
      <c r="E394" s="580" t="s">
        <v>1403</v>
      </c>
      <c r="F394" s="580" t="s">
        <v>209</v>
      </c>
      <c r="G394" s="497">
        <v>2100.5</v>
      </c>
      <c r="H394" s="497">
        <v>2100.5</v>
      </c>
      <c r="I394" s="526"/>
      <c r="J394" s="501"/>
    </row>
    <row r="395" spans="1:10" ht="69" customHeight="1" x14ac:dyDescent="0.25">
      <c r="A395" s="579" t="s">
        <v>331</v>
      </c>
      <c r="B395" s="490">
        <v>903</v>
      </c>
      <c r="C395" s="580" t="s">
        <v>299</v>
      </c>
      <c r="D395" s="580" t="s">
        <v>118</v>
      </c>
      <c r="E395" s="580" t="s">
        <v>1291</v>
      </c>
      <c r="F395" s="580"/>
      <c r="G395" s="497">
        <f>G396</f>
        <v>384.5</v>
      </c>
      <c r="H395" s="497">
        <f>H396</f>
        <v>384.5</v>
      </c>
      <c r="I395" s="526"/>
      <c r="J395" s="501"/>
    </row>
    <row r="396" spans="1:10" ht="72" customHeight="1" x14ac:dyDescent="0.25">
      <c r="A396" s="579" t="s">
        <v>127</v>
      </c>
      <c r="B396" s="490">
        <v>903</v>
      </c>
      <c r="C396" s="580" t="s">
        <v>299</v>
      </c>
      <c r="D396" s="580" t="s">
        <v>118</v>
      </c>
      <c r="E396" s="580" t="s">
        <v>1291</v>
      </c>
      <c r="F396" s="580" t="s">
        <v>128</v>
      </c>
      <c r="G396" s="497">
        <f>G397</f>
        <v>384.5</v>
      </c>
      <c r="H396" s="497">
        <f>H397</f>
        <v>384.5</v>
      </c>
      <c r="I396" s="526"/>
      <c r="J396" s="501"/>
    </row>
    <row r="397" spans="1:10" ht="19.5" customHeight="1" x14ac:dyDescent="0.25">
      <c r="A397" s="579" t="s">
        <v>208</v>
      </c>
      <c r="B397" s="490">
        <v>903</v>
      </c>
      <c r="C397" s="580" t="s">
        <v>299</v>
      </c>
      <c r="D397" s="580" t="s">
        <v>118</v>
      </c>
      <c r="E397" s="580" t="s">
        <v>1291</v>
      </c>
      <c r="F397" s="580" t="s">
        <v>209</v>
      </c>
      <c r="G397" s="497">
        <v>384.5</v>
      </c>
      <c r="H397" s="497">
        <v>384.5</v>
      </c>
      <c r="I397" s="526"/>
      <c r="J397" s="501"/>
    </row>
    <row r="398" spans="1:10" ht="33" customHeight="1" x14ac:dyDescent="0.25">
      <c r="A398" s="494" t="s">
        <v>902</v>
      </c>
      <c r="B398" s="491">
        <v>903</v>
      </c>
      <c r="C398" s="495" t="s">
        <v>299</v>
      </c>
      <c r="D398" s="495" t="s">
        <v>118</v>
      </c>
      <c r="E398" s="495" t="s">
        <v>1215</v>
      </c>
      <c r="F398" s="495"/>
      <c r="G398" s="493">
        <f t="shared" ref="G398:H400" si="29">G399</f>
        <v>50</v>
      </c>
      <c r="H398" s="493">
        <f t="shared" si="29"/>
        <v>50</v>
      </c>
      <c r="I398" s="526"/>
      <c r="J398" s="501"/>
    </row>
    <row r="399" spans="1:10" ht="32.25" customHeight="1" x14ac:dyDescent="0.25">
      <c r="A399" s="579" t="s">
        <v>821</v>
      </c>
      <c r="B399" s="490">
        <v>903</v>
      </c>
      <c r="C399" s="580" t="s">
        <v>299</v>
      </c>
      <c r="D399" s="580" t="s">
        <v>118</v>
      </c>
      <c r="E399" s="580" t="s">
        <v>1216</v>
      </c>
      <c r="F399" s="580"/>
      <c r="G399" s="497">
        <f t="shared" si="29"/>
        <v>50</v>
      </c>
      <c r="H399" s="497">
        <f t="shared" si="29"/>
        <v>50</v>
      </c>
      <c r="I399" s="526"/>
      <c r="J399" s="501"/>
    </row>
    <row r="400" spans="1:10" ht="33.75" customHeight="1" x14ac:dyDescent="0.25">
      <c r="A400" s="579" t="s">
        <v>131</v>
      </c>
      <c r="B400" s="490">
        <v>903</v>
      </c>
      <c r="C400" s="580" t="s">
        <v>299</v>
      </c>
      <c r="D400" s="580" t="s">
        <v>118</v>
      </c>
      <c r="E400" s="580" t="s">
        <v>1216</v>
      </c>
      <c r="F400" s="580" t="s">
        <v>132</v>
      </c>
      <c r="G400" s="497">
        <f t="shared" si="29"/>
        <v>50</v>
      </c>
      <c r="H400" s="497">
        <f t="shared" si="29"/>
        <v>50</v>
      </c>
      <c r="I400" s="526"/>
      <c r="J400" s="501"/>
    </row>
    <row r="401" spans="1:10" ht="31.7" customHeight="1" x14ac:dyDescent="0.25">
      <c r="A401" s="579" t="s">
        <v>133</v>
      </c>
      <c r="B401" s="490">
        <v>903</v>
      </c>
      <c r="C401" s="580" t="s">
        <v>299</v>
      </c>
      <c r="D401" s="580" t="s">
        <v>118</v>
      </c>
      <c r="E401" s="580" t="s">
        <v>1216</v>
      </c>
      <c r="F401" s="580" t="s">
        <v>134</v>
      </c>
      <c r="G401" s="497">
        <v>50</v>
      </c>
      <c r="H401" s="497">
        <v>50</v>
      </c>
      <c r="I401" s="526"/>
      <c r="J401" s="501"/>
    </row>
    <row r="402" spans="1:10" ht="21.2" customHeight="1" x14ac:dyDescent="0.25">
      <c r="A402" s="494" t="s">
        <v>1010</v>
      </c>
      <c r="B402" s="491">
        <v>903</v>
      </c>
      <c r="C402" s="495" t="s">
        <v>299</v>
      </c>
      <c r="D402" s="495" t="s">
        <v>118</v>
      </c>
      <c r="E402" s="495" t="s">
        <v>1217</v>
      </c>
      <c r="F402" s="495"/>
      <c r="G402" s="493">
        <f>G403+G406</f>
        <v>3.5</v>
      </c>
      <c r="H402" s="493">
        <f>H403+H406</f>
        <v>3.5</v>
      </c>
      <c r="I402" s="526"/>
      <c r="J402" s="501"/>
    </row>
    <row r="403" spans="1:10" ht="31.5" x14ac:dyDescent="0.25">
      <c r="A403" s="579" t="s">
        <v>1484</v>
      </c>
      <c r="B403" s="490">
        <v>903</v>
      </c>
      <c r="C403" s="580" t="s">
        <v>299</v>
      </c>
      <c r="D403" s="580" t="s">
        <v>118</v>
      </c>
      <c r="E403" s="580" t="s">
        <v>1218</v>
      </c>
      <c r="F403" s="580"/>
      <c r="G403" s="497">
        <f t="shared" ref="G403:H404" si="30">G404</f>
        <v>3.5</v>
      </c>
      <c r="H403" s="497">
        <f t="shared" si="30"/>
        <v>3.5</v>
      </c>
      <c r="I403" s="526"/>
      <c r="J403" s="501"/>
    </row>
    <row r="404" spans="1:10" ht="31.5" x14ac:dyDescent="0.25">
      <c r="A404" s="579" t="s">
        <v>131</v>
      </c>
      <c r="B404" s="490">
        <v>903</v>
      </c>
      <c r="C404" s="580" t="s">
        <v>299</v>
      </c>
      <c r="D404" s="580" t="s">
        <v>118</v>
      </c>
      <c r="E404" s="580" t="s">
        <v>1218</v>
      </c>
      <c r="F404" s="580" t="s">
        <v>132</v>
      </c>
      <c r="G404" s="497">
        <f t="shared" si="30"/>
        <v>3.5</v>
      </c>
      <c r="H404" s="497">
        <f t="shared" si="30"/>
        <v>3.5</v>
      </c>
      <c r="I404" s="526"/>
      <c r="J404" s="501"/>
    </row>
    <row r="405" spans="1:10" ht="31.5" x14ac:dyDescent="0.25">
      <c r="A405" s="579" t="s">
        <v>133</v>
      </c>
      <c r="B405" s="490">
        <v>903</v>
      </c>
      <c r="C405" s="580" t="s">
        <v>299</v>
      </c>
      <c r="D405" s="580" t="s">
        <v>118</v>
      </c>
      <c r="E405" s="580" t="s">
        <v>1218</v>
      </c>
      <c r="F405" s="580" t="s">
        <v>134</v>
      </c>
      <c r="G405" s="497">
        <v>3.5</v>
      </c>
      <c r="H405" s="497">
        <v>3.5</v>
      </c>
      <c r="I405" s="526"/>
      <c r="J405" s="501"/>
    </row>
    <row r="406" spans="1:10" ht="21.6" hidden="1" customHeight="1" x14ac:dyDescent="0.25">
      <c r="A406" s="579" t="s">
        <v>1756</v>
      </c>
      <c r="B406" s="490">
        <v>903</v>
      </c>
      <c r="C406" s="580" t="s">
        <v>299</v>
      </c>
      <c r="D406" s="580" t="s">
        <v>118</v>
      </c>
      <c r="E406" s="580" t="s">
        <v>1757</v>
      </c>
      <c r="F406" s="580"/>
      <c r="G406" s="497">
        <f>G407</f>
        <v>0</v>
      </c>
      <c r="H406" s="497">
        <f>H407</f>
        <v>0</v>
      </c>
      <c r="I406" s="526"/>
      <c r="J406" s="501"/>
    </row>
    <row r="407" spans="1:10" ht="31.5" hidden="1" x14ac:dyDescent="0.25">
      <c r="A407" s="579" t="s">
        <v>131</v>
      </c>
      <c r="B407" s="490">
        <v>903</v>
      </c>
      <c r="C407" s="580" t="s">
        <v>299</v>
      </c>
      <c r="D407" s="580" t="s">
        <v>118</v>
      </c>
      <c r="E407" s="580" t="s">
        <v>1757</v>
      </c>
      <c r="F407" s="580" t="s">
        <v>132</v>
      </c>
      <c r="G407" s="497">
        <f>G408</f>
        <v>0</v>
      </c>
      <c r="H407" s="497">
        <f>H408</f>
        <v>0</v>
      </c>
      <c r="I407" s="526"/>
      <c r="J407" s="501"/>
    </row>
    <row r="408" spans="1:10" ht="31.5" hidden="1" x14ac:dyDescent="0.25">
      <c r="A408" s="579" t="s">
        <v>133</v>
      </c>
      <c r="B408" s="490">
        <v>903</v>
      </c>
      <c r="C408" s="580" t="s">
        <v>299</v>
      </c>
      <c r="D408" s="580" t="s">
        <v>118</v>
      </c>
      <c r="E408" s="580" t="s">
        <v>1757</v>
      </c>
      <c r="F408" s="580" t="s">
        <v>134</v>
      </c>
      <c r="G408" s="497"/>
      <c r="H408" s="497"/>
      <c r="I408" s="526"/>
      <c r="J408" s="501"/>
    </row>
    <row r="409" spans="1:10" ht="31.5" hidden="1" x14ac:dyDescent="0.25">
      <c r="A409" s="34" t="s">
        <v>1646</v>
      </c>
      <c r="B409" s="491">
        <v>903</v>
      </c>
      <c r="C409" s="495" t="s">
        <v>299</v>
      </c>
      <c r="D409" s="495" t="s">
        <v>118</v>
      </c>
      <c r="E409" s="495" t="s">
        <v>1648</v>
      </c>
      <c r="F409" s="495"/>
      <c r="G409" s="493">
        <f t="shared" ref="G409:H411" si="31">G410</f>
        <v>0</v>
      </c>
      <c r="H409" s="493">
        <f t="shared" si="31"/>
        <v>0</v>
      </c>
      <c r="I409" s="526"/>
      <c r="J409" s="501"/>
    </row>
    <row r="410" spans="1:10" ht="47.25" hidden="1" x14ac:dyDescent="0.25">
      <c r="A410" s="31" t="s">
        <v>1647</v>
      </c>
      <c r="B410" s="490">
        <v>903</v>
      </c>
      <c r="C410" s="580" t="s">
        <v>299</v>
      </c>
      <c r="D410" s="580" t="s">
        <v>118</v>
      </c>
      <c r="E410" s="580" t="s">
        <v>1649</v>
      </c>
      <c r="F410" s="580"/>
      <c r="G410" s="497">
        <f t="shared" si="31"/>
        <v>0</v>
      </c>
      <c r="H410" s="497">
        <f t="shared" si="31"/>
        <v>0</v>
      </c>
      <c r="I410" s="526"/>
      <c r="J410" s="501"/>
    </row>
    <row r="411" spans="1:10" ht="31.5" hidden="1" x14ac:dyDescent="0.25">
      <c r="A411" s="579" t="s">
        <v>131</v>
      </c>
      <c r="B411" s="490">
        <v>903</v>
      </c>
      <c r="C411" s="580" t="s">
        <v>299</v>
      </c>
      <c r="D411" s="580" t="s">
        <v>118</v>
      </c>
      <c r="E411" s="580" t="s">
        <v>1649</v>
      </c>
      <c r="F411" s="580" t="s">
        <v>132</v>
      </c>
      <c r="G411" s="497">
        <f t="shared" si="31"/>
        <v>0</v>
      </c>
      <c r="H411" s="497">
        <f t="shared" si="31"/>
        <v>0</v>
      </c>
      <c r="I411" s="526"/>
      <c r="J411" s="501"/>
    </row>
    <row r="412" spans="1:10" ht="31.5" hidden="1" x14ac:dyDescent="0.25">
      <c r="A412" s="579" t="s">
        <v>133</v>
      </c>
      <c r="B412" s="490">
        <v>903</v>
      </c>
      <c r="C412" s="580" t="s">
        <v>299</v>
      </c>
      <c r="D412" s="580" t="s">
        <v>118</v>
      </c>
      <c r="E412" s="580" t="s">
        <v>1649</v>
      </c>
      <c r="F412" s="580" t="s">
        <v>134</v>
      </c>
      <c r="G412" s="497">
        <f>1500-1500</f>
        <v>0</v>
      </c>
      <c r="H412" s="497">
        <f>1500-1500</f>
        <v>0</v>
      </c>
      <c r="I412" s="526"/>
      <c r="J412" s="501"/>
    </row>
    <row r="413" spans="1:10" ht="31.5" hidden="1" x14ac:dyDescent="0.25">
      <c r="A413" s="571" t="s">
        <v>1179</v>
      </c>
      <c r="B413" s="491">
        <v>903</v>
      </c>
      <c r="C413" s="495" t="s">
        <v>299</v>
      </c>
      <c r="D413" s="495" t="s">
        <v>118</v>
      </c>
      <c r="E413" s="495" t="s">
        <v>1213</v>
      </c>
      <c r="F413" s="495"/>
      <c r="G413" s="493">
        <f>G420+G417+G414</f>
        <v>0</v>
      </c>
      <c r="H413" s="493">
        <f>H420+H417+H414</f>
        <v>0</v>
      </c>
      <c r="I413" s="526"/>
      <c r="J413" s="501"/>
    </row>
    <row r="414" spans="1:10" ht="31.5" hidden="1" x14ac:dyDescent="0.25">
      <c r="A414" s="557" t="s">
        <v>1711</v>
      </c>
      <c r="B414" s="490">
        <v>903</v>
      </c>
      <c r="C414" s="580" t="s">
        <v>299</v>
      </c>
      <c r="D414" s="580" t="s">
        <v>118</v>
      </c>
      <c r="E414" s="580" t="s">
        <v>1710</v>
      </c>
      <c r="F414" s="580"/>
      <c r="G414" s="497">
        <f>G415</f>
        <v>0</v>
      </c>
      <c r="H414" s="497">
        <f>H415</f>
        <v>0</v>
      </c>
      <c r="I414" s="526"/>
      <c r="J414" s="501"/>
    </row>
    <row r="415" spans="1:10" ht="31.5" hidden="1" x14ac:dyDescent="0.25">
      <c r="A415" s="579" t="s">
        <v>131</v>
      </c>
      <c r="B415" s="490">
        <v>903</v>
      </c>
      <c r="C415" s="580" t="s">
        <v>299</v>
      </c>
      <c r="D415" s="580" t="s">
        <v>118</v>
      </c>
      <c r="E415" s="580" t="s">
        <v>1710</v>
      </c>
      <c r="F415" s="580" t="s">
        <v>132</v>
      </c>
      <c r="G415" s="497">
        <f>G416</f>
        <v>0</v>
      </c>
      <c r="H415" s="497">
        <f>H416</f>
        <v>0</v>
      </c>
      <c r="I415" s="526"/>
      <c r="J415" s="501"/>
    </row>
    <row r="416" spans="1:10" ht="31.5" hidden="1" x14ac:dyDescent="0.25">
      <c r="A416" s="579" t="s">
        <v>133</v>
      </c>
      <c r="B416" s="490">
        <v>903</v>
      </c>
      <c r="C416" s="580" t="s">
        <v>299</v>
      </c>
      <c r="D416" s="580" t="s">
        <v>118</v>
      </c>
      <c r="E416" s="580" t="s">
        <v>1710</v>
      </c>
      <c r="F416" s="580" t="s">
        <v>134</v>
      </c>
      <c r="G416" s="493"/>
      <c r="H416" s="493"/>
      <c r="I416" s="526"/>
      <c r="J416" s="501"/>
    </row>
    <row r="417" spans="1:10" ht="15.75" hidden="1" x14ac:dyDescent="0.25">
      <c r="A417" s="633" t="s">
        <v>1753</v>
      </c>
      <c r="B417" s="490">
        <v>903</v>
      </c>
      <c r="C417" s="580" t="s">
        <v>299</v>
      </c>
      <c r="D417" s="580" t="s">
        <v>118</v>
      </c>
      <c r="E417" s="580" t="s">
        <v>1754</v>
      </c>
      <c r="F417" s="495"/>
      <c r="G417" s="493">
        <f>G418</f>
        <v>0</v>
      </c>
      <c r="H417" s="493">
        <f>H418</f>
        <v>0</v>
      </c>
      <c r="I417" s="526"/>
      <c r="J417" s="501"/>
    </row>
    <row r="418" spans="1:10" ht="31.5" hidden="1" x14ac:dyDescent="0.25">
      <c r="A418" s="579" t="s">
        <v>131</v>
      </c>
      <c r="B418" s="490">
        <v>903</v>
      </c>
      <c r="C418" s="580" t="s">
        <v>299</v>
      </c>
      <c r="D418" s="580" t="s">
        <v>118</v>
      </c>
      <c r="E418" s="580" t="s">
        <v>1754</v>
      </c>
      <c r="F418" s="580" t="s">
        <v>132</v>
      </c>
      <c r="G418" s="497">
        <f>G419</f>
        <v>0</v>
      </c>
      <c r="H418" s="497">
        <f>H419</f>
        <v>0</v>
      </c>
      <c r="I418" s="526"/>
      <c r="J418" s="501"/>
    </row>
    <row r="419" spans="1:10" ht="31.5" hidden="1" x14ac:dyDescent="0.25">
      <c r="A419" s="579" t="s">
        <v>133</v>
      </c>
      <c r="B419" s="490">
        <v>903</v>
      </c>
      <c r="C419" s="580" t="s">
        <v>299</v>
      </c>
      <c r="D419" s="580" t="s">
        <v>118</v>
      </c>
      <c r="E419" s="580" t="s">
        <v>1754</v>
      </c>
      <c r="F419" s="580" t="s">
        <v>134</v>
      </c>
      <c r="G419" s="159"/>
      <c r="H419" s="159"/>
      <c r="I419" s="526"/>
      <c r="J419" s="501"/>
    </row>
    <row r="420" spans="1:10" ht="15.75" hidden="1" x14ac:dyDescent="0.25">
      <c r="A420" s="98" t="s">
        <v>1186</v>
      </c>
      <c r="B420" s="490">
        <v>903</v>
      </c>
      <c r="C420" s="580" t="s">
        <v>299</v>
      </c>
      <c r="D420" s="580" t="s">
        <v>118</v>
      </c>
      <c r="E420" s="580" t="s">
        <v>1214</v>
      </c>
      <c r="F420" s="580"/>
      <c r="G420" s="497">
        <f t="shared" ref="G420:H421" si="32">G421</f>
        <v>0</v>
      </c>
      <c r="H420" s="497">
        <f t="shared" si="32"/>
        <v>0</v>
      </c>
      <c r="I420" s="526"/>
      <c r="J420" s="501"/>
    </row>
    <row r="421" spans="1:10" ht="31.5" hidden="1" x14ac:dyDescent="0.25">
      <c r="A421" s="579" t="s">
        <v>131</v>
      </c>
      <c r="B421" s="490">
        <v>903</v>
      </c>
      <c r="C421" s="580" t="s">
        <v>299</v>
      </c>
      <c r="D421" s="580" t="s">
        <v>118</v>
      </c>
      <c r="E421" s="580" t="s">
        <v>1214</v>
      </c>
      <c r="F421" s="580" t="s">
        <v>132</v>
      </c>
      <c r="G421" s="497">
        <f t="shared" si="32"/>
        <v>0</v>
      </c>
      <c r="H421" s="497">
        <f t="shared" si="32"/>
        <v>0</v>
      </c>
      <c r="I421" s="526"/>
      <c r="J421" s="501"/>
    </row>
    <row r="422" spans="1:10" ht="31.5" hidden="1" x14ac:dyDescent="0.25">
      <c r="A422" s="579" t="s">
        <v>133</v>
      </c>
      <c r="B422" s="490">
        <v>903</v>
      </c>
      <c r="C422" s="580" t="s">
        <v>299</v>
      </c>
      <c r="D422" s="580" t="s">
        <v>118</v>
      </c>
      <c r="E422" s="580" t="s">
        <v>1214</v>
      </c>
      <c r="F422" s="580" t="s">
        <v>134</v>
      </c>
      <c r="G422" s="497"/>
      <c r="H422" s="497"/>
      <c r="I422" s="526"/>
      <c r="J422" s="501"/>
    </row>
    <row r="423" spans="1:10" ht="47.25" x14ac:dyDescent="0.25">
      <c r="A423" s="34" t="s">
        <v>1434</v>
      </c>
      <c r="B423" s="491">
        <v>903</v>
      </c>
      <c r="C423" s="495" t="s">
        <v>299</v>
      </c>
      <c r="D423" s="495" t="s">
        <v>118</v>
      </c>
      <c r="E423" s="495" t="s">
        <v>324</v>
      </c>
      <c r="F423" s="495"/>
      <c r="G423" s="493">
        <f>G425</f>
        <v>10</v>
      </c>
      <c r="H423" s="493">
        <f>H425</f>
        <v>10</v>
      </c>
      <c r="I423" s="526"/>
      <c r="J423" s="501"/>
    </row>
    <row r="424" spans="1:10" ht="47.25" x14ac:dyDescent="0.25">
      <c r="A424" s="34" t="s">
        <v>1025</v>
      </c>
      <c r="B424" s="491">
        <v>903</v>
      </c>
      <c r="C424" s="495" t="s">
        <v>299</v>
      </c>
      <c r="D424" s="495" t="s">
        <v>118</v>
      </c>
      <c r="E424" s="495" t="s">
        <v>934</v>
      </c>
      <c r="F424" s="495"/>
      <c r="G424" s="493">
        <f>G427</f>
        <v>10</v>
      </c>
      <c r="H424" s="493">
        <f>H427</f>
        <v>10</v>
      </c>
      <c r="I424" s="526"/>
      <c r="J424" s="501"/>
    </row>
    <row r="425" spans="1:10" ht="47.25" x14ac:dyDescent="0.25">
      <c r="A425" s="31" t="s">
        <v>1080</v>
      </c>
      <c r="B425" s="490">
        <v>903</v>
      </c>
      <c r="C425" s="580" t="s">
        <v>299</v>
      </c>
      <c r="D425" s="580" t="s">
        <v>118</v>
      </c>
      <c r="E425" s="580" t="s">
        <v>1026</v>
      </c>
      <c r="F425" s="580"/>
      <c r="G425" s="497">
        <f>G426</f>
        <v>10</v>
      </c>
      <c r="H425" s="497">
        <f>H426</f>
        <v>10</v>
      </c>
      <c r="I425" s="526"/>
      <c r="J425" s="501"/>
    </row>
    <row r="426" spans="1:10" ht="31.5" x14ac:dyDescent="0.25">
      <c r="A426" s="579" t="s">
        <v>131</v>
      </c>
      <c r="B426" s="490">
        <v>903</v>
      </c>
      <c r="C426" s="580" t="s">
        <v>299</v>
      </c>
      <c r="D426" s="580" t="s">
        <v>118</v>
      </c>
      <c r="E426" s="580" t="s">
        <v>1026</v>
      </c>
      <c r="F426" s="580" t="s">
        <v>132</v>
      </c>
      <c r="G426" s="497">
        <f>G427</f>
        <v>10</v>
      </c>
      <c r="H426" s="497">
        <f>H427</f>
        <v>10</v>
      </c>
      <c r="I426" s="526"/>
      <c r="J426" s="501"/>
    </row>
    <row r="427" spans="1:10" ht="31.5" x14ac:dyDescent="0.25">
      <c r="A427" s="579" t="s">
        <v>133</v>
      </c>
      <c r="B427" s="490">
        <v>903</v>
      </c>
      <c r="C427" s="580" t="s">
        <v>299</v>
      </c>
      <c r="D427" s="580" t="s">
        <v>118</v>
      </c>
      <c r="E427" s="580" t="s">
        <v>1026</v>
      </c>
      <c r="F427" s="580" t="s">
        <v>134</v>
      </c>
      <c r="G427" s="497">
        <v>10</v>
      </c>
      <c r="H427" s="497">
        <v>10</v>
      </c>
      <c r="I427" s="526"/>
      <c r="J427" s="501"/>
    </row>
    <row r="428" spans="1:10" ht="47.25" x14ac:dyDescent="0.25">
      <c r="A428" s="572" t="s">
        <v>1341</v>
      </c>
      <c r="B428" s="491">
        <v>903</v>
      </c>
      <c r="C428" s="495" t="s">
        <v>299</v>
      </c>
      <c r="D428" s="495" t="s">
        <v>118</v>
      </c>
      <c r="E428" s="495" t="s">
        <v>705</v>
      </c>
      <c r="F428" s="504"/>
      <c r="G428" s="493">
        <f t="shared" ref="G428:H431" si="33">G429</f>
        <v>878.7</v>
      </c>
      <c r="H428" s="493">
        <f t="shared" si="33"/>
        <v>878.7</v>
      </c>
      <c r="I428" s="526"/>
      <c r="J428" s="501"/>
    </row>
    <row r="429" spans="1:10" ht="47.25" x14ac:dyDescent="0.25">
      <c r="A429" s="572" t="s">
        <v>890</v>
      </c>
      <c r="B429" s="491">
        <v>903</v>
      </c>
      <c r="C429" s="495" t="s">
        <v>299</v>
      </c>
      <c r="D429" s="495" t="s">
        <v>118</v>
      </c>
      <c r="E429" s="495" t="s">
        <v>888</v>
      </c>
      <c r="F429" s="504"/>
      <c r="G429" s="493">
        <f t="shared" si="33"/>
        <v>878.7</v>
      </c>
      <c r="H429" s="493">
        <f t="shared" si="33"/>
        <v>878.7</v>
      </c>
      <c r="I429" s="526"/>
      <c r="J429" s="501"/>
    </row>
    <row r="430" spans="1:10" ht="31.5" x14ac:dyDescent="0.25">
      <c r="A430" s="98" t="s">
        <v>1022</v>
      </c>
      <c r="B430" s="490">
        <v>903</v>
      </c>
      <c r="C430" s="580" t="s">
        <v>299</v>
      </c>
      <c r="D430" s="580" t="s">
        <v>118</v>
      </c>
      <c r="E430" s="580" t="s">
        <v>889</v>
      </c>
      <c r="F430" s="498"/>
      <c r="G430" s="497">
        <f t="shared" si="33"/>
        <v>878.7</v>
      </c>
      <c r="H430" s="497">
        <f t="shared" si="33"/>
        <v>878.7</v>
      </c>
      <c r="I430" s="526"/>
      <c r="J430" s="501"/>
    </row>
    <row r="431" spans="1:10" ht="31.5" x14ac:dyDescent="0.25">
      <c r="A431" s="579" t="s">
        <v>131</v>
      </c>
      <c r="B431" s="490">
        <v>903</v>
      </c>
      <c r="C431" s="580" t="s">
        <v>299</v>
      </c>
      <c r="D431" s="580" t="s">
        <v>118</v>
      </c>
      <c r="E431" s="580" t="s">
        <v>889</v>
      </c>
      <c r="F431" s="498" t="s">
        <v>132</v>
      </c>
      <c r="G431" s="497">
        <f t="shared" si="33"/>
        <v>878.7</v>
      </c>
      <c r="H431" s="497">
        <f t="shared" si="33"/>
        <v>878.7</v>
      </c>
      <c r="I431" s="526"/>
      <c r="J431" s="501"/>
    </row>
    <row r="432" spans="1:10" ht="31.5" x14ac:dyDescent="0.25">
      <c r="A432" s="579" t="s">
        <v>133</v>
      </c>
      <c r="B432" s="490">
        <v>903</v>
      </c>
      <c r="C432" s="580" t="s">
        <v>299</v>
      </c>
      <c r="D432" s="580" t="s">
        <v>118</v>
      </c>
      <c r="E432" s="580" t="s">
        <v>889</v>
      </c>
      <c r="F432" s="498" t="s">
        <v>134</v>
      </c>
      <c r="G432" s="497">
        <v>878.7</v>
      </c>
      <c r="H432" s="497">
        <v>878.7</v>
      </c>
      <c r="I432" s="526"/>
      <c r="J432" s="501"/>
    </row>
    <row r="433" spans="1:10" ht="15.75" x14ac:dyDescent="0.25">
      <c r="A433" s="494" t="s">
        <v>333</v>
      </c>
      <c r="B433" s="491">
        <v>903</v>
      </c>
      <c r="C433" s="495" t="s">
        <v>299</v>
      </c>
      <c r="D433" s="495" t="s">
        <v>150</v>
      </c>
      <c r="E433" s="495"/>
      <c r="F433" s="495"/>
      <c r="G433" s="493">
        <f>G434+G447+G463+G469</f>
        <v>22162.739999999998</v>
      </c>
      <c r="H433" s="493">
        <f>H434+H447+H463+H469</f>
        <v>22166.739999999998</v>
      </c>
      <c r="I433" s="526"/>
      <c r="J433" s="501"/>
    </row>
    <row r="434" spans="1:10" ht="31.5" x14ac:dyDescent="0.25">
      <c r="A434" s="494" t="s">
        <v>917</v>
      </c>
      <c r="B434" s="491">
        <v>903</v>
      </c>
      <c r="C434" s="495" t="s">
        <v>299</v>
      </c>
      <c r="D434" s="495" t="s">
        <v>150</v>
      </c>
      <c r="E434" s="495" t="s">
        <v>858</v>
      </c>
      <c r="F434" s="495"/>
      <c r="G434" s="493">
        <f>G435</f>
        <v>9105.7999999999993</v>
      </c>
      <c r="H434" s="493">
        <f>H435</f>
        <v>9105.7999999999993</v>
      </c>
      <c r="I434" s="526"/>
      <c r="J434" s="501"/>
    </row>
    <row r="435" spans="1:10" ht="15.75" x14ac:dyDescent="0.25">
      <c r="A435" s="494" t="s">
        <v>918</v>
      </c>
      <c r="B435" s="491">
        <v>903</v>
      </c>
      <c r="C435" s="495" t="s">
        <v>299</v>
      </c>
      <c r="D435" s="495" t="s">
        <v>150</v>
      </c>
      <c r="E435" s="495" t="s">
        <v>859</v>
      </c>
      <c r="F435" s="495"/>
      <c r="G435" s="493">
        <f>G436+G444+G441</f>
        <v>9105.7999999999993</v>
      </c>
      <c r="H435" s="493">
        <f>H436+H444+H441</f>
        <v>9105.7999999999993</v>
      </c>
      <c r="I435" s="526"/>
      <c r="J435" s="501"/>
    </row>
    <row r="436" spans="1:10" ht="31.5" x14ac:dyDescent="0.25">
      <c r="A436" s="579" t="s">
        <v>897</v>
      </c>
      <c r="B436" s="490">
        <v>903</v>
      </c>
      <c r="C436" s="580" t="s">
        <v>299</v>
      </c>
      <c r="D436" s="580" t="s">
        <v>150</v>
      </c>
      <c r="E436" s="580" t="s">
        <v>860</v>
      </c>
      <c r="F436" s="580"/>
      <c r="G436" s="497">
        <f>G437+G439</f>
        <v>7689.7</v>
      </c>
      <c r="H436" s="497">
        <f>H437+H439</f>
        <v>7689.7</v>
      </c>
      <c r="I436" s="526"/>
      <c r="J436" s="501"/>
    </row>
    <row r="437" spans="1:10" ht="63" x14ac:dyDescent="0.25">
      <c r="A437" s="579" t="s">
        <v>127</v>
      </c>
      <c r="B437" s="490">
        <v>903</v>
      </c>
      <c r="C437" s="580" t="s">
        <v>299</v>
      </c>
      <c r="D437" s="580" t="s">
        <v>150</v>
      </c>
      <c r="E437" s="580" t="s">
        <v>860</v>
      </c>
      <c r="F437" s="580" t="s">
        <v>128</v>
      </c>
      <c r="G437" s="497">
        <f>G438</f>
        <v>7689.7</v>
      </c>
      <c r="H437" s="497">
        <f>H438</f>
        <v>7689.7</v>
      </c>
      <c r="I437" s="526"/>
      <c r="J437" s="501"/>
    </row>
    <row r="438" spans="1:10" ht="31.5" x14ac:dyDescent="0.25">
      <c r="A438" s="579" t="s">
        <v>129</v>
      </c>
      <c r="B438" s="490">
        <v>903</v>
      </c>
      <c r="C438" s="580" t="s">
        <v>299</v>
      </c>
      <c r="D438" s="580" t="s">
        <v>150</v>
      </c>
      <c r="E438" s="580" t="s">
        <v>860</v>
      </c>
      <c r="F438" s="580" t="s">
        <v>130</v>
      </c>
      <c r="G438" s="27">
        <v>7689.7</v>
      </c>
      <c r="H438" s="27">
        <f>G438</f>
        <v>7689.7</v>
      </c>
      <c r="I438" s="526"/>
      <c r="J438" s="526"/>
    </row>
    <row r="439" spans="1:10" ht="31.5" hidden="1" x14ac:dyDescent="0.25">
      <c r="A439" s="579" t="s">
        <v>131</v>
      </c>
      <c r="B439" s="490">
        <v>903</v>
      </c>
      <c r="C439" s="580" t="s">
        <v>299</v>
      </c>
      <c r="D439" s="580" t="s">
        <v>150</v>
      </c>
      <c r="E439" s="580" t="s">
        <v>860</v>
      </c>
      <c r="F439" s="580" t="s">
        <v>132</v>
      </c>
      <c r="G439" s="497">
        <f>G440</f>
        <v>0</v>
      </c>
      <c r="H439" s="497">
        <f>H440</f>
        <v>0</v>
      </c>
      <c r="I439" s="526"/>
      <c r="J439" s="501"/>
    </row>
    <row r="440" spans="1:10" ht="31.5" hidden="1" x14ac:dyDescent="0.25">
      <c r="A440" s="579" t="s">
        <v>133</v>
      </c>
      <c r="B440" s="490">
        <v>903</v>
      </c>
      <c r="C440" s="580" t="s">
        <v>299</v>
      </c>
      <c r="D440" s="580" t="s">
        <v>150</v>
      </c>
      <c r="E440" s="580" t="s">
        <v>860</v>
      </c>
      <c r="F440" s="580" t="s">
        <v>134</v>
      </c>
      <c r="G440" s="497"/>
      <c r="H440" s="497"/>
      <c r="I440" s="526"/>
      <c r="J440" s="501"/>
    </row>
    <row r="441" spans="1:10" ht="31.5" x14ac:dyDescent="0.25">
      <c r="A441" s="579" t="s">
        <v>840</v>
      </c>
      <c r="B441" s="490">
        <v>903</v>
      </c>
      <c r="C441" s="580" t="s">
        <v>299</v>
      </c>
      <c r="D441" s="580" t="s">
        <v>150</v>
      </c>
      <c r="E441" s="580" t="s">
        <v>861</v>
      </c>
      <c r="F441" s="580"/>
      <c r="G441" s="497">
        <f>G442</f>
        <v>986.1</v>
      </c>
      <c r="H441" s="497">
        <f>H442</f>
        <v>986.1</v>
      </c>
      <c r="I441" s="526"/>
      <c r="J441" s="501"/>
    </row>
    <row r="442" spans="1:10" ht="63" x14ac:dyDescent="0.25">
      <c r="A442" s="579" t="s">
        <v>127</v>
      </c>
      <c r="B442" s="490">
        <v>903</v>
      </c>
      <c r="C442" s="580" t="s">
        <v>299</v>
      </c>
      <c r="D442" s="580" t="s">
        <v>150</v>
      </c>
      <c r="E442" s="580" t="s">
        <v>861</v>
      </c>
      <c r="F442" s="580" t="s">
        <v>128</v>
      </c>
      <c r="G442" s="497">
        <f>G443</f>
        <v>986.1</v>
      </c>
      <c r="H442" s="497">
        <f>H443</f>
        <v>986.1</v>
      </c>
      <c r="I442" s="526"/>
      <c r="J442" s="501"/>
    </row>
    <row r="443" spans="1:10" ht="31.5" x14ac:dyDescent="0.25">
      <c r="A443" s="579" t="s">
        <v>129</v>
      </c>
      <c r="B443" s="490">
        <v>903</v>
      </c>
      <c r="C443" s="580" t="s">
        <v>299</v>
      </c>
      <c r="D443" s="580" t="s">
        <v>150</v>
      </c>
      <c r="E443" s="580" t="s">
        <v>861</v>
      </c>
      <c r="F443" s="580" t="s">
        <v>130</v>
      </c>
      <c r="G443" s="497">
        <v>986.1</v>
      </c>
      <c r="H443" s="497">
        <f>G443</f>
        <v>986.1</v>
      </c>
      <c r="I443" s="526"/>
      <c r="J443" s="501"/>
    </row>
    <row r="444" spans="1:10" ht="31.5" x14ac:dyDescent="0.25">
      <c r="A444" s="579" t="s">
        <v>839</v>
      </c>
      <c r="B444" s="490">
        <v>903</v>
      </c>
      <c r="C444" s="580" t="s">
        <v>299</v>
      </c>
      <c r="D444" s="580" t="s">
        <v>150</v>
      </c>
      <c r="E444" s="580" t="s">
        <v>862</v>
      </c>
      <c r="F444" s="580"/>
      <c r="G444" s="497">
        <f>G445</f>
        <v>430</v>
      </c>
      <c r="H444" s="497">
        <f>H445</f>
        <v>430</v>
      </c>
      <c r="I444" s="526"/>
      <c r="J444" s="501"/>
    </row>
    <row r="445" spans="1:10" ht="63" x14ac:dyDescent="0.25">
      <c r="A445" s="579" t="s">
        <v>127</v>
      </c>
      <c r="B445" s="490">
        <v>903</v>
      </c>
      <c r="C445" s="580" t="s">
        <v>299</v>
      </c>
      <c r="D445" s="580" t="s">
        <v>150</v>
      </c>
      <c r="E445" s="580" t="s">
        <v>862</v>
      </c>
      <c r="F445" s="580" t="s">
        <v>128</v>
      </c>
      <c r="G445" s="497">
        <f>G446</f>
        <v>430</v>
      </c>
      <c r="H445" s="497">
        <f>H446</f>
        <v>430</v>
      </c>
      <c r="I445" s="526"/>
      <c r="J445" s="501"/>
    </row>
    <row r="446" spans="1:10" ht="31.5" x14ac:dyDescent="0.25">
      <c r="A446" s="579" t="s">
        <v>129</v>
      </c>
      <c r="B446" s="490">
        <v>903</v>
      </c>
      <c r="C446" s="580" t="s">
        <v>299</v>
      </c>
      <c r="D446" s="580" t="s">
        <v>150</v>
      </c>
      <c r="E446" s="580" t="s">
        <v>862</v>
      </c>
      <c r="F446" s="580" t="s">
        <v>130</v>
      </c>
      <c r="G446" s="497">
        <v>430</v>
      </c>
      <c r="H446" s="497">
        <v>430</v>
      </c>
      <c r="I446" s="526"/>
      <c r="J446" s="501"/>
    </row>
    <row r="447" spans="1:10" ht="15.75" x14ac:dyDescent="0.25">
      <c r="A447" s="494" t="s">
        <v>926</v>
      </c>
      <c r="B447" s="491">
        <v>903</v>
      </c>
      <c r="C447" s="495" t="s">
        <v>299</v>
      </c>
      <c r="D447" s="495" t="s">
        <v>150</v>
      </c>
      <c r="E447" s="495" t="s">
        <v>866</v>
      </c>
      <c r="F447" s="495"/>
      <c r="G447" s="493">
        <f>G452+G448</f>
        <v>12796.939999999999</v>
      </c>
      <c r="H447" s="493">
        <f>H452+H448</f>
        <v>12796.939999999999</v>
      </c>
      <c r="I447" s="526"/>
      <c r="J447" s="501"/>
    </row>
    <row r="448" spans="1:10" ht="31.5" hidden="1" x14ac:dyDescent="0.25">
      <c r="A448" s="34" t="s">
        <v>870</v>
      </c>
      <c r="B448" s="491">
        <v>903</v>
      </c>
      <c r="C448" s="495" t="s">
        <v>299</v>
      </c>
      <c r="D448" s="495" t="s">
        <v>150</v>
      </c>
      <c r="E448" s="495" t="s">
        <v>865</v>
      </c>
      <c r="F448" s="495"/>
      <c r="G448" s="493">
        <f t="shared" ref="G448:H450" si="34">G449</f>
        <v>0</v>
      </c>
      <c r="H448" s="493">
        <f t="shared" si="34"/>
        <v>0</v>
      </c>
      <c r="I448" s="526"/>
      <c r="J448" s="501"/>
    </row>
    <row r="449" spans="1:11" ht="50.25" hidden="1" customHeight="1" x14ac:dyDescent="0.25">
      <c r="A449" s="31" t="s">
        <v>1664</v>
      </c>
      <c r="B449" s="490">
        <v>903</v>
      </c>
      <c r="C449" s="580" t="s">
        <v>299</v>
      </c>
      <c r="D449" s="580" t="s">
        <v>150</v>
      </c>
      <c r="E449" s="580" t="s">
        <v>1663</v>
      </c>
      <c r="F449" s="580"/>
      <c r="G449" s="497">
        <f t="shared" si="34"/>
        <v>0</v>
      </c>
      <c r="H449" s="497">
        <f t="shared" si="34"/>
        <v>0</v>
      </c>
      <c r="I449" s="526"/>
      <c r="J449" s="501"/>
    </row>
    <row r="450" spans="1:11" ht="31.5" hidden="1" x14ac:dyDescent="0.25">
      <c r="A450" s="579" t="s">
        <v>131</v>
      </c>
      <c r="B450" s="490">
        <v>903</v>
      </c>
      <c r="C450" s="580" t="s">
        <v>299</v>
      </c>
      <c r="D450" s="580" t="s">
        <v>150</v>
      </c>
      <c r="E450" s="580" t="s">
        <v>1663</v>
      </c>
      <c r="F450" s="580" t="s">
        <v>132</v>
      </c>
      <c r="G450" s="497">
        <f t="shared" si="34"/>
        <v>0</v>
      </c>
      <c r="H450" s="497">
        <f t="shared" si="34"/>
        <v>0</v>
      </c>
      <c r="I450" s="526"/>
      <c r="J450" s="501"/>
    </row>
    <row r="451" spans="1:11" ht="31.5" hidden="1" x14ac:dyDescent="0.25">
      <c r="A451" s="579" t="s">
        <v>133</v>
      </c>
      <c r="B451" s="490">
        <v>903</v>
      </c>
      <c r="C451" s="580" t="s">
        <v>299</v>
      </c>
      <c r="D451" s="580" t="s">
        <v>150</v>
      </c>
      <c r="E451" s="580" t="s">
        <v>1663</v>
      </c>
      <c r="F451" s="580" t="s">
        <v>134</v>
      </c>
      <c r="G451" s="497"/>
      <c r="H451" s="497"/>
      <c r="I451" s="526"/>
      <c r="J451" s="501"/>
    </row>
    <row r="452" spans="1:11" ht="15.75" x14ac:dyDescent="0.25">
      <c r="A452" s="494" t="s">
        <v>1713</v>
      </c>
      <c r="B452" s="491">
        <v>903</v>
      </c>
      <c r="C452" s="495" t="s">
        <v>299</v>
      </c>
      <c r="D452" s="495" t="s">
        <v>150</v>
      </c>
      <c r="E452" s="495" t="s">
        <v>953</v>
      </c>
      <c r="F452" s="495"/>
      <c r="G452" s="493">
        <f>G453+G456</f>
        <v>12796.939999999999</v>
      </c>
      <c r="H452" s="493">
        <f>H453+H456</f>
        <v>12796.939999999999</v>
      </c>
      <c r="I452" s="526"/>
      <c r="J452" s="501"/>
    </row>
    <row r="453" spans="1:11" ht="31.5" x14ac:dyDescent="0.25">
      <c r="A453" s="579" t="s">
        <v>839</v>
      </c>
      <c r="B453" s="490">
        <v>903</v>
      </c>
      <c r="C453" s="580" t="s">
        <v>299</v>
      </c>
      <c r="D453" s="580" t="s">
        <v>150</v>
      </c>
      <c r="E453" s="580" t="s">
        <v>956</v>
      </c>
      <c r="F453" s="580"/>
      <c r="G453" s="497">
        <f>G454</f>
        <v>215</v>
      </c>
      <c r="H453" s="497">
        <f>H454</f>
        <v>215</v>
      </c>
      <c r="I453" s="526"/>
      <c r="J453" s="501"/>
    </row>
    <row r="454" spans="1:11" ht="63" x14ac:dyDescent="0.25">
      <c r="A454" s="579" t="s">
        <v>127</v>
      </c>
      <c r="B454" s="490">
        <v>903</v>
      </c>
      <c r="C454" s="580" t="s">
        <v>299</v>
      </c>
      <c r="D454" s="580" t="s">
        <v>150</v>
      </c>
      <c r="E454" s="580" t="s">
        <v>956</v>
      </c>
      <c r="F454" s="580" t="s">
        <v>128</v>
      </c>
      <c r="G454" s="497">
        <f>G455</f>
        <v>215</v>
      </c>
      <c r="H454" s="497">
        <f>H455</f>
        <v>215</v>
      </c>
      <c r="I454" s="526"/>
      <c r="J454" s="501"/>
    </row>
    <row r="455" spans="1:11" ht="15.75" x14ac:dyDescent="0.25">
      <c r="A455" s="579" t="s">
        <v>342</v>
      </c>
      <c r="B455" s="490">
        <v>903</v>
      </c>
      <c r="C455" s="580" t="s">
        <v>299</v>
      </c>
      <c r="D455" s="580" t="s">
        <v>150</v>
      </c>
      <c r="E455" s="580" t="s">
        <v>956</v>
      </c>
      <c r="F455" s="580" t="s">
        <v>209</v>
      </c>
      <c r="G455" s="497">
        <v>215</v>
      </c>
      <c r="H455" s="497">
        <v>215</v>
      </c>
      <c r="I455" s="526"/>
      <c r="J455" s="501"/>
    </row>
    <row r="456" spans="1:11" ht="15.75" x14ac:dyDescent="0.25">
      <c r="A456" s="579" t="s">
        <v>801</v>
      </c>
      <c r="B456" s="490">
        <v>903</v>
      </c>
      <c r="C456" s="580" t="s">
        <v>299</v>
      </c>
      <c r="D456" s="580" t="s">
        <v>150</v>
      </c>
      <c r="E456" s="580" t="s">
        <v>955</v>
      </c>
      <c r="F456" s="580"/>
      <c r="G456" s="497">
        <f>G457+G459+G461</f>
        <v>12581.939999999999</v>
      </c>
      <c r="H456" s="497">
        <f>H457+H459+H461</f>
        <v>12581.939999999999</v>
      </c>
      <c r="I456" s="526"/>
      <c r="J456" s="501"/>
    </row>
    <row r="457" spans="1:11" ht="63" x14ac:dyDescent="0.25">
      <c r="A457" s="579" t="s">
        <v>127</v>
      </c>
      <c r="B457" s="490">
        <v>903</v>
      </c>
      <c r="C457" s="580" t="s">
        <v>299</v>
      </c>
      <c r="D457" s="580" t="s">
        <v>150</v>
      </c>
      <c r="E457" s="580" t="s">
        <v>955</v>
      </c>
      <c r="F457" s="580" t="s">
        <v>128</v>
      </c>
      <c r="G457" s="497">
        <f>G458</f>
        <v>10677.8</v>
      </c>
      <c r="H457" s="497">
        <f>H458</f>
        <v>10677.8</v>
      </c>
      <c r="I457" s="526"/>
      <c r="J457" s="501"/>
    </row>
    <row r="458" spans="1:11" ht="21.2" customHeight="1" x14ac:dyDescent="0.25">
      <c r="A458" s="579" t="s">
        <v>342</v>
      </c>
      <c r="B458" s="490">
        <v>903</v>
      </c>
      <c r="C458" s="580" t="s">
        <v>299</v>
      </c>
      <c r="D458" s="580" t="s">
        <v>150</v>
      </c>
      <c r="E458" s="580" t="s">
        <v>955</v>
      </c>
      <c r="F458" s="580" t="s">
        <v>209</v>
      </c>
      <c r="G458" s="27">
        <v>10677.8</v>
      </c>
      <c r="H458" s="27">
        <f>G458</f>
        <v>10677.8</v>
      </c>
      <c r="I458" s="526"/>
      <c r="J458" s="526"/>
      <c r="K458" s="537"/>
    </row>
    <row r="459" spans="1:11" ht="31.5" x14ac:dyDescent="0.25">
      <c r="A459" s="579" t="s">
        <v>131</v>
      </c>
      <c r="B459" s="490">
        <v>903</v>
      </c>
      <c r="C459" s="580" t="s">
        <v>299</v>
      </c>
      <c r="D459" s="580" t="s">
        <v>150</v>
      </c>
      <c r="E459" s="580" t="s">
        <v>955</v>
      </c>
      <c r="F459" s="580" t="s">
        <v>132</v>
      </c>
      <c r="G459" s="497">
        <f>G460</f>
        <v>1890.14</v>
      </c>
      <c r="H459" s="497">
        <f>H460</f>
        <v>1890.14</v>
      </c>
      <c r="I459" s="526"/>
      <c r="J459" s="501"/>
    </row>
    <row r="460" spans="1:11" ht="31.5" x14ac:dyDescent="0.25">
      <c r="A460" s="579" t="s">
        <v>133</v>
      </c>
      <c r="B460" s="490">
        <v>903</v>
      </c>
      <c r="C460" s="580" t="s">
        <v>299</v>
      </c>
      <c r="D460" s="580" t="s">
        <v>150</v>
      </c>
      <c r="E460" s="580" t="s">
        <v>955</v>
      </c>
      <c r="F460" s="580" t="s">
        <v>134</v>
      </c>
      <c r="G460" s="27">
        <v>1890.14</v>
      </c>
      <c r="H460" s="27">
        <v>1890.14</v>
      </c>
      <c r="I460" s="526"/>
      <c r="J460" s="501"/>
      <c r="K460" s="537"/>
    </row>
    <row r="461" spans="1:11" ht="15.75" x14ac:dyDescent="0.25">
      <c r="A461" s="579" t="s">
        <v>135</v>
      </c>
      <c r="B461" s="490">
        <v>903</v>
      </c>
      <c r="C461" s="580" t="s">
        <v>299</v>
      </c>
      <c r="D461" s="580" t="s">
        <v>150</v>
      </c>
      <c r="E461" s="580" t="s">
        <v>955</v>
      </c>
      <c r="F461" s="580" t="s">
        <v>145</v>
      </c>
      <c r="G461" s="497">
        <f>G462</f>
        <v>14</v>
      </c>
      <c r="H461" s="497">
        <f>H462</f>
        <v>14</v>
      </c>
      <c r="I461" s="526"/>
      <c r="J461" s="501"/>
    </row>
    <row r="462" spans="1:11" ht="15.75" x14ac:dyDescent="0.25">
      <c r="A462" s="579" t="s">
        <v>568</v>
      </c>
      <c r="B462" s="490">
        <v>903</v>
      </c>
      <c r="C462" s="580" t="s">
        <v>299</v>
      </c>
      <c r="D462" s="580" t="s">
        <v>150</v>
      </c>
      <c r="E462" s="580" t="s">
        <v>955</v>
      </c>
      <c r="F462" s="580" t="s">
        <v>138</v>
      </c>
      <c r="G462" s="497">
        <v>14</v>
      </c>
      <c r="H462" s="497">
        <v>14</v>
      </c>
      <c r="I462" s="526"/>
      <c r="J462" s="501"/>
    </row>
    <row r="463" spans="1:11" ht="48.2" customHeight="1" x14ac:dyDescent="0.25">
      <c r="A463" s="494" t="s">
        <v>1347</v>
      </c>
      <c r="B463" s="491">
        <v>903</v>
      </c>
      <c r="C463" s="495" t="s">
        <v>299</v>
      </c>
      <c r="D463" s="495" t="s">
        <v>150</v>
      </c>
      <c r="E463" s="495" t="s">
        <v>344</v>
      </c>
      <c r="F463" s="495"/>
      <c r="G463" s="493">
        <f t="shared" ref="G463:H467" si="35">G464</f>
        <v>260</v>
      </c>
      <c r="H463" s="493">
        <f t="shared" si="35"/>
        <v>260</v>
      </c>
      <c r="I463" s="526"/>
      <c r="J463" s="501"/>
    </row>
    <row r="464" spans="1:11" ht="31.5" x14ac:dyDescent="0.25">
      <c r="A464" s="494" t="s">
        <v>1353</v>
      </c>
      <c r="B464" s="491">
        <v>903</v>
      </c>
      <c r="C464" s="495" t="s">
        <v>299</v>
      </c>
      <c r="D464" s="495" t="s">
        <v>150</v>
      </c>
      <c r="E464" s="495" t="s">
        <v>362</v>
      </c>
      <c r="F464" s="495"/>
      <c r="G464" s="493">
        <f t="shared" si="35"/>
        <v>260</v>
      </c>
      <c r="H464" s="493">
        <f t="shared" si="35"/>
        <v>260</v>
      </c>
      <c r="I464" s="526"/>
      <c r="J464" s="501"/>
    </row>
    <row r="465" spans="1:10" ht="31.5" x14ac:dyDescent="0.25">
      <c r="A465" s="494" t="s">
        <v>997</v>
      </c>
      <c r="B465" s="491">
        <v>903</v>
      </c>
      <c r="C465" s="495" t="s">
        <v>299</v>
      </c>
      <c r="D465" s="495" t="s">
        <v>150</v>
      </c>
      <c r="E465" s="495" t="s">
        <v>1221</v>
      </c>
      <c r="F465" s="495"/>
      <c r="G465" s="493">
        <f t="shared" si="35"/>
        <v>260</v>
      </c>
      <c r="H465" s="493">
        <f t="shared" si="35"/>
        <v>260</v>
      </c>
      <c r="I465" s="526"/>
      <c r="J465" s="501"/>
    </row>
    <row r="466" spans="1:10" ht="15.75" x14ac:dyDescent="0.25">
      <c r="A466" s="579" t="s">
        <v>996</v>
      </c>
      <c r="B466" s="490">
        <v>903</v>
      </c>
      <c r="C466" s="580" t="s">
        <v>299</v>
      </c>
      <c r="D466" s="580" t="s">
        <v>150</v>
      </c>
      <c r="E466" s="580" t="s">
        <v>1222</v>
      </c>
      <c r="F466" s="580"/>
      <c r="G466" s="497">
        <f t="shared" si="35"/>
        <v>260</v>
      </c>
      <c r="H466" s="497">
        <f t="shared" si="35"/>
        <v>260</v>
      </c>
      <c r="I466" s="526"/>
      <c r="J466" s="501"/>
    </row>
    <row r="467" spans="1:10" ht="31.5" x14ac:dyDescent="0.25">
      <c r="A467" s="579" t="s">
        <v>131</v>
      </c>
      <c r="B467" s="490">
        <v>903</v>
      </c>
      <c r="C467" s="580" t="s">
        <v>299</v>
      </c>
      <c r="D467" s="580" t="s">
        <v>150</v>
      </c>
      <c r="E467" s="580" t="s">
        <v>1222</v>
      </c>
      <c r="F467" s="580" t="s">
        <v>132</v>
      </c>
      <c r="G467" s="497">
        <f t="shared" si="35"/>
        <v>260</v>
      </c>
      <c r="H467" s="497">
        <f t="shared" si="35"/>
        <v>260</v>
      </c>
      <c r="I467" s="526"/>
      <c r="J467" s="501"/>
    </row>
    <row r="468" spans="1:10" ht="31.5" x14ac:dyDescent="0.25">
      <c r="A468" s="579" t="s">
        <v>133</v>
      </c>
      <c r="B468" s="490">
        <v>903</v>
      </c>
      <c r="C468" s="580" t="s">
        <v>299</v>
      </c>
      <c r="D468" s="580" t="s">
        <v>150</v>
      </c>
      <c r="E468" s="580" t="s">
        <v>1222</v>
      </c>
      <c r="F468" s="580" t="s">
        <v>134</v>
      </c>
      <c r="G468" s="497">
        <v>260</v>
      </c>
      <c r="H468" s="497">
        <v>260</v>
      </c>
      <c r="I468" s="526"/>
      <c r="J468" s="501"/>
    </row>
    <row r="469" spans="1:10" ht="47.25" x14ac:dyDescent="0.25">
      <c r="A469" s="34" t="s">
        <v>1357</v>
      </c>
      <c r="B469" s="491">
        <v>903</v>
      </c>
      <c r="C469" s="495" t="s">
        <v>299</v>
      </c>
      <c r="D469" s="495" t="s">
        <v>150</v>
      </c>
      <c r="E469" s="495" t="s">
        <v>324</v>
      </c>
      <c r="F469" s="495"/>
      <c r="G469" s="493">
        <f>G471</f>
        <v>0</v>
      </c>
      <c r="H469" s="493">
        <f>H471</f>
        <v>4</v>
      </c>
      <c r="I469" s="526"/>
      <c r="J469" s="501"/>
    </row>
    <row r="470" spans="1:10" ht="47.25" x14ac:dyDescent="0.25">
      <c r="A470" s="34" t="s">
        <v>1025</v>
      </c>
      <c r="B470" s="491">
        <v>903</v>
      </c>
      <c r="C470" s="495" t="s">
        <v>299</v>
      </c>
      <c r="D470" s="495" t="s">
        <v>150</v>
      </c>
      <c r="E470" s="495" t="s">
        <v>934</v>
      </c>
      <c r="F470" s="495"/>
      <c r="G470" s="493">
        <f>G473</f>
        <v>0</v>
      </c>
      <c r="H470" s="493">
        <f>H473</f>
        <v>4</v>
      </c>
      <c r="I470" s="526"/>
      <c r="J470" s="501"/>
    </row>
    <row r="471" spans="1:10" ht="47.25" x14ac:dyDescent="0.25">
      <c r="A471" s="31" t="s">
        <v>1080</v>
      </c>
      <c r="B471" s="490">
        <v>903</v>
      </c>
      <c r="C471" s="580" t="s">
        <v>299</v>
      </c>
      <c r="D471" s="580" t="s">
        <v>150</v>
      </c>
      <c r="E471" s="580" t="s">
        <v>1026</v>
      </c>
      <c r="F471" s="580"/>
      <c r="G471" s="497">
        <f>G472</f>
        <v>0</v>
      </c>
      <c r="H471" s="497">
        <f>H472</f>
        <v>4</v>
      </c>
      <c r="I471" s="526"/>
      <c r="J471" s="501"/>
    </row>
    <row r="472" spans="1:10" ht="31.5" x14ac:dyDescent="0.25">
      <c r="A472" s="579" t="s">
        <v>131</v>
      </c>
      <c r="B472" s="490">
        <v>903</v>
      </c>
      <c r="C472" s="580" t="s">
        <v>299</v>
      </c>
      <c r="D472" s="580" t="s">
        <v>150</v>
      </c>
      <c r="E472" s="580" t="s">
        <v>1026</v>
      </c>
      <c r="F472" s="580" t="s">
        <v>132</v>
      </c>
      <c r="G472" s="497">
        <f>G473</f>
        <v>0</v>
      </c>
      <c r="H472" s="497">
        <f>H473</f>
        <v>4</v>
      </c>
      <c r="I472" s="526"/>
      <c r="J472" s="501"/>
    </row>
    <row r="473" spans="1:10" ht="31.5" x14ac:dyDescent="0.25">
      <c r="A473" s="579" t="s">
        <v>133</v>
      </c>
      <c r="B473" s="490">
        <v>903</v>
      </c>
      <c r="C473" s="580" t="s">
        <v>299</v>
      </c>
      <c r="D473" s="580" t="s">
        <v>150</v>
      </c>
      <c r="E473" s="580" t="s">
        <v>1026</v>
      </c>
      <c r="F473" s="580" t="s">
        <v>134</v>
      </c>
      <c r="G473" s="497">
        <v>0</v>
      </c>
      <c r="H473" s="497">
        <v>4</v>
      </c>
      <c r="I473" s="526"/>
      <c r="J473" s="501"/>
    </row>
    <row r="474" spans="1:10" ht="15.75" x14ac:dyDescent="0.25">
      <c r="A474" s="494" t="s">
        <v>243</v>
      </c>
      <c r="B474" s="491">
        <v>903</v>
      </c>
      <c r="C474" s="495" t="s">
        <v>244</v>
      </c>
      <c r="D474" s="495"/>
      <c r="E474" s="495"/>
      <c r="F474" s="495"/>
      <c r="G474" s="493">
        <f>G475</f>
        <v>1560.1</v>
      </c>
      <c r="H474" s="493">
        <f>H475</f>
        <v>1524.4</v>
      </c>
      <c r="I474" s="526"/>
      <c r="J474" s="501"/>
    </row>
    <row r="475" spans="1:10" ht="15.75" x14ac:dyDescent="0.25">
      <c r="A475" s="494" t="s">
        <v>252</v>
      </c>
      <c r="B475" s="491">
        <v>903</v>
      </c>
      <c r="C475" s="495" t="s">
        <v>244</v>
      </c>
      <c r="D475" s="495" t="s">
        <v>215</v>
      </c>
      <c r="E475" s="495"/>
      <c r="F475" s="495"/>
      <c r="G475" s="493">
        <f>G476</f>
        <v>1560.1</v>
      </c>
      <c r="H475" s="493">
        <f>H476</f>
        <v>1524.4</v>
      </c>
      <c r="I475" s="526"/>
      <c r="J475" s="501"/>
    </row>
    <row r="476" spans="1:10" ht="34.9" customHeight="1" x14ac:dyDescent="0.25">
      <c r="A476" s="494" t="s">
        <v>1347</v>
      </c>
      <c r="B476" s="491">
        <v>903</v>
      </c>
      <c r="C476" s="495" t="s">
        <v>244</v>
      </c>
      <c r="D476" s="495" t="s">
        <v>215</v>
      </c>
      <c r="E476" s="495" t="s">
        <v>344</v>
      </c>
      <c r="F476" s="495"/>
      <c r="G476" s="493">
        <f>G477+G482</f>
        <v>1560.1</v>
      </c>
      <c r="H476" s="493">
        <f>H477+H482</f>
        <v>1524.4</v>
      </c>
      <c r="I476" s="526"/>
      <c r="J476" s="501"/>
    </row>
    <row r="477" spans="1:10" ht="15.75" x14ac:dyDescent="0.25">
      <c r="A477" s="494" t="s">
        <v>352</v>
      </c>
      <c r="B477" s="491">
        <v>903</v>
      </c>
      <c r="C477" s="495" t="s">
        <v>244</v>
      </c>
      <c r="D477" s="495" t="s">
        <v>215</v>
      </c>
      <c r="E477" s="495" t="s">
        <v>353</v>
      </c>
      <c r="F477" s="495"/>
      <c r="G477" s="493">
        <f t="shared" ref="G477:H480" si="36">G478</f>
        <v>253.1</v>
      </c>
      <c r="H477" s="493">
        <f t="shared" si="36"/>
        <v>217.4</v>
      </c>
      <c r="I477" s="526"/>
      <c r="J477" s="501"/>
    </row>
    <row r="478" spans="1:10" ht="33.75" customHeight="1" x14ac:dyDescent="0.25">
      <c r="A478" s="494" t="s">
        <v>905</v>
      </c>
      <c r="B478" s="491">
        <v>903</v>
      </c>
      <c r="C478" s="495" t="s">
        <v>244</v>
      </c>
      <c r="D478" s="495" t="s">
        <v>215</v>
      </c>
      <c r="E478" s="495" t="s">
        <v>904</v>
      </c>
      <c r="F478" s="495"/>
      <c r="G478" s="493">
        <f t="shared" si="36"/>
        <v>253.1</v>
      </c>
      <c r="H478" s="493">
        <f t="shared" si="36"/>
        <v>217.4</v>
      </c>
      <c r="I478" s="526"/>
      <c r="J478" s="501"/>
    </row>
    <row r="479" spans="1:10" ht="31.5" x14ac:dyDescent="0.25">
      <c r="A479" s="579" t="s">
        <v>824</v>
      </c>
      <c r="B479" s="490">
        <v>903</v>
      </c>
      <c r="C479" s="580" t="s">
        <v>244</v>
      </c>
      <c r="D479" s="580" t="s">
        <v>215</v>
      </c>
      <c r="E479" s="580" t="s">
        <v>906</v>
      </c>
      <c r="F479" s="580"/>
      <c r="G479" s="497">
        <f t="shared" si="36"/>
        <v>253.1</v>
      </c>
      <c r="H479" s="497">
        <f t="shared" si="36"/>
        <v>217.4</v>
      </c>
      <c r="I479" s="526"/>
      <c r="J479" s="501"/>
    </row>
    <row r="480" spans="1:10" ht="15.75" x14ac:dyDescent="0.25">
      <c r="A480" s="579" t="s">
        <v>248</v>
      </c>
      <c r="B480" s="490">
        <v>903</v>
      </c>
      <c r="C480" s="580" t="s">
        <v>244</v>
      </c>
      <c r="D480" s="580" t="s">
        <v>215</v>
      </c>
      <c r="E480" s="580" t="s">
        <v>906</v>
      </c>
      <c r="F480" s="580" t="s">
        <v>249</v>
      </c>
      <c r="G480" s="497">
        <f t="shared" si="36"/>
        <v>253.1</v>
      </c>
      <c r="H480" s="497">
        <f t="shared" si="36"/>
        <v>217.4</v>
      </c>
      <c r="I480" s="526"/>
      <c r="J480" s="501"/>
    </row>
    <row r="481" spans="1:10" ht="31.5" x14ac:dyDescent="0.25">
      <c r="A481" s="579" t="s">
        <v>250</v>
      </c>
      <c r="B481" s="490">
        <v>903</v>
      </c>
      <c r="C481" s="580" t="s">
        <v>244</v>
      </c>
      <c r="D481" s="580" t="s">
        <v>215</v>
      </c>
      <c r="E481" s="580" t="s">
        <v>906</v>
      </c>
      <c r="F481" s="580" t="s">
        <v>251</v>
      </c>
      <c r="G481" s="497">
        <v>253.1</v>
      </c>
      <c r="H481" s="497">
        <v>217.4</v>
      </c>
      <c r="I481" s="526"/>
      <c r="J481" s="501"/>
    </row>
    <row r="482" spans="1:10" ht="31.5" x14ac:dyDescent="0.25">
      <c r="A482" s="494" t="s">
        <v>1353</v>
      </c>
      <c r="B482" s="491">
        <v>903</v>
      </c>
      <c r="C482" s="491">
        <v>10</v>
      </c>
      <c r="D482" s="495" t="s">
        <v>215</v>
      </c>
      <c r="E482" s="495" t="s">
        <v>362</v>
      </c>
      <c r="F482" s="495"/>
      <c r="G482" s="493">
        <f>G483+G489+G495</f>
        <v>1307</v>
      </c>
      <c r="H482" s="493">
        <f>H483+H489+H495</f>
        <v>1307</v>
      </c>
      <c r="I482" s="526"/>
      <c r="J482" s="501"/>
    </row>
    <row r="483" spans="1:10" ht="31.5" x14ac:dyDescent="0.25">
      <c r="A483" s="494" t="s">
        <v>1038</v>
      </c>
      <c r="B483" s="491">
        <v>903</v>
      </c>
      <c r="C483" s="495" t="s">
        <v>244</v>
      </c>
      <c r="D483" s="495" t="s">
        <v>215</v>
      </c>
      <c r="E483" s="495" t="s">
        <v>913</v>
      </c>
      <c r="F483" s="495"/>
      <c r="G483" s="493">
        <f>G484</f>
        <v>630</v>
      </c>
      <c r="H483" s="493">
        <f>H484</f>
        <v>630</v>
      </c>
      <c r="I483" s="526"/>
      <c r="J483" s="501"/>
    </row>
    <row r="484" spans="1:10" ht="39.75" customHeight="1" x14ac:dyDescent="0.25">
      <c r="A484" s="98" t="s">
        <v>1039</v>
      </c>
      <c r="B484" s="490">
        <v>903</v>
      </c>
      <c r="C484" s="580" t="s">
        <v>244</v>
      </c>
      <c r="D484" s="580" t="s">
        <v>215</v>
      </c>
      <c r="E484" s="580" t="s">
        <v>1224</v>
      </c>
      <c r="F484" s="580"/>
      <c r="G484" s="497">
        <f>G487+G486</f>
        <v>630</v>
      </c>
      <c r="H484" s="497">
        <f>H487+H486</f>
        <v>630</v>
      </c>
      <c r="I484" s="526"/>
      <c r="J484" s="501"/>
    </row>
    <row r="485" spans="1:10" ht="31.5" hidden="1" x14ac:dyDescent="0.25">
      <c r="A485" s="579" t="s">
        <v>131</v>
      </c>
      <c r="B485" s="490">
        <v>903</v>
      </c>
      <c r="C485" s="580" t="s">
        <v>244</v>
      </c>
      <c r="D485" s="580" t="s">
        <v>215</v>
      </c>
      <c r="E485" s="580" t="s">
        <v>1224</v>
      </c>
      <c r="F485" s="580" t="s">
        <v>132</v>
      </c>
      <c r="G485" s="497">
        <f>G486</f>
        <v>0</v>
      </c>
      <c r="H485" s="497">
        <f>H486</f>
        <v>0</v>
      </c>
      <c r="I485" s="526"/>
      <c r="J485" s="501"/>
    </row>
    <row r="486" spans="1:10" ht="31.5" hidden="1" x14ac:dyDescent="0.25">
      <c r="A486" s="579" t="s">
        <v>133</v>
      </c>
      <c r="B486" s="490">
        <v>903</v>
      </c>
      <c r="C486" s="580" t="s">
        <v>244</v>
      </c>
      <c r="D486" s="580" t="s">
        <v>215</v>
      </c>
      <c r="E486" s="580" t="s">
        <v>1224</v>
      </c>
      <c r="F486" s="580" t="s">
        <v>134</v>
      </c>
      <c r="G486" s="497"/>
      <c r="H486" s="497"/>
      <c r="I486" s="526"/>
      <c r="J486" s="501"/>
    </row>
    <row r="487" spans="1:10" ht="15.75" x14ac:dyDescent="0.25">
      <c r="A487" s="579" t="s">
        <v>248</v>
      </c>
      <c r="B487" s="490">
        <v>903</v>
      </c>
      <c r="C487" s="580" t="s">
        <v>244</v>
      </c>
      <c r="D487" s="580" t="s">
        <v>215</v>
      </c>
      <c r="E487" s="580" t="s">
        <v>1224</v>
      </c>
      <c r="F487" s="580" t="s">
        <v>249</v>
      </c>
      <c r="G487" s="497">
        <f>G488</f>
        <v>630</v>
      </c>
      <c r="H487" s="497">
        <f>H488</f>
        <v>630</v>
      </c>
      <c r="I487" s="526"/>
      <c r="J487" s="501"/>
    </row>
    <row r="488" spans="1:10" ht="15.75" x14ac:dyDescent="0.25">
      <c r="A488" s="579" t="s">
        <v>348</v>
      </c>
      <c r="B488" s="490">
        <v>903</v>
      </c>
      <c r="C488" s="580" t="s">
        <v>244</v>
      </c>
      <c r="D488" s="580" t="s">
        <v>215</v>
      </c>
      <c r="E488" s="580" t="s">
        <v>1224</v>
      </c>
      <c r="F488" s="580" t="s">
        <v>349</v>
      </c>
      <c r="G488" s="497">
        <v>630</v>
      </c>
      <c r="H488" s="497">
        <v>630</v>
      </c>
      <c r="I488" s="526"/>
      <c r="J488" s="501"/>
    </row>
    <row r="489" spans="1:10" ht="31.5" x14ac:dyDescent="0.25">
      <c r="A489" s="494" t="s">
        <v>1228</v>
      </c>
      <c r="B489" s="491">
        <v>903</v>
      </c>
      <c r="C489" s="491">
        <v>10</v>
      </c>
      <c r="D489" s="495" t="s">
        <v>215</v>
      </c>
      <c r="E489" s="495" t="s">
        <v>1226</v>
      </c>
      <c r="F489" s="495"/>
      <c r="G489" s="493">
        <f>G490</f>
        <v>257</v>
      </c>
      <c r="H489" s="493">
        <f>H490</f>
        <v>257</v>
      </c>
      <c r="I489" s="526"/>
      <c r="J489" s="501"/>
    </row>
    <row r="490" spans="1:10" ht="15.75" x14ac:dyDescent="0.25">
      <c r="A490" s="579" t="s">
        <v>1225</v>
      </c>
      <c r="B490" s="490">
        <v>903</v>
      </c>
      <c r="C490" s="580" t="s">
        <v>244</v>
      </c>
      <c r="D490" s="580" t="s">
        <v>215</v>
      </c>
      <c r="E490" s="580" t="s">
        <v>1227</v>
      </c>
      <c r="F490" s="580"/>
      <c r="G490" s="497">
        <f>G492+G494</f>
        <v>257</v>
      </c>
      <c r="H490" s="497">
        <f>H492+H494</f>
        <v>257</v>
      </c>
      <c r="I490" s="526"/>
      <c r="J490" s="501"/>
    </row>
    <row r="491" spans="1:10" ht="31.5" hidden="1" x14ac:dyDescent="0.25">
      <c r="A491" s="579" t="s">
        <v>131</v>
      </c>
      <c r="B491" s="490">
        <v>903</v>
      </c>
      <c r="C491" s="580" t="s">
        <v>244</v>
      </c>
      <c r="D491" s="580" t="s">
        <v>215</v>
      </c>
      <c r="E491" s="580" t="s">
        <v>1227</v>
      </c>
      <c r="F491" s="580" t="s">
        <v>132</v>
      </c>
      <c r="G491" s="497">
        <f>G492</f>
        <v>0</v>
      </c>
      <c r="H491" s="497">
        <f>H492</f>
        <v>0</v>
      </c>
      <c r="I491" s="526"/>
      <c r="J491" s="501"/>
    </row>
    <row r="492" spans="1:10" ht="31.5" hidden="1" x14ac:dyDescent="0.25">
      <c r="A492" s="579" t="s">
        <v>133</v>
      </c>
      <c r="B492" s="490">
        <v>903</v>
      </c>
      <c r="C492" s="580" t="s">
        <v>244</v>
      </c>
      <c r="D492" s="580" t="s">
        <v>215</v>
      </c>
      <c r="E492" s="580" t="s">
        <v>1227</v>
      </c>
      <c r="F492" s="580" t="s">
        <v>134</v>
      </c>
      <c r="G492" s="497"/>
      <c r="H492" s="497"/>
      <c r="I492" s="526"/>
      <c r="J492" s="501"/>
    </row>
    <row r="493" spans="1:10" ht="15.75" x14ac:dyDescent="0.25">
      <c r="A493" s="579" t="s">
        <v>248</v>
      </c>
      <c r="B493" s="490">
        <v>903</v>
      </c>
      <c r="C493" s="580" t="s">
        <v>244</v>
      </c>
      <c r="D493" s="580" t="s">
        <v>215</v>
      </c>
      <c r="E493" s="580" t="s">
        <v>1227</v>
      </c>
      <c r="F493" s="580" t="s">
        <v>249</v>
      </c>
      <c r="G493" s="497">
        <f>G494</f>
        <v>257</v>
      </c>
      <c r="H493" s="497">
        <f>H494</f>
        <v>257</v>
      </c>
      <c r="I493" s="526"/>
      <c r="J493" s="501"/>
    </row>
    <row r="494" spans="1:10" ht="15.75" x14ac:dyDescent="0.25">
      <c r="A494" s="579" t="s">
        <v>348</v>
      </c>
      <c r="B494" s="490">
        <v>903</v>
      </c>
      <c r="C494" s="580" t="s">
        <v>244</v>
      </c>
      <c r="D494" s="580" t="s">
        <v>215</v>
      </c>
      <c r="E494" s="580" t="s">
        <v>1227</v>
      </c>
      <c r="F494" s="580" t="s">
        <v>349</v>
      </c>
      <c r="G494" s="497">
        <v>257</v>
      </c>
      <c r="H494" s="497">
        <v>257</v>
      </c>
      <c r="I494" s="526"/>
      <c r="J494" s="501"/>
    </row>
    <row r="495" spans="1:10" ht="31.5" x14ac:dyDescent="0.25">
      <c r="A495" s="494" t="s">
        <v>997</v>
      </c>
      <c r="B495" s="491">
        <v>903</v>
      </c>
      <c r="C495" s="491">
        <v>10</v>
      </c>
      <c r="D495" s="495" t="s">
        <v>215</v>
      </c>
      <c r="E495" s="495" t="s">
        <v>1221</v>
      </c>
      <c r="F495" s="495"/>
      <c r="G495" s="493">
        <f t="shared" ref="G495:H497" si="37">G496</f>
        <v>420</v>
      </c>
      <c r="H495" s="493">
        <f t="shared" si="37"/>
        <v>420</v>
      </c>
      <c r="I495" s="526"/>
      <c r="J495" s="501"/>
    </row>
    <row r="496" spans="1:10" ht="15.75" x14ac:dyDescent="0.25">
      <c r="A496" s="579" t="s">
        <v>1036</v>
      </c>
      <c r="B496" s="490">
        <v>903</v>
      </c>
      <c r="C496" s="580" t="s">
        <v>244</v>
      </c>
      <c r="D496" s="580" t="s">
        <v>215</v>
      </c>
      <c r="E496" s="580" t="s">
        <v>1223</v>
      </c>
      <c r="F496" s="580"/>
      <c r="G496" s="497">
        <f t="shared" si="37"/>
        <v>420</v>
      </c>
      <c r="H496" s="497">
        <f t="shared" si="37"/>
        <v>420</v>
      </c>
      <c r="I496" s="526"/>
      <c r="J496" s="501"/>
    </row>
    <row r="497" spans="1:10" ht="15.75" x14ac:dyDescent="0.25">
      <c r="A497" s="579" t="s">
        <v>248</v>
      </c>
      <c r="B497" s="490">
        <v>903</v>
      </c>
      <c r="C497" s="580" t="s">
        <v>244</v>
      </c>
      <c r="D497" s="580" t="s">
        <v>215</v>
      </c>
      <c r="E497" s="580" t="s">
        <v>1223</v>
      </c>
      <c r="F497" s="580" t="s">
        <v>249</v>
      </c>
      <c r="G497" s="497">
        <f t="shared" si="37"/>
        <v>420</v>
      </c>
      <c r="H497" s="497">
        <f t="shared" si="37"/>
        <v>420</v>
      </c>
      <c r="I497" s="526"/>
      <c r="J497" s="501"/>
    </row>
    <row r="498" spans="1:10" ht="15.75" x14ac:dyDescent="0.25">
      <c r="A498" s="579" t="s">
        <v>348</v>
      </c>
      <c r="B498" s="490">
        <v>903</v>
      </c>
      <c r="C498" s="580" t="s">
        <v>244</v>
      </c>
      <c r="D498" s="580" t="s">
        <v>215</v>
      </c>
      <c r="E498" s="580" t="s">
        <v>1223</v>
      </c>
      <c r="F498" s="580" t="s">
        <v>349</v>
      </c>
      <c r="G498" s="497">
        <v>420</v>
      </c>
      <c r="H498" s="497">
        <v>420</v>
      </c>
      <c r="I498" s="526"/>
      <c r="J498" s="501"/>
    </row>
    <row r="499" spans="1:10" ht="15.75" x14ac:dyDescent="0.25">
      <c r="A499" s="494" t="s">
        <v>582</v>
      </c>
      <c r="B499" s="491">
        <v>903</v>
      </c>
      <c r="C499" s="495" t="s">
        <v>238</v>
      </c>
      <c r="D499" s="580"/>
      <c r="E499" s="580"/>
      <c r="F499" s="580"/>
      <c r="G499" s="493">
        <f>G500</f>
        <v>6358.15</v>
      </c>
      <c r="H499" s="493">
        <f>H500</f>
        <v>6358.15</v>
      </c>
      <c r="I499" s="526"/>
      <c r="J499" s="501"/>
    </row>
    <row r="500" spans="1:10" ht="15.75" x14ac:dyDescent="0.25">
      <c r="A500" s="494" t="s">
        <v>583</v>
      </c>
      <c r="B500" s="491">
        <v>903</v>
      </c>
      <c r="C500" s="495" t="s">
        <v>238</v>
      </c>
      <c r="D500" s="495" t="s">
        <v>213</v>
      </c>
      <c r="E500" s="495"/>
      <c r="F500" s="495"/>
      <c r="G500" s="493">
        <f>G501+G514</f>
        <v>6358.15</v>
      </c>
      <c r="H500" s="493">
        <f>H501+H514</f>
        <v>6358.15</v>
      </c>
      <c r="I500" s="526"/>
      <c r="J500" s="501"/>
    </row>
    <row r="501" spans="1:10" ht="31.5" x14ac:dyDescent="0.25">
      <c r="A501" s="494" t="s">
        <v>1351</v>
      </c>
      <c r="B501" s="491">
        <v>903</v>
      </c>
      <c r="C501" s="495" t="s">
        <v>238</v>
      </c>
      <c r="D501" s="495" t="s">
        <v>213</v>
      </c>
      <c r="E501" s="495" t="s">
        <v>267</v>
      </c>
      <c r="F501" s="495"/>
      <c r="G501" s="493">
        <f>G502+G510</f>
        <v>6283.25</v>
      </c>
      <c r="H501" s="493">
        <f>H502+H510</f>
        <v>6283.25</v>
      </c>
      <c r="I501" s="526"/>
      <c r="J501" s="501"/>
    </row>
    <row r="502" spans="1:10" ht="31.5" x14ac:dyDescent="0.25">
      <c r="A502" s="494" t="s">
        <v>1300</v>
      </c>
      <c r="B502" s="491">
        <v>903</v>
      </c>
      <c r="C502" s="495" t="s">
        <v>238</v>
      </c>
      <c r="D502" s="495" t="s">
        <v>213</v>
      </c>
      <c r="E502" s="495" t="s">
        <v>1203</v>
      </c>
      <c r="F502" s="495"/>
      <c r="G502" s="493">
        <f>G503</f>
        <v>6025.25</v>
      </c>
      <c r="H502" s="493">
        <f>H503</f>
        <v>6025.25</v>
      </c>
      <c r="I502" s="526"/>
      <c r="J502" s="501"/>
    </row>
    <row r="503" spans="1:10" ht="15.75" x14ac:dyDescent="0.25">
      <c r="A503" s="579" t="s">
        <v>801</v>
      </c>
      <c r="B503" s="490">
        <v>903</v>
      </c>
      <c r="C503" s="580" t="s">
        <v>238</v>
      </c>
      <c r="D503" s="580" t="s">
        <v>213</v>
      </c>
      <c r="E503" s="580" t="s">
        <v>1204</v>
      </c>
      <c r="F503" s="580"/>
      <c r="G503" s="497">
        <f>G504+G506+G508</f>
        <v>6025.25</v>
      </c>
      <c r="H503" s="497">
        <f>H504+H506+H508</f>
        <v>6025.25</v>
      </c>
      <c r="I503" s="526"/>
      <c r="J503" s="501"/>
    </row>
    <row r="504" spans="1:10" ht="63" x14ac:dyDescent="0.25">
      <c r="A504" s="579" t="s">
        <v>127</v>
      </c>
      <c r="B504" s="490">
        <v>903</v>
      </c>
      <c r="C504" s="580" t="s">
        <v>238</v>
      </c>
      <c r="D504" s="580" t="s">
        <v>213</v>
      </c>
      <c r="E504" s="580" t="s">
        <v>1204</v>
      </c>
      <c r="F504" s="580" t="s">
        <v>128</v>
      </c>
      <c r="G504" s="497">
        <f>G505</f>
        <v>5124.5</v>
      </c>
      <c r="H504" s="497">
        <f>H505</f>
        <v>5124.5</v>
      </c>
      <c r="I504" s="526"/>
      <c r="J504" s="501"/>
    </row>
    <row r="505" spans="1:10" ht="15.75" x14ac:dyDescent="0.25">
      <c r="A505" s="579" t="s">
        <v>208</v>
      </c>
      <c r="B505" s="490">
        <v>903</v>
      </c>
      <c r="C505" s="580" t="s">
        <v>238</v>
      </c>
      <c r="D505" s="580" t="s">
        <v>213</v>
      </c>
      <c r="E505" s="580" t="s">
        <v>1204</v>
      </c>
      <c r="F505" s="580" t="s">
        <v>209</v>
      </c>
      <c r="G505" s="27">
        <v>5124.5</v>
      </c>
      <c r="H505" s="27">
        <f>G505</f>
        <v>5124.5</v>
      </c>
      <c r="I505" s="526"/>
      <c r="J505" s="526"/>
    </row>
    <row r="506" spans="1:10" ht="31.5" x14ac:dyDescent="0.25">
      <c r="A506" s="579" t="s">
        <v>131</v>
      </c>
      <c r="B506" s="490">
        <v>903</v>
      </c>
      <c r="C506" s="580" t="s">
        <v>238</v>
      </c>
      <c r="D506" s="580" t="s">
        <v>213</v>
      </c>
      <c r="E506" s="580" t="s">
        <v>1204</v>
      </c>
      <c r="F506" s="580" t="s">
        <v>132</v>
      </c>
      <c r="G506" s="497">
        <f>G507</f>
        <v>890.25</v>
      </c>
      <c r="H506" s="497">
        <f>H507</f>
        <v>890.25</v>
      </c>
      <c r="I506" s="526"/>
      <c r="J506" s="501"/>
    </row>
    <row r="507" spans="1:10" ht="31.5" x14ac:dyDescent="0.25">
      <c r="A507" s="579" t="s">
        <v>133</v>
      </c>
      <c r="B507" s="490">
        <v>903</v>
      </c>
      <c r="C507" s="580" t="s">
        <v>238</v>
      </c>
      <c r="D507" s="580" t="s">
        <v>213</v>
      </c>
      <c r="E507" s="580" t="s">
        <v>1204</v>
      </c>
      <c r="F507" s="580" t="s">
        <v>134</v>
      </c>
      <c r="G507" s="27">
        <v>890.25</v>
      </c>
      <c r="H507" s="27">
        <v>890.25</v>
      </c>
      <c r="I507" s="526"/>
      <c r="J507" s="501"/>
    </row>
    <row r="508" spans="1:10" ht="15.75" x14ac:dyDescent="0.25">
      <c r="A508" s="579" t="s">
        <v>135</v>
      </c>
      <c r="B508" s="490">
        <v>903</v>
      </c>
      <c r="C508" s="580" t="s">
        <v>238</v>
      </c>
      <c r="D508" s="580" t="s">
        <v>213</v>
      </c>
      <c r="E508" s="580" t="s">
        <v>1204</v>
      </c>
      <c r="F508" s="580" t="s">
        <v>145</v>
      </c>
      <c r="G508" s="497">
        <f>G509</f>
        <v>10.5</v>
      </c>
      <c r="H508" s="497">
        <f>H509</f>
        <v>10.5</v>
      </c>
      <c r="I508" s="526"/>
      <c r="J508" s="501"/>
    </row>
    <row r="509" spans="1:10" ht="15.75" x14ac:dyDescent="0.25">
      <c r="A509" s="579" t="s">
        <v>568</v>
      </c>
      <c r="B509" s="490">
        <v>903</v>
      </c>
      <c r="C509" s="580" t="s">
        <v>238</v>
      </c>
      <c r="D509" s="580" t="s">
        <v>213</v>
      </c>
      <c r="E509" s="580" t="s">
        <v>1204</v>
      </c>
      <c r="F509" s="580" t="s">
        <v>138</v>
      </c>
      <c r="G509" s="497">
        <v>10.5</v>
      </c>
      <c r="H509" s="497">
        <v>10.5</v>
      </c>
      <c r="I509" s="526"/>
      <c r="J509" s="501"/>
    </row>
    <row r="510" spans="1:10" ht="31.5" x14ac:dyDescent="0.25">
      <c r="A510" s="494" t="s">
        <v>947</v>
      </c>
      <c r="B510" s="491">
        <v>903</v>
      </c>
      <c r="C510" s="495" t="s">
        <v>238</v>
      </c>
      <c r="D510" s="495" t="s">
        <v>213</v>
      </c>
      <c r="E510" s="495" t="s">
        <v>1208</v>
      </c>
      <c r="F510" s="495"/>
      <c r="G510" s="493">
        <f t="shared" ref="G510:H512" si="38">G511</f>
        <v>258</v>
      </c>
      <c r="H510" s="493">
        <f t="shared" si="38"/>
        <v>258</v>
      </c>
      <c r="I510" s="526"/>
      <c r="J510" s="501"/>
    </row>
    <row r="511" spans="1:10" ht="31.5" x14ac:dyDescent="0.25">
      <c r="A511" s="579" t="s">
        <v>839</v>
      </c>
      <c r="B511" s="490">
        <v>903</v>
      </c>
      <c r="C511" s="580" t="s">
        <v>238</v>
      </c>
      <c r="D511" s="580" t="s">
        <v>213</v>
      </c>
      <c r="E511" s="580" t="s">
        <v>1209</v>
      </c>
      <c r="F511" s="580"/>
      <c r="G511" s="497">
        <f t="shared" si="38"/>
        <v>258</v>
      </c>
      <c r="H511" s="497">
        <f t="shared" si="38"/>
        <v>258</v>
      </c>
      <c r="I511" s="526"/>
      <c r="J511" s="501"/>
    </row>
    <row r="512" spans="1:10" ht="63" x14ac:dyDescent="0.25">
      <c r="A512" s="579" t="s">
        <v>127</v>
      </c>
      <c r="B512" s="490">
        <v>903</v>
      </c>
      <c r="C512" s="580" t="s">
        <v>238</v>
      </c>
      <c r="D512" s="580" t="s">
        <v>213</v>
      </c>
      <c r="E512" s="580" t="s">
        <v>1209</v>
      </c>
      <c r="F512" s="580" t="s">
        <v>128</v>
      </c>
      <c r="G512" s="497">
        <f t="shared" si="38"/>
        <v>258</v>
      </c>
      <c r="H512" s="497">
        <f t="shared" si="38"/>
        <v>258</v>
      </c>
      <c r="I512" s="526"/>
      <c r="J512" s="501"/>
    </row>
    <row r="513" spans="1:10" ht="15.75" x14ac:dyDescent="0.25">
      <c r="A513" s="579" t="s">
        <v>208</v>
      </c>
      <c r="B513" s="490">
        <v>903</v>
      </c>
      <c r="C513" s="580" t="s">
        <v>238</v>
      </c>
      <c r="D513" s="580" t="s">
        <v>213</v>
      </c>
      <c r="E513" s="580" t="s">
        <v>1209</v>
      </c>
      <c r="F513" s="580" t="s">
        <v>209</v>
      </c>
      <c r="G513" s="497">
        <v>258</v>
      </c>
      <c r="H513" s="497">
        <v>258</v>
      </c>
      <c r="I513" s="526"/>
      <c r="J513" s="501"/>
    </row>
    <row r="514" spans="1:10" ht="47.25" x14ac:dyDescent="0.25">
      <c r="A514" s="572" t="s">
        <v>1341</v>
      </c>
      <c r="B514" s="491">
        <v>903</v>
      </c>
      <c r="C514" s="495" t="s">
        <v>238</v>
      </c>
      <c r="D514" s="495" t="s">
        <v>213</v>
      </c>
      <c r="E514" s="495" t="s">
        <v>705</v>
      </c>
      <c r="F514" s="504"/>
      <c r="G514" s="493">
        <f>G516</f>
        <v>74.900000000000006</v>
      </c>
      <c r="H514" s="493">
        <f>H516</f>
        <v>74.900000000000006</v>
      </c>
      <c r="I514" s="526"/>
      <c r="J514" s="501"/>
    </row>
    <row r="515" spans="1:10" ht="47.25" x14ac:dyDescent="0.25">
      <c r="A515" s="572" t="s">
        <v>890</v>
      </c>
      <c r="B515" s="491">
        <v>903</v>
      </c>
      <c r="C515" s="495" t="s">
        <v>238</v>
      </c>
      <c r="D515" s="495" t="s">
        <v>213</v>
      </c>
      <c r="E515" s="495" t="s">
        <v>888</v>
      </c>
      <c r="F515" s="504"/>
      <c r="G515" s="493">
        <f t="shared" ref="G515:H517" si="39">G516</f>
        <v>74.900000000000006</v>
      </c>
      <c r="H515" s="493">
        <f t="shared" si="39"/>
        <v>74.900000000000006</v>
      </c>
      <c r="I515" s="526"/>
      <c r="J515" s="501"/>
    </row>
    <row r="516" spans="1:10" ht="31.5" x14ac:dyDescent="0.25">
      <c r="A516" s="98" t="s">
        <v>1004</v>
      </c>
      <c r="B516" s="490">
        <v>903</v>
      </c>
      <c r="C516" s="580" t="s">
        <v>238</v>
      </c>
      <c r="D516" s="580" t="s">
        <v>213</v>
      </c>
      <c r="E516" s="580" t="s">
        <v>889</v>
      </c>
      <c r="F516" s="498"/>
      <c r="G516" s="497">
        <f t="shared" si="39"/>
        <v>74.900000000000006</v>
      </c>
      <c r="H516" s="497">
        <f t="shared" si="39"/>
        <v>74.900000000000006</v>
      </c>
      <c r="I516" s="526"/>
      <c r="J516" s="501"/>
    </row>
    <row r="517" spans="1:10" ht="31.5" x14ac:dyDescent="0.25">
      <c r="A517" s="579" t="s">
        <v>131</v>
      </c>
      <c r="B517" s="490">
        <v>903</v>
      </c>
      <c r="C517" s="580" t="s">
        <v>238</v>
      </c>
      <c r="D517" s="580" t="s">
        <v>213</v>
      </c>
      <c r="E517" s="580" t="s">
        <v>889</v>
      </c>
      <c r="F517" s="498" t="s">
        <v>132</v>
      </c>
      <c r="G517" s="497">
        <f t="shared" si="39"/>
        <v>74.900000000000006</v>
      </c>
      <c r="H517" s="497">
        <f t="shared" si="39"/>
        <v>74.900000000000006</v>
      </c>
      <c r="I517" s="526"/>
      <c r="J517" s="501"/>
    </row>
    <row r="518" spans="1:10" ht="31.5" x14ac:dyDescent="0.25">
      <c r="A518" s="579" t="s">
        <v>133</v>
      </c>
      <c r="B518" s="490">
        <v>903</v>
      </c>
      <c r="C518" s="580" t="s">
        <v>238</v>
      </c>
      <c r="D518" s="580" t="s">
        <v>213</v>
      </c>
      <c r="E518" s="580" t="s">
        <v>889</v>
      </c>
      <c r="F518" s="498" t="s">
        <v>134</v>
      </c>
      <c r="G518" s="497">
        <v>74.900000000000006</v>
      </c>
      <c r="H518" s="497">
        <v>74.900000000000006</v>
      </c>
      <c r="I518" s="526"/>
      <c r="J518" s="501"/>
    </row>
    <row r="519" spans="1:10" ht="31.5" x14ac:dyDescent="0.25">
      <c r="A519" s="491" t="s">
        <v>1714</v>
      </c>
      <c r="B519" s="491">
        <v>904</v>
      </c>
      <c r="C519" s="495"/>
      <c r="D519" s="495"/>
      <c r="E519" s="495"/>
      <c r="F519" s="504"/>
      <c r="G519" s="493">
        <f>G520</f>
        <v>2959.4</v>
      </c>
      <c r="H519" s="493">
        <f>H520</f>
        <v>2959.4</v>
      </c>
      <c r="I519" s="526"/>
      <c r="J519" s="501"/>
    </row>
    <row r="520" spans="1:10" ht="15.75" x14ac:dyDescent="0.25">
      <c r="A520" s="34" t="s">
        <v>117</v>
      </c>
      <c r="B520" s="491">
        <v>904</v>
      </c>
      <c r="C520" s="495" t="s">
        <v>118</v>
      </c>
      <c r="D520" s="495"/>
      <c r="E520" s="495"/>
      <c r="F520" s="504"/>
      <c r="G520" s="493">
        <f>G521</f>
        <v>2959.4</v>
      </c>
      <c r="H520" s="493">
        <f>H521</f>
        <v>2959.4</v>
      </c>
      <c r="I520" s="526"/>
      <c r="J520" s="501"/>
    </row>
    <row r="521" spans="1:10" ht="47.25" x14ac:dyDescent="0.25">
      <c r="A521" s="494" t="s">
        <v>119</v>
      </c>
      <c r="B521" s="491">
        <v>904</v>
      </c>
      <c r="C521" s="495" t="s">
        <v>118</v>
      </c>
      <c r="D521" s="495" t="s">
        <v>120</v>
      </c>
      <c r="E521" s="495"/>
      <c r="F521" s="495"/>
      <c r="G521" s="493">
        <f t="shared" ref="G521:H522" si="40">G522</f>
        <v>2959.4</v>
      </c>
      <c r="H521" s="493">
        <f t="shared" si="40"/>
        <v>2959.4</v>
      </c>
      <c r="I521" s="526"/>
      <c r="J521" s="501"/>
    </row>
    <row r="522" spans="1:10" ht="31.5" x14ac:dyDescent="0.25">
      <c r="A522" s="494" t="s">
        <v>917</v>
      </c>
      <c r="B522" s="491">
        <v>904</v>
      </c>
      <c r="C522" s="495" t="s">
        <v>118</v>
      </c>
      <c r="D522" s="495" t="s">
        <v>120</v>
      </c>
      <c r="E522" s="495" t="s">
        <v>858</v>
      </c>
      <c r="F522" s="495"/>
      <c r="G522" s="493">
        <f t="shared" si="40"/>
        <v>2959.4</v>
      </c>
      <c r="H522" s="493">
        <f t="shared" si="40"/>
        <v>2959.4</v>
      </c>
      <c r="I522" s="526"/>
      <c r="J522" s="501"/>
    </row>
    <row r="523" spans="1:10" ht="31.5" x14ac:dyDescent="0.25">
      <c r="A523" s="494" t="s">
        <v>1705</v>
      </c>
      <c r="B523" s="491">
        <v>904</v>
      </c>
      <c r="C523" s="495" t="s">
        <v>118</v>
      </c>
      <c r="D523" s="495" t="s">
        <v>120</v>
      </c>
      <c r="E523" s="495" t="s">
        <v>1706</v>
      </c>
      <c r="F523" s="495"/>
      <c r="G523" s="493">
        <f>G524+G529</f>
        <v>2959.4</v>
      </c>
      <c r="H523" s="493">
        <f>H524+H529</f>
        <v>2959.4</v>
      </c>
      <c r="I523" s="526"/>
      <c r="J523" s="501"/>
    </row>
    <row r="524" spans="1:10" ht="31.5" x14ac:dyDescent="0.25">
      <c r="A524" s="579" t="s">
        <v>897</v>
      </c>
      <c r="B524" s="490">
        <v>904</v>
      </c>
      <c r="C524" s="580" t="s">
        <v>118</v>
      </c>
      <c r="D524" s="580" t="s">
        <v>120</v>
      </c>
      <c r="E524" s="580" t="s">
        <v>1709</v>
      </c>
      <c r="F524" s="580"/>
      <c r="G524" s="497">
        <f>G525+G527</f>
        <v>723.6</v>
      </c>
      <c r="H524" s="497">
        <f>H525+H527</f>
        <v>723.6</v>
      </c>
      <c r="I524" s="526"/>
      <c r="J524" s="501"/>
    </row>
    <row r="525" spans="1:10" ht="63" x14ac:dyDescent="0.25">
      <c r="A525" s="579" t="s">
        <v>127</v>
      </c>
      <c r="B525" s="490">
        <v>904</v>
      </c>
      <c r="C525" s="580" t="s">
        <v>118</v>
      </c>
      <c r="D525" s="580" t="s">
        <v>120</v>
      </c>
      <c r="E525" s="580" t="s">
        <v>1709</v>
      </c>
      <c r="F525" s="580" t="s">
        <v>128</v>
      </c>
      <c r="G525" s="497">
        <f>G526</f>
        <v>630.6</v>
      </c>
      <c r="H525" s="497">
        <f>H526</f>
        <v>630.6</v>
      </c>
      <c r="I525" s="526"/>
      <c r="J525" s="501"/>
    </row>
    <row r="526" spans="1:10" ht="31.5" x14ac:dyDescent="0.25">
      <c r="A526" s="579" t="s">
        <v>129</v>
      </c>
      <c r="B526" s="490">
        <v>904</v>
      </c>
      <c r="C526" s="580" t="s">
        <v>118</v>
      </c>
      <c r="D526" s="580" t="s">
        <v>120</v>
      </c>
      <c r="E526" s="580" t="s">
        <v>1709</v>
      </c>
      <c r="F526" s="580" t="s">
        <v>130</v>
      </c>
      <c r="G526" s="497">
        <v>630.6</v>
      </c>
      <c r="H526" s="497">
        <f>G526</f>
        <v>630.6</v>
      </c>
      <c r="I526" s="526"/>
      <c r="J526" s="501"/>
    </row>
    <row r="527" spans="1:10" ht="31.5" x14ac:dyDescent="0.25">
      <c r="A527" s="579" t="s">
        <v>198</v>
      </c>
      <c r="B527" s="490">
        <v>904</v>
      </c>
      <c r="C527" s="580" t="s">
        <v>118</v>
      </c>
      <c r="D527" s="580" t="s">
        <v>120</v>
      </c>
      <c r="E527" s="580" t="s">
        <v>1709</v>
      </c>
      <c r="F527" s="580" t="s">
        <v>132</v>
      </c>
      <c r="G527" s="497">
        <f>G528</f>
        <v>93</v>
      </c>
      <c r="H527" s="497">
        <f>H528</f>
        <v>93</v>
      </c>
      <c r="I527" s="526"/>
      <c r="J527" s="501"/>
    </row>
    <row r="528" spans="1:10" ht="31.5" x14ac:dyDescent="0.25">
      <c r="A528" s="579" t="s">
        <v>133</v>
      </c>
      <c r="B528" s="490">
        <v>904</v>
      </c>
      <c r="C528" s="580" t="s">
        <v>118</v>
      </c>
      <c r="D528" s="580" t="s">
        <v>120</v>
      </c>
      <c r="E528" s="580" t="s">
        <v>1709</v>
      </c>
      <c r="F528" s="580" t="s">
        <v>134</v>
      </c>
      <c r="G528" s="497">
        <v>93</v>
      </c>
      <c r="H528" s="497">
        <v>93</v>
      </c>
      <c r="I528" s="526"/>
      <c r="J528" s="501"/>
    </row>
    <row r="529" spans="1:11" ht="47.25" x14ac:dyDescent="0.25">
      <c r="A529" s="579" t="s">
        <v>1707</v>
      </c>
      <c r="B529" s="490">
        <v>904</v>
      </c>
      <c r="C529" s="580" t="s">
        <v>118</v>
      </c>
      <c r="D529" s="580" t="s">
        <v>120</v>
      </c>
      <c r="E529" s="580" t="s">
        <v>1708</v>
      </c>
      <c r="F529" s="580"/>
      <c r="G529" s="497">
        <f>G530</f>
        <v>2235.8000000000002</v>
      </c>
      <c r="H529" s="497">
        <f>H530</f>
        <v>2235.8000000000002</v>
      </c>
      <c r="I529" s="526"/>
      <c r="J529" s="501"/>
    </row>
    <row r="530" spans="1:11" ht="63" x14ac:dyDescent="0.25">
      <c r="A530" s="579" t="s">
        <v>127</v>
      </c>
      <c r="B530" s="490">
        <v>904</v>
      </c>
      <c r="C530" s="580" t="s">
        <v>118</v>
      </c>
      <c r="D530" s="580" t="s">
        <v>120</v>
      </c>
      <c r="E530" s="580" t="s">
        <v>1708</v>
      </c>
      <c r="F530" s="580" t="s">
        <v>128</v>
      </c>
      <c r="G530" s="497">
        <f>G531</f>
        <v>2235.8000000000002</v>
      </c>
      <c r="H530" s="497">
        <f>H531</f>
        <v>2235.8000000000002</v>
      </c>
      <c r="I530" s="526"/>
      <c r="J530" s="501"/>
    </row>
    <row r="531" spans="1:11" ht="31.5" x14ac:dyDescent="0.25">
      <c r="A531" s="579" t="s">
        <v>129</v>
      </c>
      <c r="B531" s="490">
        <v>904</v>
      </c>
      <c r="C531" s="580" t="s">
        <v>118</v>
      </c>
      <c r="D531" s="580" t="s">
        <v>120</v>
      </c>
      <c r="E531" s="580" t="s">
        <v>1708</v>
      </c>
      <c r="F531" s="580" t="s">
        <v>130</v>
      </c>
      <c r="G531" s="497">
        <v>2235.8000000000002</v>
      </c>
      <c r="H531" s="497">
        <f>G531</f>
        <v>2235.8000000000002</v>
      </c>
      <c r="I531" s="526"/>
      <c r="J531" s="501"/>
    </row>
    <row r="532" spans="1:11" ht="31.5" x14ac:dyDescent="0.25">
      <c r="A532" s="579" t="s">
        <v>839</v>
      </c>
      <c r="B532" s="490">
        <v>904</v>
      </c>
      <c r="C532" s="580" t="s">
        <v>118</v>
      </c>
      <c r="D532" s="580" t="s">
        <v>120</v>
      </c>
      <c r="E532" s="580" t="s">
        <v>1778</v>
      </c>
      <c r="F532" s="580"/>
      <c r="G532" s="497">
        <f>'Пр.4.1 ведом.23-24 '!G3168</f>
        <v>0</v>
      </c>
      <c r="H532" s="497">
        <f>H533</f>
        <v>0</v>
      </c>
      <c r="I532" s="526"/>
      <c r="J532" s="501"/>
    </row>
    <row r="533" spans="1:11" ht="63" x14ac:dyDescent="0.25">
      <c r="A533" s="579" t="s">
        <v>127</v>
      </c>
      <c r="B533" s="490">
        <v>904</v>
      </c>
      <c r="C533" s="580" t="s">
        <v>118</v>
      </c>
      <c r="D533" s="580" t="s">
        <v>120</v>
      </c>
      <c r="E533" s="580" t="s">
        <v>1778</v>
      </c>
      <c r="F533" s="580" t="s">
        <v>128</v>
      </c>
      <c r="G533" s="497">
        <f>G534</f>
        <v>43</v>
      </c>
      <c r="H533" s="497">
        <f>H534</f>
        <v>0</v>
      </c>
      <c r="I533" s="526"/>
      <c r="J533" s="501"/>
    </row>
    <row r="534" spans="1:11" ht="31.5" x14ac:dyDescent="0.25">
      <c r="A534" s="579" t="s">
        <v>129</v>
      </c>
      <c r="B534" s="490">
        <v>904</v>
      </c>
      <c r="C534" s="580" t="s">
        <v>118</v>
      </c>
      <c r="D534" s="580" t="s">
        <v>120</v>
      </c>
      <c r="E534" s="580" t="s">
        <v>1778</v>
      </c>
      <c r="F534" s="580" t="s">
        <v>130</v>
      </c>
      <c r="G534" s="497">
        <v>43</v>
      </c>
      <c r="H534" s="497">
        <v>0</v>
      </c>
      <c r="I534" s="526"/>
      <c r="J534" s="501"/>
    </row>
    <row r="535" spans="1:11" ht="31.5" x14ac:dyDescent="0.25">
      <c r="A535" s="491" t="s">
        <v>387</v>
      </c>
      <c r="B535" s="491">
        <v>905</v>
      </c>
      <c r="C535" s="580"/>
      <c r="D535" s="580"/>
      <c r="E535" s="580"/>
      <c r="F535" s="580"/>
      <c r="G535" s="493">
        <f>G536+G570+G580</f>
        <v>19524.8</v>
      </c>
      <c r="H535" s="493">
        <f>H536+H570+H580</f>
        <v>19525.400000000001</v>
      </c>
      <c r="I535" s="526"/>
      <c r="J535" s="501"/>
    </row>
    <row r="536" spans="1:11" ht="15.75" x14ac:dyDescent="0.25">
      <c r="A536" s="494" t="s">
        <v>117</v>
      </c>
      <c r="B536" s="491">
        <v>905</v>
      </c>
      <c r="C536" s="495" t="s">
        <v>118</v>
      </c>
      <c r="D536" s="580"/>
      <c r="E536" s="580"/>
      <c r="F536" s="580"/>
      <c r="G536" s="493">
        <f>G537+G554</f>
        <v>19254.399999999998</v>
      </c>
      <c r="H536" s="493">
        <f>H537+H554</f>
        <v>19255</v>
      </c>
      <c r="I536" s="526"/>
      <c r="J536" s="501"/>
    </row>
    <row r="537" spans="1:11" ht="65.25" customHeight="1" x14ac:dyDescent="0.25">
      <c r="A537" s="494" t="s">
        <v>149</v>
      </c>
      <c r="B537" s="491">
        <v>905</v>
      </c>
      <c r="C537" s="495" t="s">
        <v>118</v>
      </c>
      <c r="D537" s="495" t="s">
        <v>150</v>
      </c>
      <c r="E537" s="495"/>
      <c r="F537" s="495"/>
      <c r="G537" s="493">
        <f>G538</f>
        <v>13325.699999999999</v>
      </c>
      <c r="H537" s="493">
        <f>H538</f>
        <v>13326.3</v>
      </c>
      <c r="I537" s="526"/>
      <c r="J537" s="501"/>
    </row>
    <row r="538" spans="1:11" ht="31.5" x14ac:dyDescent="0.25">
      <c r="A538" s="494" t="s">
        <v>917</v>
      </c>
      <c r="B538" s="491">
        <v>905</v>
      </c>
      <c r="C538" s="495" t="s">
        <v>118</v>
      </c>
      <c r="D538" s="495" t="s">
        <v>150</v>
      </c>
      <c r="E538" s="495" t="s">
        <v>858</v>
      </c>
      <c r="F538" s="495"/>
      <c r="G538" s="493">
        <f>G539+G550</f>
        <v>13325.699999999999</v>
      </c>
      <c r="H538" s="493">
        <f>H539+H550</f>
        <v>13326.3</v>
      </c>
      <c r="I538" s="526"/>
      <c r="J538" s="501"/>
    </row>
    <row r="539" spans="1:11" ht="15.75" x14ac:dyDescent="0.25">
      <c r="A539" s="494" t="s">
        <v>918</v>
      </c>
      <c r="B539" s="491">
        <v>905</v>
      </c>
      <c r="C539" s="495" t="s">
        <v>118</v>
      </c>
      <c r="D539" s="495" t="s">
        <v>150</v>
      </c>
      <c r="E539" s="495" t="s">
        <v>859</v>
      </c>
      <c r="F539" s="495"/>
      <c r="G539" s="493">
        <f>G540+G547</f>
        <v>13308.4</v>
      </c>
      <c r="H539" s="493">
        <f>H540+H547</f>
        <v>13308.4</v>
      </c>
      <c r="I539" s="526"/>
      <c r="J539" s="501"/>
    </row>
    <row r="540" spans="1:11" ht="28.5" customHeight="1" x14ac:dyDescent="0.25">
      <c r="A540" s="579" t="s">
        <v>897</v>
      </c>
      <c r="B540" s="490">
        <v>905</v>
      </c>
      <c r="C540" s="580" t="s">
        <v>118</v>
      </c>
      <c r="D540" s="580" t="s">
        <v>150</v>
      </c>
      <c r="E540" s="580" t="s">
        <v>860</v>
      </c>
      <c r="F540" s="580"/>
      <c r="G540" s="497">
        <f>G541+G543+G545</f>
        <v>12835.4</v>
      </c>
      <c r="H540" s="497">
        <f>H541+H543+H545</f>
        <v>12835.4</v>
      </c>
      <c r="I540" s="526"/>
      <c r="J540" s="501"/>
    </row>
    <row r="541" spans="1:11" ht="63" x14ac:dyDescent="0.25">
      <c r="A541" s="579" t="s">
        <v>127</v>
      </c>
      <c r="B541" s="490">
        <v>905</v>
      </c>
      <c r="C541" s="580" t="s">
        <v>118</v>
      </c>
      <c r="D541" s="580" t="s">
        <v>150</v>
      </c>
      <c r="E541" s="580" t="s">
        <v>860</v>
      </c>
      <c r="F541" s="580" t="s">
        <v>128</v>
      </c>
      <c r="G541" s="497">
        <f>G542</f>
        <v>12294.4</v>
      </c>
      <c r="H541" s="497">
        <f>H542</f>
        <v>12294.4</v>
      </c>
      <c r="I541" s="526"/>
      <c r="J541" s="501"/>
    </row>
    <row r="542" spans="1:11" ht="31.5" x14ac:dyDescent="0.25">
      <c r="A542" s="579" t="s">
        <v>129</v>
      </c>
      <c r="B542" s="490">
        <v>905</v>
      </c>
      <c r="C542" s="580" t="s">
        <v>118</v>
      </c>
      <c r="D542" s="580" t="s">
        <v>150</v>
      </c>
      <c r="E542" s="580" t="s">
        <v>860</v>
      </c>
      <c r="F542" s="580" t="s">
        <v>130</v>
      </c>
      <c r="G542" s="27">
        <v>12294.4</v>
      </c>
      <c r="H542" s="27">
        <f>G542</f>
        <v>12294.4</v>
      </c>
      <c r="I542" s="526"/>
      <c r="J542" s="526"/>
      <c r="K542" s="527"/>
    </row>
    <row r="543" spans="1:11" ht="31.5" x14ac:dyDescent="0.25">
      <c r="A543" s="579" t="s">
        <v>131</v>
      </c>
      <c r="B543" s="490">
        <v>905</v>
      </c>
      <c r="C543" s="580" t="s">
        <v>118</v>
      </c>
      <c r="D543" s="580" t="s">
        <v>150</v>
      </c>
      <c r="E543" s="580" t="s">
        <v>860</v>
      </c>
      <c r="F543" s="580" t="s">
        <v>132</v>
      </c>
      <c r="G543" s="497">
        <f>G544</f>
        <v>410</v>
      </c>
      <c r="H543" s="497">
        <f>H544</f>
        <v>410</v>
      </c>
      <c r="I543" s="526"/>
      <c r="J543" s="501"/>
    </row>
    <row r="544" spans="1:11" ht="31.5" x14ac:dyDescent="0.25">
      <c r="A544" s="579" t="s">
        <v>133</v>
      </c>
      <c r="B544" s="490">
        <v>905</v>
      </c>
      <c r="C544" s="580" t="s">
        <v>118</v>
      </c>
      <c r="D544" s="580" t="s">
        <v>150</v>
      </c>
      <c r="E544" s="580" t="s">
        <v>860</v>
      </c>
      <c r="F544" s="580" t="s">
        <v>134</v>
      </c>
      <c r="G544" s="27">
        <v>410</v>
      </c>
      <c r="H544" s="27">
        <v>410</v>
      </c>
      <c r="I544" s="526"/>
      <c r="J544" s="526"/>
    </row>
    <row r="545" spans="1:11" ht="15.75" x14ac:dyDescent="0.25">
      <c r="A545" s="579" t="s">
        <v>135</v>
      </c>
      <c r="B545" s="490">
        <v>905</v>
      </c>
      <c r="C545" s="580" t="s">
        <v>118</v>
      </c>
      <c r="D545" s="580" t="s">
        <v>150</v>
      </c>
      <c r="E545" s="580" t="s">
        <v>860</v>
      </c>
      <c r="F545" s="580" t="s">
        <v>145</v>
      </c>
      <c r="G545" s="497">
        <f>G546</f>
        <v>131</v>
      </c>
      <c r="H545" s="497">
        <f>H546</f>
        <v>131</v>
      </c>
      <c r="I545" s="526"/>
      <c r="J545" s="501"/>
    </row>
    <row r="546" spans="1:11" ht="15.75" x14ac:dyDescent="0.25">
      <c r="A546" s="579" t="s">
        <v>568</v>
      </c>
      <c r="B546" s="490">
        <v>905</v>
      </c>
      <c r="C546" s="580" t="s">
        <v>118</v>
      </c>
      <c r="D546" s="580" t="s">
        <v>150</v>
      </c>
      <c r="E546" s="580" t="s">
        <v>860</v>
      </c>
      <c r="F546" s="580" t="s">
        <v>138</v>
      </c>
      <c r="G546" s="497">
        <v>131</v>
      </c>
      <c r="H546" s="497">
        <v>131</v>
      </c>
      <c r="I546" s="526"/>
      <c r="J546" s="526"/>
      <c r="K546" s="527"/>
    </row>
    <row r="547" spans="1:11" ht="31.5" x14ac:dyDescent="0.25">
      <c r="A547" s="579" t="s">
        <v>839</v>
      </c>
      <c r="B547" s="490">
        <v>905</v>
      </c>
      <c r="C547" s="580" t="s">
        <v>118</v>
      </c>
      <c r="D547" s="580" t="s">
        <v>150</v>
      </c>
      <c r="E547" s="580" t="s">
        <v>862</v>
      </c>
      <c r="F547" s="580"/>
      <c r="G547" s="497">
        <f>G548</f>
        <v>473</v>
      </c>
      <c r="H547" s="497">
        <f>H548</f>
        <v>473</v>
      </c>
      <c r="I547" s="526"/>
      <c r="J547" s="501"/>
    </row>
    <row r="548" spans="1:11" ht="63" x14ac:dyDescent="0.25">
      <c r="A548" s="579" t="s">
        <v>127</v>
      </c>
      <c r="B548" s="490">
        <v>905</v>
      </c>
      <c r="C548" s="580" t="s">
        <v>118</v>
      </c>
      <c r="D548" s="580" t="s">
        <v>150</v>
      </c>
      <c r="E548" s="580" t="s">
        <v>862</v>
      </c>
      <c r="F548" s="580" t="s">
        <v>128</v>
      </c>
      <c r="G548" s="497">
        <f>G549</f>
        <v>473</v>
      </c>
      <c r="H548" s="497">
        <f>H549</f>
        <v>473</v>
      </c>
      <c r="I548" s="526"/>
      <c r="J548" s="501"/>
    </row>
    <row r="549" spans="1:11" ht="31.5" x14ac:dyDescent="0.25">
      <c r="A549" s="579" t="s">
        <v>129</v>
      </c>
      <c r="B549" s="490">
        <v>905</v>
      </c>
      <c r="C549" s="580" t="s">
        <v>118</v>
      </c>
      <c r="D549" s="580" t="s">
        <v>150</v>
      </c>
      <c r="E549" s="580" t="s">
        <v>862</v>
      </c>
      <c r="F549" s="580" t="s">
        <v>130</v>
      </c>
      <c r="G549" s="497">
        <v>473</v>
      </c>
      <c r="H549" s="497">
        <v>473</v>
      </c>
      <c r="I549" s="526"/>
      <c r="J549" s="501"/>
    </row>
    <row r="550" spans="1:11" ht="31.5" x14ac:dyDescent="0.25">
      <c r="A550" s="494" t="s">
        <v>885</v>
      </c>
      <c r="B550" s="491">
        <v>905</v>
      </c>
      <c r="C550" s="495" t="s">
        <v>118</v>
      </c>
      <c r="D550" s="495" t="s">
        <v>150</v>
      </c>
      <c r="E550" s="495" t="s">
        <v>863</v>
      </c>
      <c r="F550" s="495"/>
      <c r="G550" s="493">
        <f t="shared" ref="G550:H552" si="41">G551</f>
        <v>17.3</v>
      </c>
      <c r="H550" s="493">
        <f t="shared" si="41"/>
        <v>17.899999999999999</v>
      </c>
      <c r="I550" s="526"/>
      <c r="J550" s="501"/>
    </row>
    <row r="551" spans="1:11" ht="77.45" customHeight="1" x14ac:dyDescent="0.25">
      <c r="A551" s="31" t="s">
        <v>1169</v>
      </c>
      <c r="B551" s="490">
        <v>905</v>
      </c>
      <c r="C551" s="580" t="s">
        <v>118</v>
      </c>
      <c r="D551" s="580" t="s">
        <v>150</v>
      </c>
      <c r="E551" s="580" t="s">
        <v>1168</v>
      </c>
      <c r="F551" s="580"/>
      <c r="G551" s="497">
        <f t="shared" si="41"/>
        <v>17.3</v>
      </c>
      <c r="H551" s="497">
        <f t="shared" si="41"/>
        <v>17.899999999999999</v>
      </c>
      <c r="I551" s="526"/>
      <c r="J551" s="501"/>
    </row>
    <row r="552" spans="1:11" ht="63" x14ac:dyDescent="0.25">
      <c r="A552" s="579" t="s">
        <v>127</v>
      </c>
      <c r="B552" s="490">
        <v>905</v>
      </c>
      <c r="C552" s="580" t="s">
        <v>118</v>
      </c>
      <c r="D552" s="580" t="s">
        <v>150</v>
      </c>
      <c r="E552" s="580" t="s">
        <v>1168</v>
      </c>
      <c r="F552" s="580" t="s">
        <v>128</v>
      </c>
      <c r="G552" s="497">
        <f t="shared" si="41"/>
        <v>17.3</v>
      </c>
      <c r="H552" s="497">
        <f t="shared" si="41"/>
        <v>17.899999999999999</v>
      </c>
      <c r="I552" s="526"/>
      <c r="J552" s="501"/>
    </row>
    <row r="553" spans="1:11" ht="31.5" x14ac:dyDescent="0.25">
      <c r="A553" s="579" t="s">
        <v>129</v>
      </c>
      <c r="B553" s="490">
        <v>905</v>
      </c>
      <c r="C553" s="580" t="s">
        <v>118</v>
      </c>
      <c r="D553" s="580" t="s">
        <v>150</v>
      </c>
      <c r="E553" s="580" t="s">
        <v>1168</v>
      </c>
      <c r="F553" s="580" t="s">
        <v>130</v>
      </c>
      <c r="G553" s="497">
        <v>17.3</v>
      </c>
      <c r="H553" s="497">
        <v>17.899999999999999</v>
      </c>
      <c r="I553" s="526"/>
      <c r="J553" s="501"/>
    </row>
    <row r="554" spans="1:11" ht="15.75" x14ac:dyDescent="0.25">
      <c r="A554" s="494" t="s">
        <v>139</v>
      </c>
      <c r="B554" s="491">
        <v>905</v>
      </c>
      <c r="C554" s="495" t="s">
        <v>118</v>
      </c>
      <c r="D554" s="495" t="s">
        <v>140</v>
      </c>
      <c r="E554" s="495"/>
      <c r="F554" s="495"/>
      <c r="G554" s="493">
        <f>G555+G565</f>
        <v>5928.7</v>
      </c>
      <c r="H554" s="493">
        <f>H555+H565</f>
        <v>5928.7</v>
      </c>
      <c r="I554" s="526"/>
      <c r="J554" s="501"/>
    </row>
    <row r="555" spans="1:11" ht="15.75" x14ac:dyDescent="0.25">
      <c r="A555" s="494" t="s">
        <v>141</v>
      </c>
      <c r="B555" s="491">
        <v>905</v>
      </c>
      <c r="C555" s="495" t="s">
        <v>118</v>
      </c>
      <c r="D555" s="495" t="s">
        <v>140</v>
      </c>
      <c r="E555" s="495" t="s">
        <v>866</v>
      </c>
      <c r="F555" s="495"/>
      <c r="G555" s="493">
        <f>G556</f>
        <v>5928.7</v>
      </c>
      <c r="H555" s="493">
        <f>H556</f>
        <v>5928.7</v>
      </c>
      <c r="I555" s="526"/>
      <c r="J555" s="501"/>
    </row>
    <row r="556" spans="1:11" ht="31.5" x14ac:dyDescent="0.25">
      <c r="A556" s="494" t="s">
        <v>870</v>
      </c>
      <c r="B556" s="491">
        <v>905</v>
      </c>
      <c r="C556" s="495" t="s">
        <v>118</v>
      </c>
      <c r="D556" s="495" t="s">
        <v>140</v>
      </c>
      <c r="E556" s="495" t="s">
        <v>865</v>
      </c>
      <c r="F556" s="495"/>
      <c r="G556" s="493">
        <f>G557+G562</f>
        <v>5928.7</v>
      </c>
      <c r="H556" s="493">
        <f>H557+H562</f>
        <v>5928.7</v>
      </c>
      <c r="I556" s="526"/>
      <c r="J556" s="501"/>
    </row>
    <row r="557" spans="1:11" ht="47.25" x14ac:dyDescent="0.25">
      <c r="A557" s="579" t="s">
        <v>388</v>
      </c>
      <c r="B557" s="490">
        <v>905</v>
      </c>
      <c r="C557" s="580" t="s">
        <v>118</v>
      </c>
      <c r="D557" s="580" t="s">
        <v>140</v>
      </c>
      <c r="E557" s="580" t="s">
        <v>1011</v>
      </c>
      <c r="F557" s="580"/>
      <c r="G557" s="497">
        <f>G558+G560</f>
        <v>5928.7</v>
      </c>
      <c r="H557" s="497">
        <f>H558+H560</f>
        <v>5928.7</v>
      </c>
      <c r="I557" s="526"/>
      <c r="J557" s="501"/>
    </row>
    <row r="558" spans="1:11" ht="31.5" x14ac:dyDescent="0.25">
      <c r="A558" s="579" t="s">
        <v>131</v>
      </c>
      <c r="B558" s="490">
        <v>905</v>
      </c>
      <c r="C558" s="580" t="s">
        <v>118</v>
      </c>
      <c r="D558" s="580" t="s">
        <v>140</v>
      </c>
      <c r="E558" s="580" t="s">
        <v>1011</v>
      </c>
      <c r="F558" s="580" t="s">
        <v>132</v>
      </c>
      <c r="G558" s="497">
        <f>G559</f>
        <v>5928.7</v>
      </c>
      <c r="H558" s="497">
        <f>H559</f>
        <v>5928.7</v>
      </c>
      <c r="I558" s="526"/>
      <c r="J558" s="501"/>
    </row>
    <row r="559" spans="1:11" ht="31.5" x14ac:dyDescent="0.25">
      <c r="A559" s="579" t="s">
        <v>133</v>
      </c>
      <c r="B559" s="490">
        <v>905</v>
      </c>
      <c r="C559" s="580" t="s">
        <v>118</v>
      </c>
      <c r="D559" s="580" t="s">
        <v>140</v>
      </c>
      <c r="E559" s="580" t="s">
        <v>1011</v>
      </c>
      <c r="F559" s="580" t="s">
        <v>134</v>
      </c>
      <c r="G559" s="497">
        <v>5928.7</v>
      </c>
      <c r="H559" s="497">
        <v>5928.7</v>
      </c>
      <c r="I559" s="526"/>
      <c r="J559" s="526"/>
    </row>
    <row r="560" spans="1:11" ht="15.75" hidden="1" x14ac:dyDescent="0.25">
      <c r="A560" s="579" t="s">
        <v>135</v>
      </c>
      <c r="B560" s="490">
        <v>905</v>
      </c>
      <c r="C560" s="580" t="s">
        <v>118</v>
      </c>
      <c r="D560" s="580" t="s">
        <v>140</v>
      </c>
      <c r="E560" s="580" t="s">
        <v>1011</v>
      </c>
      <c r="F560" s="580" t="s">
        <v>145</v>
      </c>
      <c r="G560" s="497">
        <f>G561</f>
        <v>0</v>
      </c>
      <c r="H560" s="497">
        <f>H561</f>
        <v>0</v>
      </c>
      <c r="I560" s="526"/>
      <c r="J560" s="526"/>
    </row>
    <row r="561" spans="1:10" ht="31.5" hidden="1" x14ac:dyDescent="0.25">
      <c r="A561" s="579" t="s">
        <v>836</v>
      </c>
      <c r="B561" s="490">
        <v>905</v>
      </c>
      <c r="C561" s="580" t="s">
        <v>118</v>
      </c>
      <c r="D561" s="580" t="s">
        <v>140</v>
      </c>
      <c r="E561" s="580" t="s">
        <v>1011</v>
      </c>
      <c r="F561" s="580" t="s">
        <v>147</v>
      </c>
      <c r="G561" s="497"/>
      <c r="H561" s="497"/>
      <c r="I561" s="526"/>
      <c r="J561" s="526"/>
    </row>
    <row r="562" spans="1:10" ht="31.5" hidden="1" x14ac:dyDescent="0.25">
      <c r="A562" s="579" t="s">
        <v>931</v>
      </c>
      <c r="B562" s="490">
        <v>905</v>
      </c>
      <c r="C562" s="580" t="s">
        <v>118</v>
      </c>
      <c r="D562" s="580" t="s">
        <v>140</v>
      </c>
      <c r="E562" s="580" t="s">
        <v>1012</v>
      </c>
      <c r="F562" s="580"/>
      <c r="G562" s="497">
        <f>G563</f>
        <v>0</v>
      </c>
      <c r="H562" s="497">
        <f>H563</f>
        <v>0</v>
      </c>
      <c r="I562" s="526"/>
      <c r="J562" s="501"/>
    </row>
    <row r="563" spans="1:10" ht="31.5" hidden="1" x14ac:dyDescent="0.25">
      <c r="A563" s="579" t="s">
        <v>131</v>
      </c>
      <c r="B563" s="490">
        <v>905</v>
      </c>
      <c r="C563" s="580" t="s">
        <v>118</v>
      </c>
      <c r="D563" s="580" t="s">
        <v>140</v>
      </c>
      <c r="E563" s="580" t="s">
        <v>1012</v>
      </c>
      <c r="F563" s="580" t="s">
        <v>132</v>
      </c>
      <c r="G563" s="497">
        <f>G564</f>
        <v>0</v>
      </c>
      <c r="H563" s="497">
        <f>H564</f>
        <v>0</v>
      </c>
      <c r="I563" s="526"/>
      <c r="J563" s="501"/>
    </row>
    <row r="564" spans="1:10" ht="31.5" hidden="1" x14ac:dyDescent="0.25">
      <c r="A564" s="579" t="s">
        <v>133</v>
      </c>
      <c r="B564" s="490">
        <v>905</v>
      </c>
      <c r="C564" s="580" t="s">
        <v>118</v>
      </c>
      <c r="D564" s="580" t="s">
        <v>140</v>
      </c>
      <c r="E564" s="580" t="s">
        <v>1012</v>
      </c>
      <c r="F564" s="580" t="s">
        <v>134</v>
      </c>
      <c r="G564" s="497">
        <f>100-100</f>
        <v>0</v>
      </c>
      <c r="H564" s="497">
        <f>100-100</f>
        <v>0</v>
      </c>
      <c r="I564" s="526"/>
      <c r="J564" s="501"/>
    </row>
    <row r="565" spans="1:10" s="206" customFormat="1" ht="69.400000000000006" hidden="1" customHeight="1" x14ac:dyDescent="0.25">
      <c r="A565" s="494" t="s">
        <v>1529</v>
      </c>
      <c r="B565" s="491">
        <v>905</v>
      </c>
      <c r="C565" s="495" t="s">
        <v>118</v>
      </c>
      <c r="D565" s="495" t="s">
        <v>140</v>
      </c>
      <c r="E565" s="495" t="s">
        <v>782</v>
      </c>
      <c r="F565" s="495"/>
      <c r="G565" s="493">
        <f t="shared" ref="G565:H568" si="42">G566</f>
        <v>0</v>
      </c>
      <c r="H565" s="493">
        <f t="shared" si="42"/>
        <v>0</v>
      </c>
      <c r="I565" s="529"/>
      <c r="J565" s="127"/>
    </row>
    <row r="566" spans="1:10" s="206" customFormat="1" ht="29.25" hidden="1" customHeight="1" x14ac:dyDescent="0.25">
      <c r="A566" s="494" t="s">
        <v>930</v>
      </c>
      <c r="B566" s="491">
        <v>905</v>
      </c>
      <c r="C566" s="495" t="s">
        <v>118</v>
      </c>
      <c r="D566" s="495" t="s">
        <v>140</v>
      </c>
      <c r="E566" s="495" t="s">
        <v>1020</v>
      </c>
      <c r="F566" s="495"/>
      <c r="G566" s="493">
        <f t="shared" si="42"/>
        <v>0</v>
      </c>
      <c r="H566" s="493">
        <f t="shared" si="42"/>
        <v>0</v>
      </c>
      <c r="I566" s="529"/>
      <c r="J566" s="127"/>
    </row>
    <row r="567" spans="1:10" s="206" customFormat="1" ht="15.75" hidden="1" x14ac:dyDescent="0.25">
      <c r="A567" s="579" t="s">
        <v>1524</v>
      </c>
      <c r="B567" s="490">
        <v>905</v>
      </c>
      <c r="C567" s="580" t="s">
        <v>118</v>
      </c>
      <c r="D567" s="580" t="s">
        <v>140</v>
      </c>
      <c r="E567" s="580" t="s">
        <v>1021</v>
      </c>
      <c r="F567" s="580"/>
      <c r="G567" s="497">
        <f t="shared" si="42"/>
        <v>0</v>
      </c>
      <c r="H567" s="497">
        <f t="shared" si="42"/>
        <v>0</v>
      </c>
      <c r="I567" s="529"/>
      <c r="J567" s="127"/>
    </row>
    <row r="568" spans="1:10" s="206" customFormat="1" ht="31.5" hidden="1" x14ac:dyDescent="0.25">
      <c r="A568" s="579" t="s">
        <v>131</v>
      </c>
      <c r="B568" s="490">
        <v>905</v>
      </c>
      <c r="C568" s="580" t="s">
        <v>118</v>
      </c>
      <c r="D568" s="580" t="s">
        <v>140</v>
      </c>
      <c r="E568" s="580" t="s">
        <v>1021</v>
      </c>
      <c r="F568" s="580" t="s">
        <v>132</v>
      </c>
      <c r="G568" s="497">
        <f t="shared" si="42"/>
        <v>0</v>
      </c>
      <c r="H568" s="497">
        <f t="shared" si="42"/>
        <v>0</v>
      </c>
      <c r="I568" s="529"/>
      <c r="J568" s="127"/>
    </row>
    <row r="569" spans="1:10" s="206" customFormat="1" ht="31.5" hidden="1" x14ac:dyDescent="0.25">
      <c r="A569" s="579" t="s">
        <v>133</v>
      </c>
      <c r="B569" s="490">
        <v>905</v>
      </c>
      <c r="C569" s="580" t="s">
        <v>118</v>
      </c>
      <c r="D569" s="580" t="s">
        <v>140</v>
      </c>
      <c r="E569" s="580" t="s">
        <v>1021</v>
      </c>
      <c r="F569" s="580" t="s">
        <v>134</v>
      </c>
      <c r="G569" s="497"/>
      <c r="H569" s="497"/>
      <c r="I569" s="529"/>
      <c r="J569" s="127"/>
    </row>
    <row r="570" spans="1:10" ht="15.75" x14ac:dyDescent="0.25">
      <c r="A570" s="572" t="s">
        <v>390</v>
      </c>
      <c r="B570" s="491">
        <v>905</v>
      </c>
      <c r="C570" s="495" t="s">
        <v>234</v>
      </c>
      <c r="D570" s="495"/>
      <c r="E570" s="495"/>
      <c r="F570" s="495"/>
      <c r="G570" s="493">
        <f t="shared" ref="G570:H572" si="43">G571</f>
        <v>270.39999999999998</v>
      </c>
      <c r="H570" s="493">
        <f t="shared" si="43"/>
        <v>270.39999999999998</v>
      </c>
      <c r="I570" s="526"/>
      <c r="J570" s="501"/>
    </row>
    <row r="571" spans="1:10" ht="15.75" x14ac:dyDescent="0.25">
      <c r="A571" s="572" t="s">
        <v>391</v>
      </c>
      <c r="B571" s="491">
        <v>905</v>
      </c>
      <c r="C571" s="495" t="s">
        <v>234</v>
      </c>
      <c r="D571" s="495" t="s">
        <v>118</v>
      </c>
      <c r="E571" s="495"/>
      <c r="F571" s="495"/>
      <c r="G571" s="493">
        <f t="shared" si="43"/>
        <v>270.39999999999998</v>
      </c>
      <c r="H571" s="493">
        <f t="shared" si="43"/>
        <v>270.39999999999998</v>
      </c>
      <c r="I571" s="526"/>
      <c r="J571" s="501"/>
    </row>
    <row r="572" spans="1:10" ht="15.75" x14ac:dyDescent="0.25">
      <c r="A572" s="494" t="s">
        <v>141</v>
      </c>
      <c r="B572" s="491">
        <v>905</v>
      </c>
      <c r="C572" s="495" t="s">
        <v>234</v>
      </c>
      <c r="D572" s="495" t="s">
        <v>118</v>
      </c>
      <c r="E572" s="495" t="s">
        <v>866</v>
      </c>
      <c r="F572" s="495"/>
      <c r="G572" s="493">
        <f t="shared" si="43"/>
        <v>270.39999999999998</v>
      </c>
      <c r="H572" s="493">
        <f t="shared" si="43"/>
        <v>270.39999999999998</v>
      </c>
      <c r="I572" s="526"/>
      <c r="J572" s="501"/>
    </row>
    <row r="573" spans="1:10" ht="31.5" x14ac:dyDescent="0.25">
      <c r="A573" s="494" t="s">
        <v>870</v>
      </c>
      <c r="B573" s="491">
        <v>905</v>
      </c>
      <c r="C573" s="495" t="s">
        <v>234</v>
      </c>
      <c r="D573" s="495" t="s">
        <v>118</v>
      </c>
      <c r="E573" s="495" t="s">
        <v>865</v>
      </c>
      <c r="F573" s="495"/>
      <c r="G573" s="493">
        <f>G574+G577</f>
        <v>270.39999999999998</v>
      </c>
      <c r="H573" s="493">
        <f>H574+H577</f>
        <v>270.39999999999998</v>
      </c>
      <c r="I573" s="526"/>
      <c r="J573" s="501"/>
    </row>
    <row r="574" spans="1:10" ht="31.5" x14ac:dyDescent="0.25">
      <c r="A574" s="29" t="s">
        <v>398</v>
      </c>
      <c r="B574" s="490">
        <v>905</v>
      </c>
      <c r="C574" s="580" t="s">
        <v>234</v>
      </c>
      <c r="D574" s="580" t="s">
        <v>118</v>
      </c>
      <c r="E574" s="580" t="s">
        <v>961</v>
      </c>
      <c r="F574" s="580"/>
      <c r="G574" s="497">
        <f>G575</f>
        <v>270.39999999999998</v>
      </c>
      <c r="H574" s="497">
        <f>H575</f>
        <v>270.39999999999998</v>
      </c>
      <c r="I574" s="526"/>
      <c r="J574" s="501"/>
    </row>
    <row r="575" spans="1:10" ht="31.5" x14ac:dyDescent="0.25">
      <c r="A575" s="579" t="s">
        <v>131</v>
      </c>
      <c r="B575" s="490">
        <v>905</v>
      </c>
      <c r="C575" s="580" t="s">
        <v>234</v>
      </c>
      <c r="D575" s="580" t="s">
        <v>118</v>
      </c>
      <c r="E575" s="580" t="s">
        <v>961</v>
      </c>
      <c r="F575" s="580" t="s">
        <v>132</v>
      </c>
      <c r="G575" s="497">
        <f>G576</f>
        <v>270.39999999999998</v>
      </c>
      <c r="H575" s="497">
        <f>H576</f>
        <v>270.39999999999998</v>
      </c>
      <c r="I575" s="526"/>
      <c r="J575" s="501"/>
    </row>
    <row r="576" spans="1:10" ht="31.5" x14ac:dyDescent="0.25">
      <c r="A576" s="579" t="s">
        <v>133</v>
      </c>
      <c r="B576" s="490">
        <v>905</v>
      </c>
      <c r="C576" s="580" t="s">
        <v>234</v>
      </c>
      <c r="D576" s="580" t="s">
        <v>118</v>
      </c>
      <c r="E576" s="580" t="s">
        <v>961</v>
      </c>
      <c r="F576" s="580" t="s">
        <v>134</v>
      </c>
      <c r="G576" s="497">
        <v>270.39999999999998</v>
      </c>
      <c r="H576" s="497">
        <v>270.39999999999998</v>
      </c>
      <c r="I576" s="526"/>
      <c r="J576" s="501"/>
    </row>
    <row r="577" spans="1:10" ht="31.5" hidden="1" x14ac:dyDescent="0.25">
      <c r="A577" s="29" t="s">
        <v>932</v>
      </c>
      <c r="B577" s="490">
        <v>905</v>
      </c>
      <c r="C577" s="580" t="s">
        <v>234</v>
      </c>
      <c r="D577" s="580" t="s">
        <v>118</v>
      </c>
      <c r="E577" s="580" t="s">
        <v>962</v>
      </c>
      <c r="F577" s="580"/>
      <c r="G577" s="497">
        <f>G578</f>
        <v>0</v>
      </c>
      <c r="H577" s="497">
        <f>H578</f>
        <v>0</v>
      </c>
      <c r="I577" s="526"/>
      <c r="J577" s="501"/>
    </row>
    <row r="578" spans="1:10" ht="31.5" hidden="1" x14ac:dyDescent="0.25">
      <c r="A578" s="579" t="s">
        <v>131</v>
      </c>
      <c r="B578" s="490">
        <v>905</v>
      </c>
      <c r="C578" s="580" t="s">
        <v>234</v>
      </c>
      <c r="D578" s="580" t="s">
        <v>118</v>
      </c>
      <c r="E578" s="580" t="s">
        <v>962</v>
      </c>
      <c r="F578" s="580" t="s">
        <v>132</v>
      </c>
      <c r="G578" s="497">
        <f>G579</f>
        <v>0</v>
      </c>
      <c r="H578" s="497">
        <f>H579</f>
        <v>0</v>
      </c>
      <c r="I578" s="526"/>
      <c r="J578" s="501"/>
    </row>
    <row r="579" spans="1:10" ht="31.5" hidden="1" x14ac:dyDescent="0.25">
      <c r="A579" s="579" t="s">
        <v>133</v>
      </c>
      <c r="B579" s="490">
        <v>905</v>
      </c>
      <c r="C579" s="580" t="s">
        <v>234</v>
      </c>
      <c r="D579" s="580" t="s">
        <v>118</v>
      </c>
      <c r="E579" s="580" t="s">
        <v>962</v>
      </c>
      <c r="F579" s="580" t="s">
        <v>134</v>
      </c>
      <c r="G579" s="497">
        <v>0</v>
      </c>
      <c r="H579" s="497">
        <v>0</v>
      </c>
      <c r="I579" s="526"/>
      <c r="J579" s="501"/>
    </row>
    <row r="580" spans="1:10" ht="15.75" hidden="1" x14ac:dyDescent="0.25">
      <c r="A580" s="494" t="s">
        <v>243</v>
      </c>
      <c r="B580" s="491">
        <v>905</v>
      </c>
      <c r="C580" s="495" t="s">
        <v>244</v>
      </c>
      <c r="D580" s="580"/>
      <c r="E580" s="580"/>
      <c r="F580" s="580"/>
      <c r="G580" s="493">
        <f t="shared" ref="G580:H584" si="44">G581</f>
        <v>0</v>
      </c>
      <c r="H580" s="493">
        <f t="shared" si="44"/>
        <v>0</v>
      </c>
      <c r="I580" s="526"/>
      <c r="J580" s="501"/>
    </row>
    <row r="581" spans="1:10" ht="15.75" hidden="1" x14ac:dyDescent="0.25">
      <c r="A581" s="494" t="s">
        <v>400</v>
      </c>
      <c r="B581" s="491">
        <v>905</v>
      </c>
      <c r="C581" s="495" t="s">
        <v>244</v>
      </c>
      <c r="D581" s="495" t="s">
        <v>150</v>
      </c>
      <c r="E581" s="580"/>
      <c r="F581" s="580"/>
      <c r="G581" s="493">
        <f t="shared" si="44"/>
        <v>0</v>
      </c>
      <c r="H581" s="493">
        <f t="shared" si="44"/>
        <v>0</v>
      </c>
      <c r="I581" s="526"/>
      <c r="J581" s="501"/>
    </row>
    <row r="582" spans="1:10" ht="31.5" hidden="1" x14ac:dyDescent="0.25">
      <c r="A582" s="494" t="s">
        <v>885</v>
      </c>
      <c r="B582" s="491">
        <v>905</v>
      </c>
      <c r="C582" s="495" t="s">
        <v>244</v>
      </c>
      <c r="D582" s="495" t="s">
        <v>150</v>
      </c>
      <c r="E582" s="495" t="s">
        <v>863</v>
      </c>
      <c r="F582" s="580"/>
      <c r="G582" s="493">
        <f t="shared" si="44"/>
        <v>0</v>
      </c>
      <c r="H582" s="493">
        <f t="shared" si="44"/>
        <v>0</v>
      </c>
      <c r="I582" s="526"/>
      <c r="J582" s="501"/>
    </row>
    <row r="583" spans="1:10" ht="48" hidden="1" customHeight="1" x14ac:dyDescent="0.25">
      <c r="A583" s="579" t="s">
        <v>1335</v>
      </c>
      <c r="B583" s="490">
        <v>905</v>
      </c>
      <c r="C583" s="580" t="s">
        <v>244</v>
      </c>
      <c r="D583" s="580" t="s">
        <v>150</v>
      </c>
      <c r="E583" s="580" t="s">
        <v>1170</v>
      </c>
      <c r="F583" s="580"/>
      <c r="G583" s="497">
        <f t="shared" si="44"/>
        <v>0</v>
      </c>
      <c r="H583" s="497">
        <f t="shared" si="44"/>
        <v>0</v>
      </c>
      <c r="I583" s="526"/>
      <c r="J583" s="501"/>
    </row>
    <row r="584" spans="1:10" ht="31.5" hidden="1" x14ac:dyDescent="0.25">
      <c r="A584" s="579" t="s">
        <v>131</v>
      </c>
      <c r="B584" s="490">
        <v>905</v>
      </c>
      <c r="C584" s="580" t="s">
        <v>244</v>
      </c>
      <c r="D584" s="580" t="s">
        <v>150</v>
      </c>
      <c r="E584" s="580" t="s">
        <v>1170</v>
      </c>
      <c r="F584" s="580" t="s">
        <v>132</v>
      </c>
      <c r="G584" s="497">
        <f t="shared" si="44"/>
        <v>0</v>
      </c>
      <c r="H584" s="497">
        <f t="shared" si="44"/>
        <v>0</v>
      </c>
      <c r="I584" s="526"/>
      <c r="J584" s="501"/>
    </row>
    <row r="585" spans="1:10" ht="31.5" hidden="1" x14ac:dyDescent="0.25">
      <c r="A585" s="579" t="s">
        <v>133</v>
      </c>
      <c r="B585" s="490">
        <v>905</v>
      </c>
      <c r="C585" s="580" t="s">
        <v>244</v>
      </c>
      <c r="D585" s="580" t="s">
        <v>150</v>
      </c>
      <c r="E585" s="580" t="s">
        <v>1170</v>
      </c>
      <c r="F585" s="580" t="s">
        <v>134</v>
      </c>
      <c r="G585" s="497">
        <f>1975.4-1975.4</f>
        <v>0</v>
      </c>
      <c r="H585" s="497">
        <f>1975.4-1975.4</f>
        <v>0</v>
      </c>
      <c r="I585" s="526"/>
      <c r="J585" s="501"/>
    </row>
    <row r="586" spans="1:10" ht="31.5" x14ac:dyDescent="0.25">
      <c r="A586" s="491" t="s">
        <v>403</v>
      </c>
      <c r="B586" s="491">
        <v>906</v>
      </c>
      <c r="C586" s="495"/>
      <c r="D586" s="495"/>
      <c r="E586" s="495"/>
      <c r="F586" s="495"/>
      <c r="G586" s="493">
        <f>G594+G587</f>
        <v>364915.80000000005</v>
      </c>
      <c r="H586" s="493">
        <f>H594+H587</f>
        <v>320833.40000000002</v>
      </c>
      <c r="I586" s="526"/>
      <c r="J586" s="501"/>
    </row>
    <row r="587" spans="1:10" ht="15.75" x14ac:dyDescent="0.25">
      <c r="A587" s="494" t="s">
        <v>117</v>
      </c>
      <c r="B587" s="491">
        <v>906</v>
      </c>
      <c r="C587" s="495" t="s">
        <v>118</v>
      </c>
      <c r="D587" s="495"/>
      <c r="E587" s="495"/>
      <c r="F587" s="495"/>
      <c r="G587" s="493">
        <f t="shared" ref="G587:H592" si="45">G588</f>
        <v>100</v>
      </c>
      <c r="H587" s="493">
        <f t="shared" si="45"/>
        <v>0</v>
      </c>
      <c r="I587" s="526"/>
      <c r="J587" s="501"/>
    </row>
    <row r="588" spans="1:10" ht="15.75" x14ac:dyDescent="0.25">
      <c r="A588" s="34" t="s">
        <v>139</v>
      </c>
      <c r="B588" s="491">
        <v>906</v>
      </c>
      <c r="C588" s="495" t="s">
        <v>118</v>
      </c>
      <c r="D588" s="495" t="s">
        <v>140</v>
      </c>
      <c r="E588" s="495"/>
      <c r="F588" s="495"/>
      <c r="G588" s="493">
        <f t="shared" si="45"/>
        <v>100</v>
      </c>
      <c r="H588" s="493">
        <f t="shared" si="45"/>
        <v>0</v>
      </c>
      <c r="I588" s="526"/>
      <c r="J588" s="501"/>
    </row>
    <row r="589" spans="1:10" ht="31.5" x14ac:dyDescent="0.25">
      <c r="A589" s="494" t="s">
        <v>1355</v>
      </c>
      <c r="B589" s="491">
        <v>906</v>
      </c>
      <c r="C589" s="495" t="s">
        <v>118</v>
      </c>
      <c r="D589" s="495" t="s">
        <v>140</v>
      </c>
      <c r="E589" s="495" t="s">
        <v>335</v>
      </c>
      <c r="F589" s="495"/>
      <c r="G589" s="493">
        <f t="shared" si="45"/>
        <v>100</v>
      </c>
      <c r="H589" s="493">
        <f t="shared" si="45"/>
        <v>0</v>
      </c>
      <c r="I589" s="526"/>
      <c r="J589" s="501"/>
    </row>
    <row r="590" spans="1:10" ht="31.5" x14ac:dyDescent="0.25">
      <c r="A590" s="213" t="s">
        <v>1049</v>
      </c>
      <c r="B590" s="491">
        <v>906</v>
      </c>
      <c r="C590" s="495" t="s">
        <v>118</v>
      </c>
      <c r="D590" s="495" t="s">
        <v>140</v>
      </c>
      <c r="E590" s="495" t="s">
        <v>1050</v>
      </c>
      <c r="F590" s="495"/>
      <c r="G590" s="493">
        <f t="shared" si="45"/>
        <v>100</v>
      </c>
      <c r="H590" s="493">
        <f t="shared" si="45"/>
        <v>0</v>
      </c>
      <c r="I590" s="526"/>
      <c r="J590" s="501"/>
    </row>
    <row r="591" spans="1:10" ht="31.5" x14ac:dyDescent="0.25">
      <c r="A591" s="97" t="s">
        <v>336</v>
      </c>
      <c r="B591" s="490">
        <v>906</v>
      </c>
      <c r="C591" s="580" t="s">
        <v>118</v>
      </c>
      <c r="D591" s="580" t="s">
        <v>140</v>
      </c>
      <c r="E591" s="580" t="s">
        <v>1051</v>
      </c>
      <c r="F591" s="580"/>
      <c r="G591" s="497">
        <f t="shared" si="45"/>
        <v>100</v>
      </c>
      <c r="H591" s="497">
        <f t="shared" si="45"/>
        <v>0</v>
      </c>
      <c r="I591" s="526"/>
      <c r="J591" s="501"/>
    </row>
    <row r="592" spans="1:10" ht="31.5" x14ac:dyDescent="0.25">
      <c r="A592" s="579" t="s">
        <v>131</v>
      </c>
      <c r="B592" s="490">
        <v>906</v>
      </c>
      <c r="C592" s="580" t="s">
        <v>118</v>
      </c>
      <c r="D592" s="580" t="s">
        <v>140</v>
      </c>
      <c r="E592" s="580" t="s">
        <v>1051</v>
      </c>
      <c r="F592" s="580" t="s">
        <v>132</v>
      </c>
      <c r="G592" s="497">
        <f t="shared" si="45"/>
        <v>100</v>
      </c>
      <c r="H592" s="497">
        <f t="shared" si="45"/>
        <v>0</v>
      </c>
      <c r="I592" s="526"/>
      <c r="J592" s="501"/>
    </row>
    <row r="593" spans="1:10" ht="31.5" x14ac:dyDescent="0.25">
      <c r="A593" s="579" t="s">
        <v>133</v>
      </c>
      <c r="B593" s="490">
        <v>906</v>
      </c>
      <c r="C593" s="580" t="s">
        <v>118</v>
      </c>
      <c r="D593" s="580" t="s">
        <v>140</v>
      </c>
      <c r="E593" s="580" t="s">
        <v>1051</v>
      </c>
      <c r="F593" s="580" t="s">
        <v>134</v>
      </c>
      <c r="G593" s="497">
        <v>100</v>
      </c>
      <c r="H593" s="497">
        <v>0</v>
      </c>
      <c r="I593" s="526"/>
      <c r="J593" s="501"/>
    </row>
    <row r="594" spans="1:10" ht="15.75" x14ac:dyDescent="0.25">
      <c r="A594" s="494" t="s">
        <v>263</v>
      </c>
      <c r="B594" s="491">
        <v>906</v>
      </c>
      <c r="C594" s="495" t="s">
        <v>264</v>
      </c>
      <c r="D594" s="495"/>
      <c r="E594" s="495"/>
      <c r="F594" s="495"/>
      <c r="G594" s="493">
        <f>G595+G657+G779+G785+G746</f>
        <v>364815.80000000005</v>
      </c>
      <c r="H594" s="493">
        <f>H595+H657+H779+H785+H746</f>
        <v>320833.40000000002</v>
      </c>
      <c r="I594" s="526"/>
      <c r="J594" s="501"/>
    </row>
    <row r="595" spans="1:10" ht="15.75" x14ac:dyDescent="0.25">
      <c r="A595" s="494" t="s">
        <v>404</v>
      </c>
      <c r="B595" s="491">
        <v>906</v>
      </c>
      <c r="C595" s="495" t="s">
        <v>264</v>
      </c>
      <c r="D595" s="495" t="s">
        <v>118</v>
      </c>
      <c r="E595" s="495"/>
      <c r="F595" s="495"/>
      <c r="G595" s="493">
        <f>G596+G647+G652</f>
        <v>89967.299999999988</v>
      </c>
      <c r="H595" s="493">
        <f>H596+H647+H652</f>
        <v>83961.299999999988</v>
      </c>
      <c r="I595" s="526"/>
      <c r="J595" s="501"/>
    </row>
    <row r="596" spans="1:10" ht="36" customHeight="1" x14ac:dyDescent="0.25">
      <c r="A596" s="494" t="s">
        <v>1356</v>
      </c>
      <c r="B596" s="491">
        <v>906</v>
      </c>
      <c r="C596" s="495" t="s">
        <v>264</v>
      </c>
      <c r="D596" s="495" t="s">
        <v>118</v>
      </c>
      <c r="E596" s="495" t="s">
        <v>406</v>
      </c>
      <c r="F596" s="495"/>
      <c r="G596" s="493">
        <f>G597+G601+G608+G618+G628+G632+G639+G643</f>
        <v>89315.499999999985</v>
      </c>
      <c r="H596" s="493">
        <f>H597+H601+H608+H618+H628+H632+H639+H643</f>
        <v>83364.499999999985</v>
      </c>
      <c r="I596" s="526"/>
      <c r="J596" s="501"/>
    </row>
    <row r="597" spans="1:10" ht="38.25" customHeight="1" x14ac:dyDescent="0.25">
      <c r="A597" s="494" t="s">
        <v>937</v>
      </c>
      <c r="B597" s="491">
        <v>906</v>
      </c>
      <c r="C597" s="495" t="s">
        <v>264</v>
      </c>
      <c r="D597" s="495" t="s">
        <v>118</v>
      </c>
      <c r="E597" s="495" t="s">
        <v>1230</v>
      </c>
      <c r="F597" s="495"/>
      <c r="G597" s="493">
        <f t="shared" ref="G597:H599" si="46">G598</f>
        <v>16777.2</v>
      </c>
      <c r="H597" s="493">
        <f t="shared" si="46"/>
        <v>16777.2</v>
      </c>
      <c r="I597" s="526"/>
      <c r="J597" s="501"/>
    </row>
    <row r="598" spans="1:10" ht="31.5" x14ac:dyDescent="0.25">
      <c r="A598" s="579" t="s">
        <v>1229</v>
      </c>
      <c r="B598" s="490">
        <v>906</v>
      </c>
      <c r="C598" s="580" t="s">
        <v>264</v>
      </c>
      <c r="D598" s="580" t="s">
        <v>118</v>
      </c>
      <c r="E598" s="580" t="s">
        <v>1231</v>
      </c>
      <c r="F598" s="580"/>
      <c r="G598" s="497">
        <f t="shared" si="46"/>
        <v>16777.2</v>
      </c>
      <c r="H598" s="497">
        <f t="shared" si="46"/>
        <v>16777.2</v>
      </c>
      <c r="I598" s="526"/>
      <c r="J598" s="501"/>
    </row>
    <row r="599" spans="1:10" ht="31.5" x14ac:dyDescent="0.25">
      <c r="A599" s="579" t="s">
        <v>272</v>
      </c>
      <c r="B599" s="490">
        <v>906</v>
      </c>
      <c r="C599" s="580" t="s">
        <v>264</v>
      </c>
      <c r="D599" s="580" t="s">
        <v>118</v>
      </c>
      <c r="E599" s="580" t="s">
        <v>1231</v>
      </c>
      <c r="F599" s="580" t="s">
        <v>273</v>
      </c>
      <c r="G599" s="497">
        <f t="shared" si="46"/>
        <v>16777.2</v>
      </c>
      <c r="H599" s="497">
        <f t="shared" si="46"/>
        <v>16777.2</v>
      </c>
      <c r="I599" s="526"/>
      <c r="J599" s="501"/>
    </row>
    <row r="600" spans="1:10" ht="15.75" x14ac:dyDescent="0.25">
      <c r="A600" s="579" t="s">
        <v>274</v>
      </c>
      <c r="B600" s="490">
        <v>906</v>
      </c>
      <c r="C600" s="580" t="s">
        <v>264</v>
      </c>
      <c r="D600" s="580" t="s">
        <v>118</v>
      </c>
      <c r="E600" s="580" t="s">
        <v>1231</v>
      </c>
      <c r="F600" s="580" t="s">
        <v>275</v>
      </c>
      <c r="G600" s="27">
        <v>16777.2</v>
      </c>
      <c r="H600" s="27">
        <f>G600</f>
        <v>16777.2</v>
      </c>
      <c r="I600" s="526"/>
      <c r="J600" s="501"/>
    </row>
    <row r="601" spans="1:10" ht="31.7" customHeight="1" x14ac:dyDescent="0.25">
      <c r="A601" s="494" t="s">
        <v>900</v>
      </c>
      <c r="B601" s="491">
        <v>906</v>
      </c>
      <c r="C601" s="495" t="s">
        <v>264</v>
      </c>
      <c r="D601" s="495" t="s">
        <v>118</v>
      </c>
      <c r="E601" s="495" t="s">
        <v>1232</v>
      </c>
      <c r="F601" s="495"/>
      <c r="G601" s="44">
        <f>G602+G605</f>
        <v>62826</v>
      </c>
      <c r="H601" s="44">
        <f>H602+H605</f>
        <v>56875</v>
      </c>
      <c r="I601" s="526"/>
      <c r="J601" s="501"/>
    </row>
    <row r="602" spans="1:10" ht="31.7" customHeight="1" x14ac:dyDescent="0.25">
      <c r="A602" s="31" t="s">
        <v>293</v>
      </c>
      <c r="B602" s="490">
        <v>906</v>
      </c>
      <c r="C602" s="580" t="s">
        <v>264</v>
      </c>
      <c r="D602" s="580" t="s">
        <v>118</v>
      </c>
      <c r="E602" s="580" t="s">
        <v>1390</v>
      </c>
      <c r="F602" s="580"/>
      <c r="G602" s="497">
        <f>G603</f>
        <v>3230</v>
      </c>
      <c r="H602" s="497">
        <f>H603</f>
        <v>3230</v>
      </c>
      <c r="I602" s="526"/>
      <c r="J602" s="501"/>
    </row>
    <row r="603" spans="1:10" ht="31.7" customHeight="1" x14ac:dyDescent="0.25">
      <c r="A603" s="579" t="s">
        <v>272</v>
      </c>
      <c r="B603" s="490">
        <v>906</v>
      </c>
      <c r="C603" s="580" t="s">
        <v>264</v>
      </c>
      <c r="D603" s="580" t="s">
        <v>118</v>
      </c>
      <c r="E603" s="580" t="s">
        <v>1390</v>
      </c>
      <c r="F603" s="580" t="s">
        <v>273</v>
      </c>
      <c r="G603" s="497">
        <f>G604</f>
        <v>3230</v>
      </c>
      <c r="H603" s="497">
        <f>H604</f>
        <v>3230</v>
      </c>
      <c r="I603" s="526"/>
      <c r="J603" s="501"/>
    </row>
    <row r="604" spans="1:10" ht="18.399999999999999" customHeight="1" x14ac:dyDescent="0.25">
      <c r="A604" s="579" t="s">
        <v>274</v>
      </c>
      <c r="B604" s="490">
        <v>906</v>
      </c>
      <c r="C604" s="580" t="s">
        <v>264</v>
      </c>
      <c r="D604" s="580" t="s">
        <v>118</v>
      </c>
      <c r="E604" s="580" t="s">
        <v>1390</v>
      </c>
      <c r="F604" s="580" t="s">
        <v>275</v>
      </c>
      <c r="G604" s="27">
        <v>3230</v>
      </c>
      <c r="H604" s="27">
        <v>3230</v>
      </c>
      <c r="I604" s="526"/>
      <c r="J604" s="501"/>
    </row>
    <row r="605" spans="1:10" ht="31.5" x14ac:dyDescent="0.25">
      <c r="A605" s="579" t="s">
        <v>1766</v>
      </c>
      <c r="B605" s="490">
        <v>906</v>
      </c>
      <c r="C605" s="580" t="s">
        <v>264</v>
      </c>
      <c r="D605" s="580" t="s">
        <v>118</v>
      </c>
      <c r="E605" s="580" t="s">
        <v>1767</v>
      </c>
      <c r="F605" s="580"/>
      <c r="G605" s="497">
        <f>G606</f>
        <v>59596</v>
      </c>
      <c r="H605" s="497">
        <f>H606</f>
        <v>53645</v>
      </c>
      <c r="I605" s="526"/>
      <c r="J605" s="501"/>
    </row>
    <row r="606" spans="1:10" ht="31.5" x14ac:dyDescent="0.25">
      <c r="A606" s="579" t="s">
        <v>272</v>
      </c>
      <c r="B606" s="490">
        <v>906</v>
      </c>
      <c r="C606" s="580" t="s">
        <v>264</v>
      </c>
      <c r="D606" s="580" t="s">
        <v>118</v>
      </c>
      <c r="E606" s="580" t="s">
        <v>1767</v>
      </c>
      <c r="F606" s="580" t="s">
        <v>273</v>
      </c>
      <c r="G606" s="497">
        <f>G607</f>
        <v>59596</v>
      </c>
      <c r="H606" s="497">
        <f>H607</f>
        <v>53645</v>
      </c>
      <c r="I606" s="526"/>
      <c r="J606" s="501"/>
    </row>
    <row r="607" spans="1:10" ht="15.75" x14ac:dyDescent="0.25">
      <c r="A607" s="579" t="s">
        <v>274</v>
      </c>
      <c r="B607" s="490">
        <v>906</v>
      </c>
      <c r="C607" s="580" t="s">
        <v>264</v>
      </c>
      <c r="D607" s="580" t="s">
        <v>118</v>
      </c>
      <c r="E607" s="580" t="s">
        <v>1767</v>
      </c>
      <c r="F607" s="580" t="s">
        <v>275</v>
      </c>
      <c r="G607" s="163">
        <f>58138+1458</f>
        <v>59596</v>
      </c>
      <c r="H607" s="163">
        <f>52187+1458</f>
        <v>53645</v>
      </c>
      <c r="I607" s="526"/>
      <c r="J607" s="501"/>
    </row>
    <row r="608" spans="1:10" ht="30.2" customHeight="1" x14ac:dyDescent="0.25">
      <c r="A608" s="494" t="s">
        <v>1252</v>
      </c>
      <c r="B608" s="491">
        <v>906</v>
      </c>
      <c r="C608" s="495" t="s">
        <v>264</v>
      </c>
      <c r="D608" s="495" t="s">
        <v>118</v>
      </c>
      <c r="E608" s="495" t="s">
        <v>1237</v>
      </c>
      <c r="F608" s="495"/>
      <c r="G608" s="493">
        <f>G609+G612+G615</f>
        <v>4749.3999999999996</v>
      </c>
      <c r="H608" s="493">
        <f>H609+H612+H615</f>
        <v>4749.3999999999996</v>
      </c>
      <c r="I608" s="526"/>
      <c r="J608" s="501"/>
    </row>
    <row r="609" spans="1:10" ht="35.450000000000003" hidden="1" customHeight="1" x14ac:dyDescent="0.25">
      <c r="A609" s="579" t="s">
        <v>278</v>
      </c>
      <c r="B609" s="490">
        <v>906</v>
      </c>
      <c r="C609" s="580" t="s">
        <v>264</v>
      </c>
      <c r="D609" s="580" t="s">
        <v>118</v>
      </c>
      <c r="E609" s="580" t="s">
        <v>1318</v>
      </c>
      <c r="F609" s="580"/>
      <c r="G609" s="497">
        <f>G610</f>
        <v>0</v>
      </c>
      <c r="H609" s="497">
        <f>H610</f>
        <v>0</v>
      </c>
      <c r="I609" s="526"/>
      <c r="J609" s="501"/>
    </row>
    <row r="610" spans="1:10" ht="35.450000000000003" hidden="1" customHeight="1" x14ac:dyDescent="0.25">
      <c r="A610" s="579" t="s">
        <v>272</v>
      </c>
      <c r="B610" s="490">
        <v>906</v>
      </c>
      <c r="C610" s="580" t="s">
        <v>264</v>
      </c>
      <c r="D610" s="580" t="s">
        <v>118</v>
      </c>
      <c r="E610" s="580" t="s">
        <v>1318</v>
      </c>
      <c r="F610" s="580" t="s">
        <v>273</v>
      </c>
      <c r="G610" s="497">
        <f>G611</f>
        <v>0</v>
      </c>
      <c r="H610" s="497">
        <f>H611</f>
        <v>0</v>
      </c>
      <c r="I610" s="526"/>
      <c r="J610" s="501"/>
    </row>
    <row r="611" spans="1:10" ht="15.75" hidden="1" customHeight="1" x14ac:dyDescent="0.25">
      <c r="A611" s="579" t="s">
        <v>274</v>
      </c>
      <c r="B611" s="490">
        <v>906</v>
      </c>
      <c r="C611" s="580" t="s">
        <v>264</v>
      </c>
      <c r="D611" s="580" t="s">
        <v>118</v>
      </c>
      <c r="E611" s="580" t="s">
        <v>1318</v>
      </c>
      <c r="F611" s="580" t="s">
        <v>275</v>
      </c>
      <c r="G611" s="497"/>
      <c r="H611" s="497"/>
      <c r="I611" s="526"/>
      <c r="J611" s="501"/>
    </row>
    <row r="612" spans="1:10" ht="37.5" hidden="1" customHeight="1" x14ac:dyDescent="0.25">
      <c r="A612" s="579" t="s">
        <v>280</v>
      </c>
      <c r="B612" s="490">
        <v>906</v>
      </c>
      <c r="C612" s="580" t="s">
        <v>264</v>
      </c>
      <c r="D612" s="580" t="s">
        <v>118</v>
      </c>
      <c r="E612" s="580" t="s">
        <v>1319</v>
      </c>
      <c r="F612" s="580"/>
      <c r="G612" s="497">
        <f>G613</f>
        <v>0</v>
      </c>
      <c r="H612" s="497">
        <f>H613</f>
        <v>0</v>
      </c>
      <c r="I612" s="526"/>
      <c r="J612" s="501"/>
    </row>
    <row r="613" spans="1:10" ht="31.5" hidden="1" x14ac:dyDescent="0.25">
      <c r="A613" s="579" t="s">
        <v>272</v>
      </c>
      <c r="B613" s="490">
        <v>906</v>
      </c>
      <c r="C613" s="580" t="s">
        <v>264</v>
      </c>
      <c r="D613" s="580" t="s">
        <v>118</v>
      </c>
      <c r="E613" s="580" t="s">
        <v>1319</v>
      </c>
      <c r="F613" s="580" t="s">
        <v>273</v>
      </c>
      <c r="G613" s="497">
        <f>G614</f>
        <v>0</v>
      </c>
      <c r="H613" s="497">
        <f>H614</f>
        <v>0</v>
      </c>
      <c r="I613" s="526"/>
      <c r="J613" s="501"/>
    </row>
    <row r="614" spans="1:10" ht="15.75" hidden="1" x14ac:dyDescent="0.25">
      <c r="A614" s="579" t="s">
        <v>274</v>
      </c>
      <c r="B614" s="490">
        <v>906</v>
      </c>
      <c r="C614" s="580" t="s">
        <v>264</v>
      </c>
      <c r="D614" s="580" t="s">
        <v>118</v>
      </c>
      <c r="E614" s="580" t="s">
        <v>1319</v>
      </c>
      <c r="F614" s="580" t="s">
        <v>275</v>
      </c>
      <c r="G614" s="497"/>
      <c r="H614" s="497"/>
      <c r="I614" s="526"/>
      <c r="J614" s="501"/>
    </row>
    <row r="615" spans="1:10" ht="31.5" x14ac:dyDescent="0.25">
      <c r="A615" s="29" t="s">
        <v>415</v>
      </c>
      <c r="B615" s="490">
        <v>906</v>
      </c>
      <c r="C615" s="580" t="s">
        <v>264</v>
      </c>
      <c r="D615" s="580" t="s">
        <v>118</v>
      </c>
      <c r="E615" s="580" t="s">
        <v>1238</v>
      </c>
      <c r="F615" s="580"/>
      <c r="G615" s="497">
        <f>G616</f>
        <v>4749.3999999999996</v>
      </c>
      <c r="H615" s="497">
        <f>H616</f>
        <v>4749.3999999999996</v>
      </c>
      <c r="I615" s="526"/>
      <c r="J615" s="501"/>
    </row>
    <row r="616" spans="1:10" ht="31.5" x14ac:dyDescent="0.25">
      <c r="A616" s="579" t="s">
        <v>272</v>
      </c>
      <c r="B616" s="490">
        <v>906</v>
      </c>
      <c r="C616" s="580" t="s">
        <v>264</v>
      </c>
      <c r="D616" s="580" t="s">
        <v>118</v>
      </c>
      <c r="E616" s="580" t="s">
        <v>1238</v>
      </c>
      <c r="F616" s="580" t="s">
        <v>273</v>
      </c>
      <c r="G616" s="497">
        <f>G617</f>
        <v>4749.3999999999996</v>
      </c>
      <c r="H616" s="497">
        <f>H617</f>
        <v>4749.3999999999996</v>
      </c>
      <c r="I616" s="526"/>
      <c r="J616" s="501"/>
    </row>
    <row r="617" spans="1:10" ht="15.75" x14ac:dyDescent="0.25">
      <c r="A617" s="579" t="s">
        <v>274</v>
      </c>
      <c r="B617" s="490">
        <v>906</v>
      </c>
      <c r="C617" s="580" t="s">
        <v>264</v>
      </c>
      <c r="D617" s="580" t="s">
        <v>118</v>
      </c>
      <c r="E617" s="580" t="s">
        <v>1238</v>
      </c>
      <c r="F617" s="580" t="s">
        <v>275</v>
      </c>
      <c r="G617" s="474">
        <f>4766-16.6</f>
        <v>4749.3999999999996</v>
      </c>
      <c r="H617" s="474">
        <f>4766-16.6</f>
        <v>4749.3999999999996</v>
      </c>
      <c r="I617" s="526"/>
      <c r="J617" s="501"/>
    </row>
    <row r="618" spans="1:10" ht="31.5" x14ac:dyDescent="0.25">
      <c r="A618" s="219" t="s">
        <v>948</v>
      </c>
      <c r="B618" s="491">
        <v>906</v>
      </c>
      <c r="C618" s="495" t="s">
        <v>264</v>
      </c>
      <c r="D618" s="495" t="s">
        <v>118</v>
      </c>
      <c r="E618" s="495" t="s">
        <v>1240</v>
      </c>
      <c r="F618" s="495"/>
      <c r="G618" s="44">
        <f>G619+G622+G625</f>
        <v>4142</v>
      </c>
      <c r="H618" s="44">
        <f>H619+H622+H625</f>
        <v>4142</v>
      </c>
      <c r="I618" s="526"/>
      <c r="J618" s="501"/>
    </row>
    <row r="619" spans="1:10" ht="31.7" hidden="1" customHeight="1" x14ac:dyDescent="0.25">
      <c r="A619" s="579" t="s">
        <v>284</v>
      </c>
      <c r="B619" s="490">
        <v>906</v>
      </c>
      <c r="C619" s="580" t="s">
        <v>264</v>
      </c>
      <c r="D619" s="580" t="s">
        <v>118</v>
      </c>
      <c r="E619" s="580" t="s">
        <v>1258</v>
      </c>
      <c r="F619" s="580"/>
      <c r="G619" s="497">
        <f>G620</f>
        <v>0</v>
      </c>
      <c r="H619" s="497">
        <f>H620</f>
        <v>0</v>
      </c>
      <c r="I619" s="526"/>
      <c r="J619" s="501"/>
    </row>
    <row r="620" spans="1:10" ht="38.25" hidden="1" customHeight="1" x14ac:dyDescent="0.25">
      <c r="A620" s="579" t="s">
        <v>272</v>
      </c>
      <c r="B620" s="490">
        <v>906</v>
      </c>
      <c r="C620" s="580" t="s">
        <v>264</v>
      </c>
      <c r="D620" s="580" t="s">
        <v>118</v>
      </c>
      <c r="E620" s="580" t="s">
        <v>1258</v>
      </c>
      <c r="F620" s="580" t="s">
        <v>273</v>
      </c>
      <c r="G620" s="497">
        <f>G621</f>
        <v>0</v>
      </c>
      <c r="H620" s="497">
        <f>H621</f>
        <v>0</v>
      </c>
      <c r="I620" s="526"/>
      <c r="J620" s="501"/>
    </row>
    <row r="621" spans="1:10" ht="15.75" hidden="1" customHeight="1" x14ac:dyDescent="0.25">
      <c r="A621" s="579" t="s">
        <v>274</v>
      </c>
      <c r="B621" s="490">
        <v>906</v>
      </c>
      <c r="C621" s="580" t="s">
        <v>264</v>
      </c>
      <c r="D621" s="580" t="s">
        <v>118</v>
      </c>
      <c r="E621" s="580" t="s">
        <v>1258</v>
      </c>
      <c r="F621" s="580" t="s">
        <v>275</v>
      </c>
      <c r="G621" s="497">
        <v>0</v>
      </c>
      <c r="H621" s="497">
        <v>0</v>
      </c>
      <c r="I621" s="526"/>
      <c r="J621" s="501"/>
    </row>
    <row r="622" spans="1:10" ht="34.5" customHeight="1" x14ac:dyDescent="0.25">
      <c r="A622" s="60" t="s">
        <v>764</v>
      </c>
      <c r="B622" s="490">
        <v>906</v>
      </c>
      <c r="C622" s="580" t="s">
        <v>264</v>
      </c>
      <c r="D622" s="580" t="s">
        <v>118</v>
      </c>
      <c r="E622" s="580" t="s">
        <v>1241</v>
      </c>
      <c r="F622" s="580"/>
      <c r="G622" s="497">
        <f>G623</f>
        <v>2882</v>
      </c>
      <c r="H622" s="497">
        <f>H623</f>
        <v>2882</v>
      </c>
      <c r="I622" s="526"/>
      <c r="J622" s="501"/>
    </row>
    <row r="623" spans="1:10" ht="32.25" customHeight="1" x14ac:dyDescent="0.25">
      <c r="A623" s="29" t="s">
        <v>272</v>
      </c>
      <c r="B623" s="490">
        <v>906</v>
      </c>
      <c r="C623" s="580" t="s">
        <v>264</v>
      </c>
      <c r="D623" s="580" t="s">
        <v>118</v>
      </c>
      <c r="E623" s="580" t="s">
        <v>1241</v>
      </c>
      <c r="F623" s="580" t="s">
        <v>273</v>
      </c>
      <c r="G623" s="497">
        <f>G624</f>
        <v>2882</v>
      </c>
      <c r="H623" s="497">
        <f>H624</f>
        <v>2882</v>
      </c>
      <c r="I623" s="526"/>
      <c r="J623" s="501"/>
    </row>
    <row r="624" spans="1:10" ht="15.75" customHeight="1" x14ac:dyDescent="0.25">
      <c r="A624" s="182" t="s">
        <v>274</v>
      </c>
      <c r="B624" s="490">
        <v>906</v>
      </c>
      <c r="C624" s="580" t="s">
        <v>264</v>
      </c>
      <c r="D624" s="580" t="s">
        <v>118</v>
      </c>
      <c r="E624" s="580" t="s">
        <v>1241</v>
      </c>
      <c r="F624" s="580" t="s">
        <v>275</v>
      </c>
      <c r="G624" s="497">
        <v>2882</v>
      </c>
      <c r="H624" s="497">
        <v>2882</v>
      </c>
      <c r="I624" s="526"/>
      <c r="J624" s="501"/>
    </row>
    <row r="625" spans="1:10" ht="50.25" customHeight="1" x14ac:dyDescent="0.25">
      <c r="A625" s="60" t="s">
        <v>765</v>
      </c>
      <c r="B625" s="490">
        <v>906</v>
      </c>
      <c r="C625" s="580" t="s">
        <v>264</v>
      </c>
      <c r="D625" s="580" t="s">
        <v>118</v>
      </c>
      <c r="E625" s="580" t="s">
        <v>1242</v>
      </c>
      <c r="F625" s="580"/>
      <c r="G625" s="497">
        <f>G626</f>
        <v>1260</v>
      </c>
      <c r="H625" s="497">
        <f>H626</f>
        <v>1260</v>
      </c>
      <c r="I625" s="526"/>
      <c r="J625" s="501"/>
    </row>
    <row r="626" spans="1:10" ht="31.5" x14ac:dyDescent="0.25">
      <c r="A626" s="29" t="s">
        <v>272</v>
      </c>
      <c r="B626" s="490">
        <v>906</v>
      </c>
      <c r="C626" s="580" t="s">
        <v>264</v>
      </c>
      <c r="D626" s="580" t="s">
        <v>118</v>
      </c>
      <c r="E626" s="580" t="s">
        <v>1242</v>
      </c>
      <c r="F626" s="580" t="s">
        <v>273</v>
      </c>
      <c r="G626" s="497">
        <f>G627</f>
        <v>1260</v>
      </c>
      <c r="H626" s="497">
        <f>H627</f>
        <v>1260</v>
      </c>
      <c r="I626" s="526"/>
      <c r="J626" s="501"/>
    </row>
    <row r="627" spans="1:10" ht="15.75" x14ac:dyDescent="0.25">
      <c r="A627" s="182" t="s">
        <v>274</v>
      </c>
      <c r="B627" s="490">
        <v>906</v>
      </c>
      <c r="C627" s="580" t="s">
        <v>264</v>
      </c>
      <c r="D627" s="580" t="s">
        <v>118</v>
      </c>
      <c r="E627" s="580" t="s">
        <v>1242</v>
      </c>
      <c r="F627" s="580" t="s">
        <v>275</v>
      </c>
      <c r="G627" s="497">
        <v>1260</v>
      </c>
      <c r="H627" s="497">
        <v>1260</v>
      </c>
      <c r="I627" s="526"/>
      <c r="J627" s="501"/>
    </row>
    <row r="628" spans="1:10" ht="36" customHeight="1" x14ac:dyDescent="0.25">
      <c r="A628" s="494" t="s">
        <v>1715</v>
      </c>
      <c r="B628" s="491">
        <v>906</v>
      </c>
      <c r="C628" s="495" t="s">
        <v>264</v>
      </c>
      <c r="D628" s="495" t="s">
        <v>118</v>
      </c>
      <c r="E628" s="495" t="s">
        <v>1243</v>
      </c>
      <c r="F628" s="495"/>
      <c r="G628" s="493">
        <f t="shared" ref="G628:H630" si="47">G629</f>
        <v>141</v>
      </c>
      <c r="H628" s="493">
        <f t="shared" si="47"/>
        <v>141</v>
      </c>
      <c r="I628" s="526"/>
      <c r="J628" s="501"/>
    </row>
    <row r="629" spans="1:10" ht="31.5" x14ac:dyDescent="0.25">
      <c r="A629" s="579" t="s">
        <v>1716</v>
      </c>
      <c r="B629" s="490">
        <v>906</v>
      </c>
      <c r="C629" s="580" t="s">
        <v>264</v>
      </c>
      <c r="D629" s="580" t="s">
        <v>118</v>
      </c>
      <c r="E629" s="580" t="s">
        <v>1717</v>
      </c>
      <c r="F629" s="580"/>
      <c r="G629" s="497">
        <f t="shared" si="47"/>
        <v>141</v>
      </c>
      <c r="H629" s="497">
        <f t="shared" si="47"/>
        <v>141</v>
      </c>
      <c r="I629" s="526"/>
      <c r="J629" s="501"/>
    </row>
    <row r="630" spans="1:10" ht="31.5" x14ac:dyDescent="0.25">
      <c r="A630" s="29" t="s">
        <v>272</v>
      </c>
      <c r="B630" s="490">
        <v>906</v>
      </c>
      <c r="C630" s="580" t="s">
        <v>264</v>
      </c>
      <c r="D630" s="580" t="s">
        <v>118</v>
      </c>
      <c r="E630" s="580" t="s">
        <v>1717</v>
      </c>
      <c r="F630" s="580" t="s">
        <v>273</v>
      </c>
      <c r="G630" s="497">
        <f t="shared" si="47"/>
        <v>141</v>
      </c>
      <c r="H630" s="497">
        <f t="shared" si="47"/>
        <v>141</v>
      </c>
      <c r="I630" s="526"/>
      <c r="J630" s="501"/>
    </row>
    <row r="631" spans="1:10" ht="18.75" customHeight="1" x14ac:dyDescent="0.25">
      <c r="A631" s="182" t="s">
        <v>274</v>
      </c>
      <c r="B631" s="490">
        <v>906</v>
      </c>
      <c r="C631" s="580" t="s">
        <v>264</v>
      </c>
      <c r="D631" s="580" t="s">
        <v>118</v>
      </c>
      <c r="E631" s="580" t="s">
        <v>1717</v>
      </c>
      <c r="F631" s="580" t="s">
        <v>275</v>
      </c>
      <c r="G631" s="497">
        <f>124.4+16.6</f>
        <v>141</v>
      </c>
      <c r="H631" s="497">
        <f>124.4+16.6</f>
        <v>141</v>
      </c>
      <c r="I631" s="526"/>
      <c r="J631" s="501"/>
    </row>
    <row r="632" spans="1:10" ht="84.2" customHeight="1" x14ac:dyDescent="0.25">
      <c r="A632" s="494" t="s">
        <v>1166</v>
      </c>
      <c r="B632" s="491">
        <v>906</v>
      </c>
      <c r="C632" s="495" t="s">
        <v>264</v>
      </c>
      <c r="D632" s="495" t="s">
        <v>118</v>
      </c>
      <c r="E632" s="495" t="s">
        <v>1246</v>
      </c>
      <c r="F632" s="495"/>
      <c r="G632" s="493">
        <f>G633+G636</f>
        <v>679.9</v>
      </c>
      <c r="H632" s="493">
        <f>H633+H636</f>
        <v>679.9</v>
      </c>
      <c r="I632" s="526"/>
      <c r="J632" s="501"/>
    </row>
    <row r="633" spans="1:10" ht="79.5" customHeight="1" x14ac:dyDescent="0.25">
      <c r="A633" s="149" t="s">
        <v>1507</v>
      </c>
      <c r="B633" s="490">
        <v>906</v>
      </c>
      <c r="C633" s="580" t="s">
        <v>264</v>
      </c>
      <c r="D633" s="580" t="s">
        <v>118</v>
      </c>
      <c r="E633" s="580" t="s">
        <v>1247</v>
      </c>
      <c r="F633" s="580"/>
      <c r="G633" s="497">
        <f>G634</f>
        <v>679.9</v>
      </c>
      <c r="H633" s="497">
        <f>H634</f>
        <v>679.9</v>
      </c>
      <c r="I633" s="526"/>
      <c r="J633" s="501"/>
    </row>
    <row r="634" spans="1:10" ht="33.75" customHeight="1" x14ac:dyDescent="0.25">
      <c r="A634" s="579" t="s">
        <v>272</v>
      </c>
      <c r="B634" s="490">
        <v>906</v>
      </c>
      <c r="C634" s="580" t="s">
        <v>264</v>
      </c>
      <c r="D634" s="580" t="s">
        <v>118</v>
      </c>
      <c r="E634" s="580" t="s">
        <v>1247</v>
      </c>
      <c r="F634" s="580" t="s">
        <v>273</v>
      </c>
      <c r="G634" s="497">
        <f>G635</f>
        <v>679.9</v>
      </c>
      <c r="H634" s="497">
        <f>H635</f>
        <v>679.9</v>
      </c>
      <c r="I634" s="526"/>
      <c r="J634" s="501"/>
    </row>
    <row r="635" spans="1:10" ht="18.75" customHeight="1" x14ac:dyDescent="0.25">
      <c r="A635" s="579" t="s">
        <v>274</v>
      </c>
      <c r="B635" s="490">
        <v>906</v>
      </c>
      <c r="C635" s="580" t="s">
        <v>264</v>
      </c>
      <c r="D635" s="580" t="s">
        <v>118</v>
      </c>
      <c r="E635" s="580" t="s">
        <v>1247</v>
      </c>
      <c r="F635" s="580" t="s">
        <v>275</v>
      </c>
      <c r="G635" s="497">
        <f>652+27.9</f>
        <v>679.9</v>
      </c>
      <c r="H635" s="497">
        <f>652+27.9</f>
        <v>679.9</v>
      </c>
      <c r="I635" s="526"/>
      <c r="J635" s="501"/>
    </row>
    <row r="636" spans="1:10" ht="82.5" hidden="1" customHeight="1" x14ac:dyDescent="0.25">
      <c r="A636" s="149" t="s">
        <v>1181</v>
      </c>
      <c r="B636" s="490">
        <v>906</v>
      </c>
      <c r="C636" s="580" t="s">
        <v>264</v>
      </c>
      <c r="D636" s="580" t="s">
        <v>118</v>
      </c>
      <c r="E636" s="580" t="s">
        <v>1248</v>
      </c>
      <c r="F636" s="580"/>
      <c r="G636" s="497">
        <f>G637</f>
        <v>0</v>
      </c>
      <c r="H636" s="497">
        <f>H637</f>
        <v>0</v>
      </c>
      <c r="I636" s="526"/>
      <c r="J636" s="501"/>
    </row>
    <row r="637" spans="1:10" ht="36.75" hidden="1" customHeight="1" x14ac:dyDescent="0.25">
      <c r="A637" s="579" t="s">
        <v>272</v>
      </c>
      <c r="B637" s="490">
        <v>906</v>
      </c>
      <c r="C637" s="580" t="s">
        <v>264</v>
      </c>
      <c r="D637" s="580" t="s">
        <v>118</v>
      </c>
      <c r="E637" s="580" t="s">
        <v>1248</v>
      </c>
      <c r="F637" s="580" t="s">
        <v>273</v>
      </c>
      <c r="G637" s="497">
        <f>G638</f>
        <v>0</v>
      </c>
      <c r="H637" s="497">
        <f>H638</f>
        <v>0</v>
      </c>
      <c r="I637" s="526"/>
      <c r="J637" s="501"/>
    </row>
    <row r="638" spans="1:10" ht="18.75" hidden="1" customHeight="1" x14ac:dyDescent="0.25">
      <c r="A638" s="579" t="s">
        <v>274</v>
      </c>
      <c r="B638" s="490">
        <v>906</v>
      </c>
      <c r="C638" s="580" t="s">
        <v>264</v>
      </c>
      <c r="D638" s="580" t="s">
        <v>118</v>
      </c>
      <c r="E638" s="580" t="s">
        <v>1248</v>
      </c>
      <c r="F638" s="580" t="s">
        <v>275</v>
      </c>
      <c r="G638" s="497"/>
      <c r="H638" s="497"/>
      <c r="I638" s="526"/>
      <c r="J638" s="501"/>
    </row>
    <row r="639" spans="1:10" ht="31.5" hidden="1" x14ac:dyDescent="0.25">
      <c r="A639" s="304" t="s">
        <v>1631</v>
      </c>
      <c r="B639" s="491">
        <v>906</v>
      </c>
      <c r="C639" s="495" t="s">
        <v>264</v>
      </c>
      <c r="D639" s="495" t="s">
        <v>118</v>
      </c>
      <c r="E639" s="495" t="s">
        <v>1633</v>
      </c>
      <c r="F639" s="495"/>
      <c r="G639" s="497">
        <f t="shared" ref="G639:H641" si="48">G640</f>
        <v>0</v>
      </c>
      <c r="H639" s="497">
        <f t="shared" si="48"/>
        <v>0</v>
      </c>
      <c r="I639" s="526"/>
      <c r="J639" s="501"/>
    </row>
    <row r="640" spans="1:10" ht="31.5" hidden="1" x14ac:dyDescent="0.25">
      <c r="A640" s="303" t="s">
        <v>1632</v>
      </c>
      <c r="B640" s="490">
        <v>906</v>
      </c>
      <c r="C640" s="580" t="s">
        <v>264</v>
      </c>
      <c r="D640" s="580" t="s">
        <v>118</v>
      </c>
      <c r="E640" s="580" t="s">
        <v>1634</v>
      </c>
      <c r="F640" s="580"/>
      <c r="G640" s="497">
        <f t="shared" si="48"/>
        <v>0</v>
      </c>
      <c r="H640" s="497">
        <f t="shared" si="48"/>
        <v>0</v>
      </c>
      <c r="I640" s="526"/>
      <c r="J640" s="501"/>
    </row>
    <row r="641" spans="1:12" ht="31.5" hidden="1" x14ac:dyDescent="0.25">
      <c r="A641" s="31" t="s">
        <v>272</v>
      </c>
      <c r="B641" s="490">
        <v>906</v>
      </c>
      <c r="C641" s="580" t="s">
        <v>264</v>
      </c>
      <c r="D641" s="580" t="s">
        <v>118</v>
      </c>
      <c r="E641" s="580" t="s">
        <v>1634</v>
      </c>
      <c r="F641" s="580" t="s">
        <v>273</v>
      </c>
      <c r="G641" s="497">
        <f t="shared" si="48"/>
        <v>0</v>
      </c>
      <c r="H641" s="497">
        <f t="shared" si="48"/>
        <v>0</v>
      </c>
      <c r="I641" s="526"/>
      <c r="J641" s="501"/>
    </row>
    <row r="642" spans="1:12" ht="18.75" hidden="1" customHeight="1" x14ac:dyDescent="0.25">
      <c r="A642" s="31" t="s">
        <v>274</v>
      </c>
      <c r="B642" s="490">
        <v>906</v>
      </c>
      <c r="C642" s="580" t="s">
        <v>264</v>
      </c>
      <c r="D642" s="580" t="s">
        <v>118</v>
      </c>
      <c r="E642" s="580" t="s">
        <v>1634</v>
      </c>
      <c r="F642" s="580" t="s">
        <v>275</v>
      </c>
      <c r="G642" s="497"/>
      <c r="H642" s="497"/>
      <c r="I642" s="526"/>
      <c r="J642" s="501"/>
    </row>
    <row r="643" spans="1:12" ht="33" hidden="1" customHeight="1" x14ac:dyDescent="0.25">
      <c r="A643" s="304" t="s">
        <v>1635</v>
      </c>
      <c r="B643" s="491">
        <v>906</v>
      </c>
      <c r="C643" s="495" t="s">
        <v>264</v>
      </c>
      <c r="D643" s="495" t="s">
        <v>118</v>
      </c>
      <c r="E643" s="495" t="s">
        <v>1638</v>
      </c>
      <c r="F643" s="495"/>
      <c r="G643" s="493">
        <f t="shared" ref="G643:H645" si="49">G644</f>
        <v>0</v>
      </c>
      <c r="H643" s="493">
        <f t="shared" si="49"/>
        <v>0</v>
      </c>
      <c r="I643" s="526"/>
      <c r="J643" s="501"/>
    </row>
    <row r="644" spans="1:12" ht="33" hidden="1" customHeight="1" x14ac:dyDescent="0.25">
      <c r="A644" s="303" t="s">
        <v>1636</v>
      </c>
      <c r="B644" s="490">
        <v>906</v>
      </c>
      <c r="C644" s="580" t="s">
        <v>264</v>
      </c>
      <c r="D644" s="580" t="s">
        <v>118</v>
      </c>
      <c r="E644" s="580" t="s">
        <v>1637</v>
      </c>
      <c r="F644" s="580"/>
      <c r="G644" s="497">
        <f t="shared" si="49"/>
        <v>0</v>
      </c>
      <c r="H644" s="497">
        <f t="shared" si="49"/>
        <v>0</v>
      </c>
      <c r="I644" s="526"/>
      <c r="J644" s="501"/>
    </row>
    <row r="645" spans="1:12" ht="31.5" hidden="1" x14ac:dyDescent="0.25">
      <c r="A645" s="31" t="s">
        <v>272</v>
      </c>
      <c r="B645" s="490">
        <v>906</v>
      </c>
      <c r="C645" s="580" t="s">
        <v>264</v>
      </c>
      <c r="D645" s="580" t="s">
        <v>118</v>
      </c>
      <c r="E645" s="580" t="s">
        <v>1637</v>
      </c>
      <c r="F645" s="580" t="s">
        <v>273</v>
      </c>
      <c r="G645" s="497">
        <f t="shared" si="49"/>
        <v>0</v>
      </c>
      <c r="H645" s="497">
        <f t="shared" si="49"/>
        <v>0</v>
      </c>
      <c r="I645" s="526"/>
      <c r="J645" s="501"/>
    </row>
    <row r="646" spans="1:12" ht="18.75" hidden="1" customHeight="1" x14ac:dyDescent="0.25">
      <c r="A646" s="31" t="s">
        <v>274</v>
      </c>
      <c r="B646" s="490">
        <v>906</v>
      </c>
      <c r="C646" s="580" t="s">
        <v>264</v>
      </c>
      <c r="D646" s="580" t="s">
        <v>118</v>
      </c>
      <c r="E646" s="580" t="s">
        <v>1637</v>
      </c>
      <c r="F646" s="580" t="s">
        <v>275</v>
      </c>
      <c r="G646" s="497"/>
      <c r="H646" s="497"/>
      <c r="I646" s="526"/>
      <c r="J646" s="501"/>
      <c r="L646" s="510"/>
    </row>
    <row r="647" spans="1:12" ht="46.9" customHeight="1" x14ac:dyDescent="0.25">
      <c r="A647" s="34" t="s">
        <v>1357</v>
      </c>
      <c r="B647" s="491">
        <v>906</v>
      </c>
      <c r="C647" s="495" t="s">
        <v>264</v>
      </c>
      <c r="D647" s="495" t="s">
        <v>118</v>
      </c>
      <c r="E647" s="495" t="s">
        <v>324</v>
      </c>
      <c r="F647" s="495"/>
      <c r="G647" s="493">
        <f t="shared" ref="G647:H650" si="50">G648</f>
        <v>80</v>
      </c>
      <c r="H647" s="493">
        <f t="shared" si="50"/>
        <v>25</v>
      </c>
      <c r="I647" s="526"/>
      <c r="J647" s="501"/>
    </row>
    <row r="648" spans="1:12" ht="49.7" customHeight="1" x14ac:dyDescent="0.25">
      <c r="A648" s="34" t="s">
        <v>1009</v>
      </c>
      <c r="B648" s="491">
        <v>906</v>
      </c>
      <c r="C648" s="495" t="s">
        <v>264</v>
      </c>
      <c r="D648" s="495" t="s">
        <v>118</v>
      </c>
      <c r="E648" s="495" t="s">
        <v>934</v>
      </c>
      <c r="F648" s="495"/>
      <c r="G648" s="493">
        <f t="shared" si="50"/>
        <v>80</v>
      </c>
      <c r="H648" s="493">
        <f t="shared" si="50"/>
        <v>25</v>
      </c>
      <c r="I648" s="526"/>
      <c r="J648" s="501"/>
    </row>
    <row r="649" spans="1:12" ht="48.95" customHeight="1" x14ac:dyDescent="0.25">
      <c r="A649" s="31" t="s">
        <v>1081</v>
      </c>
      <c r="B649" s="490">
        <v>906</v>
      </c>
      <c r="C649" s="580" t="s">
        <v>264</v>
      </c>
      <c r="D649" s="580" t="s">
        <v>118</v>
      </c>
      <c r="E649" s="580" t="s">
        <v>935</v>
      </c>
      <c r="F649" s="580"/>
      <c r="G649" s="497">
        <f t="shared" si="50"/>
        <v>80</v>
      </c>
      <c r="H649" s="497">
        <f t="shared" si="50"/>
        <v>25</v>
      </c>
      <c r="I649" s="526"/>
      <c r="J649" s="501"/>
    </row>
    <row r="650" spans="1:12" ht="42" customHeight="1" x14ac:dyDescent="0.25">
      <c r="A650" s="31" t="s">
        <v>272</v>
      </c>
      <c r="B650" s="490">
        <v>906</v>
      </c>
      <c r="C650" s="580" t="s">
        <v>264</v>
      </c>
      <c r="D650" s="580" t="s">
        <v>118</v>
      </c>
      <c r="E650" s="580" t="s">
        <v>935</v>
      </c>
      <c r="F650" s="580" t="s">
        <v>273</v>
      </c>
      <c r="G650" s="497">
        <f t="shared" si="50"/>
        <v>80</v>
      </c>
      <c r="H650" s="497">
        <f t="shared" si="50"/>
        <v>25</v>
      </c>
      <c r="I650" s="526"/>
      <c r="J650" s="501"/>
    </row>
    <row r="651" spans="1:12" ht="16.5" customHeight="1" x14ac:dyDescent="0.25">
      <c r="A651" s="31" t="s">
        <v>274</v>
      </c>
      <c r="B651" s="490">
        <v>906</v>
      </c>
      <c r="C651" s="580" t="s">
        <v>264</v>
      </c>
      <c r="D651" s="580" t="s">
        <v>118</v>
      </c>
      <c r="E651" s="580" t="s">
        <v>935</v>
      </c>
      <c r="F651" s="580" t="s">
        <v>275</v>
      </c>
      <c r="G651" s="497">
        <v>80</v>
      </c>
      <c r="H651" s="497">
        <v>25</v>
      </c>
      <c r="I651" s="526"/>
      <c r="J651" s="501"/>
    </row>
    <row r="652" spans="1:12" ht="46.5" customHeight="1" x14ac:dyDescent="0.25">
      <c r="A652" s="572" t="s">
        <v>1341</v>
      </c>
      <c r="B652" s="491">
        <v>906</v>
      </c>
      <c r="C652" s="495" t="s">
        <v>264</v>
      </c>
      <c r="D652" s="495" t="s">
        <v>118</v>
      </c>
      <c r="E652" s="495" t="s">
        <v>705</v>
      </c>
      <c r="F652" s="504"/>
      <c r="G652" s="493">
        <f>G654</f>
        <v>571.79999999999995</v>
      </c>
      <c r="H652" s="493">
        <f>H654</f>
        <v>571.79999999999995</v>
      </c>
      <c r="I652" s="526"/>
      <c r="J652" s="501"/>
    </row>
    <row r="653" spans="1:12" ht="46.5" customHeight="1" x14ac:dyDescent="0.25">
      <c r="A653" s="572" t="s">
        <v>890</v>
      </c>
      <c r="B653" s="491">
        <v>906</v>
      </c>
      <c r="C653" s="495" t="s">
        <v>264</v>
      </c>
      <c r="D653" s="495" t="s">
        <v>118</v>
      </c>
      <c r="E653" s="495" t="s">
        <v>888</v>
      </c>
      <c r="F653" s="504"/>
      <c r="G653" s="493">
        <f t="shared" ref="G653:H655" si="51">G654</f>
        <v>571.79999999999995</v>
      </c>
      <c r="H653" s="493">
        <f t="shared" si="51"/>
        <v>571.79999999999995</v>
      </c>
      <c r="I653" s="526"/>
      <c r="J653" s="501"/>
    </row>
    <row r="654" spans="1:12" ht="36" customHeight="1" x14ac:dyDescent="0.25">
      <c r="A654" s="98" t="s">
        <v>780</v>
      </c>
      <c r="B654" s="490">
        <v>906</v>
      </c>
      <c r="C654" s="580" t="s">
        <v>264</v>
      </c>
      <c r="D654" s="580" t="s">
        <v>118</v>
      </c>
      <c r="E654" s="580" t="s">
        <v>936</v>
      </c>
      <c r="F654" s="498"/>
      <c r="G654" s="497">
        <f t="shared" si="51"/>
        <v>571.79999999999995</v>
      </c>
      <c r="H654" s="497">
        <f t="shared" si="51"/>
        <v>571.79999999999995</v>
      </c>
      <c r="I654" s="526"/>
      <c r="J654" s="501"/>
    </row>
    <row r="655" spans="1:12" ht="35.450000000000003" customHeight="1" x14ac:dyDescent="0.25">
      <c r="A655" s="29" t="s">
        <v>272</v>
      </c>
      <c r="B655" s="490">
        <v>906</v>
      </c>
      <c r="C655" s="580" t="s">
        <v>264</v>
      </c>
      <c r="D655" s="580" t="s">
        <v>118</v>
      </c>
      <c r="E655" s="580" t="s">
        <v>936</v>
      </c>
      <c r="F655" s="498" t="s">
        <v>273</v>
      </c>
      <c r="G655" s="497">
        <f t="shared" si="51"/>
        <v>571.79999999999995</v>
      </c>
      <c r="H655" s="497">
        <f t="shared" si="51"/>
        <v>571.79999999999995</v>
      </c>
      <c r="I655" s="526"/>
      <c r="J655" s="501"/>
    </row>
    <row r="656" spans="1:12" ht="15.75" customHeight="1" x14ac:dyDescent="0.25">
      <c r="A656" s="182" t="s">
        <v>274</v>
      </c>
      <c r="B656" s="490">
        <v>906</v>
      </c>
      <c r="C656" s="580" t="s">
        <v>264</v>
      </c>
      <c r="D656" s="580" t="s">
        <v>118</v>
      </c>
      <c r="E656" s="580" t="s">
        <v>936</v>
      </c>
      <c r="F656" s="498" t="s">
        <v>275</v>
      </c>
      <c r="G656" s="497">
        <v>571.79999999999995</v>
      </c>
      <c r="H656" s="497">
        <v>571.79999999999995</v>
      </c>
      <c r="I656" s="526"/>
      <c r="J656" s="501"/>
    </row>
    <row r="657" spans="1:10" ht="15.75" x14ac:dyDescent="0.25">
      <c r="A657" s="494" t="s">
        <v>425</v>
      </c>
      <c r="B657" s="491">
        <v>906</v>
      </c>
      <c r="C657" s="495" t="s">
        <v>264</v>
      </c>
      <c r="D657" s="495" t="s">
        <v>213</v>
      </c>
      <c r="E657" s="495"/>
      <c r="F657" s="495"/>
      <c r="G657" s="493">
        <f>G658+G736+G741</f>
        <v>202752.35</v>
      </c>
      <c r="H657" s="493">
        <f>H658+H736+H741</f>
        <v>164443.15</v>
      </c>
      <c r="I657" s="526"/>
      <c r="J657" s="501"/>
    </row>
    <row r="658" spans="1:10" ht="36.75" customHeight="1" x14ac:dyDescent="0.25">
      <c r="A658" s="494" t="s">
        <v>1358</v>
      </c>
      <c r="B658" s="491">
        <v>906</v>
      </c>
      <c r="C658" s="495" t="s">
        <v>264</v>
      </c>
      <c r="D658" s="495" t="s">
        <v>213</v>
      </c>
      <c r="E658" s="495" t="s">
        <v>406</v>
      </c>
      <c r="F658" s="495"/>
      <c r="G658" s="493">
        <f>G659+G663+G676+G689+G696+G700+G704+G724+G708+G712+G728+G716+G720+G732</f>
        <v>201821.51</v>
      </c>
      <c r="H658" s="493">
        <f>H659+H663+H676+H689+H696+H700+H704+H724+H708+H712+H728+H716+H720+H732</f>
        <v>163512.31</v>
      </c>
      <c r="I658" s="526"/>
      <c r="J658" s="501"/>
    </row>
    <row r="659" spans="1:10" ht="37.5" customHeight="1" x14ac:dyDescent="0.25">
      <c r="A659" s="494" t="s">
        <v>937</v>
      </c>
      <c r="B659" s="491">
        <v>906</v>
      </c>
      <c r="C659" s="495" t="s">
        <v>264</v>
      </c>
      <c r="D659" s="495" t="s">
        <v>213</v>
      </c>
      <c r="E659" s="495" t="s">
        <v>1230</v>
      </c>
      <c r="F659" s="495"/>
      <c r="G659" s="493">
        <f t="shared" ref="G659:H661" si="52">G660</f>
        <v>30618.400000000001</v>
      </c>
      <c r="H659" s="493">
        <f t="shared" si="52"/>
        <v>30618.400000000001</v>
      </c>
      <c r="I659" s="526"/>
      <c r="J659" s="501"/>
    </row>
    <row r="660" spans="1:10" ht="31.5" x14ac:dyDescent="0.25">
      <c r="A660" s="579" t="s">
        <v>1236</v>
      </c>
      <c r="B660" s="490">
        <v>906</v>
      </c>
      <c r="C660" s="580" t="s">
        <v>264</v>
      </c>
      <c r="D660" s="580" t="s">
        <v>213</v>
      </c>
      <c r="E660" s="580" t="s">
        <v>1249</v>
      </c>
      <c r="F660" s="580"/>
      <c r="G660" s="497">
        <f t="shared" si="52"/>
        <v>30618.400000000001</v>
      </c>
      <c r="H660" s="497">
        <f t="shared" si="52"/>
        <v>30618.400000000001</v>
      </c>
      <c r="I660" s="526"/>
      <c r="J660" s="501"/>
    </row>
    <row r="661" spans="1:10" ht="32.25" customHeight="1" x14ac:dyDescent="0.25">
      <c r="A661" s="579" t="s">
        <v>272</v>
      </c>
      <c r="B661" s="490">
        <v>906</v>
      </c>
      <c r="C661" s="580" t="s">
        <v>264</v>
      </c>
      <c r="D661" s="580" t="s">
        <v>213</v>
      </c>
      <c r="E661" s="580" t="s">
        <v>1249</v>
      </c>
      <c r="F661" s="580" t="s">
        <v>273</v>
      </c>
      <c r="G661" s="497">
        <f t="shared" si="52"/>
        <v>30618.400000000001</v>
      </c>
      <c r="H661" s="497">
        <f t="shared" si="52"/>
        <v>30618.400000000001</v>
      </c>
      <c r="I661" s="526"/>
      <c r="J661" s="501"/>
    </row>
    <row r="662" spans="1:10" ht="15.75" x14ac:dyDescent="0.25">
      <c r="A662" s="579" t="s">
        <v>274</v>
      </c>
      <c r="B662" s="490">
        <v>906</v>
      </c>
      <c r="C662" s="580" t="s">
        <v>264</v>
      </c>
      <c r="D662" s="580" t="s">
        <v>213</v>
      </c>
      <c r="E662" s="580" t="s">
        <v>1249</v>
      </c>
      <c r="F662" s="580" t="s">
        <v>275</v>
      </c>
      <c r="G662" s="27">
        <v>30618.400000000001</v>
      </c>
      <c r="H662" s="27">
        <f>G662</f>
        <v>30618.400000000001</v>
      </c>
      <c r="I662" s="530"/>
      <c r="J662" s="501"/>
    </row>
    <row r="663" spans="1:10" ht="36.75" customHeight="1" x14ac:dyDescent="0.25">
      <c r="A663" s="494" t="s">
        <v>900</v>
      </c>
      <c r="B663" s="491">
        <v>906</v>
      </c>
      <c r="C663" s="495" t="s">
        <v>264</v>
      </c>
      <c r="D663" s="495" t="s">
        <v>213</v>
      </c>
      <c r="E663" s="495" t="s">
        <v>1232</v>
      </c>
      <c r="F663" s="495"/>
      <c r="G663" s="44">
        <f>G664+G667+G670+G673</f>
        <v>154661.90000000002</v>
      </c>
      <c r="H663" s="44">
        <f>H664+H667+H670+H673</f>
        <v>118586.40000000001</v>
      </c>
      <c r="I663" s="526"/>
      <c r="J663" s="501"/>
    </row>
    <row r="664" spans="1:10" ht="50.25" customHeight="1" x14ac:dyDescent="0.25">
      <c r="A664" s="579" t="s">
        <v>1392</v>
      </c>
      <c r="B664" s="490">
        <v>906</v>
      </c>
      <c r="C664" s="580" t="s">
        <v>264</v>
      </c>
      <c r="D664" s="580" t="s">
        <v>213</v>
      </c>
      <c r="E664" s="580" t="s">
        <v>1393</v>
      </c>
      <c r="F664" s="580"/>
      <c r="G664" s="27">
        <f>G665</f>
        <v>7421.4</v>
      </c>
      <c r="H664" s="27">
        <f>H665</f>
        <v>7421.4</v>
      </c>
      <c r="I664" s="526"/>
      <c r="J664" s="501"/>
    </row>
    <row r="665" spans="1:10" ht="36.75" customHeight="1" x14ac:dyDescent="0.25">
      <c r="A665" s="579" t="s">
        <v>272</v>
      </c>
      <c r="B665" s="490">
        <v>906</v>
      </c>
      <c r="C665" s="580" t="s">
        <v>264</v>
      </c>
      <c r="D665" s="580" t="s">
        <v>213</v>
      </c>
      <c r="E665" s="580" t="s">
        <v>1393</v>
      </c>
      <c r="F665" s="580" t="s">
        <v>273</v>
      </c>
      <c r="G665" s="27">
        <f>G666</f>
        <v>7421.4</v>
      </c>
      <c r="H665" s="27">
        <f>H666</f>
        <v>7421.4</v>
      </c>
      <c r="I665" s="526"/>
      <c r="J665" s="501"/>
    </row>
    <row r="666" spans="1:10" ht="19.7" customHeight="1" x14ac:dyDescent="0.25">
      <c r="A666" s="579" t="s">
        <v>274</v>
      </c>
      <c r="B666" s="490">
        <v>906</v>
      </c>
      <c r="C666" s="580" t="s">
        <v>264</v>
      </c>
      <c r="D666" s="580" t="s">
        <v>213</v>
      </c>
      <c r="E666" s="580" t="s">
        <v>1393</v>
      </c>
      <c r="F666" s="580" t="s">
        <v>275</v>
      </c>
      <c r="G666" s="27">
        <v>7421.4</v>
      </c>
      <c r="H666" s="27">
        <v>7421.4</v>
      </c>
      <c r="I666" s="526"/>
      <c r="J666" s="501"/>
    </row>
    <row r="667" spans="1:10" ht="88.35" customHeight="1" x14ac:dyDescent="0.25">
      <c r="A667" s="31" t="s">
        <v>293</v>
      </c>
      <c r="B667" s="490">
        <v>906</v>
      </c>
      <c r="C667" s="580" t="s">
        <v>264</v>
      </c>
      <c r="D667" s="580" t="s">
        <v>213</v>
      </c>
      <c r="E667" s="580" t="s">
        <v>1390</v>
      </c>
      <c r="F667" s="580"/>
      <c r="G667" s="497">
        <f>G668</f>
        <v>4520</v>
      </c>
      <c r="H667" s="497">
        <f>H668</f>
        <v>4520</v>
      </c>
      <c r="I667" s="526"/>
      <c r="J667" s="501"/>
    </row>
    <row r="668" spans="1:10" ht="36.75" customHeight="1" x14ac:dyDescent="0.25">
      <c r="A668" s="579" t="s">
        <v>272</v>
      </c>
      <c r="B668" s="490">
        <v>906</v>
      </c>
      <c r="C668" s="580" t="s">
        <v>264</v>
      </c>
      <c r="D668" s="580" t="s">
        <v>213</v>
      </c>
      <c r="E668" s="580" t="s">
        <v>1390</v>
      </c>
      <c r="F668" s="580" t="s">
        <v>273</v>
      </c>
      <c r="G668" s="497">
        <f>G669</f>
        <v>4520</v>
      </c>
      <c r="H668" s="497">
        <f>H669</f>
        <v>4520</v>
      </c>
      <c r="I668" s="526"/>
      <c r="J668" s="501"/>
    </row>
    <row r="669" spans="1:10" ht="14.25" customHeight="1" x14ac:dyDescent="0.25">
      <c r="A669" s="579" t="s">
        <v>274</v>
      </c>
      <c r="B669" s="490">
        <v>906</v>
      </c>
      <c r="C669" s="580" t="s">
        <v>264</v>
      </c>
      <c r="D669" s="580" t="s">
        <v>213</v>
      </c>
      <c r="E669" s="580" t="s">
        <v>1390</v>
      </c>
      <c r="F669" s="580" t="s">
        <v>275</v>
      </c>
      <c r="G669" s="163">
        <f>9911-761-3230-1400</f>
        <v>4520</v>
      </c>
      <c r="H669" s="163">
        <f>9911-761-3230-1400</f>
        <v>4520</v>
      </c>
      <c r="I669" s="526"/>
      <c r="J669" s="501"/>
    </row>
    <row r="670" spans="1:10" ht="47.25" x14ac:dyDescent="0.25">
      <c r="A670" s="31" t="s">
        <v>462</v>
      </c>
      <c r="B670" s="490">
        <v>906</v>
      </c>
      <c r="C670" s="580" t="s">
        <v>264</v>
      </c>
      <c r="D670" s="580" t="s">
        <v>213</v>
      </c>
      <c r="E670" s="580" t="s">
        <v>1251</v>
      </c>
      <c r="F670" s="580"/>
      <c r="G670" s="497">
        <f>G671</f>
        <v>909.3</v>
      </c>
      <c r="H670" s="497">
        <f>H671</f>
        <v>909.3</v>
      </c>
      <c r="I670" s="526"/>
      <c r="J670" s="501"/>
    </row>
    <row r="671" spans="1:10" ht="31.5" x14ac:dyDescent="0.25">
      <c r="A671" s="579" t="s">
        <v>272</v>
      </c>
      <c r="B671" s="490">
        <v>906</v>
      </c>
      <c r="C671" s="580" t="s">
        <v>264</v>
      </c>
      <c r="D671" s="580" t="s">
        <v>213</v>
      </c>
      <c r="E671" s="580" t="s">
        <v>1251</v>
      </c>
      <c r="F671" s="580" t="s">
        <v>273</v>
      </c>
      <c r="G671" s="497">
        <f>G672</f>
        <v>909.3</v>
      </c>
      <c r="H671" s="497">
        <f>H672</f>
        <v>909.3</v>
      </c>
      <c r="I671" s="526"/>
      <c r="J671" s="501"/>
    </row>
    <row r="672" spans="1:10" ht="15.75" x14ac:dyDescent="0.25">
      <c r="A672" s="579" t="s">
        <v>274</v>
      </c>
      <c r="B672" s="490">
        <v>906</v>
      </c>
      <c r="C672" s="580" t="s">
        <v>264</v>
      </c>
      <c r="D672" s="580" t="s">
        <v>213</v>
      </c>
      <c r="E672" s="580" t="s">
        <v>1251</v>
      </c>
      <c r="F672" s="580" t="s">
        <v>275</v>
      </c>
      <c r="G672" s="27">
        <v>909.3</v>
      </c>
      <c r="H672" s="27">
        <v>909.3</v>
      </c>
      <c r="I672" s="526"/>
      <c r="J672" s="501"/>
    </row>
    <row r="673" spans="1:10" ht="31.5" x14ac:dyDescent="0.25">
      <c r="A673" s="579" t="s">
        <v>1766</v>
      </c>
      <c r="B673" s="490">
        <v>906</v>
      </c>
      <c r="C673" s="580" t="s">
        <v>264</v>
      </c>
      <c r="D673" s="580" t="s">
        <v>213</v>
      </c>
      <c r="E673" s="580" t="s">
        <v>1767</v>
      </c>
      <c r="F673" s="580"/>
      <c r="G673" s="27">
        <f>G674</f>
        <v>141811.20000000001</v>
      </c>
      <c r="H673" s="27">
        <f>H674</f>
        <v>105735.70000000001</v>
      </c>
      <c r="I673" s="526"/>
      <c r="J673" s="501"/>
    </row>
    <row r="674" spans="1:10" ht="31.5" x14ac:dyDescent="0.25">
      <c r="A674" s="579" t="s">
        <v>272</v>
      </c>
      <c r="B674" s="490">
        <v>906</v>
      </c>
      <c r="C674" s="580" t="s">
        <v>264</v>
      </c>
      <c r="D674" s="580" t="s">
        <v>213</v>
      </c>
      <c r="E674" s="580" t="s">
        <v>1767</v>
      </c>
      <c r="F674" s="580" t="s">
        <v>273</v>
      </c>
      <c r="G674" s="27">
        <f>G675</f>
        <v>141811.20000000001</v>
      </c>
      <c r="H674" s="27">
        <f>H675</f>
        <v>105735.70000000001</v>
      </c>
      <c r="I674" s="526"/>
      <c r="J674" s="501"/>
    </row>
    <row r="675" spans="1:10" ht="15.75" x14ac:dyDescent="0.25">
      <c r="A675" s="579" t="s">
        <v>274</v>
      </c>
      <c r="B675" s="490">
        <v>906</v>
      </c>
      <c r="C675" s="580" t="s">
        <v>264</v>
      </c>
      <c r="D675" s="580" t="s">
        <v>213</v>
      </c>
      <c r="E675" s="580" t="s">
        <v>1767</v>
      </c>
      <c r="F675" s="580" t="s">
        <v>275</v>
      </c>
      <c r="G675" s="27">
        <f>138182.6+3628.6</f>
        <v>141811.20000000001</v>
      </c>
      <c r="H675" s="27">
        <f>102107.1+3628.6</f>
        <v>105735.70000000001</v>
      </c>
      <c r="I675" s="526"/>
      <c r="J675" s="501"/>
    </row>
    <row r="676" spans="1:10" ht="35.450000000000003" customHeight="1" x14ac:dyDescent="0.25">
      <c r="A676" s="494" t="s">
        <v>1252</v>
      </c>
      <c r="B676" s="255">
        <v>906</v>
      </c>
      <c r="C676" s="495" t="s">
        <v>264</v>
      </c>
      <c r="D676" s="495" t="s">
        <v>213</v>
      </c>
      <c r="E676" s="495" t="s">
        <v>1237</v>
      </c>
      <c r="F676" s="495"/>
      <c r="G676" s="493">
        <f>G677+G680+G683+G686</f>
        <v>208.6</v>
      </c>
      <c r="H676" s="493">
        <f>H677+H680+H683+H686</f>
        <v>208.6</v>
      </c>
      <c r="I676" s="526"/>
      <c r="J676" s="501"/>
    </row>
    <row r="677" spans="1:10" ht="35.450000000000003" hidden="1" customHeight="1" x14ac:dyDescent="0.25">
      <c r="A677" s="579" t="s">
        <v>440</v>
      </c>
      <c r="B677" s="37">
        <v>906</v>
      </c>
      <c r="C677" s="580" t="s">
        <v>264</v>
      </c>
      <c r="D677" s="580" t="s">
        <v>213</v>
      </c>
      <c r="E677" s="580" t="s">
        <v>1317</v>
      </c>
      <c r="F677" s="580"/>
      <c r="G677" s="497">
        <f>G678</f>
        <v>0</v>
      </c>
      <c r="H677" s="497">
        <f>H678</f>
        <v>0</v>
      </c>
      <c r="I677" s="526"/>
      <c r="J677" s="501"/>
    </row>
    <row r="678" spans="1:10" ht="39.75" hidden="1" customHeight="1" x14ac:dyDescent="0.25">
      <c r="A678" s="579" t="s">
        <v>272</v>
      </c>
      <c r="B678" s="37">
        <v>906</v>
      </c>
      <c r="C678" s="580" t="s">
        <v>264</v>
      </c>
      <c r="D678" s="580" t="s">
        <v>213</v>
      </c>
      <c r="E678" s="580" t="s">
        <v>1317</v>
      </c>
      <c r="F678" s="580" t="s">
        <v>273</v>
      </c>
      <c r="G678" s="497">
        <f>G679</f>
        <v>0</v>
      </c>
      <c r="H678" s="497">
        <f>H679</f>
        <v>0</v>
      </c>
      <c r="I678" s="526"/>
      <c r="J678" s="501"/>
    </row>
    <row r="679" spans="1:10" ht="18.75" hidden="1" customHeight="1" x14ac:dyDescent="0.25">
      <c r="A679" s="579" t="s">
        <v>274</v>
      </c>
      <c r="B679" s="37">
        <v>906</v>
      </c>
      <c r="C679" s="580" t="s">
        <v>264</v>
      </c>
      <c r="D679" s="580" t="s">
        <v>213</v>
      </c>
      <c r="E679" s="580" t="s">
        <v>1317</v>
      </c>
      <c r="F679" s="580" t="s">
        <v>275</v>
      </c>
      <c r="G679" s="497">
        <v>0</v>
      </c>
      <c r="H679" s="497">
        <v>0</v>
      </c>
      <c r="I679" s="526"/>
      <c r="J679" s="501"/>
    </row>
    <row r="680" spans="1:10" ht="41.25" hidden="1" customHeight="1" x14ac:dyDescent="0.25">
      <c r="A680" s="579" t="s">
        <v>278</v>
      </c>
      <c r="B680" s="37">
        <v>906</v>
      </c>
      <c r="C680" s="580" t="s">
        <v>264</v>
      </c>
      <c r="D680" s="580" t="s">
        <v>213</v>
      </c>
      <c r="E680" s="580" t="s">
        <v>1318</v>
      </c>
      <c r="F680" s="580"/>
      <c r="G680" s="497">
        <f>G681</f>
        <v>0</v>
      </c>
      <c r="H680" s="497">
        <f>H681</f>
        <v>0</v>
      </c>
      <c r="I680" s="526"/>
      <c r="J680" s="501"/>
    </row>
    <row r="681" spans="1:10" ht="33" hidden="1" customHeight="1" x14ac:dyDescent="0.25">
      <c r="A681" s="579" t="s">
        <v>272</v>
      </c>
      <c r="B681" s="37">
        <v>906</v>
      </c>
      <c r="C681" s="580" t="s">
        <v>264</v>
      </c>
      <c r="D681" s="580" t="s">
        <v>213</v>
      </c>
      <c r="E681" s="580" t="s">
        <v>1318</v>
      </c>
      <c r="F681" s="580" t="s">
        <v>273</v>
      </c>
      <c r="G681" s="497">
        <f>G682</f>
        <v>0</v>
      </c>
      <c r="H681" s="497">
        <f>H682</f>
        <v>0</v>
      </c>
      <c r="I681" s="526"/>
      <c r="J681" s="501"/>
    </row>
    <row r="682" spans="1:10" ht="18.75" hidden="1" customHeight="1" x14ac:dyDescent="0.25">
      <c r="A682" s="579" t="s">
        <v>274</v>
      </c>
      <c r="B682" s="37">
        <v>906</v>
      </c>
      <c r="C682" s="580" t="s">
        <v>264</v>
      </c>
      <c r="D682" s="580" t="s">
        <v>213</v>
      </c>
      <c r="E682" s="580" t="s">
        <v>1318</v>
      </c>
      <c r="F682" s="580" t="s">
        <v>275</v>
      </c>
      <c r="G682" s="497"/>
      <c r="H682" s="497"/>
      <c r="I682" s="526"/>
      <c r="J682" s="501"/>
    </row>
    <row r="683" spans="1:10" ht="31.7" hidden="1" customHeight="1" x14ac:dyDescent="0.25">
      <c r="A683" s="579" t="s">
        <v>280</v>
      </c>
      <c r="B683" s="37">
        <v>906</v>
      </c>
      <c r="C683" s="580" t="s">
        <v>264</v>
      </c>
      <c r="D683" s="580" t="s">
        <v>213</v>
      </c>
      <c r="E683" s="580" t="s">
        <v>1319</v>
      </c>
      <c r="F683" s="580"/>
      <c r="G683" s="497">
        <f>G684</f>
        <v>0</v>
      </c>
      <c r="H683" s="497">
        <f>H684</f>
        <v>0</v>
      </c>
      <c r="I683" s="526"/>
      <c r="J683" s="501"/>
    </row>
    <row r="684" spans="1:10" ht="29.25" hidden="1" customHeight="1" x14ac:dyDescent="0.25">
      <c r="A684" s="579" t="s">
        <v>272</v>
      </c>
      <c r="B684" s="37">
        <v>906</v>
      </c>
      <c r="C684" s="580" t="s">
        <v>264</v>
      </c>
      <c r="D684" s="580" t="s">
        <v>213</v>
      </c>
      <c r="E684" s="580" t="s">
        <v>1319</v>
      </c>
      <c r="F684" s="580" t="s">
        <v>273</v>
      </c>
      <c r="G684" s="497">
        <f>G685</f>
        <v>0</v>
      </c>
      <c r="H684" s="497">
        <f>H685</f>
        <v>0</v>
      </c>
      <c r="I684" s="526"/>
      <c r="J684" s="501"/>
    </row>
    <row r="685" spans="1:10" ht="18.75" hidden="1" customHeight="1" x14ac:dyDescent="0.25">
      <c r="A685" s="579" t="s">
        <v>274</v>
      </c>
      <c r="B685" s="37">
        <v>906</v>
      </c>
      <c r="C685" s="580" t="s">
        <v>264</v>
      </c>
      <c r="D685" s="580" t="s">
        <v>213</v>
      </c>
      <c r="E685" s="580" t="s">
        <v>1319</v>
      </c>
      <c r="F685" s="580" t="s">
        <v>275</v>
      </c>
      <c r="G685" s="497"/>
      <c r="H685" s="497"/>
      <c r="I685" s="526"/>
      <c r="J685" s="501"/>
    </row>
    <row r="686" spans="1:10" ht="36" customHeight="1" x14ac:dyDescent="0.25">
      <c r="A686" s="579" t="s">
        <v>282</v>
      </c>
      <c r="B686" s="37">
        <v>906</v>
      </c>
      <c r="C686" s="580" t="s">
        <v>264</v>
      </c>
      <c r="D686" s="580" t="s">
        <v>213</v>
      </c>
      <c r="E686" s="580" t="s">
        <v>1253</v>
      </c>
      <c r="F686" s="580"/>
      <c r="G686" s="497">
        <f>G687</f>
        <v>208.6</v>
      </c>
      <c r="H686" s="497">
        <f>H687</f>
        <v>208.6</v>
      </c>
      <c r="I686" s="526"/>
      <c r="J686" s="501"/>
    </row>
    <row r="687" spans="1:10" ht="39.75" customHeight="1" x14ac:dyDescent="0.25">
      <c r="A687" s="579" t="s">
        <v>272</v>
      </c>
      <c r="B687" s="37">
        <v>906</v>
      </c>
      <c r="C687" s="580" t="s">
        <v>264</v>
      </c>
      <c r="D687" s="580" t="s">
        <v>213</v>
      </c>
      <c r="E687" s="580" t="s">
        <v>1253</v>
      </c>
      <c r="F687" s="580" t="s">
        <v>273</v>
      </c>
      <c r="G687" s="497">
        <f>G688</f>
        <v>208.6</v>
      </c>
      <c r="H687" s="497">
        <f>H688</f>
        <v>208.6</v>
      </c>
      <c r="I687" s="526"/>
      <c r="J687" s="501"/>
    </row>
    <row r="688" spans="1:10" ht="18.75" customHeight="1" x14ac:dyDescent="0.25">
      <c r="A688" s="579" t="s">
        <v>274</v>
      </c>
      <c r="B688" s="37">
        <v>906</v>
      </c>
      <c r="C688" s="580" t="s">
        <v>264</v>
      </c>
      <c r="D688" s="580" t="s">
        <v>213</v>
      </c>
      <c r="E688" s="580" t="s">
        <v>1253</v>
      </c>
      <c r="F688" s="580" t="s">
        <v>275</v>
      </c>
      <c r="G688" s="497">
        <v>208.6</v>
      </c>
      <c r="H688" s="497">
        <v>208.6</v>
      </c>
      <c r="I688" s="526"/>
      <c r="J688" s="501"/>
    </row>
    <row r="689" spans="1:10" ht="34.5" customHeight="1" x14ac:dyDescent="0.25">
      <c r="A689" s="219" t="s">
        <v>948</v>
      </c>
      <c r="B689" s="491">
        <v>906</v>
      </c>
      <c r="C689" s="495" t="s">
        <v>264</v>
      </c>
      <c r="D689" s="495" t="s">
        <v>213</v>
      </c>
      <c r="E689" s="495" t="s">
        <v>1240</v>
      </c>
      <c r="F689" s="495"/>
      <c r="G689" s="44">
        <f>G690+G693</f>
        <v>2967</v>
      </c>
      <c r="H689" s="44">
        <f>H690+H693</f>
        <v>2967</v>
      </c>
      <c r="I689" s="526"/>
      <c r="J689" s="501"/>
    </row>
    <row r="690" spans="1:10" ht="36.75" hidden="1" customHeight="1" x14ac:dyDescent="0.25">
      <c r="A690" s="579" t="s">
        <v>791</v>
      </c>
      <c r="B690" s="490">
        <v>906</v>
      </c>
      <c r="C690" s="580" t="s">
        <v>264</v>
      </c>
      <c r="D690" s="580" t="s">
        <v>213</v>
      </c>
      <c r="E690" s="580" t="s">
        <v>1258</v>
      </c>
      <c r="F690" s="580"/>
      <c r="G690" s="497">
        <f>G691</f>
        <v>0</v>
      </c>
      <c r="H690" s="497">
        <f>H691</f>
        <v>0</v>
      </c>
      <c r="I690" s="526"/>
      <c r="J690" s="501"/>
    </row>
    <row r="691" spans="1:10" ht="44.45" hidden="1" customHeight="1" x14ac:dyDescent="0.25">
      <c r="A691" s="579" t="s">
        <v>272</v>
      </c>
      <c r="B691" s="490">
        <v>906</v>
      </c>
      <c r="C691" s="580" t="s">
        <v>264</v>
      </c>
      <c r="D691" s="580" t="s">
        <v>213</v>
      </c>
      <c r="E691" s="580" t="s">
        <v>1258</v>
      </c>
      <c r="F691" s="580" t="s">
        <v>273</v>
      </c>
      <c r="G691" s="497">
        <f>G692</f>
        <v>0</v>
      </c>
      <c r="H691" s="497">
        <f>H692</f>
        <v>0</v>
      </c>
      <c r="I691" s="526"/>
      <c r="J691" s="501"/>
    </row>
    <row r="692" spans="1:10" ht="18.75" hidden="1" customHeight="1" x14ac:dyDescent="0.25">
      <c r="A692" s="579" t="s">
        <v>274</v>
      </c>
      <c r="B692" s="490">
        <v>906</v>
      </c>
      <c r="C692" s="580" t="s">
        <v>264</v>
      </c>
      <c r="D692" s="580" t="s">
        <v>213</v>
      </c>
      <c r="E692" s="580" t="s">
        <v>1258</v>
      </c>
      <c r="F692" s="580" t="s">
        <v>275</v>
      </c>
      <c r="G692" s="497"/>
      <c r="H692" s="497"/>
      <c r="I692" s="526"/>
      <c r="J692" s="501"/>
    </row>
    <row r="693" spans="1:10" ht="38.25" customHeight="1" x14ac:dyDescent="0.25">
      <c r="A693" s="60" t="s">
        <v>764</v>
      </c>
      <c r="B693" s="490">
        <v>906</v>
      </c>
      <c r="C693" s="580" t="s">
        <v>264</v>
      </c>
      <c r="D693" s="580" t="s">
        <v>213</v>
      </c>
      <c r="E693" s="580" t="s">
        <v>1241</v>
      </c>
      <c r="F693" s="580"/>
      <c r="G693" s="497">
        <f>G694</f>
        <v>2967</v>
      </c>
      <c r="H693" s="497">
        <f>H694</f>
        <v>2967</v>
      </c>
      <c r="I693" s="526"/>
      <c r="J693" s="501"/>
    </row>
    <row r="694" spans="1:10" ht="39.200000000000003" customHeight="1" x14ac:dyDescent="0.25">
      <c r="A694" s="29" t="s">
        <v>272</v>
      </c>
      <c r="B694" s="490">
        <v>906</v>
      </c>
      <c r="C694" s="580" t="s">
        <v>264</v>
      </c>
      <c r="D694" s="580" t="s">
        <v>213</v>
      </c>
      <c r="E694" s="580" t="s">
        <v>1241</v>
      </c>
      <c r="F694" s="580" t="s">
        <v>273</v>
      </c>
      <c r="G694" s="497">
        <f>G695</f>
        <v>2967</v>
      </c>
      <c r="H694" s="497">
        <f>H695</f>
        <v>2967</v>
      </c>
      <c r="I694" s="526"/>
      <c r="J694" s="501"/>
    </row>
    <row r="695" spans="1:10" ht="18.75" customHeight="1" x14ac:dyDescent="0.25">
      <c r="A695" s="182" t="s">
        <v>274</v>
      </c>
      <c r="B695" s="490">
        <v>906</v>
      </c>
      <c r="C695" s="580" t="s">
        <v>264</v>
      </c>
      <c r="D695" s="580" t="s">
        <v>213</v>
      </c>
      <c r="E695" s="580" t="s">
        <v>1241</v>
      </c>
      <c r="F695" s="580" t="s">
        <v>275</v>
      </c>
      <c r="G695" s="497">
        <v>2967</v>
      </c>
      <c r="H695" s="497">
        <v>2967</v>
      </c>
      <c r="I695" s="526"/>
      <c r="J695" s="501"/>
    </row>
    <row r="696" spans="1:10" ht="33" customHeight="1" x14ac:dyDescent="0.25">
      <c r="A696" s="494" t="s">
        <v>1715</v>
      </c>
      <c r="B696" s="255">
        <v>906</v>
      </c>
      <c r="C696" s="495" t="s">
        <v>264</v>
      </c>
      <c r="D696" s="495" t="s">
        <v>213</v>
      </c>
      <c r="E696" s="495" t="s">
        <v>1243</v>
      </c>
      <c r="F696" s="495"/>
      <c r="G696" s="493">
        <f t="shared" ref="G696:H698" si="53">G697</f>
        <v>5470.3099999999995</v>
      </c>
      <c r="H696" s="493">
        <f t="shared" si="53"/>
        <v>5542.61</v>
      </c>
      <c r="I696" s="526"/>
      <c r="J696" s="501"/>
    </row>
    <row r="697" spans="1:10" ht="31.5" x14ac:dyDescent="0.25">
      <c r="A697" s="579" t="s">
        <v>1716</v>
      </c>
      <c r="B697" s="37">
        <v>906</v>
      </c>
      <c r="C697" s="580" t="s">
        <v>264</v>
      </c>
      <c r="D697" s="580" t="s">
        <v>213</v>
      </c>
      <c r="E697" s="580" t="s">
        <v>1717</v>
      </c>
      <c r="F697" s="580"/>
      <c r="G697" s="497">
        <f t="shared" si="53"/>
        <v>5470.3099999999995</v>
      </c>
      <c r="H697" s="497">
        <f t="shared" si="53"/>
        <v>5542.61</v>
      </c>
      <c r="I697" s="526"/>
      <c r="J697" s="501"/>
    </row>
    <row r="698" spans="1:10" ht="31.5" x14ac:dyDescent="0.25">
      <c r="A698" s="579" t="s">
        <v>272</v>
      </c>
      <c r="B698" s="37">
        <v>906</v>
      </c>
      <c r="C698" s="580" t="s">
        <v>264</v>
      </c>
      <c r="D698" s="580" t="s">
        <v>213</v>
      </c>
      <c r="E698" s="580" t="s">
        <v>1717</v>
      </c>
      <c r="F698" s="580" t="s">
        <v>273</v>
      </c>
      <c r="G698" s="497">
        <f t="shared" si="53"/>
        <v>5470.3099999999995</v>
      </c>
      <c r="H698" s="497">
        <f t="shared" si="53"/>
        <v>5542.61</v>
      </c>
      <c r="I698" s="526"/>
      <c r="J698" s="501"/>
    </row>
    <row r="699" spans="1:10" ht="15.75" x14ac:dyDescent="0.25">
      <c r="A699" s="579" t="s">
        <v>274</v>
      </c>
      <c r="B699" s="37">
        <v>906</v>
      </c>
      <c r="C699" s="580" t="s">
        <v>264</v>
      </c>
      <c r="D699" s="580" t="s">
        <v>213</v>
      </c>
      <c r="E699" s="580" t="s">
        <v>1717</v>
      </c>
      <c r="F699" s="580" t="s">
        <v>275</v>
      </c>
      <c r="G699" s="163">
        <f>3235.41+158.95-297.85+2373.8</f>
        <v>5470.3099999999995</v>
      </c>
      <c r="H699" s="163">
        <f>3235.41+158.95-297.85+2446.1</f>
        <v>5542.61</v>
      </c>
      <c r="I699" s="526"/>
      <c r="J699" s="501"/>
    </row>
    <row r="700" spans="1:10" ht="34.5" hidden="1" customHeight="1" x14ac:dyDescent="0.25">
      <c r="A700" s="494" t="s">
        <v>1718</v>
      </c>
      <c r="B700" s="255">
        <v>906</v>
      </c>
      <c r="C700" s="495" t="s">
        <v>264</v>
      </c>
      <c r="D700" s="495" t="s">
        <v>213</v>
      </c>
      <c r="E700" s="495" t="s">
        <v>1256</v>
      </c>
      <c r="F700" s="495"/>
      <c r="G700" s="44">
        <f t="shared" ref="G700:H702" si="54">G701</f>
        <v>0</v>
      </c>
      <c r="H700" s="44">
        <f t="shared" si="54"/>
        <v>0</v>
      </c>
      <c r="I700" s="526"/>
      <c r="J700" s="501"/>
    </row>
    <row r="701" spans="1:10" ht="15.75" hidden="1" x14ac:dyDescent="0.25">
      <c r="A701" s="579"/>
      <c r="B701" s="37">
        <v>906</v>
      </c>
      <c r="C701" s="580" t="s">
        <v>264</v>
      </c>
      <c r="D701" s="580" t="s">
        <v>213</v>
      </c>
      <c r="E701" s="580"/>
      <c r="F701" s="580"/>
      <c r="G701" s="497">
        <f t="shared" si="54"/>
        <v>0</v>
      </c>
      <c r="H701" s="497">
        <f t="shared" si="54"/>
        <v>0</v>
      </c>
      <c r="I701" s="526"/>
      <c r="J701" s="501"/>
    </row>
    <row r="702" spans="1:10" ht="31.5" hidden="1" x14ac:dyDescent="0.25">
      <c r="A702" s="579" t="s">
        <v>272</v>
      </c>
      <c r="B702" s="37">
        <v>906</v>
      </c>
      <c r="C702" s="580" t="s">
        <v>264</v>
      </c>
      <c r="D702" s="580" t="s">
        <v>213</v>
      </c>
      <c r="E702" s="580"/>
      <c r="F702" s="580" t="s">
        <v>273</v>
      </c>
      <c r="G702" s="497">
        <f t="shared" si="54"/>
        <v>0</v>
      </c>
      <c r="H702" s="497">
        <f t="shared" si="54"/>
        <v>0</v>
      </c>
      <c r="I702" s="526"/>
      <c r="J702" s="501"/>
    </row>
    <row r="703" spans="1:10" ht="15.75" hidden="1" x14ac:dyDescent="0.25">
      <c r="A703" s="579" t="s">
        <v>274</v>
      </c>
      <c r="B703" s="37">
        <v>906</v>
      </c>
      <c r="C703" s="580" t="s">
        <v>264</v>
      </c>
      <c r="D703" s="580" t="s">
        <v>213</v>
      </c>
      <c r="E703" s="580"/>
      <c r="F703" s="580" t="s">
        <v>275</v>
      </c>
      <c r="G703" s="497"/>
      <c r="H703" s="497"/>
      <c r="I703" s="526"/>
      <c r="J703" s="501"/>
    </row>
    <row r="704" spans="1:10" ht="15.75" hidden="1" x14ac:dyDescent="0.25">
      <c r="A704" s="217" t="s">
        <v>1719</v>
      </c>
      <c r="B704" s="491">
        <v>906</v>
      </c>
      <c r="C704" s="495" t="s">
        <v>264</v>
      </c>
      <c r="D704" s="495" t="s">
        <v>213</v>
      </c>
      <c r="E704" s="495" t="s">
        <v>1259</v>
      </c>
      <c r="F704" s="495"/>
      <c r="G704" s="493">
        <f t="shared" ref="G704:H706" si="55">G705</f>
        <v>0</v>
      </c>
      <c r="H704" s="493">
        <f t="shared" si="55"/>
        <v>0</v>
      </c>
      <c r="I704" s="526"/>
      <c r="J704" s="501"/>
    </row>
    <row r="705" spans="1:10" ht="15.75" hidden="1" x14ac:dyDescent="0.25">
      <c r="A705" s="182"/>
      <c r="B705" s="490">
        <v>906</v>
      </c>
      <c r="C705" s="580" t="s">
        <v>264</v>
      </c>
      <c r="D705" s="580" t="s">
        <v>213</v>
      </c>
      <c r="E705" s="580"/>
      <c r="F705" s="580"/>
      <c r="G705" s="497">
        <f t="shared" si="55"/>
        <v>0</v>
      </c>
      <c r="H705" s="497">
        <f t="shared" si="55"/>
        <v>0</v>
      </c>
      <c r="I705" s="526"/>
      <c r="J705" s="501"/>
    </row>
    <row r="706" spans="1:10" ht="31.5" hidden="1" x14ac:dyDescent="0.25">
      <c r="A706" s="31" t="s">
        <v>272</v>
      </c>
      <c r="B706" s="490">
        <v>906</v>
      </c>
      <c r="C706" s="580" t="s">
        <v>264</v>
      </c>
      <c r="D706" s="580" t="s">
        <v>213</v>
      </c>
      <c r="E706" s="580"/>
      <c r="F706" s="580" t="s">
        <v>273</v>
      </c>
      <c r="G706" s="497">
        <f t="shared" si="55"/>
        <v>0</v>
      </c>
      <c r="H706" s="497">
        <f t="shared" si="55"/>
        <v>0</v>
      </c>
      <c r="I706" s="526"/>
      <c r="J706" s="501"/>
    </row>
    <row r="707" spans="1:10" ht="15.75" hidden="1" x14ac:dyDescent="0.25">
      <c r="A707" s="31" t="s">
        <v>274</v>
      </c>
      <c r="B707" s="490">
        <v>906</v>
      </c>
      <c r="C707" s="580" t="s">
        <v>264</v>
      </c>
      <c r="D707" s="580" t="s">
        <v>213</v>
      </c>
      <c r="E707" s="580"/>
      <c r="F707" s="580" t="s">
        <v>275</v>
      </c>
      <c r="G707" s="497"/>
      <c r="H707" s="497"/>
      <c r="I707" s="526"/>
      <c r="J707" s="501"/>
    </row>
    <row r="708" spans="1:10" ht="31.5" x14ac:dyDescent="0.25">
      <c r="A708" s="304" t="s">
        <v>1405</v>
      </c>
      <c r="B708" s="491">
        <v>906</v>
      </c>
      <c r="C708" s="495" t="s">
        <v>264</v>
      </c>
      <c r="D708" s="495" t="s">
        <v>213</v>
      </c>
      <c r="E708" s="495" t="s">
        <v>1404</v>
      </c>
      <c r="F708" s="495"/>
      <c r="G708" s="493">
        <f t="shared" ref="G708:H710" si="56">G709</f>
        <v>5425.4</v>
      </c>
      <c r="H708" s="493">
        <f t="shared" si="56"/>
        <v>5589.3</v>
      </c>
      <c r="I708" s="526"/>
      <c r="J708" s="501"/>
    </row>
    <row r="709" spans="1:10" ht="51" customHeight="1" x14ac:dyDescent="0.25">
      <c r="A709" s="303" t="s">
        <v>1391</v>
      </c>
      <c r="B709" s="490">
        <v>906</v>
      </c>
      <c r="C709" s="580" t="s">
        <v>264</v>
      </c>
      <c r="D709" s="580" t="s">
        <v>213</v>
      </c>
      <c r="E709" s="580" t="s">
        <v>1449</v>
      </c>
      <c r="F709" s="580"/>
      <c r="G709" s="497">
        <f t="shared" si="56"/>
        <v>5425.4</v>
      </c>
      <c r="H709" s="497">
        <f t="shared" si="56"/>
        <v>5589.3</v>
      </c>
      <c r="I709" s="526"/>
      <c r="J709" s="501"/>
    </row>
    <row r="710" spans="1:10" ht="31.5" x14ac:dyDescent="0.25">
      <c r="A710" s="31" t="s">
        <v>272</v>
      </c>
      <c r="B710" s="490">
        <v>906</v>
      </c>
      <c r="C710" s="580" t="s">
        <v>264</v>
      </c>
      <c r="D710" s="580" t="s">
        <v>213</v>
      </c>
      <c r="E710" s="580" t="s">
        <v>1449</v>
      </c>
      <c r="F710" s="580" t="s">
        <v>273</v>
      </c>
      <c r="G710" s="497">
        <f t="shared" si="56"/>
        <v>5425.4</v>
      </c>
      <c r="H710" s="497">
        <f t="shared" si="56"/>
        <v>5589.3</v>
      </c>
      <c r="I710" s="526"/>
      <c r="J710" s="501"/>
    </row>
    <row r="711" spans="1:10" ht="15.75" x14ac:dyDescent="0.25">
      <c r="A711" s="31" t="s">
        <v>274</v>
      </c>
      <c r="B711" s="490">
        <v>906</v>
      </c>
      <c r="C711" s="580" t="s">
        <v>264</v>
      </c>
      <c r="D711" s="580" t="s">
        <v>213</v>
      </c>
      <c r="E711" s="580" t="s">
        <v>1449</v>
      </c>
      <c r="F711" s="580" t="s">
        <v>275</v>
      </c>
      <c r="G711" s="497">
        <f>4931.7+493.7</f>
        <v>5425.4</v>
      </c>
      <c r="H711" s="497">
        <f>5080.7+508.6</f>
        <v>5589.3</v>
      </c>
      <c r="I711" s="526"/>
      <c r="J711" s="501"/>
    </row>
    <row r="712" spans="1:10" ht="31.5" hidden="1" x14ac:dyDescent="0.25">
      <c r="A712" s="304" t="s">
        <v>1428</v>
      </c>
      <c r="B712" s="491">
        <v>906</v>
      </c>
      <c r="C712" s="495" t="s">
        <v>264</v>
      </c>
      <c r="D712" s="495" t="s">
        <v>213</v>
      </c>
      <c r="E712" s="495" t="s">
        <v>1414</v>
      </c>
      <c r="F712" s="495"/>
      <c r="G712" s="493">
        <f t="shared" ref="G712:H714" si="57">G713</f>
        <v>0</v>
      </c>
      <c r="H712" s="493">
        <f t="shared" si="57"/>
        <v>0</v>
      </c>
      <c r="I712" s="526"/>
      <c r="J712" s="501"/>
    </row>
    <row r="713" spans="1:10" ht="15.75" hidden="1" x14ac:dyDescent="0.25">
      <c r="A713" s="303" t="s">
        <v>1415</v>
      </c>
      <c r="B713" s="490">
        <v>906</v>
      </c>
      <c r="C713" s="580" t="s">
        <v>264</v>
      </c>
      <c r="D713" s="580" t="s">
        <v>213</v>
      </c>
      <c r="E713" s="580" t="s">
        <v>1417</v>
      </c>
      <c r="F713" s="580"/>
      <c r="G713" s="497">
        <f t="shared" si="57"/>
        <v>0</v>
      </c>
      <c r="H713" s="497">
        <f t="shared" si="57"/>
        <v>0</v>
      </c>
      <c r="I713" s="526"/>
      <c r="J713" s="501"/>
    </row>
    <row r="714" spans="1:10" ht="31.5" hidden="1" x14ac:dyDescent="0.25">
      <c r="A714" s="31" t="s">
        <v>272</v>
      </c>
      <c r="B714" s="490">
        <v>906</v>
      </c>
      <c r="C714" s="580" t="s">
        <v>264</v>
      </c>
      <c r="D714" s="580" t="s">
        <v>213</v>
      </c>
      <c r="E714" s="580" t="s">
        <v>1417</v>
      </c>
      <c r="F714" s="580" t="s">
        <v>273</v>
      </c>
      <c r="G714" s="497">
        <f t="shared" si="57"/>
        <v>0</v>
      </c>
      <c r="H714" s="497">
        <f t="shared" si="57"/>
        <v>0</v>
      </c>
      <c r="I714" s="526"/>
      <c r="J714" s="501"/>
    </row>
    <row r="715" spans="1:10" ht="15.75" hidden="1" x14ac:dyDescent="0.25">
      <c r="A715" s="31" t="s">
        <v>274</v>
      </c>
      <c r="B715" s="490">
        <v>906</v>
      </c>
      <c r="C715" s="580" t="s">
        <v>264</v>
      </c>
      <c r="D715" s="580" t="s">
        <v>213</v>
      </c>
      <c r="E715" s="580" t="s">
        <v>1417</v>
      </c>
      <c r="F715" s="580" t="s">
        <v>275</v>
      </c>
      <c r="G715" s="497"/>
      <c r="H715" s="497"/>
      <c r="I715" s="526"/>
      <c r="J715" s="501"/>
    </row>
    <row r="716" spans="1:10" ht="31.5" hidden="1" x14ac:dyDescent="0.25">
      <c r="A716" s="304" t="s">
        <v>1619</v>
      </c>
      <c r="B716" s="491">
        <v>906</v>
      </c>
      <c r="C716" s="495" t="s">
        <v>264</v>
      </c>
      <c r="D716" s="495" t="s">
        <v>213</v>
      </c>
      <c r="E716" s="495" t="s">
        <v>1620</v>
      </c>
      <c r="F716" s="495"/>
      <c r="G716" s="493">
        <f t="shared" ref="G716:H718" si="58">G717</f>
        <v>0</v>
      </c>
      <c r="H716" s="493">
        <f t="shared" si="58"/>
        <v>0</v>
      </c>
      <c r="I716" s="526"/>
      <c r="J716" s="501"/>
    </row>
    <row r="717" spans="1:10" s="206" customFormat="1" ht="31.5" hidden="1" x14ac:dyDescent="0.25">
      <c r="A717" s="303" t="s">
        <v>450</v>
      </c>
      <c r="B717" s="490">
        <v>906</v>
      </c>
      <c r="C717" s="580" t="s">
        <v>264</v>
      </c>
      <c r="D717" s="580" t="s">
        <v>213</v>
      </c>
      <c r="E717" s="580" t="s">
        <v>1621</v>
      </c>
      <c r="F717" s="580"/>
      <c r="G717" s="497">
        <f t="shared" si="58"/>
        <v>0</v>
      </c>
      <c r="H717" s="497">
        <f t="shared" si="58"/>
        <v>0</v>
      </c>
      <c r="I717" s="529"/>
      <c r="J717" s="127"/>
    </row>
    <row r="718" spans="1:10" ht="31.5" hidden="1" x14ac:dyDescent="0.25">
      <c r="A718" s="31" t="s">
        <v>272</v>
      </c>
      <c r="B718" s="490">
        <v>906</v>
      </c>
      <c r="C718" s="580" t="s">
        <v>264</v>
      </c>
      <c r="D718" s="580" t="s">
        <v>213</v>
      </c>
      <c r="E718" s="580" t="s">
        <v>1621</v>
      </c>
      <c r="F718" s="580" t="s">
        <v>273</v>
      </c>
      <c r="G718" s="497">
        <f t="shared" si="58"/>
        <v>0</v>
      </c>
      <c r="H718" s="497">
        <f t="shared" si="58"/>
        <v>0</v>
      </c>
      <c r="I718" s="526"/>
      <c r="J718" s="501"/>
    </row>
    <row r="719" spans="1:10" ht="15.75" hidden="1" x14ac:dyDescent="0.25">
      <c r="A719" s="31" t="s">
        <v>274</v>
      </c>
      <c r="B719" s="490">
        <v>906</v>
      </c>
      <c r="C719" s="580" t="s">
        <v>264</v>
      </c>
      <c r="D719" s="580" t="s">
        <v>213</v>
      </c>
      <c r="E719" s="580" t="s">
        <v>1621</v>
      </c>
      <c r="F719" s="580" t="s">
        <v>275</v>
      </c>
      <c r="G719" s="497"/>
      <c r="H719" s="497"/>
      <c r="I719" s="531"/>
      <c r="J719" s="501"/>
    </row>
    <row r="720" spans="1:10" ht="34.5" hidden="1" customHeight="1" x14ac:dyDescent="0.25">
      <c r="A720" s="304" t="s">
        <v>1631</v>
      </c>
      <c r="B720" s="491">
        <v>906</v>
      </c>
      <c r="C720" s="495" t="s">
        <v>264</v>
      </c>
      <c r="D720" s="495" t="s">
        <v>213</v>
      </c>
      <c r="E720" s="495" t="s">
        <v>1633</v>
      </c>
      <c r="F720" s="495"/>
      <c r="G720" s="493">
        <f t="shared" ref="G720:H722" si="59">G721</f>
        <v>0</v>
      </c>
      <c r="H720" s="493">
        <f t="shared" si="59"/>
        <v>0</v>
      </c>
      <c r="I720" s="532"/>
      <c r="J720" s="501"/>
    </row>
    <row r="721" spans="1:13" ht="31.5" hidden="1" x14ac:dyDescent="0.25">
      <c r="A721" s="303" t="s">
        <v>1632</v>
      </c>
      <c r="B721" s="490">
        <v>906</v>
      </c>
      <c r="C721" s="580" t="s">
        <v>264</v>
      </c>
      <c r="D721" s="580" t="s">
        <v>213</v>
      </c>
      <c r="E721" s="580" t="s">
        <v>1634</v>
      </c>
      <c r="F721" s="580"/>
      <c r="G721" s="497">
        <f t="shared" si="59"/>
        <v>0</v>
      </c>
      <c r="H721" s="497">
        <f t="shared" si="59"/>
        <v>0</v>
      </c>
      <c r="I721" s="526"/>
      <c r="J721" s="501"/>
    </row>
    <row r="722" spans="1:13" ht="31.5" hidden="1" x14ac:dyDescent="0.25">
      <c r="A722" s="31" t="s">
        <v>272</v>
      </c>
      <c r="B722" s="490">
        <v>906</v>
      </c>
      <c r="C722" s="580" t="s">
        <v>264</v>
      </c>
      <c r="D722" s="580" t="s">
        <v>213</v>
      </c>
      <c r="E722" s="580" t="s">
        <v>1634</v>
      </c>
      <c r="F722" s="580" t="s">
        <v>273</v>
      </c>
      <c r="G722" s="497">
        <f t="shared" si="59"/>
        <v>0</v>
      </c>
      <c r="H722" s="497">
        <f t="shared" si="59"/>
        <v>0</v>
      </c>
      <c r="I722" s="533"/>
      <c r="J722" s="501"/>
    </row>
    <row r="723" spans="1:13" ht="15.75" hidden="1" x14ac:dyDescent="0.25">
      <c r="A723" s="31" t="s">
        <v>274</v>
      </c>
      <c r="B723" s="490">
        <v>906</v>
      </c>
      <c r="C723" s="580" t="s">
        <v>264</v>
      </c>
      <c r="D723" s="580" t="s">
        <v>213</v>
      </c>
      <c r="E723" s="580" t="s">
        <v>1634</v>
      </c>
      <c r="F723" s="580" t="s">
        <v>275</v>
      </c>
      <c r="G723" s="497"/>
      <c r="H723" s="497"/>
      <c r="I723" s="526"/>
      <c r="J723" s="515"/>
      <c r="K723" s="515"/>
      <c r="L723" s="505"/>
      <c r="M723" s="506"/>
    </row>
    <row r="724" spans="1:13" ht="36" hidden="1" customHeight="1" x14ac:dyDescent="0.25">
      <c r="A724" s="217" t="s">
        <v>1172</v>
      </c>
      <c r="B724" s="491">
        <v>906</v>
      </c>
      <c r="C724" s="495" t="s">
        <v>264</v>
      </c>
      <c r="D724" s="495" t="s">
        <v>213</v>
      </c>
      <c r="E724" s="495" t="s">
        <v>1320</v>
      </c>
      <c r="F724" s="495"/>
      <c r="G724" s="493">
        <f t="shared" ref="G724:H726" si="60">G725</f>
        <v>0</v>
      </c>
      <c r="H724" s="493">
        <f t="shared" si="60"/>
        <v>0</v>
      </c>
      <c r="I724" s="533"/>
      <c r="J724" s="483"/>
      <c r="K724" s="483"/>
      <c r="L724" s="483"/>
      <c r="M724" s="484"/>
    </row>
    <row r="725" spans="1:13" ht="63" hidden="1" x14ac:dyDescent="0.25">
      <c r="A725" s="182" t="s">
        <v>1522</v>
      </c>
      <c r="B725" s="490">
        <v>906</v>
      </c>
      <c r="C725" s="580" t="s">
        <v>264</v>
      </c>
      <c r="D725" s="580" t="s">
        <v>213</v>
      </c>
      <c r="E725" s="580" t="s">
        <v>1321</v>
      </c>
      <c r="F725" s="580"/>
      <c r="G725" s="497">
        <f t="shared" si="60"/>
        <v>0</v>
      </c>
      <c r="H725" s="497">
        <f t="shared" si="60"/>
        <v>0</v>
      </c>
      <c r="I725" s="526"/>
      <c r="J725" s="475"/>
    </row>
    <row r="726" spans="1:13" ht="31.5" hidden="1" x14ac:dyDescent="0.25">
      <c r="A726" s="31" t="s">
        <v>272</v>
      </c>
      <c r="B726" s="490">
        <v>906</v>
      </c>
      <c r="C726" s="580" t="s">
        <v>264</v>
      </c>
      <c r="D726" s="580" t="s">
        <v>213</v>
      </c>
      <c r="E726" s="580" t="s">
        <v>1321</v>
      </c>
      <c r="F726" s="580" t="s">
        <v>273</v>
      </c>
      <c r="G726" s="497">
        <f t="shared" si="60"/>
        <v>0</v>
      </c>
      <c r="H726" s="497">
        <f t="shared" si="60"/>
        <v>0</v>
      </c>
      <c r="I726" s="526"/>
      <c r="J726" s="501"/>
    </row>
    <row r="727" spans="1:13" ht="15.75" hidden="1" x14ac:dyDescent="0.25">
      <c r="A727" s="31" t="s">
        <v>274</v>
      </c>
      <c r="B727" s="490">
        <v>906</v>
      </c>
      <c r="C727" s="580" t="s">
        <v>264</v>
      </c>
      <c r="D727" s="580" t="s">
        <v>213</v>
      </c>
      <c r="E727" s="580" t="s">
        <v>1321</v>
      </c>
      <c r="F727" s="580" t="s">
        <v>275</v>
      </c>
      <c r="G727" s="497"/>
      <c r="H727" s="497"/>
      <c r="I727" s="526"/>
      <c r="J727" s="501"/>
    </row>
    <row r="728" spans="1:13" ht="31.5" hidden="1" x14ac:dyDescent="0.25">
      <c r="A728" s="34" t="s">
        <v>1463</v>
      </c>
      <c r="B728" s="491">
        <v>906</v>
      </c>
      <c r="C728" s="495" t="s">
        <v>264</v>
      </c>
      <c r="D728" s="495" t="s">
        <v>213</v>
      </c>
      <c r="E728" s="495" t="s">
        <v>1464</v>
      </c>
      <c r="F728" s="580"/>
      <c r="G728" s="493">
        <f t="shared" ref="G728:H730" si="61">G729</f>
        <v>0</v>
      </c>
      <c r="H728" s="493">
        <f t="shared" si="61"/>
        <v>0</v>
      </c>
      <c r="I728" s="526"/>
      <c r="J728" s="501"/>
    </row>
    <row r="729" spans="1:13" ht="56.25" hidden="1" customHeight="1" x14ac:dyDescent="0.25">
      <c r="A729" s="31" t="s">
        <v>1523</v>
      </c>
      <c r="B729" s="490">
        <v>906</v>
      </c>
      <c r="C729" s="580" t="s">
        <v>264</v>
      </c>
      <c r="D729" s="580" t="s">
        <v>213</v>
      </c>
      <c r="E729" s="580" t="s">
        <v>1465</v>
      </c>
      <c r="F729" s="580"/>
      <c r="G729" s="497">
        <f t="shared" si="61"/>
        <v>0</v>
      </c>
      <c r="H729" s="497">
        <f t="shared" si="61"/>
        <v>0</v>
      </c>
      <c r="I729" s="526"/>
      <c r="J729" s="501"/>
      <c r="L729" s="407"/>
    </row>
    <row r="730" spans="1:13" ht="31.5" hidden="1" x14ac:dyDescent="0.25">
      <c r="A730" s="31" t="s">
        <v>272</v>
      </c>
      <c r="B730" s="490">
        <v>906</v>
      </c>
      <c r="C730" s="580" t="s">
        <v>264</v>
      </c>
      <c r="D730" s="580" t="s">
        <v>213</v>
      </c>
      <c r="E730" s="580" t="s">
        <v>1465</v>
      </c>
      <c r="F730" s="580" t="s">
        <v>273</v>
      </c>
      <c r="G730" s="497">
        <f t="shared" si="61"/>
        <v>0</v>
      </c>
      <c r="H730" s="497">
        <f t="shared" si="61"/>
        <v>0</v>
      </c>
      <c r="I730" s="526"/>
      <c r="J730" s="501"/>
    </row>
    <row r="731" spans="1:13" ht="15.75" hidden="1" x14ac:dyDescent="0.25">
      <c r="A731" s="31" t="s">
        <v>274</v>
      </c>
      <c r="B731" s="490">
        <v>906</v>
      </c>
      <c r="C731" s="580" t="s">
        <v>264</v>
      </c>
      <c r="D731" s="580" t="s">
        <v>213</v>
      </c>
      <c r="E731" s="580" t="s">
        <v>1465</v>
      </c>
      <c r="F731" s="580" t="s">
        <v>275</v>
      </c>
      <c r="G731" s="497"/>
      <c r="H731" s="497"/>
      <c r="I731" s="529"/>
      <c r="J731" s="127"/>
      <c r="K731" s="206"/>
    </row>
    <row r="732" spans="1:13" ht="31.5" x14ac:dyDescent="0.25">
      <c r="A732" s="34" t="s">
        <v>1472</v>
      </c>
      <c r="B732" s="491">
        <v>906</v>
      </c>
      <c r="C732" s="495" t="s">
        <v>264</v>
      </c>
      <c r="D732" s="495" t="s">
        <v>213</v>
      </c>
      <c r="E732" s="495" t="s">
        <v>1470</v>
      </c>
      <c r="F732" s="495"/>
      <c r="G732" s="497">
        <f t="shared" ref="G732:H734" si="62">G733</f>
        <v>2469.9</v>
      </c>
      <c r="H732" s="497">
        <f t="shared" si="62"/>
        <v>0</v>
      </c>
      <c r="I732" s="529"/>
      <c r="J732" s="127"/>
      <c r="K732" s="206"/>
    </row>
    <row r="733" spans="1:13" ht="47.25" x14ac:dyDescent="0.25">
      <c r="A733" s="31" t="s">
        <v>1729</v>
      </c>
      <c r="B733" s="490">
        <v>906</v>
      </c>
      <c r="C733" s="580" t="s">
        <v>264</v>
      </c>
      <c r="D733" s="580" t="s">
        <v>213</v>
      </c>
      <c r="E733" s="580" t="s">
        <v>1471</v>
      </c>
      <c r="F733" s="580"/>
      <c r="G733" s="497">
        <f t="shared" si="62"/>
        <v>2469.9</v>
      </c>
      <c r="H733" s="497">
        <f t="shared" si="62"/>
        <v>0</v>
      </c>
      <c r="I733" s="529"/>
      <c r="J733" s="127"/>
      <c r="K733" s="206"/>
    </row>
    <row r="734" spans="1:13" ht="31.5" x14ac:dyDescent="0.25">
      <c r="A734" s="31" t="s">
        <v>272</v>
      </c>
      <c r="B734" s="490">
        <v>906</v>
      </c>
      <c r="C734" s="580" t="s">
        <v>264</v>
      </c>
      <c r="D734" s="580" t="s">
        <v>213</v>
      </c>
      <c r="E734" s="580" t="s">
        <v>1471</v>
      </c>
      <c r="F734" s="580" t="s">
        <v>273</v>
      </c>
      <c r="G734" s="497">
        <f t="shared" si="62"/>
        <v>2469.9</v>
      </c>
      <c r="H734" s="497">
        <f t="shared" si="62"/>
        <v>0</v>
      </c>
      <c r="I734" s="529"/>
      <c r="J734" s="127"/>
      <c r="K734" s="206"/>
    </row>
    <row r="735" spans="1:13" ht="15.75" x14ac:dyDescent="0.25">
      <c r="A735" s="31" t="s">
        <v>274</v>
      </c>
      <c r="B735" s="490">
        <v>906</v>
      </c>
      <c r="C735" s="580" t="s">
        <v>264</v>
      </c>
      <c r="D735" s="580" t="s">
        <v>213</v>
      </c>
      <c r="E735" s="580" t="s">
        <v>1471</v>
      </c>
      <c r="F735" s="580" t="s">
        <v>275</v>
      </c>
      <c r="G735" s="497">
        <f>2245.1+224.8</f>
        <v>2469.9</v>
      </c>
      <c r="H735" s="497">
        <v>0</v>
      </c>
      <c r="I735" s="529"/>
      <c r="J735" s="127"/>
      <c r="K735" s="206"/>
    </row>
    <row r="736" spans="1:13" ht="47.25" x14ac:dyDescent="0.25">
      <c r="A736" s="34" t="s">
        <v>1357</v>
      </c>
      <c r="B736" s="491">
        <v>906</v>
      </c>
      <c r="C736" s="495" t="s">
        <v>264</v>
      </c>
      <c r="D736" s="495" t="s">
        <v>213</v>
      </c>
      <c r="E736" s="495" t="s">
        <v>324</v>
      </c>
      <c r="F736" s="495"/>
      <c r="G736" s="493">
        <f>G737</f>
        <v>60</v>
      </c>
      <c r="H736" s="493">
        <f>H737</f>
        <v>60</v>
      </c>
      <c r="I736" s="526"/>
      <c r="J736" s="501"/>
    </row>
    <row r="737" spans="1:10" ht="47.25" x14ac:dyDescent="0.25">
      <c r="A737" s="34" t="s">
        <v>1024</v>
      </c>
      <c r="B737" s="491">
        <v>906</v>
      </c>
      <c r="C737" s="495" t="s">
        <v>264</v>
      </c>
      <c r="D737" s="495" t="s">
        <v>213</v>
      </c>
      <c r="E737" s="495" t="s">
        <v>934</v>
      </c>
      <c r="F737" s="495"/>
      <c r="G737" s="493">
        <f t="shared" ref="G737:H739" si="63">G738</f>
        <v>60</v>
      </c>
      <c r="H737" s="493">
        <f t="shared" si="63"/>
        <v>60</v>
      </c>
      <c r="I737" s="526"/>
      <c r="J737" s="501"/>
    </row>
    <row r="738" spans="1:10" ht="47.25" x14ac:dyDescent="0.25">
      <c r="A738" s="31" t="s">
        <v>1081</v>
      </c>
      <c r="B738" s="490">
        <v>906</v>
      </c>
      <c r="C738" s="580" t="s">
        <v>264</v>
      </c>
      <c r="D738" s="580" t="s">
        <v>213</v>
      </c>
      <c r="E738" s="580" t="s">
        <v>935</v>
      </c>
      <c r="F738" s="580"/>
      <c r="G738" s="497">
        <f t="shared" si="63"/>
        <v>60</v>
      </c>
      <c r="H738" s="497">
        <f t="shared" si="63"/>
        <v>60</v>
      </c>
      <c r="I738" s="526"/>
      <c r="J738" s="501"/>
    </row>
    <row r="739" spans="1:10" ht="31.5" x14ac:dyDescent="0.25">
      <c r="A739" s="31" t="s">
        <v>272</v>
      </c>
      <c r="B739" s="490">
        <v>906</v>
      </c>
      <c r="C739" s="580" t="s">
        <v>264</v>
      </c>
      <c r="D739" s="580" t="s">
        <v>213</v>
      </c>
      <c r="E739" s="580" t="s">
        <v>935</v>
      </c>
      <c r="F739" s="580" t="s">
        <v>273</v>
      </c>
      <c r="G739" s="497">
        <f t="shared" si="63"/>
        <v>60</v>
      </c>
      <c r="H739" s="497">
        <f t="shared" si="63"/>
        <v>60</v>
      </c>
      <c r="I739" s="526"/>
      <c r="J739" s="501"/>
    </row>
    <row r="740" spans="1:10" ht="15.75" x14ac:dyDescent="0.25">
      <c r="A740" s="31" t="s">
        <v>274</v>
      </c>
      <c r="B740" s="490">
        <v>906</v>
      </c>
      <c r="C740" s="580" t="s">
        <v>264</v>
      </c>
      <c r="D740" s="580" t="s">
        <v>213</v>
      </c>
      <c r="E740" s="580" t="s">
        <v>935</v>
      </c>
      <c r="F740" s="580" t="s">
        <v>275</v>
      </c>
      <c r="G740" s="497">
        <v>60</v>
      </c>
      <c r="H740" s="497">
        <v>60</v>
      </c>
      <c r="I740" s="526"/>
      <c r="J740" s="501"/>
    </row>
    <row r="741" spans="1:10" ht="47.25" x14ac:dyDescent="0.25">
      <c r="A741" s="572" t="s">
        <v>1341</v>
      </c>
      <c r="B741" s="491">
        <v>906</v>
      </c>
      <c r="C741" s="495" t="s">
        <v>264</v>
      </c>
      <c r="D741" s="495" t="s">
        <v>213</v>
      </c>
      <c r="E741" s="495" t="s">
        <v>705</v>
      </c>
      <c r="F741" s="504"/>
      <c r="G741" s="493">
        <f t="shared" ref="G741:H744" si="64">G742</f>
        <v>870.84</v>
      </c>
      <c r="H741" s="493">
        <f t="shared" si="64"/>
        <v>870.84</v>
      </c>
      <c r="I741" s="526"/>
      <c r="J741" s="501"/>
    </row>
    <row r="742" spans="1:10" ht="47.25" x14ac:dyDescent="0.25">
      <c r="A742" s="572" t="s">
        <v>890</v>
      </c>
      <c r="B742" s="491">
        <v>906</v>
      </c>
      <c r="C742" s="495" t="s">
        <v>264</v>
      </c>
      <c r="D742" s="495" t="s">
        <v>213</v>
      </c>
      <c r="E742" s="495" t="s">
        <v>888</v>
      </c>
      <c r="F742" s="504"/>
      <c r="G742" s="493">
        <f t="shared" si="64"/>
        <v>870.84</v>
      </c>
      <c r="H742" s="493">
        <f t="shared" si="64"/>
        <v>870.84</v>
      </c>
      <c r="I742" s="526"/>
      <c r="J742" s="501"/>
    </row>
    <row r="743" spans="1:10" ht="35.450000000000003" customHeight="1" x14ac:dyDescent="0.25">
      <c r="A743" s="98" t="s">
        <v>780</v>
      </c>
      <c r="B743" s="490">
        <v>906</v>
      </c>
      <c r="C743" s="580" t="s">
        <v>264</v>
      </c>
      <c r="D743" s="580" t="s">
        <v>213</v>
      </c>
      <c r="E743" s="580" t="s">
        <v>936</v>
      </c>
      <c r="F743" s="498"/>
      <c r="G743" s="497">
        <f t="shared" si="64"/>
        <v>870.84</v>
      </c>
      <c r="H743" s="497">
        <f t="shared" si="64"/>
        <v>870.84</v>
      </c>
      <c r="I743" s="526"/>
      <c r="J743" s="501"/>
    </row>
    <row r="744" spans="1:10" ht="39.75" customHeight="1" x14ac:dyDescent="0.25">
      <c r="A744" s="29" t="s">
        <v>272</v>
      </c>
      <c r="B744" s="490">
        <v>906</v>
      </c>
      <c r="C744" s="580" t="s">
        <v>264</v>
      </c>
      <c r="D744" s="580" t="s">
        <v>213</v>
      </c>
      <c r="E744" s="580" t="s">
        <v>936</v>
      </c>
      <c r="F744" s="498" t="s">
        <v>273</v>
      </c>
      <c r="G744" s="497">
        <f t="shared" si="64"/>
        <v>870.84</v>
      </c>
      <c r="H744" s="497">
        <f t="shared" si="64"/>
        <v>870.84</v>
      </c>
      <c r="I744" s="526"/>
      <c r="J744" s="501"/>
    </row>
    <row r="745" spans="1:10" ht="15.75" x14ac:dyDescent="0.25">
      <c r="A745" s="182" t="s">
        <v>274</v>
      </c>
      <c r="B745" s="490">
        <v>906</v>
      </c>
      <c r="C745" s="580" t="s">
        <v>264</v>
      </c>
      <c r="D745" s="580" t="s">
        <v>213</v>
      </c>
      <c r="E745" s="580" t="s">
        <v>936</v>
      </c>
      <c r="F745" s="498" t="s">
        <v>275</v>
      </c>
      <c r="G745" s="497">
        <v>870.84</v>
      </c>
      <c r="H745" s="497">
        <v>870.84</v>
      </c>
      <c r="I745" s="526"/>
      <c r="J745" s="501"/>
    </row>
    <row r="746" spans="1:10" ht="15.75" x14ac:dyDescent="0.25">
      <c r="A746" s="494" t="s">
        <v>265</v>
      </c>
      <c r="B746" s="491">
        <v>906</v>
      </c>
      <c r="C746" s="495" t="s">
        <v>264</v>
      </c>
      <c r="D746" s="495" t="s">
        <v>215</v>
      </c>
      <c r="E746" s="495"/>
      <c r="F746" s="495"/>
      <c r="G746" s="44">
        <f>G747+G774</f>
        <v>42239.4</v>
      </c>
      <c r="H746" s="44">
        <f>H747+H774</f>
        <v>42239.4</v>
      </c>
      <c r="I746" s="526"/>
      <c r="J746" s="501"/>
    </row>
    <row r="747" spans="1:10" ht="36.75" customHeight="1" x14ac:dyDescent="0.25">
      <c r="A747" s="494" t="s">
        <v>1356</v>
      </c>
      <c r="B747" s="491">
        <v>906</v>
      </c>
      <c r="C747" s="495" t="s">
        <v>264</v>
      </c>
      <c r="D747" s="495" t="s">
        <v>215</v>
      </c>
      <c r="E747" s="495" t="s">
        <v>406</v>
      </c>
      <c r="F747" s="495"/>
      <c r="G747" s="44">
        <f>G748+G755+G766+G770</f>
        <v>41937</v>
      </c>
      <c r="H747" s="44">
        <f>H748+H755+H766+H770</f>
        <v>41937</v>
      </c>
      <c r="I747" s="526"/>
      <c r="J747" s="501"/>
    </row>
    <row r="748" spans="1:10" ht="36.75" customHeight="1" x14ac:dyDescent="0.25">
      <c r="A748" s="494" t="s">
        <v>937</v>
      </c>
      <c r="B748" s="491">
        <v>906</v>
      </c>
      <c r="C748" s="495" t="s">
        <v>264</v>
      </c>
      <c r="D748" s="495" t="s">
        <v>215</v>
      </c>
      <c r="E748" s="495" t="s">
        <v>1230</v>
      </c>
      <c r="F748" s="495"/>
      <c r="G748" s="44">
        <f>G749+G752</f>
        <v>38490</v>
      </c>
      <c r="H748" s="44">
        <f>H749+H752</f>
        <v>38490</v>
      </c>
      <c r="I748" s="526"/>
      <c r="J748" s="501"/>
    </row>
    <row r="749" spans="1:10" ht="31.5" x14ac:dyDescent="0.25">
      <c r="A749" s="579" t="s">
        <v>270</v>
      </c>
      <c r="B749" s="490">
        <v>906</v>
      </c>
      <c r="C749" s="580" t="s">
        <v>264</v>
      </c>
      <c r="D749" s="580" t="s">
        <v>215</v>
      </c>
      <c r="E749" s="580" t="s">
        <v>1260</v>
      </c>
      <c r="F749" s="580"/>
      <c r="G749" s="27">
        <f>G750</f>
        <v>38490</v>
      </c>
      <c r="H749" s="27">
        <f>H750</f>
        <v>38490</v>
      </c>
      <c r="I749" s="526"/>
      <c r="J749" s="501"/>
    </row>
    <row r="750" spans="1:10" ht="36.75" customHeight="1" x14ac:dyDescent="0.25">
      <c r="A750" s="579" t="s">
        <v>272</v>
      </c>
      <c r="B750" s="490">
        <v>906</v>
      </c>
      <c r="C750" s="580" t="s">
        <v>264</v>
      </c>
      <c r="D750" s="580" t="s">
        <v>215</v>
      </c>
      <c r="E750" s="580" t="s">
        <v>1260</v>
      </c>
      <c r="F750" s="580" t="s">
        <v>273</v>
      </c>
      <c r="G750" s="27">
        <f>G751</f>
        <v>38490</v>
      </c>
      <c r="H750" s="27">
        <f>H751</f>
        <v>38490</v>
      </c>
      <c r="I750" s="526"/>
      <c r="J750" s="501"/>
    </row>
    <row r="751" spans="1:10" ht="15.75" x14ac:dyDescent="0.25">
      <c r="A751" s="579" t="s">
        <v>274</v>
      </c>
      <c r="B751" s="490">
        <v>906</v>
      </c>
      <c r="C751" s="580" t="s">
        <v>264</v>
      </c>
      <c r="D751" s="580" t="s">
        <v>215</v>
      </c>
      <c r="E751" s="580" t="s">
        <v>1260</v>
      </c>
      <c r="F751" s="580" t="s">
        <v>275</v>
      </c>
      <c r="G751" s="27">
        <f>38990-500</f>
        <v>38490</v>
      </c>
      <c r="H751" s="27">
        <f>G751</f>
        <v>38490</v>
      </c>
      <c r="I751" s="526"/>
      <c r="J751" s="501"/>
    </row>
    <row r="752" spans="1:10" ht="31.5" hidden="1" x14ac:dyDescent="0.25">
      <c r="A752" s="31" t="s">
        <v>1505</v>
      </c>
      <c r="B752" s="490">
        <v>906</v>
      </c>
      <c r="C752" s="580" t="s">
        <v>264</v>
      </c>
      <c r="D752" s="580" t="s">
        <v>215</v>
      </c>
      <c r="E752" s="580" t="s">
        <v>1504</v>
      </c>
      <c r="F752" s="580"/>
      <c r="G752" s="27">
        <f>G753</f>
        <v>0</v>
      </c>
      <c r="H752" s="27">
        <f>H753</f>
        <v>0</v>
      </c>
      <c r="I752" s="526"/>
      <c r="J752" s="501"/>
    </row>
    <row r="753" spans="1:10" ht="31.5" hidden="1" x14ac:dyDescent="0.25">
      <c r="A753" s="579" t="s">
        <v>272</v>
      </c>
      <c r="B753" s="490">
        <v>906</v>
      </c>
      <c r="C753" s="580" t="s">
        <v>264</v>
      </c>
      <c r="D753" s="580" t="s">
        <v>215</v>
      </c>
      <c r="E753" s="580" t="s">
        <v>1504</v>
      </c>
      <c r="F753" s="580" t="s">
        <v>273</v>
      </c>
      <c r="G753" s="27">
        <f>G754</f>
        <v>0</v>
      </c>
      <c r="H753" s="27">
        <f>H754</f>
        <v>0</v>
      </c>
      <c r="I753" s="526"/>
      <c r="J753" s="501"/>
    </row>
    <row r="754" spans="1:10" ht="15.75" hidden="1" x14ac:dyDescent="0.25">
      <c r="A754" s="31" t="s">
        <v>274</v>
      </c>
      <c r="B754" s="490">
        <v>906</v>
      </c>
      <c r="C754" s="580" t="s">
        <v>264</v>
      </c>
      <c r="D754" s="580" t="s">
        <v>215</v>
      </c>
      <c r="E754" s="580" t="s">
        <v>1504</v>
      </c>
      <c r="F754" s="580" t="s">
        <v>275</v>
      </c>
      <c r="G754" s="27"/>
      <c r="H754" s="27"/>
      <c r="I754" s="526"/>
      <c r="J754" s="501"/>
    </row>
    <row r="755" spans="1:10" ht="36" customHeight="1" x14ac:dyDescent="0.25">
      <c r="A755" s="494" t="s">
        <v>900</v>
      </c>
      <c r="B755" s="491">
        <v>906</v>
      </c>
      <c r="C755" s="495" t="s">
        <v>264</v>
      </c>
      <c r="D755" s="495" t="s">
        <v>215</v>
      </c>
      <c r="E755" s="495" t="s">
        <v>1232</v>
      </c>
      <c r="F755" s="495"/>
      <c r="G755" s="44">
        <f>G756+G759</f>
        <v>2243</v>
      </c>
      <c r="H755" s="44">
        <f>H756+H759</f>
        <v>2243</v>
      </c>
      <c r="I755" s="526"/>
      <c r="J755" s="501"/>
    </row>
    <row r="756" spans="1:10" ht="91.15" customHeight="1" x14ac:dyDescent="0.25">
      <c r="A756" s="31" t="s">
        <v>293</v>
      </c>
      <c r="B756" s="490">
        <v>906</v>
      </c>
      <c r="C756" s="580" t="s">
        <v>264</v>
      </c>
      <c r="D756" s="580" t="s">
        <v>215</v>
      </c>
      <c r="E756" s="580" t="s">
        <v>1390</v>
      </c>
      <c r="F756" s="580"/>
      <c r="G756" s="27">
        <f>G757</f>
        <v>1400</v>
      </c>
      <c r="H756" s="27">
        <f>H757</f>
        <v>1400</v>
      </c>
      <c r="I756" s="526"/>
      <c r="J756" s="501"/>
    </row>
    <row r="757" spans="1:10" ht="36" customHeight="1" x14ac:dyDescent="0.25">
      <c r="A757" s="579" t="s">
        <v>272</v>
      </c>
      <c r="B757" s="490">
        <v>906</v>
      </c>
      <c r="C757" s="580" t="s">
        <v>264</v>
      </c>
      <c r="D757" s="580" t="s">
        <v>215</v>
      </c>
      <c r="E757" s="580" t="s">
        <v>1390</v>
      </c>
      <c r="F757" s="580" t="s">
        <v>273</v>
      </c>
      <c r="G757" s="27">
        <f>G758</f>
        <v>1400</v>
      </c>
      <c r="H757" s="27">
        <f>H758</f>
        <v>1400</v>
      </c>
      <c r="I757" s="526"/>
      <c r="J757" s="501"/>
    </row>
    <row r="758" spans="1:10" ht="23.1" customHeight="1" x14ac:dyDescent="0.25">
      <c r="A758" s="579" t="s">
        <v>274</v>
      </c>
      <c r="B758" s="490">
        <v>906</v>
      </c>
      <c r="C758" s="580" t="s">
        <v>264</v>
      </c>
      <c r="D758" s="580" t="s">
        <v>215</v>
      </c>
      <c r="E758" s="580" t="s">
        <v>1390</v>
      </c>
      <c r="F758" s="580" t="s">
        <v>275</v>
      </c>
      <c r="G758" s="27">
        <v>1400</v>
      </c>
      <c r="H758" s="27">
        <v>1400</v>
      </c>
      <c r="I758" s="526"/>
      <c r="J758" s="501"/>
    </row>
    <row r="759" spans="1:10" ht="31.5" x14ac:dyDescent="0.25">
      <c r="A759" s="579" t="s">
        <v>1766</v>
      </c>
      <c r="B759" s="490">
        <v>906</v>
      </c>
      <c r="C759" s="580" t="s">
        <v>264</v>
      </c>
      <c r="D759" s="580" t="s">
        <v>215</v>
      </c>
      <c r="E759" s="580" t="s">
        <v>1767</v>
      </c>
      <c r="F759" s="580"/>
      <c r="G759" s="27">
        <f>G760</f>
        <v>843</v>
      </c>
      <c r="H759" s="27">
        <f>H760</f>
        <v>843</v>
      </c>
      <c r="I759" s="526"/>
      <c r="J759" s="501"/>
    </row>
    <row r="760" spans="1:10" ht="31.5" x14ac:dyDescent="0.25">
      <c r="A760" s="579" t="s">
        <v>272</v>
      </c>
      <c r="B760" s="490">
        <v>906</v>
      </c>
      <c r="C760" s="580" t="s">
        <v>264</v>
      </c>
      <c r="D760" s="580" t="s">
        <v>215</v>
      </c>
      <c r="E760" s="580" t="s">
        <v>1767</v>
      </c>
      <c r="F760" s="580" t="s">
        <v>273</v>
      </c>
      <c r="G760" s="27">
        <f>G761</f>
        <v>843</v>
      </c>
      <c r="H760" s="27">
        <f>H761</f>
        <v>843</v>
      </c>
      <c r="I760" s="526"/>
      <c r="J760" s="501"/>
    </row>
    <row r="761" spans="1:10" ht="15.75" x14ac:dyDescent="0.25">
      <c r="A761" s="579" t="s">
        <v>274</v>
      </c>
      <c r="B761" s="490">
        <v>906</v>
      </c>
      <c r="C761" s="580" t="s">
        <v>264</v>
      </c>
      <c r="D761" s="580" t="s">
        <v>215</v>
      </c>
      <c r="E761" s="580" t="s">
        <v>1767</v>
      </c>
      <c r="F761" s="580" t="s">
        <v>275</v>
      </c>
      <c r="G761" s="27">
        <v>843</v>
      </c>
      <c r="H761" s="27">
        <v>843</v>
      </c>
      <c r="I761" s="526"/>
      <c r="J761" s="501"/>
    </row>
    <row r="762" spans="1:10" ht="30.75" hidden="1" customHeight="1" x14ac:dyDescent="0.25">
      <c r="A762" s="494" t="s">
        <v>1292</v>
      </c>
      <c r="B762" s="491">
        <v>906</v>
      </c>
      <c r="C762" s="495" t="s">
        <v>264</v>
      </c>
      <c r="D762" s="495" t="s">
        <v>215</v>
      </c>
      <c r="E762" s="495" t="s">
        <v>1237</v>
      </c>
      <c r="F762" s="495"/>
      <c r="G762" s="44">
        <f t="shared" ref="G762:H764" si="65">G763</f>
        <v>0</v>
      </c>
      <c r="H762" s="44">
        <f t="shared" si="65"/>
        <v>0</v>
      </c>
      <c r="I762" s="526"/>
      <c r="J762" s="501"/>
    </row>
    <row r="763" spans="1:10" ht="31.5" hidden="1" x14ac:dyDescent="0.25">
      <c r="A763" s="45" t="s">
        <v>766</v>
      </c>
      <c r="B763" s="490">
        <v>906</v>
      </c>
      <c r="C763" s="580" t="s">
        <v>264</v>
      </c>
      <c r="D763" s="580" t="s">
        <v>215</v>
      </c>
      <c r="E763" s="580" t="s">
        <v>1329</v>
      </c>
      <c r="F763" s="580"/>
      <c r="G763" s="27">
        <f t="shared" si="65"/>
        <v>0</v>
      </c>
      <c r="H763" s="27">
        <f t="shared" si="65"/>
        <v>0</v>
      </c>
      <c r="I763" s="526"/>
      <c r="J763" s="501"/>
    </row>
    <row r="764" spans="1:10" ht="31.5" hidden="1" x14ac:dyDescent="0.25">
      <c r="A764" s="31" t="s">
        <v>272</v>
      </c>
      <c r="B764" s="490">
        <v>906</v>
      </c>
      <c r="C764" s="580" t="s">
        <v>264</v>
      </c>
      <c r="D764" s="580" t="s">
        <v>215</v>
      </c>
      <c r="E764" s="580" t="s">
        <v>1329</v>
      </c>
      <c r="F764" s="580" t="s">
        <v>273</v>
      </c>
      <c r="G764" s="27">
        <f t="shared" si="65"/>
        <v>0</v>
      </c>
      <c r="H764" s="27">
        <f t="shared" si="65"/>
        <v>0</v>
      </c>
      <c r="I764" s="526"/>
      <c r="J764" s="501"/>
    </row>
    <row r="765" spans="1:10" ht="15.75" hidden="1" x14ac:dyDescent="0.25">
      <c r="A765" s="31" t="s">
        <v>274</v>
      </c>
      <c r="B765" s="490">
        <v>906</v>
      </c>
      <c r="C765" s="580" t="s">
        <v>264</v>
      </c>
      <c r="D765" s="580" t="s">
        <v>215</v>
      </c>
      <c r="E765" s="580" t="s">
        <v>1329</v>
      </c>
      <c r="F765" s="580" t="s">
        <v>275</v>
      </c>
      <c r="G765" s="27">
        <v>0</v>
      </c>
      <c r="H765" s="27">
        <v>0</v>
      </c>
      <c r="I765" s="526"/>
      <c r="J765" s="501"/>
    </row>
    <row r="766" spans="1:10" ht="31.5" x14ac:dyDescent="0.25">
      <c r="A766" s="219" t="s">
        <v>948</v>
      </c>
      <c r="B766" s="491">
        <v>906</v>
      </c>
      <c r="C766" s="495" t="s">
        <v>264</v>
      </c>
      <c r="D766" s="495" t="s">
        <v>215</v>
      </c>
      <c r="E766" s="495" t="s">
        <v>1240</v>
      </c>
      <c r="F766" s="495"/>
      <c r="G766" s="44">
        <f t="shared" ref="G766:H768" si="66">G767</f>
        <v>1204</v>
      </c>
      <c r="H766" s="44">
        <f t="shared" si="66"/>
        <v>1204</v>
      </c>
      <c r="I766" s="526"/>
      <c r="J766" s="501"/>
    </row>
    <row r="767" spans="1:10" ht="37.5" customHeight="1" x14ac:dyDescent="0.25">
      <c r="A767" s="45" t="s">
        <v>764</v>
      </c>
      <c r="B767" s="490">
        <v>906</v>
      </c>
      <c r="C767" s="580" t="s">
        <v>264</v>
      </c>
      <c r="D767" s="580" t="s">
        <v>215</v>
      </c>
      <c r="E767" s="580" t="s">
        <v>1241</v>
      </c>
      <c r="F767" s="580"/>
      <c r="G767" s="27">
        <f t="shared" si="66"/>
        <v>1204</v>
      </c>
      <c r="H767" s="27">
        <f t="shared" si="66"/>
        <v>1204</v>
      </c>
      <c r="I767" s="526"/>
      <c r="J767" s="501"/>
    </row>
    <row r="768" spans="1:10" ht="32.25" customHeight="1" x14ac:dyDescent="0.25">
      <c r="A768" s="579" t="s">
        <v>272</v>
      </c>
      <c r="B768" s="490">
        <v>906</v>
      </c>
      <c r="C768" s="580" t="s">
        <v>264</v>
      </c>
      <c r="D768" s="580" t="s">
        <v>215</v>
      </c>
      <c r="E768" s="580" t="s">
        <v>1241</v>
      </c>
      <c r="F768" s="580" t="s">
        <v>273</v>
      </c>
      <c r="G768" s="27">
        <f t="shared" si="66"/>
        <v>1204</v>
      </c>
      <c r="H768" s="27">
        <f t="shared" si="66"/>
        <v>1204</v>
      </c>
      <c r="I768" s="526"/>
      <c r="J768" s="501"/>
    </row>
    <row r="769" spans="1:10" ht="15.75" x14ac:dyDescent="0.25">
      <c r="A769" s="31" t="s">
        <v>274</v>
      </c>
      <c r="B769" s="490">
        <v>906</v>
      </c>
      <c r="C769" s="580" t="s">
        <v>264</v>
      </c>
      <c r="D769" s="580" t="s">
        <v>215</v>
      </c>
      <c r="E769" s="580" t="s">
        <v>1241</v>
      </c>
      <c r="F769" s="580" t="s">
        <v>275</v>
      </c>
      <c r="G769" s="27">
        <v>1204</v>
      </c>
      <c r="H769" s="27">
        <v>1204</v>
      </c>
      <c r="I769" s="526"/>
      <c r="J769" s="501"/>
    </row>
    <row r="770" spans="1:10" ht="47.25" hidden="1" x14ac:dyDescent="0.25">
      <c r="A770" s="34" t="s">
        <v>1700</v>
      </c>
      <c r="B770" s="491">
        <v>906</v>
      </c>
      <c r="C770" s="495" t="s">
        <v>264</v>
      </c>
      <c r="D770" s="495" t="s">
        <v>215</v>
      </c>
      <c r="E770" s="495" t="s">
        <v>1701</v>
      </c>
      <c r="F770" s="495"/>
      <c r="G770" s="44">
        <f t="shared" ref="G770:H772" si="67">G771</f>
        <v>0</v>
      </c>
      <c r="H770" s="44">
        <f t="shared" si="67"/>
        <v>0</v>
      </c>
      <c r="I770" s="526"/>
      <c r="J770" s="501"/>
    </row>
    <row r="771" spans="1:10" ht="31.5" hidden="1" x14ac:dyDescent="0.25">
      <c r="A771" s="31" t="s">
        <v>1720</v>
      </c>
      <c r="B771" s="490">
        <v>906</v>
      </c>
      <c r="C771" s="580" t="s">
        <v>264</v>
      </c>
      <c r="D771" s="580" t="s">
        <v>215</v>
      </c>
      <c r="E771" s="580" t="s">
        <v>1721</v>
      </c>
      <c r="F771" s="580"/>
      <c r="G771" s="27">
        <f t="shared" si="67"/>
        <v>0</v>
      </c>
      <c r="H771" s="27">
        <f t="shared" si="67"/>
        <v>0</v>
      </c>
      <c r="I771" s="526"/>
      <c r="J771" s="501"/>
    </row>
    <row r="772" spans="1:10" ht="31.15" hidden="1" customHeight="1" x14ac:dyDescent="0.25">
      <c r="A772" s="579" t="s">
        <v>272</v>
      </c>
      <c r="B772" s="490">
        <v>906</v>
      </c>
      <c r="C772" s="580" t="s">
        <v>264</v>
      </c>
      <c r="D772" s="580" t="s">
        <v>215</v>
      </c>
      <c r="E772" s="580" t="s">
        <v>1721</v>
      </c>
      <c r="F772" s="580" t="s">
        <v>273</v>
      </c>
      <c r="G772" s="27">
        <f t="shared" si="67"/>
        <v>0</v>
      </c>
      <c r="H772" s="27">
        <f t="shared" si="67"/>
        <v>0</v>
      </c>
      <c r="I772" s="526"/>
      <c r="J772" s="501"/>
    </row>
    <row r="773" spans="1:10" ht="14.45" hidden="1" customHeight="1" x14ac:dyDescent="0.25">
      <c r="A773" s="188" t="s">
        <v>1702</v>
      </c>
      <c r="B773" s="490">
        <v>906</v>
      </c>
      <c r="C773" s="580" t="s">
        <v>264</v>
      </c>
      <c r="D773" s="580" t="s">
        <v>215</v>
      </c>
      <c r="E773" s="580" t="s">
        <v>1721</v>
      </c>
      <c r="F773" s="580" t="s">
        <v>1703</v>
      </c>
      <c r="G773" s="163"/>
      <c r="H773" s="163"/>
      <c r="I773" s="526"/>
      <c r="J773" s="501"/>
    </row>
    <row r="774" spans="1:10" ht="54.75" customHeight="1" x14ac:dyDescent="0.25">
      <c r="A774" s="572" t="s">
        <v>1341</v>
      </c>
      <c r="B774" s="491">
        <v>906</v>
      </c>
      <c r="C774" s="495" t="s">
        <v>264</v>
      </c>
      <c r="D774" s="495" t="s">
        <v>215</v>
      </c>
      <c r="E774" s="495" t="s">
        <v>705</v>
      </c>
      <c r="F774" s="504"/>
      <c r="G774" s="44">
        <f>G776</f>
        <v>302.39999999999998</v>
      </c>
      <c r="H774" s="44">
        <f>H776</f>
        <v>302.39999999999998</v>
      </c>
      <c r="I774" s="526"/>
      <c r="J774" s="501"/>
    </row>
    <row r="775" spans="1:10" ht="54.75" customHeight="1" x14ac:dyDescent="0.25">
      <c r="A775" s="572" t="s">
        <v>890</v>
      </c>
      <c r="B775" s="491">
        <v>906</v>
      </c>
      <c r="C775" s="495" t="s">
        <v>264</v>
      </c>
      <c r="D775" s="495" t="s">
        <v>942</v>
      </c>
      <c r="E775" s="495" t="s">
        <v>888</v>
      </c>
      <c r="F775" s="504"/>
      <c r="G775" s="44">
        <f t="shared" ref="G775:H777" si="68">G776</f>
        <v>302.39999999999998</v>
      </c>
      <c r="H775" s="44">
        <f t="shared" si="68"/>
        <v>302.39999999999998</v>
      </c>
      <c r="I775" s="526"/>
      <c r="J775" s="501"/>
    </row>
    <row r="776" spans="1:10" ht="38.25" customHeight="1" x14ac:dyDescent="0.25">
      <c r="A776" s="98" t="s">
        <v>780</v>
      </c>
      <c r="B776" s="490">
        <v>906</v>
      </c>
      <c r="C776" s="580" t="s">
        <v>264</v>
      </c>
      <c r="D776" s="580" t="s">
        <v>215</v>
      </c>
      <c r="E776" s="580" t="s">
        <v>936</v>
      </c>
      <c r="F776" s="498"/>
      <c r="G776" s="27">
        <f t="shared" si="68"/>
        <v>302.39999999999998</v>
      </c>
      <c r="H776" s="27">
        <f t="shared" si="68"/>
        <v>302.39999999999998</v>
      </c>
      <c r="I776" s="526"/>
      <c r="J776" s="501"/>
    </row>
    <row r="777" spans="1:10" ht="34.5" customHeight="1" x14ac:dyDescent="0.25">
      <c r="A777" s="29" t="s">
        <v>272</v>
      </c>
      <c r="B777" s="490">
        <v>906</v>
      </c>
      <c r="C777" s="580" t="s">
        <v>264</v>
      </c>
      <c r="D777" s="580" t="s">
        <v>215</v>
      </c>
      <c r="E777" s="580" t="s">
        <v>936</v>
      </c>
      <c r="F777" s="498" t="s">
        <v>273</v>
      </c>
      <c r="G777" s="27">
        <f t="shared" si="68"/>
        <v>302.39999999999998</v>
      </c>
      <c r="H777" s="27">
        <f t="shared" si="68"/>
        <v>302.39999999999998</v>
      </c>
      <c r="I777" s="526"/>
      <c r="J777" s="501"/>
    </row>
    <row r="778" spans="1:10" ht="15.75" x14ac:dyDescent="0.25">
      <c r="A778" s="182" t="s">
        <v>274</v>
      </c>
      <c r="B778" s="490">
        <v>906</v>
      </c>
      <c r="C778" s="580" t="s">
        <v>264</v>
      </c>
      <c r="D778" s="580" t="s">
        <v>215</v>
      </c>
      <c r="E778" s="580" t="s">
        <v>936</v>
      </c>
      <c r="F778" s="498" t="s">
        <v>275</v>
      </c>
      <c r="G778" s="27">
        <v>302.39999999999998</v>
      </c>
      <c r="H778" s="27">
        <v>302.39999999999998</v>
      </c>
      <c r="I778" s="526"/>
      <c r="J778" s="501"/>
    </row>
    <row r="779" spans="1:10" ht="21.2" customHeight="1" x14ac:dyDescent="0.25">
      <c r="A779" s="494" t="s">
        <v>466</v>
      </c>
      <c r="B779" s="491">
        <v>906</v>
      </c>
      <c r="C779" s="495" t="s">
        <v>264</v>
      </c>
      <c r="D779" s="495" t="s">
        <v>264</v>
      </c>
      <c r="E779" s="495"/>
      <c r="F779" s="495"/>
      <c r="G779" s="493">
        <f t="shared" ref="G779:H783" si="69">G780</f>
        <v>7678.5</v>
      </c>
      <c r="H779" s="493">
        <f t="shared" si="69"/>
        <v>7849.6</v>
      </c>
      <c r="I779" s="526"/>
      <c r="J779" s="501"/>
    </row>
    <row r="780" spans="1:10" ht="31.5" x14ac:dyDescent="0.25">
      <c r="A780" s="494" t="s">
        <v>1358</v>
      </c>
      <c r="B780" s="491">
        <v>906</v>
      </c>
      <c r="C780" s="495" t="s">
        <v>264</v>
      </c>
      <c r="D780" s="495" t="s">
        <v>264</v>
      </c>
      <c r="E780" s="495" t="s">
        <v>406</v>
      </c>
      <c r="F780" s="495"/>
      <c r="G780" s="493">
        <f t="shared" si="69"/>
        <v>7678.5</v>
      </c>
      <c r="H780" s="493">
        <f t="shared" si="69"/>
        <v>7849.6</v>
      </c>
      <c r="I780" s="526"/>
      <c r="J780" s="501"/>
    </row>
    <row r="781" spans="1:10" ht="31.5" x14ac:dyDescent="0.25">
      <c r="A781" s="494" t="s">
        <v>943</v>
      </c>
      <c r="B781" s="491">
        <v>906</v>
      </c>
      <c r="C781" s="495" t="s">
        <v>264</v>
      </c>
      <c r="D781" s="495" t="s">
        <v>264</v>
      </c>
      <c r="E781" s="495" t="s">
        <v>1239</v>
      </c>
      <c r="F781" s="495"/>
      <c r="G781" s="493">
        <f t="shared" si="69"/>
        <v>7678.5</v>
      </c>
      <c r="H781" s="493">
        <f t="shared" si="69"/>
        <v>7849.6</v>
      </c>
      <c r="I781" s="526"/>
      <c r="J781" s="501"/>
    </row>
    <row r="782" spans="1:10" ht="31.5" x14ac:dyDescent="0.25">
      <c r="A782" s="31" t="s">
        <v>1059</v>
      </c>
      <c r="B782" s="490">
        <v>906</v>
      </c>
      <c r="C782" s="580" t="s">
        <v>264</v>
      </c>
      <c r="D782" s="580" t="s">
        <v>264</v>
      </c>
      <c r="E782" s="580" t="s">
        <v>1261</v>
      </c>
      <c r="F782" s="580"/>
      <c r="G782" s="497">
        <f t="shared" si="69"/>
        <v>7678.5</v>
      </c>
      <c r="H782" s="497">
        <f t="shared" si="69"/>
        <v>7849.6</v>
      </c>
      <c r="I782" s="526"/>
      <c r="J782" s="501"/>
    </row>
    <row r="783" spans="1:10" ht="36" customHeight="1" x14ac:dyDescent="0.25">
      <c r="A783" s="579" t="s">
        <v>272</v>
      </c>
      <c r="B783" s="490">
        <v>906</v>
      </c>
      <c r="C783" s="580" t="s">
        <v>264</v>
      </c>
      <c r="D783" s="580" t="s">
        <v>264</v>
      </c>
      <c r="E783" s="580" t="s">
        <v>1261</v>
      </c>
      <c r="F783" s="580" t="s">
        <v>273</v>
      </c>
      <c r="G783" s="497">
        <f t="shared" si="69"/>
        <v>7678.5</v>
      </c>
      <c r="H783" s="497">
        <f t="shared" si="69"/>
        <v>7849.6</v>
      </c>
      <c r="I783" s="538"/>
      <c r="J783" s="501"/>
    </row>
    <row r="784" spans="1:10" ht="15.75" x14ac:dyDescent="0.25">
      <c r="A784" s="579" t="s">
        <v>274</v>
      </c>
      <c r="B784" s="490">
        <v>906</v>
      </c>
      <c r="C784" s="580" t="s">
        <v>264</v>
      </c>
      <c r="D784" s="580" t="s">
        <v>264</v>
      </c>
      <c r="E784" s="580" t="s">
        <v>1261</v>
      </c>
      <c r="F784" s="580" t="s">
        <v>275</v>
      </c>
      <c r="G784" s="27">
        <f>4278.5+3400</f>
        <v>7678.5</v>
      </c>
      <c r="H784" s="27">
        <f>4449.6+3400</f>
        <v>7849.6</v>
      </c>
      <c r="I784" s="556"/>
      <c r="J784" s="501"/>
    </row>
    <row r="785" spans="1:10" ht="15.75" x14ac:dyDescent="0.25">
      <c r="A785" s="494" t="s">
        <v>295</v>
      </c>
      <c r="B785" s="491">
        <v>906</v>
      </c>
      <c r="C785" s="495" t="s">
        <v>264</v>
      </c>
      <c r="D785" s="495" t="s">
        <v>219</v>
      </c>
      <c r="E785" s="495"/>
      <c r="F785" s="495"/>
      <c r="G785" s="493">
        <f>G786+G803</f>
        <v>22178.25</v>
      </c>
      <c r="H785" s="493">
        <f>H786+H803</f>
        <v>22339.95</v>
      </c>
      <c r="I785" s="526"/>
      <c r="J785" s="501"/>
    </row>
    <row r="786" spans="1:10" ht="31.5" x14ac:dyDescent="0.25">
      <c r="A786" s="494" t="s">
        <v>917</v>
      </c>
      <c r="B786" s="491">
        <v>906</v>
      </c>
      <c r="C786" s="495" t="s">
        <v>264</v>
      </c>
      <c r="D786" s="495" t="s">
        <v>219</v>
      </c>
      <c r="E786" s="495" t="s">
        <v>858</v>
      </c>
      <c r="F786" s="495"/>
      <c r="G786" s="493">
        <f>G787</f>
        <v>21678.25</v>
      </c>
      <c r="H786" s="493">
        <f>H787</f>
        <v>21839.95</v>
      </c>
      <c r="I786" s="526"/>
      <c r="J786" s="501"/>
    </row>
    <row r="787" spans="1:10" ht="15.75" x14ac:dyDescent="0.25">
      <c r="A787" s="494" t="s">
        <v>918</v>
      </c>
      <c r="B787" s="491">
        <v>906</v>
      </c>
      <c r="C787" s="495" t="s">
        <v>264</v>
      </c>
      <c r="D787" s="495" t="s">
        <v>219</v>
      </c>
      <c r="E787" s="495" t="s">
        <v>859</v>
      </c>
      <c r="F787" s="495"/>
      <c r="G787" s="493">
        <f>G788+G800+G793</f>
        <v>21678.25</v>
      </c>
      <c r="H787" s="493">
        <f>H788+H800+H793</f>
        <v>21839.95</v>
      </c>
      <c r="I787" s="526"/>
      <c r="J787" s="501"/>
    </row>
    <row r="788" spans="1:10" ht="34.700000000000003" customHeight="1" x14ac:dyDescent="0.25">
      <c r="A788" s="579" t="s">
        <v>897</v>
      </c>
      <c r="B788" s="490">
        <v>906</v>
      </c>
      <c r="C788" s="580" t="s">
        <v>264</v>
      </c>
      <c r="D788" s="580" t="s">
        <v>219</v>
      </c>
      <c r="E788" s="580" t="s">
        <v>860</v>
      </c>
      <c r="F788" s="580"/>
      <c r="G788" s="497">
        <f>G789+G791</f>
        <v>6215.4</v>
      </c>
      <c r="H788" s="497">
        <f>H789+H791</f>
        <v>6334.1</v>
      </c>
      <c r="I788" s="526"/>
      <c r="J788" s="501"/>
    </row>
    <row r="789" spans="1:10" ht="72" customHeight="1" x14ac:dyDescent="0.25">
      <c r="A789" s="579" t="s">
        <v>127</v>
      </c>
      <c r="B789" s="490">
        <v>906</v>
      </c>
      <c r="C789" s="580" t="s">
        <v>264</v>
      </c>
      <c r="D789" s="580" t="s">
        <v>219</v>
      </c>
      <c r="E789" s="580" t="s">
        <v>860</v>
      </c>
      <c r="F789" s="580" t="s">
        <v>128</v>
      </c>
      <c r="G789" s="497">
        <f>G790</f>
        <v>5965.4</v>
      </c>
      <c r="H789" s="497">
        <f>H790</f>
        <v>6084.1</v>
      </c>
      <c r="I789" s="526"/>
      <c r="J789" s="501"/>
    </row>
    <row r="790" spans="1:10" ht="31.5" x14ac:dyDescent="0.25">
      <c r="A790" s="579" t="s">
        <v>129</v>
      </c>
      <c r="B790" s="490">
        <v>906</v>
      </c>
      <c r="C790" s="580" t="s">
        <v>264</v>
      </c>
      <c r="D790" s="580" t="s">
        <v>219</v>
      </c>
      <c r="E790" s="580" t="s">
        <v>860</v>
      </c>
      <c r="F790" s="580" t="s">
        <v>130</v>
      </c>
      <c r="G790" s="27">
        <v>5965.4</v>
      </c>
      <c r="H790" s="27">
        <v>6084.1</v>
      </c>
      <c r="I790" s="526"/>
      <c r="J790" s="501"/>
    </row>
    <row r="791" spans="1:10" ht="31.5" x14ac:dyDescent="0.25">
      <c r="A791" s="579" t="s">
        <v>131</v>
      </c>
      <c r="B791" s="490">
        <v>906</v>
      </c>
      <c r="C791" s="580" t="s">
        <v>264</v>
      </c>
      <c r="D791" s="580" t="s">
        <v>219</v>
      </c>
      <c r="E791" s="580" t="s">
        <v>860</v>
      </c>
      <c r="F791" s="580" t="s">
        <v>132</v>
      </c>
      <c r="G791" s="497">
        <f>G792</f>
        <v>250</v>
      </c>
      <c r="H791" s="497">
        <f>H792</f>
        <v>250</v>
      </c>
      <c r="I791" s="526"/>
      <c r="J791" s="501"/>
    </row>
    <row r="792" spans="1:10" ht="31.5" x14ac:dyDescent="0.25">
      <c r="A792" s="579" t="s">
        <v>133</v>
      </c>
      <c r="B792" s="490">
        <v>906</v>
      </c>
      <c r="C792" s="580" t="s">
        <v>264</v>
      </c>
      <c r="D792" s="580" t="s">
        <v>219</v>
      </c>
      <c r="E792" s="580" t="s">
        <v>860</v>
      </c>
      <c r="F792" s="580" t="s">
        <v>134</v>
      </c>
      <c r="G792" s="497">
        <v>250</v>
      </c>
      <c r="H792" s="497">
        <v>250</v>
      </c>
      <c r="I792" s="526"/>
      <c r="J792" s="501"/>
    </row>
    <row r="793" spans="1:10" ht="31.5" x14ac:dyDescent="0.25">
      <c r="A793" s="579" t="s">
        <v>840</v>
      </c>
      <c r="B793" s="490">
        <v>906</v>
      </c>
      <c r="C793" s="580" t="s">
        <v>264</v>
      </c>
      <c r="D793" s="580" t="s">
        <v>219</v>
      </c>
      <c r="E793" s="580" t="s">
        <v>861</v>
      </c>
      <c r="F793" s="580"/>
      <c r="G793" s="497">
        <f>G794+G796+G798</f>
        <v>14987.85</v>
      </c>
      <c r="H793" s="497">
        <f>H794+H796+H798</f>
        <v>14987.85</v>
      </c>
      <c r="I793" s="526"/>
      <c r="J793" s="501"/>
    </row>
    <row r="794" spans="1:10" ht="63" x14ac:dyDescent="0.25">
      <c r="A794" s="579" t="s">
        <v>127</v>
      </c>
      <c r="B794" s="490">
        <v>906</v>
      </c>
      <c r="C794" s="580" t="s">
        <v>264</v>
      </c>
      <c r="D794" s="580" t="s">
        <v>219</v>
      </c>
      <c r="E794" s="580" t="s">
        <v>861</v>
      </c>
      <c r="F794" s="580" t="s">
        <v>128</v>
      </c>
      <c r="G794" s="497">
        <f>G795</f>
        <v>13536.2</v>
      </c>
      <c r="H794" s="497">
        <f>H795</f>
        <v>13536.2</v>
      </c>
      <c r="I794" s="526"/>
      <c r="J794" s="501"/>
    </row>
    <row r="795" spans="1:10" ht="31.5" x14ac:dyDescent="0.25">
      <c r="A795" s="579" t="s">
        <v>129</v>
      </c>
      <c r="B795" s="490">
        <v>906</v>
      </c>
      <c r="C795" s="580" t="s">
        <v>264</v>
      </c>
      <c r="D795" s="580" t="s">
        <v>219</v>
      </c>
      <c r="E795" s="580" t="s">
        <v>861</v>
      </c>
      <c r="F795" s="580" t="s">
        <v>130</v>
      </c>
      <c r="G795" s="27">
        <v>13536.2</v>
      </c>
      <c r="H795" s="27">
        <v>13536.2</v>
      </c>
      <c r="I795" s="526"/>
      <c r="J795" s="501"/>
    </row>
    <row r="796" spans="1:10" ht="31.5" x14ac:dyDescent="0.25">
      <c r="A796" s="579" t="s">
        <v>131</v>
      </c>
      <c r="B796" s="490">
        <v>906</v>
      </c>
      <c r="C796" s="580" t="s">
        <v>264</v>
      </c>
      <c r="D796" s="580" t="s">
        <v>219</v>
      </c>
      <c r="E796" s="580" t="s">
        <v>861</v>
      </c>
      <c r="F796" s="580" t="s">
        <v>132</v>
      </c>
      <c r="G796" s="497">
        <f>G797</f>
        <v>1437.65</v>
      </c>
      <c r="H796" s="497">
        <f>H797</f>
        <v>1437.65</v>
      </c>
      <c r="I796" s="526"/>
      <c r="J796" s="501"/>
    </row>
    <row r="797" spans="1:10" ht="31.5" x14ac:dyDescent="0.25">
      <c r="A797" s="579" t="s">
        <v>133</v>
      </c>
      <c r="B797" s="490">
        <v>906</v>
      </c>
      <c r="C797" s="580" t="s">
        <v>264</v>
      </c>
      <c r="D797" s="580" t="s">
        <v>219</v>
      </c>
      <c r="E797" s="580" t="s">
        <v>861</v>
      </c>
      <c r="F797" s="580" t="s">
        <v>134</v>
      </c>
      <c r="G797" s="497">
        <f>1437.65</f>
        <v>1437.65</v>
      </c>
      <c r="H797" s="497">
        <f>1437.65</f>
        <v>1437.65</v>
      </c>
      <c r="I797" s="526"/>
      <c r="J797" s="501"/>
    </row>
    <row r="798" spans="1:10" ht="15.75" x14ac:dyDescent="0.25">
      <c r="A798" s="579" t="s">
        <v>135</v>
      </c>
      <c r="B798" s="490">
        <v>906</v>
      </c>
      <c r="C798" s="580" t="s">
        <v>264</v>
      </c>
      <c r="D798" s="580" t="s">
        <v>219</v>
      </c>
      <c r="E798" s="580" t="s">
        <v>861</v>
      </c>
      <c r="F798" s="580" t="s">
        <v>145</v>
      </c>
      <c r="G798" s="497">
        <f>G799</f>
        <v>14</v>
      </c>
      <c r="H798" s="497">
        <f>H799</f>
        <v>14</v>
      </c>
      <c r="I798" s="526"/>
      <c r="J798" s="501"/>
    </row>
    <row r="799" spans="1:10" ht="15.75" x14ac:dyDescent="0.25">
      <c r="A799" s="579" t="s">
        <v>568</v>
      </c>
      <c r="B799" s="490">
        <v>906</v>
      </c>
      <c r="C799" s="580" t="s">
        <v>264</v>
      </c>
      <c r="D799" s="580" t="s">
        <v>219</v>
      </c>
      <c r="E799" s="580" t="s">
        <v>861</v>
      </c>
      <c r="F799" s="580" t="s">
        <v>138</v>
      </c>
      <c r="G799" s="497">
        <v>14</v>
      </c>
      <c r="H799" s="497">
        <v>14</v>
      </c>
      <c r="I799" s="526"/>
      <c r="J799" s="501"/>
    </row>
    <row r="800" spans="1:10" ht="31.5" x14ac:dyDescent="0.25">
      <c r="A800" s="579" t="s">
        <v>839</v>
      </c>
      <c r="B800" s="490">
        <v>906</v>
      </c>
      <c r="C800" s="580" t="s">
        <v>264</v>
      </c>
      <c r="D800" s="580" t="s">
        <v>219</v>
      </c>
      <c r="E800" s="580" t="s">
        <v>862</v>
      </c>
      <c r="F800" s="580"/>
      <c r="G800" s="497">
        <f>G801</f>
        <v>475</v>
      </c>
      <c r="H800" s="497">
        <f>H801</f>
        <v>518</v>
      </c>
      <c r="I800" s="526"/>
      <c r="J800" s="501"/>
    </row>
    <row r="801" spans="1:10" ht="63" x14ac:dyDescent="0.25">
      <c r="A801" s="579" t="s">
        <v>127</v>
      </c>
      <c r="B801" s="490">
        <v>906</v>
      </c>
      <c r="C801" s="580" t="s">
        <v>264</v>
      </c>
      <c r="D801" s="580" t="s">
        <v>219</v>
      </c>
      <c r="E801" s="580" t="s">
        <v>862</v>
      </c>
      <c r="F801" s="580" t="s">
        <v>128</v>
      </c>
      <c r="G801" s="497">
        <f>G802</f>
        <v>475</v>
      </c>
      <c r="H801" s="497">
        <f>H802</f>
        <v>518</v>
      </c>
      <c r="I801" s="526"/>
      <c r="J801" s="501"/>
    </row>
    <row r="802" spans="1:10" ht="31.5" x14ac:dyDescent="0.25">
      <c r="A802" s="579" t="s">
        <v>129</v>
      </c>
      <c r="B802" s="490">
        <v>906</v>
      </c>
      <c r="C802" s="580" t="s">
        <v>264</v>
      </c>
      <c r="D802" s="580" t="s">
        <v>219</v>
      </c>
      <c r="E802" s="580" t="s">
        <v>862</v>
      </c>
      <c r="F802" s="580" t="s">
        <v>130</v>
      </c>
      <c r="G802" s="497">
        <f>43+432</f>
        <v>475</v>
      </c>
      <c r="H802" s="497">
        <f>86+432</f>
        <v>518</v>
      </c>
      <c r="I802" s="526"/>
      <c r="J802" s="501"/>
    </row>
    <row r="803" spans="1:10" ht="15.75" x14ac:dyDescent="0.25">
      <c r="A803" s="494" t="s">
        <v>141</v>
      </c>
      <c r="B803" s="491">
        <v>906</v>
      </c>
      <c r="C803" s="495" t="s">
        <v>264</v>
      </c>
      <c r="D803" s="495" t="s">
        <v>219</v>
      </c>
      <c r="E803" s="495" t="s">
        <v>866</v>
      </c>
      <c r="F803" s="495"/>
      <c r="G803" s="493">
        <f>G804+G810</f>
        <v>500</v>
      </c>
      <c r="H803" s="493">
        <f>H804+H810</f>
        <v>500</v>
      </c>
      <c r="I803" s="526"/>
      <c r="J803" s="501"/>
    </row>
    <row r="804" spans="1:10" ht="31.5" x14ac:dyDescent="0.25">
      <c r="A804" s="494" t="s">
        <v>870</v>
      </c>
      <c r="B804" s="491">
        <v>906</v>
      </c>
      <c r="C804" s="495" t="s">
        <v>264</v>
      </c>
      <c r="D804" s="495" t="s">
        <v>219</v>
      </c>
      <c r="E804" s="495" t="s">
        <v>865</v>
      </c>
      <c r="F804" s="495"/>
      <c r="G804" s="493">
        <f>G805</f>
        <v>500</v>
      </c>
      <c r="H804" s="493">
        <f>H805</f>
        <v>500</v>
      </c>
      <c r="I804" s="526"/>
      <c r="J804" s="501"/>
    </row>
    <row r="805" spans="1:10" ht="15.75" x14ac:dyDescent="0.25">
      <c r="A805" s="579" t="s">
        <v>478</v>
      </c>
      <c r="B805" s="490">
        <v>906</v>
      </c>
      <c r="C805" s="580" t="s">
        <v>264</v>
      </c>
      <c r="D805" s="580" t="s">
        <v>219</v>
      </c>
      <c r="E805" s="580" t="s">
        <v>944</v>
      </c>
      <c r="F805" s="580"/>
      <c r="G805" s="497">
        <f>G806+G808</f>
        <v>500</v>
      </c>
      <c r="H805" s="497">
        <f>H806+H808</f>
        <v>500</v>
      </c>
      <c r="I805" s="526"/>
      <c r="J805" s="501"/>
    </row>
    <row r="806" spans="1:10" ht="63" hidden="1" x14ac:dyDescent="0.25">
      <c r="A806" s="579" t="s">
        <v>127</v>
      </c>
      <c r="B806" s="490">
        <v>906</v>
      </c>
      <c r="C806" s="580" t="s">
        <v>264</v>
      </c>
      <c r="D806" s="580" t="s">
        <v>219</v>
      </c>
      <c r="E806" s="580" t="s">
        <v>944</v>
      </c>
      <c r="F806" s="580" t="s">
        <v>128</v>
      </c>
      <c r="G806" s="497">
        <f>G807</f>
        <v>0</v>
      </c>
      <c r="H806" s="497">
        <f>H807</f>
        <v>0</v>
      </c>
      <c r="I806" s="526"/>
      <c r="J806" s="501"/>
    </row>
    <row r="807" spans="1:10" ht="15.75" hidden="1" x14ac:dyDescent="0.25">
      <c r="A807" s="579" t="s">
        <v>342</v>
      </c>
      <c r="B807" s="490">
        <v>906</v>
      </c>
      <c r="C807" s="580" t="s">
        <v>264</v>
      </c>
      <c r="D807" s="580" t="s">
        <v>219</v>
      </c>
      <c r="E807" s="580" t="s">
        <v>944</v>
      </c>
      <c r="F807" s="580" t="s">
        <v>209</v>
      </c>
      <c r="G807" s="497">
        <v>0</v>
      </c>
      <c r="H807" s="497">
        <v>0</v>
      </c>
      <c r="I807" s="526"/>
      <c r="J807" s="501"/>
    </row>
    <row r="808" spans="1:10" ht="31.5" x14ac:dyDescent="0.25">
      <c r="A808" s="579" t="s">
        <v>131</v>
      </c>
      <c r="B808" s="490">
        <v>906</v>
      </c>
      <c r="C808" s="580" t="s">
        <v>264</v>
      </c>
      <c r="D808" s="580" t="s">
        <v>219</v>
      </c>
      <c r="E808" s="580" t="s">
        <v>944</v>
      </c>
      <c r="F808" s="580" t="s">
        <v>132</v>
      </c>
      <c r="G808" s="497">
        <f>G809</f>
        <v>500</v>
      </c>
      <c r="H808" s="497">
        <f>H809</f>
        <v>500</v>
      </c>
      <c r="I808" s="526"/>
      <c r="J808" s="501"/>
    </row>
    <row r="809" spans="1:10" ht="31.5" x14ac:dyDescent="0.25">
      <c r="A809" s="579" t="s">
        <v>133</v>
      </c>
      <c r="B809" s="490">
        <v>906</v>
      </c>
      <c r="C809" s="580" t="s">
        <v>264</v>
      </c>
      <c r="D809" s="580" t="s">
        <v>219</v>
      </c>
      <c r="E809" s="580" t="s">
        <v>944</v>
      </c>
      <c r="F809" s="580" t="s">
        <v>134</v>
      </c>
      <c r="G809" s="497">
        <v>500</v>
      </c>
      <c r="H809" s="497">
        <v>500</v>
      </c>
      <c r="I809" s="526"/>
      <c r="J809" s="501"/>
    </row>
    <row r="810" spans="1:10" ht="31.5" hidden="1" x14ac:dyDescent="0.25">
      <c r="A810" s="494" t="s">
        <v>929</v>
      </c>
      <c r="B810" s="491">
        <v>906</v>
      </c>
      <c r="C810" s="495" t="s">
        <v>264</v>
      </c>
      <c r="D810" s="495" t="s">
        <v>219</v>
      </c>
      <c r="E810" s="495" t="s">
        <v>914</v>
      </c>
      <c r="F810" s="495"/>
      <c r="G810" s="493">
        <f>G811+G818</f>
        <v>0</v>
      </c>
      <c r="H810" s="493">
        <f>H811+H818</f>
        <v>0</v>
      </c>
      <c r="I810" s="526"/>
      <c r="J810" s="501"/>
    </row>
    <row r="811" spans="1:10" ht="31.5" hidden="1" x14ac:dyDescent="0.25">
      <c r="A811" s="579" t="s">
        <v>1083</v>
      </c>
      <c r="B811" s="490">
        <v>906</v>
      </c>
      <c r="C811" s="580" t="s">
        <v>264</v>
      </c>
      <c r="D811" s="580" t="s">
        <v>219</v>
      </c>
      <c r="E811" s="580" t="s">
        <v>915</v>
      </c>
      <c r="F811" s="580"/>
      <c r="G811" s="497">
        <f>G812+G814+G816</f>
        <v>0</v>
      </c>
      <c r="H811" s="497">
        <f>H812+H814+H816</f>
        <v>0</v>
      </c>
      <c r="I811" s="526"/>
      <c r="J811" s="501"/>
    </row>
    <row r="812" spans="1:10" ht="61.5" hidden="1" customHeight="1" x14ac:dyDescent="0.25">
      <c r="A812" s="579" t="s">
        <v>127</v>
      </c>
      <c r="B812" s="490">
        <v>906</v>
      </c>
      <c r="C812" s="580" t="s">
        <v>264</v>
      </c>
      <c r="D812" s="580" t="s">
        <v>219</v>
      </c>
      <c r="E812" s="580" t="s">
        <v>915</v>
      </c>
      <c r="F812" s="580" t="s">
        <v>128</v>
      </c>
      <c r="G812" s="497">
        <f>G813</f>
        <v>0</v>
      </c>
      <c r="H812" s="497">
        <f>H813</f>
        <v>0</v>
      </c>
      <c r="I812" s="526"/>
      <c r="J812" s="501"/>
    </row>
    <row r="813" spans="1:10" ht="15.75" hidden="1" x14ac:dyDescent="0.25">
      <c r="A813" s="579" t="s">
        <v>342</v>
      </c>
      <c r="B813" s="490">
        <v>906</v>
      </c>
      <c r="C813" s="580" t="s">
        <v>264</v>
      </c>
      <c r="D813" s="580" t="s">
        <v>219</v>
      </c>
      <c r="E813" s="580" t="s">
        <v>915</v>
      </c>
      <c r="F813" s="580" t="s">
        <v>209</v>
      </c>
      <c r="G813" s="27"/>
      <c r="H813" s="27"/>
      <c r="I813" s="526"/>
      <c r="J813" s="501"/>
    </row>
    <row r="814" spans="1:10" ht="31.5" hidden="1" x14ac:dyDescent="0.25">
      <c r="A814" s="579" t="s">
        <v>131</v>
      </c>
      <c r="B814" s="490">
        <v>906</v>
      </c>
      <c r="C814" s="580" t="s">
        <v>264</v>
      </c>
      <c r="D814" s="580" t="s">
        <v>219</v>
      </c>
      <c r="E814" s="580" t="s">
        <v>915</v>
      </c>
      <c r="F814" s="580" t="s">
        <v>132</v>
      </c>
      <c r="G814" s="497">
        <f>G815</f>
        <v>0</v>
      </c>
      <c r="H814" s="497">
        <f>H815</f>
        <v>0</v>
      </c>
      <c r="I814" s="526"/>
      <c r="J814" s="501"/>
    </row>
    <row r="815" spans="1:10" ht="33" hidden="1" customHeight="1" x14ac:dyDescent="0.25">
      <c r="A815" s="579" t="s">
        <v>133</v>
      </c>
      <c r="B815" s="490">
        <v>906</v>
      </c>
      <c r="C815" s="580" t="s">
        <v>264</v>
      </c>
      <c r="D815" s="580" t="s">
        <v>219</v>
      </c>
      <c r="E815" s="580" t="s">
        <v>915</v>
      </c>
      <c r="F815" s="580" t="s">
        <v>134</v>
      </c>
      <c r="G815" s="497"/>
      <c r="H815" s="497"/>
      <c r="I815" s="526"/>
      <c r="J815" s="501"/>
    </row>
    <row r="816" spans="1:10" ht="15.75" hidden="1" x14ac:dyDescent="0.25">
      <c r="A816" s="579" t="s">
        <v>135</v>
      </c>
      <c r="B816" s="490">
        <v>906</v>
      </c>
      <c r="C816" s="580" t="s">
        <v>264</v>
      </c>
      <c r="D816" s="580" t="s">
        <v>219</v>
      </c>
      <c r="E816" s="580" t="s">
        <v>915</v>
      </c>
      <c r="F816" s="580" t="s">
        <v>145</v>
      </c>
      <c r="G816" s="497">
        <f>G817</f>
        <v>0</v>
      </c>
      <c r="H816" s="497">
        <f>H817</f>
        <v>0</v>
      </c>
      <c r="I816" s="526"/>
      <c r="J816" s="501"/>
    </row>
    <row r="817" spans="1:10" ht="15.75" hidden="1" x14ac:dyDescent="0.25">
      <c r="A817" s="579" t="s">
        <v>568</v>
      </c>
      <c r="B817" s="490">
        <v>906</v>
      </c>
      <c r="C817" s="580" t="s">
        <v>264</v>
      </c>
      <c r="D817" s="580" t="s">
        <v>219</v>
      </c>
      <c r="E817" s="580" t="s">
        <v>915</v>
      </c>
      <c r="F817" s="580" t="s">
        <v>138</v>
      </c>
      <c r="G817" s="497"/>
      <c r="H817" s="497"/>
      <c r="I817" s="526"/>
      <c r="J817" s="501"/>
    </row>
    <row r="818" spans="1:10" ht="31.5" hidden="1" x14ac:dyDescent="0.25">
      <c r="A818" s="579" t="s">
        <v>839</v>
      </c>
      <c r="B818" s="490">
        <v>906</v>
      </c>
      <c r="C818" s="580" t="s">
        <v>264</v>
      </c>
      <c r="D818" s="580" t="s">
        <v>219</v>
      </c>
      <c r="E818" s="580" t="s">
        <v>916</v>
      </c>
      <c r="F818" s="580"/>
      <c r="G818" s="497">
        <f>G819</f>
        <v>0</v>
      </c>
      <c r="H818" s="497">
        <f>H819</f>
        <v>0</v>
      </c>
      <c r="I818" s="526"/>
      <c r="J818" s="501"/>
    </row>
    <row r="819" spans="1:10" ht="63" hidden="1" x14ac:dyDescent="0.25">
      <c r="A819" s="579" t="s">
        <v>127</v>
      </c>
      <c r="B819" s="490">
        <v>906</v>
      </c>
      <c r="C819" s="580" t="s">
        <v>264</v>
      </c>
      <c r="D819" s="580" t="s">
        <v>219</v>
      </c>
      <c r="E819" s="580" t="s">
        <v>916</v>
      </c>
      <c r="F819" s="580" t="s">
        <v>128</v>
      </c>
      <c r="G819" s="497">
        <f>G820</f>
        <v>0</v>
      </c>
      <c r="H819" s="497">
        <f>H820</f>
        <v>0</v>
      </c>
      <c r="I819" s="526"/>
      <c r="J819" s="501"/>
    </row>
    <row r="820" spans="1:10" ht="15.75" hidden="1" x14ac:dyDescent="0.25">
      <c r="A820" s="579" t="s">
        <v>342</v>
      </c>
      <c r="B820" s="490">
        <v>906</v>
      </c>
      <c r="C820" s="580" t="s">
        <v>264</v>
      </c>
      <c r="D820" s="580" t="s">
        <v>219</v>
      </c>
      <c r="E820" s="580" t="s">
        <v>916</v>
      </c>
      <c r="F820" s="580" t="s">
        <v>209</v>
      </c>
      <c r="G820" s="497"/>
      <c r="H820" s="497"/>
      <c r="I820" s="526"/>
      <c r="J820" s="501"/>
    </row>
    <row r="821" spans="1:10" ht="36.75" customHeight="1" x14ac:dyDescent="0.25">
      <c r="A821" s="491" t="s">
        <v>480</v>
      </c>
      <c r="B821" s="491">
        <v>907</v>
      </c>
      <c r="C821" s="580"/>
      <c r="D821" s="580"/>
      <c r="E821" s="580"/>
      <c r="F821" s="580"/>
      <c r="G821" s="493">
        <f>G829+G822</f>
        <v>70328.3</v>
      </c>
      <c r="H821" s="493">
        <f>H829+H822</f>
        <v>70428.3</v>
      </c>
      <c r="I821" s="526"/>
      <c r="J821" s="501"/>
    </row>
    <row r="822" spans="1:10" ht="18.75" customHeight="1" x14ac:dyDescent="0.25">
      <c r="A822" s="494" t="s">
        <v>117</v>
      </c>
      <c r="B822" s="491">
        <v>907</v>
      </c>
      <c r="C822" s="495" t="s">
        <v>118</v>
      </c>
      <c r="D822" s="495"/>
      <c r="E822" s="495"/>
      <c r="F822" s="495"/>
      <c r="G822" s="493">
        <f t="shared" ref="G822:H827" si="70">G823</f>
        <v>0</v>
      </c>
      <c r="H822" s="493">
        <f t="shared" si="70"/>
        <v>100</v>
      </c>
      <c r="I822" s="526"/>
      <c r="J822" s="501"/>
    </row>
    <row r="823" spans="1:10" ht="21.75" customHeight="1" x14ac:dyDescent="0.25">
      <c r="A823" s="34" t="s">
        <v>139</v>
      </c>
      <c r="B823" s="491">
        <v>907</v>
      </c>
      <c r="C823" s="495" t="s">
        <v>118</v>
      </c>
      <c r="D823" s="495" t="s">
        <v>140</v>
      </c>
      <c r="E823" s="495"/>
      <c r="F823" s="495"/>
      <c r="G823" s="493">
        <f t="shared" si="70"/>
        <v>0</v>
      </c>
      <c r="H823" s="493">
        <f t="shared" si="70"/>
        <v>100</v>
      </c>
      <c r="I823" s="526"/>
      <c r="J823" s="501"/>
    </row>
    <row r="824" spans="1:10" ht="36.75" customHeight="1" x14ac:dyDescent="0.25">
      <c r="A824" s="494" t="s">
        <v>1359</v>
      </c>
      <c r="B824" s="491">
        <v>907</v>
      </c>
      <c r="C824" s="495" t="s">
        <v>118</v>
      </c>
      <c r="D824" s="495" t="s">
        <v>140</v>
      </c>
      <c r="E824" s="495" t="s">
        <v>335</v>
      </c>
      <c r="F824" s="495"/>
      <c r="G824" s="493">
        <f t="shared" si="70"/>
        <v>0</v>
      </c>
      <c r="H824" s="493">
        <f t="shared" si="70"/>
        <v>100</v>
      </c>
      <c r="I824" s="526"/>
      <c r="J824" s="501"/>
    </row>
    <row r="825" spans="1:10" ht="36.75" customHeight="1" x14ac:dyDescent="0.25">
      <c r="A825" s="213" t="s">
        <v>1049</v>
      </c>
      <c r="B825" s="491">
        <v>907</v>
      </c>
      <c r="C825" s="495" t="s">
        <v>118</v>
      </c>
      <c r="D825" s="495" t="s">
        <v>140</v>
      </c>
      <c r="E825" s="495" t="s">
        <v>1050</v>
      </c>
      <c r="F825" s="495"/>
      <c r="G825" s="493">
        <f t="shared" si="70"/>
        <v>0</v>
      </c>
      <c r="H825" s="493">
        <f t="shared" si="70"/>
        <v>100</v>
      </c>
      <c r="I825" s="526"/>
      <c r="J825" s="501"/>
    </row>
    <row r="826" spans="1:10" ht="29.85" customHeight="1" x14ac:dyDescent="0.25">
      <c r="A826" s="97" t="s">
        <v>336</v>
      </c>
      <c r="B826" s="490">
        <v>907</v>
      </c>
      <c r="C826" s="580" t="s">
        <v>118</v>
      </c>
      <c r="D826" s="580" t="s">
        <v>140</v>
      </c>
      <c r="E826" s="580" t="s">
        <v>1051</v>
      </c>
      <c r="F826" s="580"/>
      <c r="G826" s="497">
        <f t="shared" si="70"/>
        <v>0</v>
      </c>
      <c r="H826" s="497">
        <f t="shared" si="70"/>
        <v>100</v>
      </c>
      <c r="I826" s="526"/>
      <c r="J826" s="501"/>
    </row>
    <row r="827" spans="1:10" ht="29.85" customHeight="1" x14ac:dyDescent="0.25">
      <c r="A827" s="579" t="s">
        <v>131</v>
      </c>
      <c r="B827" s="490">
        <v>907</v>
      </c>
      <c r="C827" s="580" t="s">
        <v>118</v>
      </c>
      <c r="D827" s="580" t="s">
        <v>140</v>
      </c>
      <c r="E827" s="580" t="s">
        <v>1051</v>
      </c>
      <c r="F827" s="580" t="s">
        <v>132</v>
      </c>
      <c r="G827" s="497">
        <f t="shared" si="70"/>
        <v>0</v>
      </c>
      <c r="H827" s="497">
        <f t="shared" si="70"/>
        <v>100</v>
      </c>
      <c r="I827" s="526"/>
      <c r="J827" s="501"/>
    </row>
    <row r="828" spans="1:10" ht="36.75" customHeight="1" x14ac:dyDescent="0.25">
      <c r="A828" s="579" t="s">
        <v>133</v>
      </c>
      <c r="B828" s="490">
        <v>907</v>
      </c>
      <c r="C828" s="580" t="s">
        <v>118</v>
      </c>
      <c r="D828" s="580" t="s">
        <v>140</v>
      </c>
      <c r="E828" s="580" t="s">
        <v>1051</v>
      </c>
      <c r="F828" s="580" t="s">
        <v>134</v>
      </c>
      <c r="G828" s="497">
        <v>0</v>
      </c>
      <c r="H828" s="497">
        <v>100</v>
      </c>
      <c r="I828" s="526"/>
      <c r="J828" s="501"/>
    </row>
    <row r="829" spans="1:10" ht="15.75" x14ac:dyDescent="0.25">
      <c r="A829" s="494" t="s">
        <v>490</v>
      </c>
      <c r="B829" s="491">
        <v>907</v>
      </c>
      <c r="C829" s="495" t="s">
        <v>491</v>
      </c>
      <c r="D829" s="580"/>
      <c r="E829" s="580"/>
      <c r="F829" s="580"/>
      <c r="G829" s="493">
        <f>G830+G877</f>
        <v>70328.3</v>
      </c>
      <c r="H829" s="493">
        <f>H830+H877</f>
        <v>70328.3</v>
      </c>
      <c r="I829" s="526"/>
      <c r="J829" s="501"/>
    </row>
    <row r="830" spans="1:10" ht="15.75" x14ac:dyDescent="0.25">
      <c r="A830" s="494" t="s">
        <v>492</v>
      </c>
      <c r="B830" s="491">
        <v>907</v>
      </c>
      <c r="C830" s="495" t="s">
        <v>491</v>
      </c>
      <c r="D830" s="495" t="s">
        <v>118</v>
      </c>
      <c r="E830" s="580"/>
      <c r="F830" s="580"/>
      <c r="G830" s="493">
        <f>G831+G872</f>
        <v>56655.199999999997</v>
      </c>
      <c r="H830" s="493">
        <f>H831+H872</f>
        <v>56655.199999999997</v>
      </c>
      <c r="I830" s="526"/>
      <c r="J830" s="501"/>
    </row>
    <row r="831" spans="1:10" ht="31.5" x14ac:dyDescent="0.25">
      <c r="A831" s="494" t="s">
        <v>1360</v>
      </c>
      <c r="B831" s="491">
        <v>907</v>
      </c>
      <c r="C831" s="495" t="s">
        <v>491</v>
      </c>
      <c r="D831" s="495" t="s">
        <v>118</v>
      </c>
      <c r="E831" s="495" t="s">
        <v>482</v>
      </c>
      <c r="F831" s="495"/>
      <c r="G831" s="493">
        <f>G832+G836+G849+G856+G868+G860+G864</f>
        <v>56076.1</v>
      </c>
      <c r="H831" s="493">
        <f>H832+H836+H849+H856+H868+H860+H864</f>
        <v>56076.1</v>
      </c>
      <c r="I831" s="526"/>
      <c r="J831" s="501"/>
    </row>
    <row r="832" spans="1:10" ht="31.5" x14ac:dyDescent="0.25">
      <c r="A832" s="494" t="s">
        <v>937</v>
      </c>
      <c r="B832" s="491">
        <v>907</v>
      </c>
      <c r="C832" s="495" t="s">
        <v>491</v>
      </c>
      <c r="D832" s="495" t="s">
        <v>118</v>
      </c>
      <c r="E832" s="495" t="s">
        <v>1263</v>
      </c>
      <c r="F832" s="495"/>
      <c r="G832" s="493">
        <f t="shared" ref="G832:H834" si="71">G833</f>
        <v>53866.2</v>
      </c>
      <c r="H832" s="493">
        <f t="shared" si="71"/>
        <v>53866.2</v>
      </c>
      <c r="I832" s="526"/>
      <c r="J832" s="501"/>
    </row>
    <row r="833" spans="1:10" ht="31.5" x14ac:dyDescent="0.25">
      <c r="A833" s="579" t="s">
        <v>495</v>
      </c>
      <c r="B833" s="490">
        <v>907</v>
      </c>
      <c r="C833" s="580" t="s">
        <v>491</v>
      </c>
      <c r="D833" s="580" t="s">
        <v>118</v>
      </c>
      <c r="E833" s="580" t="s">
        <v>1264</v>
      </c>
      <c r="F833" s="580"/>
      <c r="G833" s="497">
        <f t="shared" si="71"/>
        <v>53866.2</v>
      </c>
      <c r="H833" s="497">
        <f t="shared" si="71"/>
        <v>53866.2</v>
      </c>
      <c r="I833" s="526"/>
      <c r="J833" s="501"/>
    </row>
    <row r="834" spans="1:10" ht="36" customHeight="1" x14ac:dyDescent="0.25">
      <c r="A834" s="579" t="s">
        <v>272</v>
      </c>
      <c r="B834" s="490">
        <v>907</v>
      </c>
      <c r="C834" s="580" t="s">
        <v>491</v>
      </c>
      <c r="D834" s="580" t="s">
        <v>118</v>
      </c>
      <c r="E834" s="580" t="s">
        <v>1264</v>
      </c>
      <c r="F834" s="580" t="s">
        <v>273</v>
      </c>
      <c r="G834" s="497">
        <f t="shared" si="71"/>
        <v>53866.2</v>
      </c>
      <c r="H834" s="497">
        <f t="shared" si="71"/>
        <v>53866.2</v>
      </c>
      <c r="I834" s="526"/>
      <c r="J834" s="501"/>
    </row>
    <row r="835" spans="1:10" ht="15.75" x14ac:dyDescent="0.25">
      <c r="A835" s="579" t="s">
        <v>274</v>
      </c>
      <c r="B835" s="490">
        <v>907</v>
      </c>
      <c r="C835" s="580" t="s">
        <v>491</v>
      </c>
      <c r="D835" s="580" t="s">
        <v>118</v>
      </c>
      <c r="E835" s="580" t="s">
        <v>1264</v>
      </c>
      <c r="F835" s="580" t="s">
        <v>275</v>
      </c>
      <c r="G835" s="27">
        <f>56866.2-3000</f>
        <v>53866.2</v>
      </c>
      <c r="H835" s="27">
        <f>G835</f>
        <v>53866.2</v>
      </c>
      <c r="I835" s="526"/>
      <c r="J835" s="501"/>
    </row>
    <row r="836" spans="1:10" ht="15.75" x14ac:dyDescent="0.25">
      <c r="A836" s="494" t="s">
        <v>945</v>
      </c>
      <c r="B836" s="491">
        <v>907</v>
      </c>
      <c r="C836" s="495" t="s">
        <v>491</v>
      </c>
      <c r="D836" s="495" t="s">
        <v>118</v>
      </c>
      <c r="E836" s="495" t="s">
        <v>1265</v>
      </c>
      <c r="F836" s="495"/>
      <c r="G836" s="44">
        <f>G837+G840+G843+G846</f>
        <v>36</v>
      </c>
      <c r="H836" s="44">
        <f>H837+H840+H843+H846</f>
        <v>36</v>
      </c>
      <c r="I836" s="526"/>
      <c r="J836" s="501"/>
    </row>
    <row r="837" spans="1:10" ht="31.7" hidden="1" customHeight="1" x14ac:dyDescent="0.25">
      <c r="A837" s="579" t="s">
        <v>278</v>
      </c>
      <c r="B837" s="490">
        <v>907</v>
      </c>
      <c r="C837" s="580" t="s">
        <v>491</v>
      </c>
      <c r="D837" s="580" t="s">
        <v>118</v>
      </c>
      <c r="E837" s="580" t="s">
        <v>1323</v>
      </c>
      <c r="F837" s="580"/>
      <c r="G837" s="497">
        <f>G838</f>
        <v>0</v>
      </c>
      <c r="H837" s="497">
        <f>H838</f>
        <v>0</v>
      </c>
      <c r="I837" s="526"/>
      <c r="J837" s="501"/>
    </row>
    <row r="838" spans="1:10" ht="31.7" hidden="1" customHeight="1" x14ac:dyDescent="0.25">
      <c r="A838" s="579" t="s">
        <v>272</v>
      </c>
      <c r="B838" s="490">
        <v>907</v>
      </c>
      <c r="C838" s="580" t="s">
        <v>491</v>
      </c>
      <c r="D838" s="580" t="s">
        <v>118</v>
      </c>
      <c r="E838" s="580" t="s">
        <v>1323</v>
      </c>
      <c r="F838" s="580" t="s">
        <v>273</v>
      </c>
      <c r="G838" s="497">
        <f>G839</f>
        <v>0</v>
      </c>
      <c r="H838" s="497">
        <f>H839</f>
        <v>0</v>
      </c>
      <c r="I838" s="526"/>
      <c r="J838" s="501"/>
    </row>
    <row r="839" spans="1:10" ht="15.6" hidden="1" customHeight="1" x14ac:dyDescent="0.25">
      <c r="A839" s="579" t="s">
        <v>274</v>
      </c>
      <c r="B839" s="490">
        <v>907</v>
      </c>
      <c r="C839" s="580" t="s">
        <v>491</v>
      </c>
      <c r="D839" s="580" t="s">
        <v>118</v>
      </c>
      <c r="E839" s="580" t="s">
        <v>1323</v>
      </c>
      <c r="F839" s="580" t="s">
        <v>275</v>
      </c>
      <c r="G839" s="497"/>
      <c r="H839" s="497"/>
      <c r="I839" s="526"/>
      <c r="J839" s="501"/>
    </row>
    <row r="840" spans="1:10" ht="33" hidden="1" customHeight="1" x14ac:dyDescent="0.25">
      <c r="A840" s="579" t="s">
        <v>280</v>
      </c>
      <c r="B840" s="490">
        <v>907</v>
      </c>
      <c r="C840" s="580" t="s">
        <v>491</v>
      </c>
      <c r="D840" s="580" t="s">
        <v>118</v>
      </c>
      <c r="E840" s="580" t="s">
        <v>1324</v>
      </c>
      <c r="F840" s="580"/>
      <c r="G840" s="497">
        <f>G841</f>
        <v>0</v>
      </c>
      <c r="H840" s="497">
        <f>H841</f>
        <v>0</v>
      </c>
      <c r="I840" s="526"/>
      <c r="J840" s="501"/>
    </row>
    <row r="841" spans="1:10" ht="37.5" hidden="1" customHeight="1" x14ac:dyDescent="0.25">
      <c r="A841" s="579" t="s">
        <v>272</v>
      </c>
      <c r="B841" s="490">
        <v>907</v>
      </c>
      <c r="C841" s="580" t="s">
        <v>491</v>
      </c>
      <c r="D841" s="580" t="s">
        <v>118</v>
      </c>
      <c r="E841" s="580" t="s">
        <v>1324</v>
      </c>
      <c r="F841" s="580" t="s">
        <v>273</v>
      </c>
      <c r="G841" s="497">
        <f>G842</f>
        <v>0</v>
      </c>
      <c r="H841" s="497">
        <f>H842</f>
        <v>0</v>
      </c>
      <c r="I841" s="526"/>
      <c r="J841" s="501"/>
    </row>
    <row r="842" spans="1:10" ht="15.75" hidden="1" customHeight="1" x14ac:dyDescent="0.25">
      <c r="A842" s="579" t="s">
        <v>274</v>
      </c>
      <c r="B842" s="490">
        <v>907</v>
      </c>
      <c r="C842" s="580" t="s">
        <v>491</v>
      </c>
      <c r="D842" s="580" t="s">
        <v>118</v>
      </c>
      <c r="E842" s="580" t="s">
        <v>1324</v>
      </c>
      <c r="F842" s="580" t="s">
        <v>275</v>
      </c>
      <c r="G842" s="497"/>
      <c r="H842" s="497"/>
      <c r="I842" s="526"/>
      <c r="J842" s="501"/>
    </row>
    <row r="843" spans="1:10" ht="15.75" customHeight="1" x14ac:dyDescent="0.25">
      <c r="A843" s="579" t="s">
        <v>830</v>
      </c>
      <c r="B843" s="490">
        <v>907</v>
      </c>
      <c r="C843" s="580" t="s">
        <v>491</v>
      </c>
      <c r="D843" s="580" t="s">
        <v>118</v>
      </c>
      <c r="E843" s="580" t="s">
        <v>1266</v>
      </c>
      <c r="F843" s="580"/>
      <c r="G843" s="497">
        <f>G844</f>
        <v>36</v>
      </c>
      <c r="H843" s="497">
        <f>H844</f>
        <v>36</v>
      </c>
      <c r="I843" s="526"/>
      <c r="J843" s="501"/>
    </row>
    <row r="844" spans="1:10" ht="41.25" customHeight="1" x14ac:dyDescent="0.25">
      <c r="A844" s="579" t="s">
        <v>272</v>
      </c>
      <c r="B844" s="490">
        <v>907</v>
      </c>
      <c r="C844" s="580" t="s">
        <v>491</v>
      </c>
      <c r="D844" s="580" t="s">
        <v>118</v>
      </c>
      <c r="E844" s="580" t="s">
        <v>1266</v>
      </c>
      <c r="F844" s="580" t="s">
        <v>273</v>
      </c>
      <c r="G844" s="497">
        <f>G845</f>
        <v>36</v>
      </c>
      <c r="H844" s="497">
        <f>H845</f>
        <v>36</v>
      </c>
      <c r="I844" s="526"/>
      <c r="J844" s="501"/>
    </row>
    <row r="845" spans="1:10" ht="15.75" customHeight="1" x14ac:dyDescent="0.25">
      <c r="A845" s="579" t="s">
        <v>274</v>
      </c>
      <c r="B845" s="490">
        <v>907</v>
      </c>
      <c r="C845" s="580" t="s">
        <v>491</v>
      </c>
      <c r="D845" s="580" t="s">
        <v>118</v>
      </c>
      <c r="E845" s="580" t="s">
        <v>1266</v>
      </c>
      <c r="F845" s="580" t="s">
        <v>275</v>
      </c>
      <c r="G845" s="497">
        <v>36</v>
      </c>
      <c r="H845" s="497">
        <v>36</v>
      </c>
      <c r="I845" s="526"/>
      <c r="J845" s="501"/>
    </row>
    <row r="846" spans="1:10" ht="33.75" hidden="1" customHeight="1" x14ac:dyDescent="0.25">
      <c r="A846" s="579" t="s">
        <v>287</v>
      </c>
      <c r="B846" s="490">
        <v>907</v>
      </c>
      <c r="C846" s="580" t="s">
        <v>491</v>
      </c>
      <c r="D846" s="580" t="s">
        <v>118</v>
      </c>
      <c r="E846" s="580" t="s">
        <v>1687</v>
      </c>
      <c r="F846" s="580"/>
      <c r="G846" s="497">
        <f>G848</f>
        <v>0</v>
      </c>
      <c r="H846" s="497">
        <f>H848</f>
        <v>0</v>
      </c>
      <c r="I846" s="526"/>
      <c r="J846" s="501"/>
    </row>
    <row r="847" spans="1:10" ht="15.75" hidden="1" customHeight="1" x14ac:dyDescent="0.25">
      <c r="A847" s="579" t="s">
        <v>272</v>
      </c>
      <c r="B847" s="490">
        <v>907</v>
      </c>
      <c r="C847" s="580" t="s">
        <v>491</v>
      </c>
      <c r="D847" s="580" t="s">
        <v>118</v>
      </c>
      <c r="E847" s="580" t="s">
        <v>1687</v>
      </c>
      <c r="F847" s="580" t="s">
        <v>273</v>
      </c>
      <c r="G847" s="497">
        <f>G848</f>
        <v>0</v>
      </c>
      <c r="H847" s="497">
        <f>H848</f>
        <v>0</v>
      </c>
      <c r="I847" s="526"/>
      <c r="J847" s="501"/>
    </row>
    <row r="848" spans="1:10" ht="15.75" hidden="1" customHeight="1" x14ac:dyDescent="0.25">
      <c r="A848" s="579" t="s">
        <v>274</v>
      </c>
      <c r="B848" s="490">
        <v>907</v>
      </c>
      <c r="C848" s="580" t="s">
        <v>491</v>
      </c>
      <c r="D848" s="580" t="s">
        <v>118</v>
      </c>
      <c r="E848" s="580" t="s">
        <v>1687</v>
      </c>
      <c r="F848" s="580" t="s">
        <v>275</v>
      </c>
      <c r="G848" s="497"/>
      <c r="H848" s="497"/>
      <c r="I848" s="526"/>
      <c r="J848" s="501"/>
    </row>
    <row r="849" spans="1:10" ht="35.450000000000003" customHeight="1" x14ac:dyDescent="0.25">
      <c r="A849" s="494" t="s">
        <v>947</v>
      </c>
      <c r="B849" s="491">
        <v>907</v>
      </c>
      <c r="C849" s="495" t="s">
        <v>491</v>
      </c>
      <c r="D849" s="495" t="s">
        <v>118</v>
      </c>
      <c r="E849" s="495" t="s">
        <v>1267</v>
      </c>
      <c r="F849" s="495"/>
      <c r="G849" s="493">
        <f>G850+G853</f>
        <v>1290</v>
      </c>
      <c r="H849" s="493">
        <f>H850+H853</f>
        <v>1290</v>
      </c>
      <c r="I849" s="526"/>
      <c r="J849" s="501"/>
    </row>
    <row r="850" spans="1:10" ht="33.75" hidden="1" customHeight="1" x14ac:dyDescent="0.25">
      <c r="A850" s="579" t="s">
        <v>791</v>
      </c>
      <c r="B850" s="490">
        <v>907</v>
      </c>
      <c r="C850" s="580" t="s">
        <v>491</v>
      </c>
      <c r="D850" s="580" t="s">
        <v>118</v>
      </c>
      <c r="E850" s="580" t="s">
        <v>1305</v>
      </c>
      <c r="F850" s="580"/>
      <c r="G850" s="497">
        <f>G851</f>
        <v>0</v>
      </c>
      <c r="H850" s="497">
        <f>H851</f>
        <v>0</v>
      </c>
      <c r="I850" s="526"/>
      <c r="J850" s="501"/>
    </row>
    <row r="851" spans="1:10" ht="31.5" hidden="1" x14ac:dyDescent="0.25">
      <c r="A851" s="579" t="s">
        <v>272</v>
      </c>
      <c r="B851" s="490">
        <v>907</v>
      </c>
      <c r="C851" s="580" t="s">
        <v>491</v>
      </c>
      <c r="D851" s="580" t="s">
        <v>118</v>
      </c>
      <c r="E851" s="580" t="s">
        <v>1305</v>
      </c>
      <c r="F851" s="580" t="s">
        <v>273</v>
      </c>
      <c r="G851" s="497">
        <f>G852</f>
        <v>0</v>
      </c>
      <c r="H851" s="497">
        <f>H852</f>
        <v>0</v>
      </c>
      <c r="I851" s="526"/>
      <c r="J851" s="501"/>
    </row>
    <row r="852" spans="1:10" ht="15.75" hidden="1" customHeight="1" x14ac:dyDescent="0.25">
      <c r="A852" s="579" t="s">
        <v>274</v>
      </c>
      <c r="B852" s="490">
        <v>907</v>
      </c>
      <c r="C852" s="580" t="s">
        <v>491</v>
      </c>
      <c r="D852" s="580" t="s">
        <v>118</v>
      </c>
      <c r="E852" s="580" t="s">
        <v>1305</v>
      </c>
      <c r="F852" s="580" t="s">
        <v>275</v>
      </c>
      <c r="G852" s="497"/>
      <c r="H852" s="497"/>
      <c r="I852" s="526"/>
      <c r="J852" s="501"/>
    </row>
    <row r="853" spans="1:10" ht="34.5" customHeight="1" x14ac:dyDescent="0.25">
      <c r="A853" s="45" t="s">
        <v>764</v>
      </c>
      <c r="B853" s="490">
        <v>907</v>
      </c>
      <c r="C853" s="580" t="s">
        <v>491</v>
      </c>
      <c r="D853" s="580" t="s">
        <v>118</v>
      </c>
      <c r="E853" s="580" t="s">
        <v>1268</v>
      </c>
      <c r="F853" s="580"/>
      <c r="G853" s="497">
        <f>G854</f>
        <v>1290</v>
      </c>
      <c r="H853" s="497">
        <f>H854</f>
        <v>1290</v>
      </c>
      <c r="I853" s="526"/>
      <c r="J853" s="501"/>
    </row>
    <row r="854" spans="1:10" ht="33" customHeight="1" x14ac:dyDescent="0.25">
      <c r="A854" s="31" t="s">
        <v>272</v>
      </c>
      <c r="B854" s="490">
        <v>907</v>
      </c>
      <c r="C854" s="580" t="s">
        <v>491</v>
      </c>
      <c r="D854" s="580" t="s">
        <v>118</v>
      </c>
      <c r="E854" s="580" t="s">
        <v>1268</v>
      </c>
      <c r="F854" s="580" t="s">
        <v>273</v>
      </c>
      <c r="G854" s="497">
        <f>G855</f>
        <v>1290</v>
      </c>
      <c r="H854" s="497">
        <f>H855</f>
        <v>1290</v>
      </c>
      <c r="I854" s="526"/>
      <c r="J854" s="501"/>
    </row>
    <row r="855" spans="1:10" ht="15.75" customHeight="1" x14ac:dyDescent="0.25">
      <c r="A855" s="31" t="s">
        <v>274</v>
      </c>
      <c r="B855" s="490">
        <v>907</v>
      </c>
      <c r="C855" s="580" t="s">
        <v>491</v>
      </c>
      <c r="D855" s="580" t="s">
        <v>118</v>
      </c>
      <c r="E855" s="580" t="s">
        <v>1268</v>
      </c>
      <c r="F855" s="580" t="s">
        <v>275</v>
      </c>
      <c r="G855" s="497">
        <f>1204+86</f>
        <v>1290</v>
      </c>
      <c r="H855" s="497">
        <f>1204+86</f>
        <v>1290</v>
      </c>
      <c r="I855" s="526"/>
      <c r="J855" s="501"/>
    </row>
    <row r="856" spans="1:10" ht="40.700000000000003" customHeight="1" x14ac:dyDescent="0.25">
      <c r="A856" s="494" t="s">
        <v>900</v>
      </c>
      <c r="B856" s="491">
        <v>907</v>
      </c>
      <c r="C856" s="495" t="s">
        <v>491</v>
      </c>
      <c r="D856" s="495" t="s">
        <v>118</v>
      </c>
      <c r="E856" s="495" t="s">
        <v>1269</v>
      </c>
      <c r="F856" s="495"/>
      <c r="G856" s="493">
        <f t="shared" ref="G856:H858" si="72">G857</f>
        <v>883.9</v>
      </c>
      <c r="H856" s="493">
        <f t="shared" si="72"/>
        <v>883.9</v>
      </c>
      <c r="I856" s="526"/>
      <c r="J856" s="501"/>
    </row>
    <row r="857" spans="1:10" ht="78.75" x14ac:dyDescent="0.25">
      <c r="A857" s="31" t="s">
        <v>464</v>
      </c>
      <c r="B857" s="490">
        <v>907</v>
      </c>
      <c r="C857" s="580" t="s">
        <v>491</v>
      </c>
      <c r="D857" s="580" t="s">
        <v>118</v>
      </c>
      <c r="E857" s="580" t="s">
        <v>1402</v>
      </c>
      <c r="F857" s="580"/>
      <c r="G857" s="497">
        <f t="shared" si="72"/>
        <v>883.9</v>
      </c>
      <c r="H857" s="497">
        <f t="shared" si="72"/>
        <v>883.9</v>
      </c>
      <c r="I857" s="526"/>
      <c r="J857" s="501"/>
    </row>
    <row r="858" spans="1:10" ht="31.5" x14ac:dyDescent="0.25">
      <c r="A858" s="579" t="s">
        <v>272</v>
      </c>
      <c r="B858" s="490">
        <v>907</v>
      </c>
      <c r="C858" s="580" t="s">
        <v>491</v>
      </c>
      <c r="D858" s="580" t="s">
        <v>118</v>
      </c>
      <c r="E858" s="580" t="s">
        <v>1402</v>
      </c>
      <c r="F858" s="580" t="s">
        <v>273</v>
      </c>
      <c r="G858" s="497">
        <f t="shared" si="72"/>
        <v>883.9</v>
      </c>
      <c r="H858" s="497">
        <f t="shared" si="72"/>
        <v>883.9</v>
      </c>
      <c r="I858" s="526"/>
      <c r="J858" s="501"/>
    </row>
    <row r="859" spans="1:10" ht="15.75" x14ac:dyDescent="0.25">
      <c r="A859" s="579" t="s">
        <v>274</v>
      </c>
      <c r="B859" s="490">
        <v>907</v>
      </c>
      <c r="C859" s="580" t="s">
        <v>491</v>
      </c>
      <c r="D859" s="580" t="s">
        <v>118</v>
      </c>
      <c r="E859" s="580" t="s">
        <v>1402</v>
      </c>
      <c r="F859" s="580" t="s">
        <v>275</v>
      </c>
      <c r="G859" s="497">
        <v>883.9</v>
      </c>
      <c r="H859" s="497">
        <v>883.9</v>
      </c>
      <c r="I859" s="526"/>
      <c r="J859" s="501"/>
    </row>
    <row r="860" spans="1:10" ht="47.25" hidden="1" customHeight="1" x14ac:dyDescent="0.25">
      <c r="A860" s="494" t="s">
        <v>1668</v>
      </c>
      <c r="B860" s="491">
        <v>907</v>
      </c>
      <c r="C860" s="495" t="s">
        <v>491</v>
      </c>
      <c r="D860" s="495" t="s">
        <v>118</v>
      </c>
      <c r="E860" s="495" t="s">
        <v>1666</v>
      </c>
      <c r="F860" s="495"/>
      <c r="G860" s="493">
        <f t="shared" ref="G860:H861" si="73">G861</f>
        <v>0</v>
      </c>
      <c r="H860" s="493">
        <f t="shared" si="73"/>
        <v>0</v>
      </c>
      <c r="I860" s="526"/>
      <c r="J860" s="501"/>
    </row>
    <row r="861" spans="1:10" ht="31.5" hidden="1" x14ac:dyDescent="0.25">
      <c r="A861" s="31" t="s">
        <v>1669</v>
      </c>
      <c r="B861" s="490">
        <v>907</v>
      </c>
      <c r="C861" s="580" t="s">
        <v>491</v>
      </c>
      <c r="D861" s="580" t="s">
        <v>118</v>
      </c>
      <c r="E861" s="580" t="s">
        <v>1667</v>
      </c>
      <c r="F861" s="580"/>
      <c r="G861" s="497">
        <f t="shared" si="73"/>
        <v>0</v>
      </c>
      <c r="H861" s="497">
        <f t="shared" si="73"/>
        <v>0</v>
      </c>
      <c r="I861" s="526"/>
      <c r="J861" s="501"/>
    </row>
    <row r="862" spans="1:10" ht="31.5" hidden="1" x14ac:dyDescent="0.25">
      <c r="A862" s="579" t="s">
        <v>272</v>
      </c>
      <c r="B862" s="490">
        <v>907</v>
      </c>
      <c r="C862" s="580" t="s">
        <v>491</v>
      </c>
      <c r="D862" s="580" t="s">
        <v>118</v>
      </c>
      <c r="E862" s="580" t="s">
        <v>1667</v>
      </c>
      <c r="F862" s="580" t="s">
        <v>273</v>
      </c>
      <c r="G862" s="497">
        <f>G863</f>
        <v>0</v>
      </c>
      <c r="H862" s="497">
        <f>H863</f>
        <v>0</v>
      </c>
      <c r="I862" s="526"/>
      <c r="J862" s="501"/>
    </row>
    <row r="863" spans="1:10" ht="15.75" hidden="1" x14ac:dyDescent="0.25">
      <c r="A863" s="579" t="s">
        <v>274</v>
      </c>
      <c r="B863" s="490">
        <v>907</v>
      </c>
      <c r="C863" s="580" t="s">
        <v>491</v>
      </c>
      <c r="D863" s="580" t="s">
        <v>118</v>
      </c>
      <c r="E863" s="580" t="s">
        <v>1667</v>
      </c>
      <c r="F863" s="580" t="s">
        <v>275</v>
      </c>
      <c r="G863" s="497"/>
      <c r="H863" s="497"/>
      <c r="I863" s="526"/>
      <c r="J863" s="501"/>
    </row>
    <row r="864" spans="1:10" ht="31.5" hidden="1" x14ac:dyDescent="0.25">
      <c r="A864" s="572" t="s">
        <v>1739</v>
      </c>
      <c r="B864" s="491">
        <v>907</v>
      </c>
      <c r="C864" s="495" t="s">
        <v>491</v>
      </c>
      <c r="D864" s="495" t="s">
        <v>118</v>
      </c>
      <c r="E864" s="495" t="s">
        <v>1740</v>
      </c>
      <c r="F864" s="495"/>
      <c r="G864" s="493">
        <f t="shared" ref="G864:H866" si="74">G865</f>
        <v>0</v>
      </c>
      <c r="H864" s="493">
        <f t="shared" si="74"/>
        <v>0</v>
      </c>
      <c r="I864" s="526"/>
      <c r="J864" s="501"/>
    </row>
    <row r="865" spans="1:12" ht="31.5" hidden="1" x14ac:dyDescent="0.25">
      <c r="A865" s="29" t="s">
        <v>1742</v>
      </c>
      <c r="B865" s="490">
        <v>907</v>
      </c>
      <c r="C865" s="580" t="s">
        <v>491</v>
      </c>
      <c r="D865" s="580" t="s">
        <v>118</v>
      </c>
      <c r="E865" s="580" t="s">
        <v>1741</v>
      </c>
      <c r="F865" s="580"/>
      <c r="G865" s="497">
        <f t="shared" si="74"/>
        <v>0</v>
      </c>
      <c r="H865" s="497">
        <f t="shared" si="74"/>
        <v>0</v>
      </c>
      <c r="I865" s="526"/>
      <c r="J865" s="501"/>
    </row>
    <row r="866" spans="1:12" ht="31.5" hidden="1" x14ac:dyDescent="0.25">
      <c r="A866" s="579" t="s">
        <v>272</v>
      </c>
      <c r="B866" s="490">
        <v>907</v>
      </c>
      <c r="C866" s="580" t="s">
        <v>491</v>
      </c>
      <c r="D866" s="580" t="s">
        <v>118</v>
      </c>
      <c r="E866" s="580" t="s">
        <v>1741</v>
      </c>
      <c r="F866" s="580" t="s">
        <v>273</v>
      </c>
      <c r="G866" s="497">
        <f t="shared" si="74"/>
        <v>0</v>
      </c>
      <c r="H866" s="497">
        <f t="shared" si="74"/>
        <v>0</v>
      </c>
      <c r="I866" s="526"/>
      <c r="J866" s="501"/>
    </row>
    <row r="867" spans="1:12" ht="15.75" hidden="1" x14ac:dyDescent="0.25">
      <c r="A867" s="579" t="s">
        <v>274</v>
      </c>
      <c r="B867" s="490">
        <v>907</v>
      </c>
      <c r="C867" s="580" t="s">
        <v>491</v>
      </c>
      <c r="D867" s="580" t="s">
        <v>118</v>
      </c>
      <c r="E867" s="580" t="s">
        <v>1741</v>
      </c>
      <c r="F867" s="580" t="s">
        <v>275</v>
      </c>
      <c r="G867" s="497"/>
      <c r="H867" s="497"/>
      <c r="I867" s="526"/>
      <c r="J867" s="501"/>
    </row>
    <row r="868" spans="1:12" ht="47.25" hidden="1" x14ac:dyDescent="0.25">
      <c r="A868" s="494" t="s">
        <v>1331</v>
      </c>
      <c r="B868" s="491">
        <v>907</v>
      </c>
      <c r="C868" s="495" t="s">
        <v>491</v>
      </c>
      <c r="D868" s="495" t="s">
        <v>118</v>
      </c>
      <c r="E868" s="495" t="s">
        <v>1270</v>
      </c>
      <c r="F868" s="495"/>
      <c r="G868" s="493">
        <f t="shared" ref="G868:H870" si="75">G869</f>
        <v>0</v>
      </c>
      <c r="H868" s="493">
        <f t="shared" si="75"/>
        <v>0</v>
      </c>
      <c r="I868" s="526"/>
      <c r="J868" s="501"/>
    </row>
    <row r="869" spans="1:12" s="206" customFormat="1" ht="47.25" hidden="1" x14ac:dyDescent="0.25">
      <c r="A869" s="579" t="s">
        <v>1193</v>
      </c>
      <c r="B869" s="490">
        <v>907</v>
      </c>
      <c r="C869" s="580" t="s">
        <v>491</v>
      </c>
      <c r="D869" s="580" t="s">
        <v>118</v>
      </c>
      <c r="E869" s="580" t="s">
        <v>1325</v>
      </c>
      <c r="F869" s="580"/>
      <c r="G869" s="497">
        <f t="shared" si="75"/>
        <v>0</v>
      </c>
      <c r="H869" s="497">
        <f t="shared" si="75"/>
        <v>0</v>
      </c>
      <c r="I869" s="529"/>
      <c r="J869" s="127"/>
    </row>
    <row r="870" spans="1:12" s="206" customFormat="1" ht="31.5" hidden="1" x14ac:dyDescent="0.25">
      <c r="A870" s="579" t="s">
        <v>272</v>
      </c>
      <c r="B870" s="490">
        <v>907</v>
      </c>
      <c r="C870" s="580" t="s">
        <v>491</v>
      </c>
      <c r="D870" s="580" t="s">
        <v>118</v>
      </c>
      <c r="E870" s="580" t="s">
        <v>1325</v>
      </c>
      <c r="F870" s="580" t="s">
        <v>273</v>
      </c>
      <c r="G870" s="497">
        <f t="shared" si="75"/>
        <v>0</v>
      </c>
      <c r="H870" s="497">
        <f t="shared" si="75"/>
        <v>0</v>
      </c>
      <c r="I870" s="529"/>
      <c r="J870" s="127"/>
    </row>
    <row r="871" spans="1:12" s="206" customFormat="1" ht="15.75" hidden="1" x14ac:dyDescent="0.25">
      <c r="A871" s="579" t="s">
        <v>274</v>
      </c>
      <c r="B871" s="490">
        <v>907</v>
      </c>
      <c r="C871" s="580" t="s">
        <v>491</v>
      </c>
      <c r="D871" s="580" t="s">
        <v>118</v>
      </c>
      <c r="E871" s="580" t="s">
        <v>1325</v>
      </c>
      <c r="F871" s="580" t="s">
        <v>275</v>
      </c>
      <c r="G871" s="497"/>
      <c r="H871" s="497"/>
      <c r="I871" s="529"/>
      <c r="J871" s="127"/>
      <c r="L871" s="127"/>
    </row>
    <row r="872" spans="1:12" ht="47.25" x14ac:dyDescent="0.25">
      <c r="A872" s="572" t="s">
        <v>1341</v>
      </c>
      <c r="B872" s="491">
        <v>907</v>
      </c>
      <c r="C872" s="495" t="s">
        <v>491</v>
      </c>
      <c r="D872" s="495" t="s">
        <v>118</v>
      </c>
      <c r="E872" s="495" t="s">
        <v>705</v>
      </c>
      <c r="F872" s="504"/>
      <c r="G872" s="493">
        <f t="shared" ref="G872:H875" si="76">G873</f>
        <v>579.1</v>
      </c>
      <c r="H872" s="493">
        <f t="shared" si="76"/>
        <v>579.1</v>
      </c>
      <c r="I872" s="526"/>
      <c r="J872" s="501"/>
    </row>
    <row r="873" spans="1:12" ht="47.25" x14ac:dyDescent="0.25">
      <c r="A873" s="572" t="s">
        <v>890</v>
      </c>
      <c r="B873" s="491">
        <v>907</v>
      </c>
      <c r="C873" s="495" t="s">
        <v>491</v>
      </c>
      <c r="D873" s="495" t="s">
        <v>118</v>
      </c>
      <c r="E873" s="495" t="s">
        <v>888</v>
      </c>
      <c r="F873" s="504"/>
      <c r="G873" s="493">
        <f t="shared" si="76"/>
        <v>579.1</v>
      </c>
      <c r="H873" s="493">
        <f t="shared" si="76"/>
        <v>579.1</v>
      </c>
      <c r="I873" s="526"/>
      <c r="J873" s="501"/>
    </row>
    <row r="874" spans="1:12" ht="39.200000000000003" customHeight="1" x14ac:dyDescent="0.25">
      <c r="A874" s="98" t="s">
        <v>780</v>
      </c>
      <c r="B874" s="490">
        <v>907</v>
      </c>
      <c r="C874" s="580" t="s">
        <v>491</v>
      </c>
      <c r="D874" s="580" t="s">
        <v>118</v>
      </c>
      <c r="E874" s="580" t="s">
        <v>936</v>
      </c>
      <c r="F874" s="498"/>
      <c r="G874" s="497">
        <f t="shared" si="76"/>
        <v>579.1</v>
      </c>
      <c r="H874" s="497">
        <f t="shared" si="76"/>
        <v>579.1</v>
      </c>
      <c r="I874" s="526"/>
      <c r="J874" s="501"/>
    </row>
    <row r="875" spans="1:12" ht="31.5" x14ac:dyDescent="0.25">
      <c r="A875" s="29" t="s">
        <v>272</v>
      </c>
      <c r="B875" s="490">
        <v>907</v>
      </c>
      <c r="C875" s="580" t="s">
        <v>491</v>
      </c>
      <c r="D875" s="580" t="s">
        <v>118</v>
      </c>
      <c r="E875" s="580" t="s">
        <v>936</v>
      </c>
      <c r="F875" s="498" t="s">
        <v>273</v>
      </c>
      <c r="G875" s="497">
        <f t="shared" si="76"/>
        <v>579.1</v>
      </c>
      <c r="H875" s="497">
        <f t="shared" si="76"/>
        <v>579.1</v>
      </c>
      <c r="I875" s="526"/>
      <c r="J875" s="501"/>
    </row>
    <row r="876" spans="1:12" ht="15.75" x14ac:dyDescent="0.25">
      <c r="A876" s="182" t="s">
        <v>274</v>
      </c>
      <c r="B876" s="490">
        <v>907</v>
      </c>
      <c r="C876" s="580" t="s">
        <v>491</v>
      </c>
      <c r="D876" s="580" t="s">
        <v>118</v>
      </c>
      <c r="E876" s="580" t="s">
        <v>936</v>
      </c>
      <c r="F876" s="498" t="s">
        <v>275</v>
      </c>
      <c r="G876" s="497">
        <v>579.1</v>
      </c>
      <c r="H876" s="497">
        <v>579.1</v>
      </c>
      <c r="I876" s="526"/>
      <c r="J876" s="501"/>
    </row>
    <row r="877" spans="1:12" ht="19.5" customHeight="1" x14ac:dyDescent="0.25">
      <c r="A877" s="494" t="s">
        <v>500</v>
      </c>
      <c r="B877" s="491">
        <v>907</v>
      </c>
      <c r="C877" s="495" t="s">
        <v>491</v>
      </c>
      <c r="D877" s="495" t="s">
        <v>234</v>
      </c>
      <c r="E877" s="495"/>
      <c r="F877" s="495"/>
      <c r="G877" s="493">
        <f>G878+G893+G905</f>
        <v>13673.1</v>
      </c>
      <c r="H877" s="493">
        <f>H878+H893+H905</f>
        <v>13673.1</v>
      </c>
      <c r="I877" s="526"/>
      <c r="J877" s="501"/>
    </row>
    <row r="878" spans="1:12" ht="31.5" x14ac:dyDescent="0.25">
      <c r="A878" s="494" t="s">
        <v>917</v>
      </c>
      <c r="B878" s="491">
        <v>907</v>
      </c>
      <c r="C878" s="495" t="s">
        <v>491</v>
      </c>
      <c r="D878" s="495" t="s">
        <v>234</v>
      </c>
      <c r="E878" s="495" t="s">
        <v>858</v>
      </c>
      <c r="F878" s="495"/>
      <c r="G878" s="493">
        <f>G879</f>
        <v>10973.1</v>
      </c>
      <c r="H878" s="493">
        <f>H879</f>
        <v>10973.1</v>
      </c>
      <c r="I878" s="526"/>
      <c r="J878" s="501"/>
    </row>
    <row r="879" spans="1:12" ht="15.75" x14ac:dyDescent="0.25">
      <c r="A879" s="494" t="s">
        <v>918</v>
      </c>
      <c r="B879" s="491">
        <v>907</v>
      </c>
      <c r="C879" s="495" t="s">
        <v>491</v>
      </c>
      <c r="D879" s="495" t="s">
        <v>234</v>
      </c>
      <c r="E879" s="495" t="s">
        <v>859</v>
      </c>
      <c r="F879" s="495"/>
      <c r="G879" s="493">
        <f>G880+G890+G883</f>
        <v>10973.1</v>
      </c>
      <c r="H879" s="493">
        <f>H880+H890+H883</f>
        <v>10973.1</v>
      </c>
      <c r="I879" s="526"/>
      <c r="J879" s="501"/>
    </row>
    <row r="880" spans="1:12" ht="28.15" customHeight="1" x14ac:dyDescent="0.25">
      <c r="A880" s="579" t="s">
        <v>897</v>
      </c>
      <c r="B880" s="490">
        <v>907</v>
      </c>
      <c r="C880" s="580" t="s">
        <v>491</v>
      </c>
      <c r="D880" s="580" t="s">
        <v>234</v>
      </c>
      <c r="E880" s="580" t="s">
        <v>860</v>
      </c>
      <c r="F880" s="580"/>
      <c r="G880" s="497">
        <f>G881</f>
        <v>5113.3</v>
      </c>
      <c r="H880" s="497">
        <f>H881</f>
        <v>5113.3</v>
      </c>
      <c r="I880" s="526"/>
      <c r="J880" s="501"/>
    </row>
    <row r="881" spans="1:10" ht="64.5" customHeight="1" x14ac:dyDescent="0.25">
      <c r="A881" s="579" t="s">
        <v>127</v>
      </c>
      <c r="B881" s="490">
        <v>907</v>
      </c>
      <c r="C881" s="580" t="s">
        <v>491</v>
      </c>
      <c r="D881" s="580" t="s">
        <v>234</v>
      </c>
      <c r="E881" s="580" t="s">
        <v>860</v>
      </c>
      <c r="F881" s="580" t="s">
        <v>128</v>
      </c>
      <c r="G881" s="497">
        <f>G882</f>
        <v>5113.3</v>
      </c>
      <c r="H881" s="497">
        <f>H882</f>
        <v>5113.3</v>
      </c>
      <c r="I881" s="526"/>
      <c r="J881" s="501"/>
    </row>
    <row r="882" spans="1:10" ht="31.5" x14ac:dyDescent="0.25">
      <c r="A882" s="579" t="s">
        <v>129</v>
      </c>
      <c r="B882" s="490">
        <v>907</v>
      </c>
      <c r="C882" s="580" t="s">
        <v>491</v>
      </c>
      <c r="D882" s="580" t="s">
        <v>234</v>
      </c>
      <c r="E882" s="580" t="s">
        <v>860</v>
      </c>
      <c r="F882" s="580" t="s">
        <v>130</v>
      </c>
      <c r="G882" s="27">
        <v>5113.3</v>
      </c>
      <c r="H882" s="27">
        <f>G882</f>
        <v>5113.3</v>
      </c>
      <c r="I882" s="526"/>
      <c r="J882" s="501"/>
    </row>
    <row r="883" spans="1:10" ht="31.5" x14ac:dyDescent="0.25">
      <c r="A883" s="579" t="s">
        <v>840</v>
      </c>
      <c r="B883" s="490">
        <v>907</v>
      </c>
      <c r="C883" s="580" t="s">
        <v>491</v>
      </c>
      <c r="D883" s="580" t="s">
        <v>234</v>
      </c>
      <c r="E883" s="580" t="s">
        <v>861</v>
      </c>
      <c r="F883" s="580"/>
      <c r="G883" s="27">
        <f>G884+G886+G888</f>
        <v>5214.8</v>
      </c>
      <c r="H883" s="27">
        <f>H884+H886+H888</f>
        <v>5214.8</v>
      </c>
      <c r="I883" s="526"/>
      <c r="J883" s="501"/>
    </row>
    <row r="884" spans="1:10" ht="63" x14ac:dyDescent="0.25">
      <c r="A884" s="579" t="s">
        <v>127</v>
      </c>
      <c r="B884" s="490">
        <v>907</v>
      </c>
      <c r="C884" s="580" t="s">
        <v>491</v>
      </c>
      <c r="D884" s="580" t="s">
        <v>234</v>
      </c>
      <c r="E884" s="580" t="s">
        <v>861</v>
      </c>
      <c r="F884" s="580" t="s">
        <v>128</v>
      </c>
      <c r="G884" s="27">
        <f>G885</f>
        <v>4888.5</v>
      </c>
      <c r="H884" s="27">
        <f>H885</f>
        <v>4888.5</v>
      </c>
      <c r="I884" s="526"/>
      <c r="J884" s="501"/>
    </row>
    <row r="885" spans="1:10" ht="31.5" x14ac:dyDescent="0.25">
      <c r="A885" s="579" t="s">
        <v>129</v>
      </c>
      <c r="B885" s="490">
        <v>907</v>
      </c>
      <c r="C885" s="580" t="s">
        <v>491</v>
      </c>
      <c r="D885" s="580" t="s">
        <v>234</v>
      </c>
      <c r="E885" s="580" t="s">
        <v>861</v>
      </c>
      <c r="F885" s="580" t="s">
        <v>130</v>
      </c>
      <c r="G885" s="27">
        <v>4888.5</v>
      </c>
      <c r="H885" s="27">
        <f>G885</f>
        <v>4888.5</v>
      </c>
      <c r="I885" s="526"/>
      <c r="J885" s="501"/>
    </row>
    <row r="886" spans="1:10" ht="31.5" x14ac:dyDescent="0.25">
      <c r="A886" s="579" t="s">
        <v>131</v>
      </c>
      <c r="B886" s="490">
        <v>907</v>
      </c>
      <c r="C886" s="580" t="s">
        <v>491</v>
      </c>
      <c r="D886" s="580" t="s">
        <v>234</v>
      </c>
      <c r="E886" s="580" t="s">
        <v>861</v>
      </c>
      <c r="F886" s="580" t="s">
        <v>132</v>
      </c>
      <c r="G886" s="27">
        <f>G887</f>
        <v>275.3</v>
      </c>
      <c r="H886" s="27">
        <f>H887</f>
        <v>275.3</v>
      </c>
      <c r="I886" s="526"/>
      <c r="J886" s="501"/>
    </row>
    <row r="887" spans="1:10" ht="31.5" x14ac:dyDescent="0.25">
      <c r="A887" s="579" t="s">
        <v>133</v>
      </c>
      <c r="B887" s="490">
        <v>907</v>
      </c>
      <c r="C887" s="580" t="s">
        <v>491</v>
      </c>
      <c r="D887" s="580" t="s">
        <v>234</v>
      </c>
      <c r="E887" s="580" t="s">
        <v>861</v>
      </c>
      <c r="F887" s="580" t="s">
        <v>134</v>
      </c>
      <c r="G887" s="27">
        <f>275.3</f>
        <v>275.3</v>
      </c>
      <c r="H887" s="27">
        <f>275.3</f>
        <v>275.3</v>
      </c>
      <c r="I887" s="526"/>
      <c r="J887" s="501"/>
    </row>
    <row r="888" spans="1:10" ht="15.75" x14ac:dyDescent="0.25">
      <c r="A888" s="579" t="s">
        <v>135</v>
      </c>
      <c r="B888" s="490">
        <v>907</v>
      </c>
      <c r="C888" s="580" t="s">
        <v>491</v>
      </c>
      <c r="D888" s="580" t="s">
        <v>234</v>
      </c>
      <c r="E888" s="580" t="s">
        <v>861</v>
      </c>
      <c r="F888" s="580" t="s">
        <v>145</v>
      </c>
      <c r="G888" s="27">
        <f>G889</f>
        <v>51</v>
      </c>
      <c r="H888" s="27">
        <f>H889</f>
        <v>51</v>
      </c>
      <c r="I888" s="526"/>
      <c r="J888" s="501"/>
    </row>
    <row r="889" spans="1:10" ht="15.75" x14ac:dyDescent="0.25">
      <c r="A889" s="579" t="s">
        <v>568</v>
      </c>
      <c r="B889" s="490">
        <v>907</v>
      </c>
      <c r="C889" s="580" t="s">
        <v>491</v>
      </c>
      <c r="D889" s="580" t="s">
        <v>234</v>
      </c>
      <c r="E889" s="580" t="s">
        <v>861</v>
      </c>
      <c r="F889" s="580" t="s">
        <v>138</v>
      </c>
      <c r="G889" s="497">
        <f>27.1+24.1-0.2</f>
        <v>51</v>
      </c>
      <c r="H889" s="497">
        <f>27.1+24.1-0.2</f>
        <v>51</v>
      </c>
      <c r="I889" s="526"/>
      <c r="J889" s="501"/>
    </row>
    <row r="890" spans="1:10" ht="36.75" customHeight="1" x14ac:dyDescent="0.25">
      <c r="A890" s="579" t="s">
        <v>839</v>
      </c>
      <c r="B890" s="490">
        <v>907</v>
      </c>
      <c r="C890" s="580" t="s">
        <v>491</v>
      </c>
      <c r="D890" s="580" t="s">
        <v>234</v>
      </c>
      <c r="E890" s="580" t="s">
        <v>862</v>
      </c>
      <c r="F890" s="580"/>
      <c r="G890" s="497">
        <f>G891</f>
        <v>645</v>
      </c>
      <c r="H890" s="497">
        <f>H891</f>
        <v>645</v>
      </c>
      <c r="I890" s="526"/>
      <c r="J890" s="501"/>
    </row>
    <row r="891" spans="1:10" ht="47.25" customHeight="1" x14ac:dyDescent="0.25">
      <c r="A891" s="579" t="s">
        <v>127</v>
      </c>
      <c r="B891" s="490">
        <v>907</v>
      </c>
      <c r="C891" s="580" t="s">
        <v>491</v>
      </c>
      <c r="D891" s="580" t="s">
        <v>234</v>
      </c>
      <c r="E891" s="580" t="s">
        <v>862</v>
      </c>
      <c r="F891" s="580" t="s">
        <v>128</v>
      </c>
      <c r="G891" s="497">
        <f>G892</f>
        <v>645</v>
      </c>
      <c r="H891" s="497">
        <f>H892</f>
        <v>645</v>
      </c>
      <c r="I891" s="526"/>
      <c r="J891" s="501"/>
    </row>
    <row r="892" spans="1:10" ht="34.5" customHeight="1" x14ac:dyDescent="0.25">
      <c r="A892" s="579" t="s">
        <v>129</v>
      </c>
      <c r="B892" s="490">
        <v>907</v>
      </c>
      <c r="C892" s="580" t="s">
        <v>491</v>
      </c>
      <c r="D892" s="580" t="s">
        <v>234</v>
      </c>
      <c r="E892" s="580" t="s">
        <v>862</v>
      </c>
      <c r="F892" s="580" t="s">
        <v>130</v>
      </c>
      <c r="G892" s="497">
        <f>258+387</f>
        <v>645</v>
      </c>
      <c r="H892" s="497">
        <f>258+387</f>
        <v>645</v>
      </c>
      <c r="I892" s="526"/>
      <c r="J892" s="501"/>
    </row>
    <row r="893" spans="1:10" ht="15.75" hidden="1" x14ac:dyDescent="0.25">
      <c r="A893" s="494" t="s">
        <v>141</v>
      </c>
      <c r="B893" s="491">
        <v>907</v>
      </c>
      <c r="C893" s="495" t="s">
        <v>491</v>
      </c>
      <c r="D893" s="495" t="s">
        <v>234</v>
      </c>
      <c r="E893" s="495" t="s">
        <v>866</v>
      </c>
      <c r="F893" s="495"/>
      <c r="G893" s="493">
        <f>G894</f>
        <v>0</v>
      </c>
      <c r="H893" s="493">
        <f>H894</f>
        <v>0</v>
      </c>
      <c r="I893" s="526"/>
      <c r="J893" s="501"/>
    </row>
    <row r="894" spans="1:10" ht="31.5" hidden="1" x14ac:dyDescent="0.25">
      <c r="A894" s="494" t="s">
        <v>929</v>
      </c>
      <c r="B894" s="491">
        <v>907</v>
      </c>
      <c r="C894" s="495" t="s">
        <v>491</v>
      </c>
      <c r="D894" s="495" t="s">
        <v>234</v>
      </c>
      <c r="E894" s="495" t="s">
        <v>914</v>
      </c>
      <c r="F894" s="495"/>
      <c r="G894" s="493">
        <f>G895+G902</f>
        <v>0</v>
      </c>
      <c r="H894" s="493">
        <f>H895+H902</f>
        <v>0</v>
      </c>
      <c r="I894" s="526"/>
      <c r="J894" s="501"/>
    </row>
    <row r="895" spans="1:10" ht="31.5" hidden="1" x14ac:dyDescent="0.25">
      <c r="A895" s="579" t="s">
        <v>903</v>
      </c>
      <c r="B895" s="490">
        <v>907</v>
      </c>
      <c r="C895" s="580" t="s">
        <v>491</v>
      </c>
      <c r="D895" s="580" t="s">
        <v>234</v>
      </c>
      <c r="E895" s="580" t="s">
        <v>915</v>
      </c>
      <c r="F895" s="580"/>
      <c r="G895" s="497">
        <f>G896+G898+G900</f>
        <v>0</v>
      </c>
      <c r="H895" s="497">
        <f>H896+H898+H900</f>
        <v>0</v>
      </c>
      <c r="I895" s="526"/>
      <c r="J895" s="501"/>
    </row>
    <row r="896" spans="1:10" ht="72.75" hidden="1" customHeight="1" x14ac:dyDescent="0.25">
      <c r="A896" s="579" t="s">
        <v>127</v>
      </c>
      <c r="B896" s="490">
        <v>907</v>
      </c>
      <c r="C896" s="580" t="s">
        <v>491</v>
      </c>
      <c r="D896" s="580" t="s">
        <v>234</v>
      </c>
      <c r="E896" s="580" t="s">
        <v>915</v>
      </c>
      <c r="F896" s="580" t="s">
        <v>128</v>
      </c>
      <c r="G896" s="497">
        <f>G897</f>
        <v>0</v>
      </c>
      <c r="H896" s="497">
        <f>H897</f>
        <v>0</v>
      </c>
      <c r="I896" s="526"/>
      <c r="J896" s="501"/>
    </row>
    <row r="897" spans="1:10" ht="25.5" hidden="1" customHeight="1" x14ac:dyDescent="0.25">
      <c r="A897" s="579" t="s">
        <v>342</v>
      </c>
      <c r="B897" s="490">
        <v>907</v>
      </c>
      <c r="C897" s="580" t="s">
        <v>491</v>
      </c>
      <c r="D897" s="580" t="s">
        <v>234</v>
      </c>
      <c r="E897" s="580" t="s">
        <v>915</v>
      </c>
      <c r="F897" s="580" t="s">
        <v>209</v>
      </c>
      <c r="G897" s="27"/>
      <c r="H897" s="27"/>
      <c r="I897" s="526"/>
      <c r="J897" s="501"/>
    </row>
    <row r="898" spans="1:10" ht="31.5" hidden="1" x14ac:dyDescent="0.25">
      <c r="A898" s="579" t="s">
        <v>131</v>
      </c>
      <c r="B898" s="490">
        <v>907</v>
      </c>
      <c r="C898" s="580" t="s">
        <v>491</v>
      </c>
      <c r="D898" s="580" t="s">
        <v>234</v>
      </c>
      <c r="E898" s="580" t="s">
        <v>915</v>
      </c>
      <c r="F898" s="580" t="s">
        <v>132</v>
      </c>
      <c r="G898" s="497">
        <f>G899</f>
        <v>0</v>
      </c>
      <c r="H898" s="497">
        <f>H899</f>
        <v>0</v>
      </c>
      <c r="I898" s="526"/>
      <c r="J898" s="501"/>
    </row>
    <row r="899" spans="1:10" ht="31.5" hidden="1" x14ac:dyDescent="0.25">
      <c r="A899" s="579" t="s">
        <v>133</v>
      </c>
      <c r="B899" s="490">
        <v>907</v>
      </c>
      <c r="C899" s="580" t="s">
        <v>491</v>
      </c>
      <c r="D899" s="580" t="s">
        <v>234</v>
      </c>
      <c r="E899" s="580" t="s">
        <v>915</v>
      </c>
      <c r="F899" s="580" t="s">
        <v>134</v>
      </c>
      <c r="G899" s="27"/>
      <c r="H899" s="27"/>
      <c r="I899" s="526"/>
      <c r="J899" s="501"/>
    </row>
    <row r="900" spans="1:10" ht="15.75" hidden="1" x14ac:dyDescent="0.25">
      <c r="A900" s="579" t="s">
        <v>135</v>
      </c>
      <c r="B900" s="490">
        <v>907</v>
      </c>
      <c r="C900" s="580" t="s">
        <v>491</v>
      </c>
      <c r="D900" s="580" t="s">
        <v>234</v>
      </c>
      <c r="E900" s="580" t="s">
        <v>915</v>
      </c>
      <c r="F900" s="580" t="s">
        <v>145</v>
      </c>
      <c r="G900" s="497">
        <f>G901</f>
        <v>0</v>
      </c>
      <c r="H900" s="497">
        <f>H901</f>
        <v>0</v>
      </c>
      <c r="I900" s="526"/>
      <c r="J900" s="501"/>
    </row>
    <row r="901" spans="1:10" ht="15.75" hidden="1" x14ac:dyDescent="0.25">
      <c r="A901" s="579" t="s">
        <v>568</v>
      </c>
      <c r="B901" s="490">
        <v>907</v>
      </c>
      <c r="C901" s="580" t="s">
        <v>491</v>
      </c>
      <c r="D901" s="580" t="s">
        <v>234</v>
      </c>
      <c r="E901" s="580" t="s">
        <v>915</v>
      </c>
      <c r="F901" s="580" t="s">
        <v>138</v>
      </c>
      <c r="G901" s="497"/>
      <c r="H901" s="497"/>
      <c r="I901" s="526"/>
      <c r="J901" s="501"/>
    </row>
    <row r="902" spans="1:10" ht="31.5" hidden="1" x14ac:dyDescent="0.25">
      <c r="A902" s="579" t="s">
        <v>839</v>
      </c>
      <c r="B902" s="490">
        <v>907</v>
      </c>
      <c r="C902" s="580" t="s">
        <v>491</v>
      </c>
      <c r="D902" s="580" t="s">
        <v>234</v>
      </c>
      <c r="E902" s="580" t="s">
        <v>916</v>
      </c>
      <c r="F902" s="580"/>
      <c r="G902" s="497">
        <f>G903</f>
        <v>0</v>
      </c>
      <c r="H902" s="497">
        <f>H903</f>
        <v>0</v>
      </c>
      <c r="I902" s="526"/>
      <c r="J902" s="501"/>
    </row>
    <row r="903" spans="1:10" ht="63" hidden="1" x14ac:dyDescent="0.25">
      <c r="A903" s="579" t="s">
        <v>127</v>
      </c>
      <c r="B903" s="490">
        <v>907</v>
      </c>
      <c r="C903" s="580" t="s">
        <v>491</v>
      </c>
      <c r="D903" s="580" t="s">
        <v>234</v>
      </c>
      <c r="E903" s="580" t="s">
        <v>916</v>
      </c>
      <c r="F903" s="580" t="s">
        <v>128</v>
      </c>
      <c r="G903" s="497">
        <f>G904</f>
        <v>0</v>
      </c>
      <c r="H903" s="497">
        <f>H904</f>
        <v>0</v>
      </c>
      <c r="I903" s="526"/>
      <c r="J903" s="501"/>
    </row>
    <row r="904" spans="1:10" ht="15.75" hidden="1" x14ac:dyDescent="0.25">
      <c r="A904" s="579" t="s">
        <v>342</v>
      </c>
      <c r="B904" s="490">
        <v>907</v>
      </c>
      <c r="C904" s="580" t="s">
        <v>491</v>
      </c>
      <c r="D904" s="580" t="s">
        <v>234</v>
      </c>
      <c r="E904" s="580" t="s">
        <v>916</v>
      </c>
      <c r="F904" s="580" t="s">
        <v>209</v>
      </c>
      <c r="G904" s="497"/>
      <c r="H904" s="497"/>
      <c r="I904" s="526"/>
      <c r="J904" s="501"/>
    </row>
    <row r="905" spans="1:10" ht="31.5" x14ac:dyDescent="0.25">
      <c r="A905" s="572" t="s">
        <v>1360</v>
      </c>
      <c r="B905" s="491">
        <v>907</v>
      </c>
      <c r="C905" s="495" t="s">
        <v>491</v>
      </c>
      <c r="D905" s="495" t="s">
        <v>234</v>
      </c>
      <c r="E905" s="7" t="s">
        <v>482</v>
      </c>
      <c r="F905" s="495"/>
      <c r="G905" s="493">
        <f>G906</f>
        <v>2700</v>
      </c>
      <c r="H905" s="493">
        <f>H906</f>
        <v>2700</v>
      </c>
      <c r="I905" s="526"/>
      <c r="J905" s="501"/>
    </row>
    <row r="906" spans="1:10" ht="31.5" x14ac:dyDescent="0.25">
      <c r="A906" s="58" t="s">
        <v>951</v>
      </c>
      <c r="B906" s="491">
        <v>907</v>
      </c>
      <c r="C906" s="495" t="s">
        <v>491</v>
      </c>
      <c r="D906" s="495" t="s">
        <v>234</v>
      </c>
      <c r="E906" s="7" t="s">
        <v>1271</v>
      </c>
      <c r="F906" s="495"/>
      <c r="G906" s="493">
        <f>G907</f>
        <v>2700</v>
      </c>
      <c r="H906" s="493">
        <f>H907</f>
        <v>2700</v>
      </c>
      <c r="I906" s="526"/>
      <c r="J906" s="501"/>
    </row>
    <row r="907" spans="1:10" ht="15.75" x14ac:dyDescent="0.25">
      <c r="A907" s="29" t="s">
        <v>952</v>
      </c>
      <c r="B907" s="490">
        <v>907</v>
      </c>
      <c r="C907" s="580" t="s">
        <v>491</v>
      </c>
      <c r="D907" s="580" t="s">
        <v>234</v>
      </c>
      <c r="E907" s="573" t="s">
        <v>1272</v>
      </c>
      <c r="F907" s="580"/>
      <c r="G907" s="497">
        <f>G908+G910</f>
        <v>2700</v>
      </c>
      <c r="H907" s="497">
        <f>H908+H910</f>
        <v>2700</v>
      </c>
      <c r="I907" s="526"/>
      <c r="J907" s="501"/>
    </row>
    <row r="908" spans="1:10" ht="63" x14ac:dyDescent="0.25">
      <c r="A908" s="579" t="s">
        <v>127</v>
      </c>
      <c r="B908" s="490">
        <v>907</v>
      </c>
      <c r="C908" s="580" t="s">
        <v>491</v>
      </c>
      <c r="D908" s="580" t="s">
        <v>234</v>
      </c>
      <c r="E908" s="573" t="s">
        <v>1272</v>
      </c>
      <c r="F908" s="580" t="s">
        <v>128</v>
      </c>
      <c r="G908" s="497">
        <f>G909</f>
        <v>2286</v>
      </c>
      <c r="H908" s="497">
        <f>H909</f>
        <v>2286</v>
      </c>
      <c r="I908" s="526"/>
      <c r="J908" s="501"/>
    </row>
    <row r="909" spans="1:10" ht="15.75" x14ac:dyDescent="0.25">
      <c r="A909" s="579" t="s">
        <v>342</v>
      </c>
      <c r="B909" s="490">
        <v>907</v>
      </c>
      <c r="C909" s="580" t="s">
        <v>491</v>
      </c>
      <c r="D909" s="580" t="s">
        <v>234</v>
      </c>
      <c r="E909" s="573" t="s">
        <v>1272</v>
      </c>
      <c r="F909" s="580" t="s">
        <v>209</v>
      </c>
      <c r="G909" s="497">
        <v>2286</v>
      </c>
      <c r="H909" s="497">
        <v>2286</v>
      </c>
      <c r="I909" s="526"/>
      <c r="J909" s="501"/>
    </row>
    <row r="910" spans="1:10" ht="31.5" x14ac:dyDescent="0.25">
      <c r="A910" s="29" t="s">
        <v>131</v>
      </c>
      <c r="B910" s="490">
        <v>907</v>
      </c>
      <c r="C910" s="580" t="s">
        <v>491</v>
      </c>
      <c r="D910" s="580" t="s">
        <v>234</v>
      </c>
      <c r="E910" s="573" t="s">
        <v>1272</v>
      </c>
      <c r="F910" s="580" t="s">
        <v>132</v>
      </c>
      <c r="G910" s="497">
        <f>G911</f>
        <v>414</v>
      </c>
      <c r="H910" s="497">
        <f>H911</f>
        <v>414</v>
      </c>
      <c r="I910" s="526"/>
      <c r="J910" s="501"/>
    </row>
    <row r="911" spans="1:10" ht="31.5" x14ac:dyDescent="0.25">
      <c r="A911" s="29" t="s">
        <v>133</v>
      </c>
      <c r="B911" s="490">
        <v>907</v>
      </c>
      <c r="C911" s="580" t="s">
        <v>491</v>
      </c>
      <c r="D911" s="580" t="s">
        <v>234</v>
      </c>
      <c r="E911" s="573" t="s">
        <v>1272</v>
      </c>
      <c r="F911" s="580" t="s">
        <v>134</v>
      </c>
      <c r="G911" s="497">
        <v>414</v>
      </c>
      <c r="H911" s="497">
        <v>414</v>
      </c>
      <c r="I911" s="526"/>
      <c r="J911" s="501"/>
    </row>
    <row r="912" spans="1:10" ht="31.5" x14ac:dyDescent="0.25">
      <c r="A912" s="491" t="s">
        <v>504</v>
      </c>
      <c r="B912" s="491">
        <v>908</v>
      </c>
      <c r="C912" s="580"/>
      <c r="D912" s="580"/>
      <c r="E912" s="580"/>
      <c r="F912" s="580"/>
      <c r="G912" s="493">
        <f>G927+G934+G955+G1146+G913</f>
        <v>116389.45000000001</v>
      </c>
      <c r="H912" s="493">
        <f>H927+H934+H955+H1146+H913</f>
        <v>109193.94999999998</v>
      </c>
      <c r="I912" s="526"/>
      <c r="J912" s="501"/>
    </row>
    <row r="913" spans="1:11" ht="15.75" x14ac:dyDescent="0.25">
      <c r="A913" s="34" t="s">
        <v>117</v>
      </c>
      <c r="B913" s="491">
        <v>908</v>
      </c>
      <c r="C913" s="495" t="s">
        <v>118</v>
      </c>
      <c r="D913" s="580"/>
      <c r="E913" s="580"/>
      <c r="F913" s="580"/>
      <c r="G913" s="493">
        <f t="shared" ref="G913:H915" si="77">G914</f>
        <v>48202.6</v>
      </c>
      <c r="H913" s="493">
        <f t="shared" si="77"/>
        <v>48025.1</v>
      </c>
      <c r="I913" s="526"/>
      <c r="J913" s="501"/>
    </row>
    <row r="914" spans="1:11" ht="15.75" x14ac:dyDescent="0.25">
      <c r="A914" s="34" t="s">
        <v>139</v>
      </c>
      <c r="B914" s="491">
        <v>908</v>
      </c>
      <c r="C914" s="495" t="s">
        <v>118</v>
      </c>
      <c r="D914" s="495" t="s">
        <v>140</v>
      </c>
      <c r="E914" s="580"/>
      <c r="F914" s="580"/>
      <c r="G914" s="493">
        <f t="shared" si="77"/>
        <v>48202.6</v>
      </c>
      <c r="H914" s="493">
        <f t="shared" si="77"/>
        <v>48025.1</v>
      </c>
      <c r="I914" s="526"/>
      <c r="J914" s="501"/>
    </row>
    <row r="915" spans="1:11" ht="21.2" customHeight="1" x14ac:dyDescent="0.25">
      <c r="A915" s="494" t="s">
        <v>141</v>
      </c>
      <c r="B915" s="491">
        <v>908</v>
      </c>
      <c r="C915" s="495" t="s">
        <v>118</v>
      </c>
      <c r="D915" s="495" t="s">
        <v>140</v>
      </c>
      <c r="E915" s="495" t="s">
        <v>866</v>
      </c>
      <c r="F915" s="495"/>
      <c r="G915" s="44">
        <f t="shared" si="77"/>
        <v>48202.6</v>
      </c>
      <c r="H915" s="44">
        <f t="shared" si="77"/>
        <v>48025.1</v>
      </c>
      <c r="I915" s="526"/>
      <c r="J915" s="501"/>
    </row>
    <row r="916" spans="1:11" ht="15.75" x14ac:dyDescent="0.25">
      <c r="A916" s="494" t="s">
        <v>954</v>
      </c>
      <c r="B916" s="491">
        <v>908</v>
      </c>
      <c r="C916" s="495" t="s">
        <v>118</v>
      </c>
      <c r="D916" s="495" t="s">
        <v>140</v>
      </c>
      <c r="E916" s="495" t="s">
        <v>953</v>
      </c>
      <c r="F916" s="495"/>
      <c r="G916" s="44">
        <f>G920+G917</f>
        <v>48202.6</v>
      </c>
      <c r="H916" s="44">
        <f>H920+H917</f>
        <v>48025.1</v>
      </c>
      <c r="I916" s="526"/>
      <c r="J916" s="501"/>
    </row>
    <row r="917" spans="1:11" ht="31.5" x14ac:dyDescent="0.25">
      <c r="A917" s="579" t="s">
        <v>839</v>
      </c>
      <c r="B917" s="490">
        <v>908</v>
      </c>
      <c r="C917" s="580" t="s">
        <v>118</v>
      </c>
      <c r="D917" s="580" t="s">
        <v>140</v>
      </c>
      <c r="E917" s="580" t="s">
        <v>956</v>
      </c>
      <c r="F917" s="580"/>
      <c r="G917" s="497">
        <f>G918</f>
        <v>1118</v>
      </c>
      <c r="H917" s="497">
        <f>H918</f>
        <v>1118</v>
      </c>
      <c r="I917" s="526"/>
      <c r="J917" s="501"/>
    </row>
    <row r="918" spans="1:11" ht="63" x14ac:dyDescent="0.25">
      <c r="A918" s="579" t="s">
        <v>127</v>
      </c>
      <c r="B918" s="490">
        <v>908</v>
      </c>
      <c r="C918" s="580" t="s">
        <v>118</v>
      </c>
      <c r="D918" s="580" t="s">
        <v>140</v>
      </c>
      <c r="E918" s="580" t="s">
        <v>956</v>
      </c>
      <c r="F918" s="580" t="s">
        <v>128</v>
      </c>
      <c r="G918" s="497">
        <f>G919</f>
        <v>1118</v>
      </c>
      <c r="H918" s="497">
        <f>H919</f>
        <v>1118</v>
      </c>
      <c r="I918" s="526"/>
      <c r="J918" s="501"/>
    </row>
    <row r="919" spans="1:11" ht="31.5" x14ac:dyDescent="0.25">
      <c r="A919" s="579" t="s">
        <v>129</v>
      </c>
      <c r="B919" s="490">
        <v>908</v>
      </c>
      <c r="C919" s="580" t="s">
        <v>118</v>
      </c>
      <c r="D919" s="580" t="s">
        <v>140</v>
      </c>
      <c r="E919" s="580" t="s">
        <v>956</v>
      </c>
      <c r="F919" s="580" t="s">
        <v>209</v>
      </c>
      <c r="G919" s="497">
        <v>1118</v>
      </c>
      <c r="H919" s="497">
        <v>1118</v>
      </c>
      <c r="I919" s="526"/>
      <c r="J919" s="501"/>
    </row>
    <row r="920" spans="1:11" ht="15.75" x14ac:dyDescent="0.25">
      <c r="A920" s="579" t="s">
        <v>801</v>
      </c>
      <c r="B920" s="490">
        <v>908</v>
      </c>
      <c r="C920" s="580" t="s">
        <v>118</v>
      </c>
      <c r="D920" s="580" t="s">
        <v>140</v>
      </c>
      <c r="E920" s="580" t="s">
        <v>955</v>
      </c>
      <c r="F920" s="580"/>
      <c r="G920" s="27">
        <f>G921+G923+G925</f>
        <v>47084.6</v>
      </c>
      <c r="H920" s="27">
        <f>H921+H923+H925</f>
        <v>46907.1</v>
      </c>
      <c r="I920" s="526"/>
      <c r="J920" s="501"/>
    </row>
    <row r="921" spans="1:11" ht="74.25" customHeight="1" x14ac:dyDescent="0.25">
      <c r="A921" s="579" t="s">
        <v>127</v>
      </c>
      <c r="B921" s="490">
        <v>908</v>
      </c>
      <c r="C921" s="580" t="s">
        <v>118</v>
      </c>
      <c r="D921" s="580" t="s">
        <v>140</v>
      </c>
      <c r="E921" s="580" t="s">
        <v>955</v>
      </c>
      <c r="F921" s="580" t="s">
        <v>128</v>
      </c>
      <c r="G921" s="27">
        <f>G922</f>
        <v>37603.599999999999</v>
      </c>
      <c r="H921" s="27">
        <f>H922</f>
        <v>37603.599999999999</v>
      </c>
      <c r="I921" s="526"/>
      <c r="J921" s="501"/>
    </row>
    <row r="922" spans="1:11" ht="15.75" x14ac:dyDescent="0.25">
      <c r="A922" s="46" t="s">
        <v>342</v>
      </c>
      <c r="B922" s="490">
        <v>908</v>
      </c>
      <c r="C922" s="580" t="s">
        <v>118</v>
      </c>
      <c r="D922" s="580" t="s">
        <v>140</v>
      </c>
      <c r="E922" s="580" t="s">
        <v>955</v>
      </c>
      <c r="F922" s="580" t="s">
        <v>209</v>
      </c>
      <c r="G922" s="27">
        <v>37603.599999999999</v>
      </c>
      <c r="H922" s="27">
        <f>G922</f>
        <v>37603.599999999999</v>
      </c>
      <c r="I922" s="526"/>
      <c r="J922" s="526"/>
    </row>
    <row r="923" spans="1:11" ht="31.5" x14ac:dyDescent="0.25">
      <c r="A923" s="579" t="s">
        <v>131</v>
      </c>
      <c r="B923" s="490">
        <v>908</v>
      </c>
      <c r="C923" s="580" t="s">
        <v>118</v>
      </c>
      <c r="D923" s="580" t="s">
        <v>140</v>
      </c>
      <c r="E923" s="580" t="s">
        <v>955</v>
      </c>
      <c r="F923" s="580" t="s">
        <v>132</v>
      </c>
      <c r="G923" s="27">
        <f>G924</f>
        <v>9059.9999999999982</v>
      </c>
      <c r="H923" s="27">
        <f>H924</f>
        <v>8882.4999999999982</v>
      </c>
      <c r="I923" s="526"/>
      <c r="J923" s="501"/>
    </row>
    <row r="924" spans="1:11" ht="31.5" x14ac:dyDescent="0.25">
      <c r="A924" s="579" t="s">
        <v>133</v>
      </c>
      <c r="B924" s="490">
        <v>908</v>
      </c>
      <c r="C924" s="580" t="s">
        <v>118</v>
      </c>
      <c r="D924" s="580" t="s">
        <v>140</v>
      </c>
      <c r="E924" s="580" t="s">
        <v>955</v>
      </c>
      <c r="F924" s="580" t="s">
        <v>134</v>
      </c>
      <c r="G924" s="27">
        <f>9244.3-207.2+22.9</f>
        <v>9059.9999999999982</v>
      </c>
      <c r="H924" s="27">
        <f>9244.3-207.2-154.6</f>
        <v>8882.4999999999982</v>
      </c>
      <c r="I924" s="534"/>
      <c r="J924" s="501"/>
      <c r="K924" s="531"/>
    </row>
    <row r="925" spans="1:11" ht="15.75" x14ac:dyDescent="0.25">
      <c r="A925" s="579" t="s">
        <v>135</v>
      </c>
      <c r="B925" s="490">
        <v>908</v>
      </c>
      <c r="C925" s="580" t="s">
        <v>118</v>
      </c>
      <c r="D925" s="580" t="s">
        <v>140</v>
      </c>
      <c r="E925" s="580" t="s">
        <v>955</v>
      </c>
      <c r="F925" s="580" t="s">
        <v>145</v>
      </c>
      <c r="G925" s="27">
        <f>G926</f>
        <v>421</v>
      </c>
      <c r="H925" s="27">
        <f>H926</f>
        <v>421</v>
      </c>
      <c r="I925" s="534"/>
      <c r="J925" s="501"/>
      <c r="K925" s="472"/>
    </row>
    <row r="926" spans="1:11" ht="15.75" x14ac:dyDescent="0.25">
      <c r="A926" s="579" t="s">
        <v>704</v>
      </c>
      <c r="B926" s="490">
        <v>908</v>
      </c>
      <c r="C926" s="580" t="s">
        <v>118</v>
      </c>
      <c r="D926" s="580" t="s">
        <v>140</v>
      </c>
      <c r="E926" s="580" t="s">
        <v>955</v>
      </c>
      <c r="F926" s="580" t="s">
        <v>138</v>
      </c>
      <c r="G926" s="27">
        <v>421</v>
      </c>
      <c r="H926" s="27">
        <v>421</v>
      </c>
      <c r="I926" s="534"/>
      <c r="J926" s="501"/>
      <c r="K926" s="472"/>
    </row>
    <row r="927" spans="1:11" ht="31.5" x14ac:dyDescent="0.25">
      <c r="A927" s="494" t="s">
        <v>222</v>
      </c>
      <c r="B927" s="491">
        <v>908</v>
      </c>
      <c r="C927" s="495" t="s">
        <v>215</v>
      </c>
      <c r="D927" s="495"/>
      <c r="E927" s="495"/>
      <c r="F927" s="495"/>
      <c r="G927" s="493">
        <f t="shared" ref="G927:H932" si="78">G928</f>
        <v>107</v>
      </c>
      <c r="H927" s="493">
        <f t="shared" si="78"/>
        <v>107</v>
      </c>
      <c r="I927" s="534"/>
      <c r="J927" s="501"/>
      <c r="K927" s="473"/>
    </row>
    <row r="928" spans="1:11" ht="47.85" customHeight="1" x14ac:dyDescent="0.25">
      <c r="A928" s="494" t="s">
        <v>1345</v>
      </c>
      <c r="B928" s="491">
        <v>908</v>
      </c>
      <c r="C928" s="495" t="s">
        <v>215</v>
      </c>
      <c r="D928" s="495" t="s">
        <v>244</v>
      </c>
      <c r="E928" s="495"/>
      <c r="F928" s="495"/>
      <c r="G928" s="493">
        <f t="shared" si="78"/>
        <v>107</v>
      </c>
      <c r="H928" s="493">
        <f t="shared" si="78"/>
        <v>107</v>
      </c>
      <c r="I928" s="526"/>
      <c r="J928" s="501"/>
    </row>
    <row r="929" spans="1:10" ht="21.75" customHeight="1" x14ac:dyDescent="0.25">
      <c r="A929" s="494" t="s">
        <v>141</v>
      </c>
      <c r="B929" s="491">
        <v>908</v>
      </c>
      <c r="C929" s="495" t="s">
        <v>215</v>
      </c>
      <c r="D929" s="495" t="s">
        <v>244</v>
      </c>
      <c r="E929" s="495" t="s">
        <v>866</v>
      </c>
      <c r="F929" s="495"/>
      <c r="G929" s="493">
        <f t="shared" si="78"/>
        <v>107</v>
      </c>
      <c r="H929" s="493">
        <f t="shared" si="78"/>
        <v>107</v>
      </c>
      <c r="I929" s="526"/>
      <c r="J929" s="501"/>
    </row>
    <row r="930" spans="1:10" ht="31.5" x14ac:dyDescent="0.25">
      <c r="A930" s="494" t="s">
        <v>870</v>
      </c>
      <c r="B930" s="491">
        <v>908</v>
      </c>
      <c r="C930" s="495" t="s">
        <v>215</v>
      </c>
      <c r="D930" s="495" t="s">
        <v>244</v>
      </c>
      <c r="E930" s="495" t="s">
        <v>865</v>
      </c>
      <c r="F930" s="495"/>
      <c r="G930" s="493">
        <f t="shared" si="78"/>
        <v>107</v>
      </c>
      <c r="H930" s="493">
        <f t="shared" si="78"/>
        <v>107</v>
      </c>
      <c r="I930" s="526"/>
      <c r="J930" s="501"/>
    </row>
    <row r="931" spans="1:10" ht="15.75" x14ac:dyDescent="0.25">
      <c r="A931" s="579" t="s">
        <v>230</v>
      </c>
      <c r="B931" s="490">
        <v>908</v>
      </c>
      <c r="C931" s="580" t="s">
        <v>215</v>
      </c>
      <c r="D931" s="580" t="s">
        <v>244</v>
      </c>
      <c r="E931" s="580" t="s">
        <v>876</v>
      </c>
      <c r="F931" s="580"/>
      <c r="G931" s="497">
        <f t="shared" si="78"/>
        <v>107</v>
      </c>
      <c r="H931" s="497">
        <f t="shared" si="78"/>
        <v>107</v>
      </c>
      <c r="I931" s="526"/>
      <c r="J931" s="501"/>
    </row>
    <row r="932" spans="1:10" ht="31.5" x14ac:dyDescent="0.25">
      <c r="A932" s="579" t="s">
        <v>131</v>
      </c>
      <c r="B932" s="490">
        <v>908</v>
      </c>
      <c r="C932" s="580" t="s">
        <v>215</v>
      </c>
      <c r="D932" s="580" t="s">
        <v>244</v>
      </c>
      <c r="E932" s="580" t="s">
        <v>876</v>
      </c>
      <c r="F932" s="580" t="s">
        <v>132</v>
      </c>
      <c r="G932" s="497">
        <f t="shared" si="78"/>
        <v>107</v>
      </c>
      <c r="H932" s="497">
        <f t="shared" si="78"/>
        <v>107</v>
      </c>
      <c r="I932" s="526"/>
      <c r="J932" s="501"/>
    </row>
    <row r="933" spans="1:10" ht="31.5" x14ac:dyDescent="0.25">
      <c r="A933" s="579" t="s">
        <v>133</v>
      </c>
      <c r="B933" s="490">
        <v>908</v>
      </c>
      <c r="C933" s="580" t="s">
        <v>215</v>
      </c>
      <c r="D933" s="580" t="s">
        <v>244</v>
      </c>
      <c r="E933" s="580" t="s">
        <v>876</v>
      </c>
      <c r="F933" s="580" t="s">
        <v>134</v>
      </c>
      <c r="G933" s="497">
        <v>107</v>
      </c>
      <c r="H933" s="497">
        <v>107</v>
      </c>
      <c r="I933" s="526"/>
      <c r="J933" s="501"/>
    </row>
    <row r="934" spans="1:10" ht="15.75" x14ac:dyDescent="0.25">
      <c r="A934" s="494" t="s">
        <v>232</v>
      </c>
      <c r="B934" s="491">
        <v>908</v>
      </c>
      <c r="C934" s="495" t="s">
        <v>150</v>
      </c>
      <c r="D934" s="495"/>
      <c r="E934" s="495"/>
      <c r="F934" s="495"/>
      <c r="G934" s="493">
        <f>G935+G941</f>
        <v>6306.7</v>
      </c>
      <c r="H934" s="493">
        <f>H935+H941</f>
        <v>6484.2</v>
      </c>
      <c r="I934" s="526"/>
      <c r="J934" s="501"/>
    </row>
    <row r="935" spans="1:10" ht="15.75" x14ac:dyDescent="0.25">
      <c r="A935" s="494" t="s">
        <v>505</v>
      </c>
      <c r="B935" s="491">
        <v>908</v>
      </c>
      <c r="C935" s="495" t="s">
        <v>150</v>
      </c>
      <c r="D935" s="495" t="s">
        <v>299</v>
      </c>
      <c r="E935" s="495"/>
      <c r="F935" s="495"/>
      <c r="G935" s="493">
        <f t="shared" ref="G935:H939" si="79">G936</f>
        <v>3258</v>
      </c>
      <c r="H935" s="493">
        <f t="shared" si="79"/>
        <v>3258</v>
      </c>
      <c r="I935" s="526"/>
      <c r="J935" s="501"/>
    </row>
    <row r="936" spans="1:10" ht="15.75" x14ac:dyDescent="0.25">
      <c r="A936" s="494" t="s">
        <v>141</v>
      </c>
      <c r="B936" s="491">
        <v>908</v>
      </c>
      <c r="C936" s="495" t="s">
        <v>150</v>
      </c>
      <c r="D936" s="495" t="s">
        <v>299</v>
      </c>
      <c r="E936" s="495" t="s">
        <v>866</v>
      </c>
      <c r="F936" s="495"/>
      <c r="G936" s="493">
        <f t="shared" si="79"/>
        <v>3258</v>
      </c>
      <c r="H936" s="493">
        <f t="shared" si="79"/>
        <v>3258</v>
      </c>
      <c r="I936" s="526"/>
      <c r="J936" s="501"/>
    </row>
    <row r="937" spans="1:10" ht="31.5" x14ac:dyDescent="0.25">
      <c r="A937" s="494" t="s">
        <v>870</v>
      </c>
      <c r="B937" s="491">
        <v>908</v>
      </c>
      <c r="C937" s="495" t="s">
        <v>150</v>
      </c>
      <c r="D937" s="495" t="s">
        <v>299</v>
      </c>
      <c r="E937" s="495" t="s">
        <v>865</v>
      </c>
      <c r="F937" s="495"/>
      <c r="G937" s="493">
        <f t="shared" si="79"/>
        <v>3258</v>
      </c>
      <c r="H937" s="493">
        <f t="shared" si="79"/>
        <v>3258</v>
      </c>
      <c r="I937" s="526"/>
      <c r="J937" s="501"/>
    </row>
    <row r="938" spans="1:10" ht="18" customHeight="1" x14ac:dyDescent="0.25">
      <c r="A938" s="579" t="s">
        <v>506</v>
      </c>
      <c r="B938" s="490">
        <v>908</v>
      </c>
      <c r="C938" s="580" t="s">
        <v>150</v>
      </c>
      <c r="D938" s="580" t="s">
        <v>299</v>
      </c>
      <c r="E938" s="580" t="s">
        <v>957</v>
      </c>
      <c r="F938" s="580"/>
      <c r="G938" s="497">
        <f t="shared" si="79"/>
        <v>3258</v>
      </c>
      <c r="H938" s="497">
        <f t="shared" si="79"/>
        <v>3258</v>
      </c>
      <c r="I938" s="526"/>
      <c r="J938" s="501"/>
    </row>
    <row r="939" spans="1:10" ht="31.5" x14ac:dyDescent="0.25">
      <c r="A939" s="579" t="s">
        <v>131</v>
      </c>
      <c r="B939" s="490">
        <v>908</v>
      </c>
      <c r="C939" s="580" t="s">
        <v>150</v>
      </c>
      <c r="D939" s="580" t="s">
        <v>299</v>
      </c>
      <c r="E939" s="580" t="s">
        <v>957</v>
      </c>
      <c r="F939" s="580" t="s">
        <v>132</v>
      </c>
      <c r="G939" s="497">
        <f t="shared" si="79"/>
        <v>3258</v>
      </c>
      <c r="H939" s="497">
        <f t="shared" si="79"/>
        <v>3258</v>
      </c>
      <c r="I939" s="526"/>
      <c r="J939" s="501"/>
    </row>
    <row r="940" spans="1:10" ht="31.5" x14ac:dyDescent="0.25">
      <c r="A940" s="579" t="s">
        <v>133</v>
      </c>
      <c r="B940" s="490">
        <v>908</v>
      </c>
      <c r="C940" s="580" t="s">
        <v>150</v>
      </c>
      <c r="D940" s="580" t="s">
        <v>299</v>
      </c>
      <c r="E940" s="580" t="s">
        <v>957</v>
      </c>
      <c r="F940" s="580" t="s">
        <v>134</v>
      </c>
      <c r="G940" s="497">
        <v>3258</v>
      </c>
      <c r="H940" s="497">
        <v>3258</v>
      </c>
      <c r="I940" s="526"/>
      <c r="J940" s="501"/>
    </row>
    <row r="941" spans="1:10" ht="15.75" x14ac:dyDescent="0.25">
      <c r="A941" s="494" t="s">
        <v>508</v>
      </c>
      <c r="B941" s="491">
        <v>908</v>
      </c>
      <c r="C941" s="495" t="s">
        <v>150</v>
      </c>
      <c r="D941" s="495" t="s">
        <v>219</v>
      </c>
      <c r="E941" s="580"/>
      <c r="F941" s="495"/>
      <c r="G941" s="493">
        <f>G942</f>
        <v>3048.7</v>
      </c>
      <c r="H941" s="493">
        <f>H942</f>
        <v>3226.2</v>
      </c>
      <c r="I941" s="526"/>
      <c r="J941" s="501"/>
    </row>
    <row r="942" spans="1:10" ht="36.75" customHeight="1" x14ac:dyDescent="0.25">
      <c r="A942" s="34" t="s">
        <v>1361</v>
      </c>
      <c r="B942" s="491">
        <v>908</v>
      </c>
      <c r="C942" s="495" t="s">
        <v>150</v>
      </c>
      <c r="D942" s="495" t="s">
        <v>219</v>
      </c>
      <c r="E942" s="495" t="s">
        <v>510</v>
      </c>
      <c r="F942" s="495"/>
      <c r="G942" s="493">
        <f>G948+G943</f>
        <v>3048.7</v>
      </c>
      <c r="H942" s="493">
        <f>H948+H943</f>
        <v>3226.2</v>
      </c>
      <c r="I942" s="526"/>
      <c r="J942" s="501"/>
    </row>
    <row r="943" spans="1:10" ht="31.5" hidden="1" x14ac:dyDescent="0.25">
      <c r="A943" s="34" t="s">
        <v>999</v>
      </c>
      <c r="B943" s="491">
        <v>908</v>
      </c>
      <c r="C943" s="495" t="s">
        <v>150</v>
      </c>
      <c r="D943" s="495" t="s">
        <v>219</v>
      </c>
      <c r="E943" s="7" t="s">
        <v>958</v>
      </c>
      <c r="F943" s="495"/>
      <c r="G943" s="493">
        <f t="shared" ref="G943:H945" si="80">G944</f>
        <v>0</v>
      </c>
      <c r="H943" s="493">
        <f t="shared" si="80"/>
        <v>0</v>
      </c>
      <c r="I943" s="526"/>
      <c r="J943" s="501"/>
    </row>
    <row r="944" spans="1:10" ht="15.75" hidden="1" x14ac:dyDescent="0.25">
      <c r="A944" s="29" t="s">
        <v>1001</v>
      </c>
      <c r="B944" s="490">
        <v>908</v>
      </c>
      <c r="C944" s="580" t="s">
        <v>150</v>
      </c>
      <c r="D944" s="580" t="s">
        <v>219</v>
      </c>
      <c r="E944" s="573" t="s">
        <v>1000</v>
      </c>
      <c r="F944" s="580"/>
      <c r="G944" s="497">
        <f t="shared" si="80"/>
        <v>0</v>
      </c>
      <c r="H944" s="497">
        <f t="shared" si="80"/>
        <v>0</v>
      </c>
      <c r="I944" s="526"/>
      <c r="J944" s="501"/>
    </row>
    <row r="945" spans="1:10" ht="31.5" hidden="1" x14ac:dyDescent="0.25">
      <c r="A945" s="579" t="s">
        <v>131</v>
      </c>
      <c r="B945" s="490">
        <v>908</v>
      </c>
      <c r="C945" s="580" t="s">
        <v>150</v>
      </c>
      <c r="D945" s="580" t="s">
        <v>219</v>
      </c>
      <c r="E945" s="573" t="s">
        <v>1000</v>
      </c>
      <c r="F945" s="580" t="s">
        <v>132</v>
      </c>
      <c r="G945" s="497">
        <f t="shared" si="80"/>
        <v>0</v>
      </c>
      <c r="H945" s="497">
        <f t="shared" si="80"/>
        <v>0</v>
      </c>
      <c r="I945" s="526"/>
      <c r="J945" s="501"/>
    </row>
    <row r="946" spans="1:10" ht="31.5" hidden="1" x14ac:dyDescent="0.25">
      <c r="A946" s="579" t="s">
        <v>133</v>
      </c>
      <c r="B946" s="490">
        <v>908</v>
      </c>
      <c r="C946" s="580" t="s">
        <v>150</v>
      </c>
      <c r="D946" s="580" t="s">
        <v>219</v>
      </c>
      <c r="E946" s="573" t="s">
        <v>1000</v>
      </c>
      <c r="F946" s="580" t="s">
        <v>134</v>
      </c>
      <c r="G946" s="497">
        <v>0</v>
      </c>
      <c r="H946" s="497">
        <v>0</v>
      </c>
      <c r="I946" s="526"/>
      <c r="J946" s="501"/>
    </row>
    <row r="947" spans="1:10" ht="31.5" x14ac:dyDescent="0.25">
      <c r="A947" s="34" t="s">
        <v>1060</v>
      </c>
      <c r="B947" s="491">
        <v>908</v>
      </c>
      <c r="C947" s="495" t="s">
        <v>150</v>
      </c>
      <c r="D947" s="495" t="s">
        <v>219</v>
      </c>
      <c r="E947" s="495" t="s">
        <v>959</v>
      </c>
      <c r="F947" s="495"/>
      <c r="G947" s="493">
        <f>G948</f>
        <v>3048.7</v>
      </c>
      <c r="H947" s="493">
        <f>H948</f>
        <v>3226.2</v>
      </c>
      <c r="I947" s="526"/>
      <c r="J947" s="501"/>
    </row>
    <row r="948" spans="1:10" ht="15.75" x14ac:dyDescent="0.25">
      <c r="A948" s="29" t="s">
        <v>511</v>
      </c>
      <c r="B948" s="490">
        <v>908</v>
      </c>
      <c r="C948" s="580" t="s">
        <v>150</v>
      </c>
      <c r="D948" s="580" t="s">
        <v>219</v>
      </c>
      <c r="E948" s="573" t="s">
        <v>1002</v>
      </c>
      <c r="F948" s="580"/>
      <c r="G948" s="497">
        <f>G951+G953+G949</f>
        <v>3048.7</v>
      </c>
      <c r="H948" s="497">
        <f>H951+H953+H949</f>
        <v>3226.2</v>
      </c>
      <c r="I948" s="526"/>
      <c r="J948" s="501"/>
    </row>
    <row r="949" spans="1:10" ht="63" x14ac:dyDescent="0.25">
      <c r="A949" s="579" t="s">
        <v>127</v>
      </c>
      <c r="B949" s="490">
        <v>908</v>
      </c>
      <c r="C949" s="580" t="s">
        <v>150</v>
      </c>
      <c r="D949" s="580" t="s">
        <v>219</v>
      </c>
      <c r="E949" s="573" t="s">
        <v>1002</v>
      </c>
      <c r="F949" s="580" t="s">
        <v>128</v>
      </c>
      <c r="G949" s="497">
        <f>G950</f>
        <v>1907.4</v>
      </c>
      <c r="H949" s="497">
        <f>H950</f>
        <v>2062</v>
      </c>
      <c r="I949" s="526"/>
      <c r="J949" s="501"/>
    </row>
    <row r="950" spans="1:10" ht="15.75" x14ac:dyDescent="0.25">
      <c r="A950" s="579" t="s">
        <v>342</v>
      </c>
      <c r="B950" s="490">
        <v>908</v>
      </c>
      <c r="C950" s="580" t="s">
        <v>150</v>
      </c>
      <c r="D950" s="580" t="s">
        <v>219</v>
      </c>
      <c r="E950" s="573" t="s">
        <v>1002</v>
      </c>
      <c r="F950" s="580" t="s">
        <v>209</v>
      </c>
      <c r="G950" s="497">
        <f>1907.4</f>
        <v>1907.4</v>
      </c>
      <c r="H950" s="497">
        <f>1907.4+154.6</f>
        <v>2062</v>
      </c>
      <c r="I950" s="526"/>
      <c r="J950" s="501"/>
    </row>
    <row r="951" spans="1:10" ht="31.5" x14ac:dyDescent="0.25">
      <c r="A951" s="579" t="s">
        <v>131</v>
      </c>
      <c r="B951" s="490">
        <v>908</v>
      </c>
      <c r="C951" s="580" t="s">
        <v>150</v>
      </c>
      <c r="D951" s="580" t="s">
        <v>219</v>
      </c>
      <c r="E951" s="573" t="s">
        <v>1002</v>
      </c>
      <c r="F951" s="580" t="s">
        <v>132</v>
      </c>
      <c r="G951" s="497">
        <f>G952</f>
        <v>1141.3</v>
      </c>
      <c r="H951" s="497">
        <f>H952</f>
        <v>1164.2</v>
      </c>
      <c r="I951" s="526"/>
      <c r="J951" s="501"/>
    </row>
    <row r="952" spans="1:10" ht="31.5" x14ac:dyDescent="0.25">
      <c r="A952" s="579" t="s">
        <v>133</v>
      </c>
      <c r="B952" s="490">
        <v>908</v>
      </c>
      <c r="C952" s="580" t="s">
        <v>150</v>
      </c>
      <c r="D952" s="580" t="s">
        <v>219</v>
      </c>
      <c r="E952" s="573" t="s">
        <v>1002</v>
      </c>
      <c r="F952" s="580" t="s">
        <v>134</v>
      </c>
      <c r="G952" s="497">
        <f>957+207.2-22.9</f>
        <v>1141.3</v>
      </c>
      <c r="H952" s="497">
        <f>957+207.2</f>
        <v>1164.2</v>
      </c>
      <c r="I952" s="526"/>
      <c r="J952" s="501"/>
    </row>
    <row r="953" spans="1:10" ht="15.75" hidden="1" x14ac:dyDescent="0.25">
      <c r="A953" s="579" t="s">
        <v>135</v>
      </c>
      <c r="B953" s="490">
        <v>908</v>
      </c>
      <c r="C953" s="580" t="s">
        <v>150</v>
      </c>
      <c r="D953" s="580" t="s">
        <v>219</v>
      </c>
      <c r="E953" s="573" t="s">
        <v>1002</v>
      </c>
      <c r="F953" s="580" t="s">
        <v>145</v>
      </c>
      <c r="G953" s="497">
        <f>G954</f>
        <v>0</v>
      </c>
      <c r="H953" s="497">
        <f>H954</f>
        <v>0</v>
      </c>
      <c r="I953" s="526"/>
      <c r="J953" s="501"/>
    </row>
    <row r="954" spans="1:10" ht="15.75" hidden="1" x14ac:dyDescent="0.25">
      <c r="A954" s="579" t="s">
        <v>568</v>
      </c>
      <c r="B954" s="490">
        <v>908</v>
      </c>
      <c r="C954" s="580" t="s">
        <v>150</v>
      </c>
      <c r="D954" s="580" t="s">
        <v>219</v>
      </c>
      <c r="E954" s="573" t="s">
        <v>1002</v>
      </c>
      <c r="F954" s="580" t="s">
        <v>138</v>
      </c>
      <c r="G954" s="497">
        <v>0</v>
      </c>
      <c r="H954" s="497">
        <v>0</v>
      </c>
      <c r="I954" s="526"/>
      <c r="J954" s="501"/>
    </row>
    <row r="955" spans="1:10" ht="15.75" x14ac:dyDescent="0.25">
      <c r="A955" s="494" t="s">
        <v>390</v>
      </c>
      <c r="B955" s="491">
        <v>908</v>
      </c>
      <c r="C955" s="495" t="s">
        <v>234</v>
      </c>
      <c r="D955" s="495"/>
      <c r="E955" s="495"/>
      <c r="F955" s="495"/>
      <c r="G955" s="493">
        <f>G956+G973+G1038+G1100</f>
        <v>61688.04</v>
      </c>
      <c r="H955" s="493">
        <f>H956+H973+H1038+H1100</f>
        <v>54492.539999999994</v>
      </c>
      <c r="I955" s="526"/>
      <c r="J955" s="501"/>
    </row>
    <row r="956" spans="1:10" ht="15.75" x14ac:dyDescent="0.25">
      <c r="A956" s="494" t="s">
        <v>391</v>
      </c>
      <c r="B956" s="491">
        <v>908</v>
      </c>
      <c r="C956" s="495" t="s">
        <v>234</v>
      </c>
      <c r="D956" s="495" t="s">
        <v>118</v>
      </c>
      <c r="E956" s="495"/>
      <c r="F956" s="495"/>
      <c r="G956" s="493">
        <f>G957</f>
        <v>13255.9</v>
      </c>
      <c r="H956" s="493">
        <f>H957</f>
        <v>6060.4</v>
      </c>
      <c r="I956" s="526"/>
      <c r="J956" s="501"/>
    </row>
    <row r="957" spans="1:10" ht="15.75" x14ac:dyDescent="0.25">
      <c r="A957" s="494" t="s">
        <v>141</v>
      </c>
      <c r="B957" s="491">
        <v>908</v>
      </c>
      <c r="C957" s="495" t="s">
        <v>234</v>
      </c>
      <c r="D957" s="495" t="s">
        <v>118</v>
      </c>
      <c r="E957" s="495" t="s">
        <v>866</v>
      </c>
      <c r="F957" s="495"/>
      <c r="G957" s="493">
        <f>G958</f>
        <v>13255.9</v>
      </c>
      <c r="H957" s="493">
        <f>H958</f>
        <v>6060.4</v>
      </c>
      <c r="I957" s="526"/>
      <c r="J957" s="501"/>
    </row>
    <row r="958" spans="1:10" ht="31.5" x14ac:dyDescent="0.25">
      <c r="A958" s="494" t="s">
        <v>870</v>
      </c>
      <c r="B958" s="491">
        <v>908</v>
      </c>
      <c r="C958" s="495" t="s">
        <v>234</v>
      </c>
      <c r="D958" s="495" t="s">
        <v>118</v>
      </c>
      <c r="E958" s="495" t="s">
        <v>865</v>
      </c>
      <c r="F958" s="495"/>
      <c r="G958" s="493">
        <f>G967+G964+G959+G970</f>
        <v>13255.9</v>
      </c>
      <c r="H958" s="493">
        <f>H967+H964+H959+H970</f>
        <v>6060.4</v>
      </c>
      <c r="I958" s="526"/>
      <c r="J958" s="501"/>
    </row>
    <row r="959" spans="1:10" ht="15.75" hidden="1" x14ac:dyDescent="0.25">
      <c r="A959" s="579" t="s">
        <v>515</v>
      </c>
      <c r="B959" s="490">
        <v>908</v>
      </c>
      <c r="C959" s="580" t="s">
        <v>774</v>
      </c>
      <c r="D959" s="580" t="s">
        <v>118</v>
      </c>
      <c r="E959" s="580" t="s">
        <v>960</v>
      </c>
      <c r="F959" s="495"/>
      <c r="G959" s="497">
        <f>G962+G960</f>
        <v>0</v>
      </c>
      <c r="H959" s="497">
        <f>H962+H960</f>
        <v>0</v>
      </c>
      <c r="I959" s="526"/>
      <c r="J959" s="501"/>
    </row>
    <row r="960" spans="1:10" ht="31.5" hidden="1" x14ac:dyDescent="0.25">
      <c r="A960" s="579" t="s">
        <v>131</v>
      </c>
      <c r="B960" s="490">
        <v>908</v>
      </c>
      <c r="C960" s="580" t="s">
        <v>234</v>
      </c>
      <c r="D960" s="580" t="s">
        <v>118</v>
      </c>
      <c r="E960" s="580" t="s">
        <v>960</v>
      </c>
      <c r="F960" s="580" t="s">
        <v>132</v>
      </c>
      <c r="G960" s="497">
        <f>G961</f>
        <v>0</v>
      </c>
      <c r="H960" s="497">
        <f>H961</f>
        <v>0</v>
      </c>
      <c r="I960" s="526"/>
      <c r="J960" s="501"/>
    </row>
    <row r="961" spans="1:11" ht="31.5" hidden="1" x14ac:dyDescent="0.25">
      <c r="A961" s="579" t="s">
        <v>133</v>
      </c>
      <c r="B961" s="490">
        <v>908</v>
      </c>
      <c r="C961" s="580" t="s">
        <v>234</v>
      </c>
      <c r="D961" s="580" t="s">
        <v>118</v>
      </c>
      <c r="E961" s="580" t="s">
        <v>960</v>
      </c>
      <c r="F961" s="580" t="s">
        <v>134</v>
      </c>
      <c r="G961" s="497"/>
      <c r="H961" s="497"/>
      <c r="I961" s="526"/>
      <c r="J961" s="501"/>
    </row>
    <row r="962" spans="1:11" ht="15.75" hidden="1" x14ac:dyDescent="0.25">
      <c r="A962" s="579" t="s">
        <v>135</v>
      </c>
      <c r="B962" s="490">
        <v>908</v>
      </c>
      <c r="C962" s="580" t="s">
        <v>234</v>
      </c>
      <c r="D962" s="580" t="s">
        <v>118</v>
      </c>
      <c r="E962" s="580" t="s">
        <v>960</v>
      </c>
      <c r="F962" s="580" t="s">
        <v>145</v>
      </c>
      <c r="G962" s="497">
        <f>G963</f>
        <v>0</v>
      </c>
      <c r="H962" s="497">
        <f>H963</f>
        <v>0</v>
      </c>
      <c r="I962" s="526"/>
      <c r="J962" s="501"/>
    </row>
    <row r="963" spans="1:11" ht="48.75" hidden="1" customHeight="1" x14ac:dyDescent="0.25">
      <c r="A963" s="579" t="s">
        <v>184</v>
      </c>
      <c r="B963" s="490">
        <v>908</v>
      </c>
      <c r="C963" s="580" t="s">
        <v>234</v>
      </c>
      <c r="D963" s="580" t="s">
        <v>118</v>
      </c>
      <c r="E963" s="580" t="s">
        <v>960</v>
      </c>
      <c r="F963" s="580" t="s">
        <v>160</v>
      </c>
      <c r="G963" s="497"/>
      <c r="H963" s="497"/>
      <c r="I963" s="526"/>
      <c r="J963" s="501"/>
    </row>
    <row r="964" spans="1:11" ht="31.5" x14ac:dyDescent="0.25">
      <c r="A964" s="29" t="s">
        <v>398</v>
      </c>
      <c r="B964" s="490">
        <v>908</v>
      </c>
      <c r="C964" s="580" t="s">
        <v>234</v>
      </c>
      <c r="D964" s="580" t="s">
        <v>118</v>
      </c>
      <c r="E964" s="580" t="s">
        <v>961</v>
      </c>
      <c r="F964" s="495"/>
      <c r="G964" s="497">
        <f>G965</f>
        <v>4920.3999999999996</v>
      </c>
      <c r="H964" s="497">
        <f>H965</f>
        <v>4920.3999999999996</v>
      </c>
      <c r="I964" s="526"/>
      <c r="J964" s="501"/>
    </row>
    <row r="965" spans="1:11" ht="31.5" x14ac:dyDescent="0.25">
      <c r="A965" s="579" t="s">
        <v>131</v>
      </c>
      <c r="B965" s="490">
        <v>908</v>
      </c>
      <c r="C965" s="580" t="s">
        <v>234</v>
      </c>
      <c r="D965" s="580" t="s">
        <v>118</v>
      </c>
      <c r="E965" s="580" t="s">
        <v>961</v>
      </c>
      <c r="F965" s="580" t="s">
        <v>132</v>
      </c>
      <c r="G965" s="497">
        <f>G966</f>
        <v>4920.3999999999996</v>
      </c>
      <c r="H965" s="497">
        <f>H966</f>
        <v>4920.3999999999996</v>
      </c>
      <c r="I965" s="526"/>
      <c r="J965" s="501"/>
    </row>
    <row r="966" spans="1:11" ht="33" customHeight="1" x14ac:dyDescent="0.25">
      <c r="A966" s="579" t="s">
        <v>133</v>
      </c>
      <c r="B966" s="490">
        <v>908</v>
      </c>
      <c r="C966" s="580" t="s">
        <v>234</v>
      </c>
      <c r="D966" s="580" t="s">
        <v>118</v>
      </c>
      <c r="E966" s="580" t="s">
        <v>961</v>
      </c>
      <c r="F966" s="580" t="s">
        <v>134</v>
      </c>
      <c r="G966" s="27">
        <v>4920.3999999999996</v>
      </c>
      <c r="H966" s="27">
        <v>4920.3999999999996</v>
      </c>
      <c r="I966" s="526"/>
      <c r="J966" s="501"/>
    </row>
    <row r="967" spans="1:11" ht="31.5" x14ac:dyDescent="0.25">
      <c r="A967" s="29" t="s">
        <v>932</v>
      </c>
      <c r="B967" s="490">
        <v>908</v>
      </c>
      <c r="C967" s="580" t="s">
        <v>234</v>
      </c>
      <c r="D967" s="580" t="s">
        <v>118</v>
      </c>
      <c r="E967" s="580" t="s">
        <v>962</v>
      </c>
      <c r="F967" s="495"/>
      <c r="G967" s="497">
        <f>G968</f>
        <v>1140</v>
      </c>
      <c r="H967" s="497">
        <f>H968</f>
        <v>1140</v>
      </c>
      <c r="I967" s="526"/>
      <c r="J967" s="501"/>
    </row>
    <row r="968" spans="1:11" ht="31.5" x14ac:dyDescent="0.25">
      <c r="A968" s="579" t="s">
        <v>131</v>
      </c>
      <c r="B968" s="490">
        <v>908</v>
      </c>
      <c r="C968" s="580" t="s">
        <v>234</v>
      </c>
      <c r="D968" s="580" t="s">
        <v>118</v>
      </c>
      <c r="E968" s="580" t="s">
        <v>962</v>
      </c>
      <c r="F968" s="580" t="s">
        <v>132</v>
      </c>
      <c r="G968" s="497">
        <f>G969</f>
        <v>1140</v>
      </c>
      <c r="H968" s="497">
        <f>H969</f>
        <v>1140</v>
      </c>
      <c r="I968" s="526"/>
      <c r="J968" s="501"/>
    </row>
    <row r="969" spans="1:11" ht="33" customHeight="1" x14ac:dyDescent="0.25">
      <c r="A969" s="579" t="s">
        <v>133</v>
      </c>
      <c r="B969" s="490">
        <v>908</v>
      </c>
      <c r="C969" s="580" t="s">
        <v>234</v>
      </c>
      <c r="D969" s="580" t="s">
        <v>118</v>
      </c>
      <c r="E969" s="580" t="s">
        <v>962</v>
      </c>
      <c r="F969" s="580" t="s">
        <v>134</v>
      </c>
      <c r="G969" s="497">
        <v>1140</v>
      </c>
      <c r="H969" s="497">
        <v>1140</v>
      </c>
      <c r="I969" s="526"/>
      <c r="J969" s="501"/>
      <c r="K969" s="537"/>
    </row>
    <row r="970" spans="1:11" ht="33" customHeight="1" x14ac:dyDescent="0.25">
      <c r="A970" s="579" t="s">
        <v>1612</v>
      </c>
      <c r="B970" s="490">
        <v>908</v>
      </c>
      <c r="C970" s="580" t="s">
        <v>234</v>
      </c>
      <c r="D970" s="580" t="s">
        <v>118</v>
      </c>
      <c r="E970" s="580" t="s">
        <v>1613</v>
      </c>
      <c r="F970" s="580"/>
      <c r="G970" s="497">
        <f>G971</f>
        <v>7195.5</v>
      </c>
      <c r="H970" s="497">
        <f>H971</f>
        <v>0</v>
      </c>
      <c r="I970" s="526"/>
      <c r="J970" s="501"/>
    </row>
    <row r="971" spans="1:11" ht="33" customHeight="1" x14ac:dyDescent="0.25">
      <c r="A971" s="579" t="s">
        <v>131</v>
      </c>
      <c r="B971" s="490">
        <v>908</v>
      </c>
      <c r="C971" s="580" t="s">
        <v>234</v>
      </c>
      <c r="D971" s="580" t="s">
        <v>118</v>
      </c>
      <c r="E971" s="580" t="s">
        <v>1613</v>
      </c>
      <c r="F971" s="580" t="s">
        <v>132</v>
      </c>
      <c r="G971" s="497">
        <f>G972</f>
        <v>7195.5</v>
      </c>
      <c r="H971" s="497">
        <f>H972</f>
        <v>0</v>
      </c>
      <c r="I971" s="526"/>
      <c r="J971" s="501"/>
    </row>
    <row r="972" spans="1:11" ht="33" customHeight="1" x14ac:dyDescent="0.25">
      <c r="A972" s="579" t="s">
        <v>133</v>
      </c>
      <c r="B972" s="490">
        <v>908</v>
      </c>
      <c r="C972" s="580" t="s">
        <v>234</v>
      </c>
      <c r="D972" s="580" t="s">
        <v>118</v>
      </c>
      <c r="E972" s="580" t="s">
        <v>1613</v>
      </c>
      <c r="F972" s="580" t="s">
        <v>134</v>
      </c>
      <c r="G972" s="497">
        <f>6900.5+295</f>
        <v>7195.5</v>
      </c>
      <c r="H972" s="497">
        <v>0</v>
      </c>
      <c r="I972" s="526"/>
      <c r="J972" s="526"/>
    </row>
    <row r="973" spans="1:11" ht="15.75" x14ac:dyDescent="0.25">
      <c r="A973" s="494" t="s">
        <v>517</v>
      </c>
      <c r="B973" s="491">
        <v>908</v>
      </c>
      <c r="C973" s="495" t="s">
        <v>234</v>
      </c>
      <c r="D973" s="495" t="s">
        <v>213</v>
      </c>
      <c r="E973" s="495"/>
      <c r="F973" s="495"/>
      <c r="G973" s="493">
        <f>G974+G1004+G1033</f>
        <v>8419.9199999999983</v>
      </c>
      <c r="H973" s="493">
        <f>H974+H1004+H1033</f>
        <v>8419.9199999999983</v>
      </c>
      <c r="I973" s="526"/>
      <c r="J973" s="501"/>
    </row>
    <row r="974" spans="1:11" ht="15.75" x14ac:dyDescent="0.25">
      <c r="A974" s="494" t="s">
        <v>141</v>
      </c>
      <c r="B974" s="491">
        <v>908</v>
      </c>
      <c r="C974" s="495" t="s">
        <v>234</v>
      </c>
      <c r="D974" s="495" t="s">
        <v>213</v>
      </c>
      <c r="E974" s="495" t="s">
        <v>866</v>
      </c>
      <c r="F974" s="495"/>
      <c r="G974" s="493">
        <f>G975+G987</f>
        <v>7515.9199999999992</v>
      </c>
      <c r="H974" s="493">
        <f>H975+H987</f>
        <v>7515.9199999999992</v>
      </c>
      <c r="I974" s="526"/>
      <c r="J974" s="501"/>
    </row>
    <row r="975" spans="1:11" ht="31.5" x14ac:dyDescent="0.25">
      <c r="A975" s="494" t="s">
        <v>870</v>
      </c>
      <c r="B975" s="491">
        <v>908</v>
      </c>
      <c r="C975" s="495" t="s">
        <v>234</v>
      </c>
      <c r="D975" s="495" t="s">
        <v>213</v>
      </c>
      <c r="E975" s="495" t="s">
        <v>865</v>
      </c>
      <c r="F975" s="495"/>
      <c r="G975" s="493">
        <f>G976+G982</f>
        <v>7515.9199999999992</v>
      </c>
      <c r="H975" s="493">
        <f>H976+H982</f>
        <v>7515.9199999999992</v>
      </c>
      <c r="I975" s="526"/>
      <c r="J975" s="501"/>
    </row>
    <row r="976" spans="1:11" ht="15.75" hidden="1" x14ac:dyDescent="0.25">
      <c r="A976" s="35" t="s">
        <v>537</v>
      </c>
      <c r="B976" s="490">
        <v>908</v>
      </c>
      <c r="C976" s="580" t="s">
        <v>234</v>
      </c>
      <c r="D976" s="580" t="s">
        <v>213</v>
      </c>
      <c r="E976" s="580" t="s">
        <v>979</v>
      </c>
      <c r="F976" s="580"/>
      <c r="G976" s="497">
        <f>G977+G979</f>
        <v>0</v>
      </c>
      <c r="H976" s="497">
        <f>H977+H979</f>
        <v>0</v>
      </c>
      <c r="I976" s="526"/>
      <c r="J976" s="501"/>
    </row>
    <row r="977" spans="1:14" ht="31.5" hidden="1" x14ac:dyDescent="0.25">
      <c r="A977" s="579" t="s">
        <v>131</v>
      </c>
      <c r="B977" s="490">
        <v>908</v>
      </c>
      <c r="C977" s="580" t="s">
        <v>234</v>
      </c>
      <c r="D977" s="580" t="s">
        <v>213</v>
      </c>
      <c r="E977" s="580" t="s">
        <v>979</v>
      </c>
      <c r="F977" s="580" t="s">
        <v>132</v>
      </c>
      <c r="G977" s="497">
        <f>G978</f>
        <v>0</v>
      </c>
      <c r="H977" s="497">
        <f>H978</f>
        <v>0</v>
      </c>
      <c r="I977" s="526"/>
      <c r="J977" s="501"/>
    </row>
    <row r="978" spans="1:14" ht="31.5" hidden="1" x14ac:dyDescent="0.25">
      <c r="A978" s="579" t="s">
        <v>133</v>
      </c>
      <c r="B978" s="490">
        <v>908</v>
      </c>
      <c r="C978" s="580" t="s">
        <v>234</v>
      </c>
      <c r="D978" s="580" t="s">
        <v>213</v>
      </c>
      <c r="E978" s="580" t="s">
        <v>979</v>
      </c>
      <c r="F978" s="580" t="s">
        <v>134</v>
      </c>
      <c r="G978" s="210"/>
      <c r="H978" s="210"/>
      <c r="I978" s="526"/>
      <c r="J978" s="534"/>
    </row>
    <row r="979" spans="1:14" ht="15.75" hidden="1" x14ac:dyDescent="0.25">
      <c r="A979" s="579" t="s">
        <v>135</v>
      </c>
      <c r="B979" s="490">
        <v>908</v>
      </c>
      <c r="C979" s="580" t="s">
        <v>234</v>
      </c>
      <c r="D979" s="580" t="s">
        <v>213</v>
      </c>
      <c r="E979" s="580" t="s">
        <v>979</v>
      </c>
      <c r="F979" s="580" t="s">
        <v>145</v>
      </c>
      <c r="G979" s="210">
        <f>G980+G981</f>
        <v>0</v>
      </c>
      <c r="H979" s="210">
        <f>H980+H981</f>
        <v>0</v>
      </c>
      <c r="I979" s="526"/>
      <c r="J979" s="501"/>
    </row>
    <row r="980" spans="1:14" ht="47.25" hidden="1" x14ac:dyDescent="0.25">
      <c r="A980" s="579" t="s">
        <v>184</v>
      </c>
      <c r="B980" s="490">
        <v>908</v>
      </c>
      <c r="C980" s="580" t="s">
        <v>234</v>
      </c>
      <c r="D980" s="580" t="s">
        <v>213</v>
      </c>
      <c r="E980" s="580" t="s">
        <v>979</v>
      </c>
      <c r="F980" s="580" t="s">
        <v>160</v>
      </c>
      <c r="G980" s="210">
        <v>0</v>
      </c>
      <c r="H980" s="210">
        <v>0</v>
      </c>
      <c r="I980" s="526"/>
      <c r="J980" s="501"/>
    </row>
    <row r="981" spans="1:14" ht="15.75" hidden="1" x14ac:dyDescent="0.25">
      <c r="A981" s="579" t="s">
        <v>146</v>
      </c>
      <c r="B981" s="490">
        <v>908</v>
      </c>
      <c r="C981" s="580" t="s">
        <v>234</v>
      </c>
      <c r="D981" s="580" t="s">
        <v>213</v>
      </c>
      <c r="E981" s="580" t="s">
        <v>979</v>
      </c>
      <c r="F981" s="580" t="s">
        <v>147</v>
      </c>
      <c r="G981" s="210">
        <v>0</v>
      </c>
      <c r="H981" s="210">
        <v>0</v>
      </c>
      <c r="I981" s="526"/>
      <c r="J981" s="501"/>
    </row>
    <row r="982" spans="1:14" ht="31.5" x14ac:dyDescent="0.25">
      <c r="A982" s="29" t="s">
        <v>932</v>
      </c>
      <c r="B982" s="490">
        <v>908</v>
      </c>
      <c r="C982" s="580" t="s">
        <v>234</v>
      </c>
      <c r="D982" s="580" t="s">
        <v>213</v>
      </c>
      <c r="E982" s="580" t="s">
        <v>962</v>
      </c>
      <c r="F982" s="580"/>
      <c r="G982" s="497">
        <f>G985+G983</f>
        <v>7515.9199999999992</v>
      </c>
      <c r="H982" s="497">
        <f>H985+H983</f>
        <v>7515.9199999999992</v>
      </c>
      <c r="I982" s="526"/>
      <c r="J982" s="501"/>
    </row>
    <row r="983" spans="1:14" ht="31.5" x14ac:dyDescent="0.25">
      <c r="A983" s="579" t="s">
        <v>131</v>
      </c>
      <c r="B983" s="490">
        <v>908</v>
      </c>
      <c r="C983" s="580" t="s">
        <v>234</v>
      </c>
      <c r="D983" s="580" t="s">
        <v>213</v>
      </c>
      <c r="E983" s="580" t="s">
        <v>962</v>
      </c>
      <c r="F983" s="580" t="s">
        <v>132</v>
      </c>
      <c r="G983" s="497">
        <f>G984</f>
        <v>7515.9199999999992</v>
      </c>
      <c r="H983" s="497">
        <f>H984</f>
        <v>7515.9199999999992</v>
      </c>
      <c r="I983" s="526"/>
      <c r="J983" s="501"/>
    </row>
    <row r="984" spans="1:14" ht="31.5" x14ac:dyDescent="0.25">
      <c r="A984" s="579" t="s">
        <v>133</v>
      </c>
      <c r="B984" s="490">
        <v>908</v>
      </c>
      <c r="C984" s="580" t="s">
        <v>234</v>
      </c>
      <c r="D984" s="580" t="s">
        <v>213</v>
      </c>
      <c r="E984" s="580" t="s">
        <v>962</v>
      </c>
      <c r="F984" s="580" t="s">
        <v>134</v>
      </c>
      <c r="G984" s="497">
        <f>6774.62+2692.6-1951.3</f>
        <v>7515.9199999999992</v>
      </c>
      <c r="H984" s="497">
        <f>6774.62+2692.6-1951.3</f>
        <v>7515.9199999999992</v>
      </c>
      <c r="I984" s="526"/>
      <c r="J984" s="501"/>
    </row>
    <row r="985" spans="1:14" ht="15.75" x14ac:dyDescent="0.25">
      <c r="A985" s="579" t="s">
        <v>135</v>
      </c>
      <c r="B985" s="490">
        <v>908</v>
      </c>
      <c r="C985" s="580" t="s">
        <v>234</v>
      </c>
      <c r="D985" s="580" t="s">
        <v>213</v>
      </c>
      <c r="E985" s="580" t="s">
        <v>962</v>
      </c>
      <c r="F985" s="580" t="s">
        <v>145</v>
      </c>
      <c r="G985" s="497">
        <f>G986</f>
        <v>0</v>
      </c>
      <c r="H985" s="497">
        <f>H986</f>
        <v>0</v>
      </c>
      <c r="I985" s="526"/>
      <c r="J985" s="501"/>
    </row>
    <row r="986" spans="1:14" ht="15.75" x14ac:dyDescent="0.25">
      <c r="A986" s="579" t="s">
        <v>146</v>
      </c>
      <c r="B986" s="490">
        <v>908</v>
      </c>
      <c r="C986" s="580" t="s">
        <v>234</v>
      </c>
      <c r="D986" s="580" t="s">
        <v>213</v>
      </c>
      <c r="E986" s="580" t="s">
        <v>962</v>
      </c>
      <c r="F986" s="580" t="s">
        <v>147</v>
      </c>
      <c r="G986" s="497">
        <v>0</v>
      </c>
      <c r="H986" s="497">
        <v>0</v>
      </c>
      <c r="I986" s="526"/>
      <c r="J986" s="501"/>
    </row>
    <row r="987" spans="1:14" ht="48.75" hidden="1" customHeight="1" x14ac:dyDescent="0.25">
      <c r="A987" s="494" t="s">
        <v>1013</v>
      </c>
      <c r="B987" s="491">
        <v>908</v>
      </c>
      <c r="C987" s="495" t="s">
        <v>234</v>
      </c>
      <c r="D987" s="495" t="s">
        <v>213</v>
      </c>
      <c r="E987" s="495" t="s">
        <v>980</v>
      </c>
      <c r="F987" s="495"/>
      <c r="G987" s="493">
        <f>G988+G996+G993+G1001</f>
        <v>0</v>
      </c>
      <c r="H987" s="493">
        <f>H988+H996+H993+H1001</f>
        <v>0</v>
      </c>
      <c r="I987" s="526"/>
      <c r="J987" s="501"/>
    </row>
    <row r="988" spans="1:14" ht="35.450000000000003" hidden="1" customHeight="1" x14ac:dyDescent="0.25">
      <c r="A988" s="579" t="s">
        <v>827</v>
      </c>
      <c r="B988" s="490">
        <v>908</v>
      </c>
      <c r="C988" s="580" t="s">
        <v>234</v>
      </c>
      <c r="D988" s="580" t="s">
        <v>213</v>
      </c>
      <c r="E988" s="580" t="s">
        <v>981</v>
      </c>
      <c r="F988" s="580"/>
      <c r="G988" s="497">
        <f>G989+G991</f>
        <v>0</v>
      </c>
      <c r="H988" s="497">
        <f>H989+H991</f>
        <v>0</v>
      </c>
      <c r="I988" s="526"/>
      <c r="J988" s="501"/>
      <c r="K988" s="501"/>
      <c r="L988" s="501"/>
      <c r="M988" s="501"/>
      <c r="N988" s="117"/>
    </row>
    <row r="989" spans="1:14" ht="34.5" hidden="1" customHeight="1" x14ac:dyDescent="0.25">
      <c r="A989" s="579" t="s">
        <v>131</v>
      </c>
      <c r="B989" s="490">
        <v>908</v>
      </c>
      <c r="C989" s="580" t="s">
        <v>234</v>
      </c>
      <c r="D989" s="580" t="s">
        <v>213</v>
      </c>
      <c r="E989" s="580" t="s">
        <v>981</v>
      </c>
      <c r="F989" s="580" t="s">
        <v>132</v>
      </c>
      <c r="G989" s="497">
        <f>G990</f>
        <v>0</v>
      </c>
      <c r="H989" s="497">
        <f>H990</f>
        <v>0</v>
      </c>
      <c r="I989" s="526"/>
      <c r="J989" s="501"/>
      <c r="K989" s="501"/>
      <c r="L989" s="501"/>
      <c r="M989" s="501"/>
      <c r="N989" s="117"/>
    </row>
    <row r="990" spans="1:14" ht="33" hidden="1" customHeight="1" x14ac:dyDescent="0.25">
      <c r="A990" s="579" t="s">
        <v>133</v>
      </c>
      <c r="B990" s="490">
        <v>908</v>
      </c>
      <c r="C990" s="580" t="s">
        <v>234</v>
      </c>
      <c r="D990" s="580" t="s">
        <v>213</v>
      </c>
      <c r="E990" s="580" t="s">
        <v>981</v>
      </c>
      <c r="F990" s="580" t="s">
        <v>134</v>
      </c>
      <c r="G990" s="497"/>
      <c r="H990" s="497"/>
      <c r="I990" s="526"/>
      <c r="J990" s="501"/>
      <c r="K990" s="501"/>
      <c r="L990" s="501"/>
      <c r="M990" s="501"/>
      <c r="N990" s="117"/>
    </row>
    <row r="991" spans="1:14" ht="20.25" hidden="1" customHeight="1" x14ac:dyDescent="0.25">
      <c r="A991" s="579" t="s">
        <v>135</v>
      </c>
      <c r="B991" s="490">
        <v>908</v>
      </c>
      <c r="C991" s="580" t="s">
        <v>234</v>
      </c>
      <c r="D991" s="580" t="s">
        <v>213</v>
      </c>
      <c r="E991" s="580" t="s">
        <v>981</v>
      </c>
      <c r="F991" s="580" t="s">
        <v>837</v>
      </c>
      <c r="G991" s="497">
        <f>G992</f>
        <v>0</v>
      </c>
      <c r="H991" s="497">
        <f>H992</f>
        <v>0</v>
      </c>
      <c r="I991" s="526"/>
      <c r="J991" s="117"/>
      <c r="K991" s="501"/>
      <c r="L991" s="501"/>
      <c r="M991" s="501"/>
      <c r="N991" s="501"/>
    </row>
    <row r="992" spans="1:14" ht="20.25" hidden="1" customHeight="1" x14ac:dyDescent="0.25">
      <c r="A992" s="579" t="s">
        <v>568</v>
      </c>
      <c r="B992" s="490">
        <v>908</v>
      </c>
      <c r="C992" s="580" t="s">
        <v>234</v>
      </c>
      <c r="D992" s="580" t="s">
        <v>213</v>
      </c>
      <c r="E992" s="580" t="s">
        <v>981</v>
      </c>
      <c r="F992" s="580" t="s">
        <v>1067</v>
      </c>
      <c r="G992" s="497">
        <v>0</v>
      </c>
      <c r="H992" s="497">
        <v>0</v>
      </c>
      <c r="I992" s="526"/>
      <c r="J992" s="117"/>
      <c r="K992" s="501"/>
      <c r="L992" s="501"/>
      <c r="M992" s="501"/>
      <c r="N992" s="501"/>
    </row>
    <row r="993" spans="1:14" ht="47.25" hidden="1" customHeight="1" x14ac:dyDescent="0.25">
      <c r="A993" s="579" t="s">
        <v>793</v>
      </c>
      <c r="B993" s="490">
        <v>908</v>
      </c>
      <c r="C993" s="580" t="s">
        <v>234</v>
      </c>
      <c r="D993" s="580" t="s">
        <v>213</v>
      </c>
      <c r="E993" s="580" t="s">
        <v>982</v>
      </c>
      <c r="F993" s="580"/>
      <c r="G993" s="497">
        <f>G994</f>
        <v>0</v>
      </c>
      <c r="H993" s="497">
        <f>H994</f>
        <v>0</v>
      </c>
      <c r="I993" s="526"/>
      <c r="J993" s="117"/>
      <c r="K993" s="501"/>
      <c r="L993" s="501"/>
      <c r="M993" s="501"/>
      <c r="N993" s="501"/>
    </row>
    <row r="994" spans="1:14" ht="33.75" hidden="1" customHeight="1" x14ac:dyDescent="0.25">
      <c r="A994" s="579" t="s">
        <v>131</v>
      </c>
      <c r="B994" s="490">
        <v>908</v>
      </c>
      <c r="C994" s="580" t="s">
        <v>234</v>
      </c>
      <c r="D994" s="580" t="s">
        <v>213</v>
      </c>
      <c r="E994" s="580" t="s">
        <v>982</v>
      </c>
      <c r="F994" s="580" t="s">
        <v>132</v>
      </c>
      <c r="G994" s="497">
        <f>G995</f>
        <v>0</v>
      </c>
      <c r="H994" s="497">
        <f>H995</f>
        <v>0</v>
      </c>
      <c r="I994" s="526"/>
      <c r="J994" s="117"/>
      <c r="K994" s="501"/>
      <c r="L994" s="501"/>
      <c r="M994" s="501"/>
      <c r="N994" s="501"/>
    </row>
    <row r="995" spans="1:14" ht="32.25" hidden="1" customHeight="1" x14ac:dyDescent="0.25">
      <c r="A995" s="579" t="s">
        <v>133</v>
      </c>
      <c r="B995" s="490">
        <v>908</v>
      </c>
      <c r="C995" s="580" t="s">
        <v>234</v>
      </c>
      <c r="D995" s="580" t="s">
        <v>213</v>
      </c>
      <c r="E995" s="580" t="s">
        <v>982</v>
      </c>
      <c r="F995" s="580" t="s">
        <v>134</v>
      </c>
      <c r="G995" s="497">
        <v>0</v>
      </c>
      <c r="H995" s="497">
        <v>0</v>
      </c>
      <c r="I995" s="526"/>
      <c r="J995" s="117"/>
      <c r="K995" s="501"/>
      <c r="L995" s="501"/>
      <c r="M995" s="501"/>
      <c r="N995" s="501"/>
    </row>
    <row r="996" spans="1:14" ht="47.25" hidden="1" customHeight="1" x14ac:dyDescent="0.25">
      <c r="A996" s="97" t="s">
        <v>833</v>
      </c>
      <c r="B996" s="490">
        <v>908</v>
      </c>
      <c r="C996" s="580" t="s">
        <v>234</v>
      </c>
      <c r="D996" s="580" t="s">
        <v>213</v>
      </c>
      <c r="E996" s="580" t="s">
        <v>983</v>
      </c>
      <c r="F996" s="580"/>
      <c r="G996" s="497">
        <f>G997+G999</f>
        <v>0</v>
      </c>
      <c r="H996" s="497">
        <f>H997+H999</f>
        <v>0</v>
      </c>
      <c r="I996" s="526"/>
      <c r="J996" s="117"/>
      <c r="K996" s="501"/>
      <c r="L996" s="501"/>
      <c r="M996" s="501"/>
      <c r="N996" s="501"/>
    </row>
    <row r="997" spans="1:14" ht="34.5" hidden="1" customHeight="1" x14ac:dyDescent="0.25">
      <c r="A997" s="579" t="s">
        <v>838</v>
      </c>
      <c r="B997" s="490">
        <v>908</v>
      </c>
      <c r="C997" s="580" t="s">
        <v>234</v>
      </c>
      <c r="D997" s="580" t="s">
        <v>213</v>
      </c>
      <c r="E997" s="580" t="s">
        <v>983</v>
      </c>
      <c r="F997" s="580" t="s">
        <v>837</v>
      </c>
      <c r="G997" s="497">
        <f>G998</f>
        <v>0</v>
      </c>
      <c r="H997" s="497">
        <f>H998</f>
        <v>0</v>
      </c>
      <c r="I997" s="526"/>
      <c r="J997" s="117"/>
      <c r="K997" s="501"/>
      <c r="L997" s="501"/>
      <c r="M997" s="501"/>
      <c r="N997" s="501"/>
    </row>
    <row r="998" spans="1:14" ht="47.25" hidden="1" customHeight="1" x14ac:dyDescent="0.25">
      <c r="A998" s="579" t="s">
        <v>1048</v>
      </c>
      <c r="B998" s="490">
        <v>908</v>
      </c>
      <c r="C998" s="580" t="s">
        <v>234</v>
      </c>
      <c r="D998" s="580" t="s">
        <v>213</v>
      </c>
      <c r="E998" s="580" t="s">
        <v>983</v>
      </c>
      <c r="F998" s="580" t="s">
        <v>1067</v>
      </c>
      <c r="G998" s="497">
        <v>0</v>
      </c>
      <c r="H998" s="497">
        <v>0</v>
      </c>
      <c r="I998" s="526"/>
      <c r="J998" s="117"/>
      <c r="K998" s="501"/>
      <c r="L998" s="501"/>
      <c r="M998" s="501"/>
      <c r="N998" s="501"/>
    </row>
    <row r="999" spans="1:14" ht="17.45" hidden="1" customHeight="1" x14ac:dyDescent="0.25">
      <c r="A999" s="579" t="s">
        <v>135</v>
      </c>
      <c r="B999" s="490">
        <v>908</v>
      </c>
      <c r="C999" s="580" t="s">
        <v>234</v>
      </c>
      <c r="D999" s="580" t="s">
        <v>213</v>
      </c>
      <c r="E999" s="580" t="s">
        <v>983</v>
      </c>
      <c r="F999" s="580" t="s">
        <v>145</v>
      </c>
      <c r="G999" s="497">
        <f>G1000</f>
        <v>0</v>
      </c>
      <c r="H999" s="497">
        <f>H1000</f>
        <v>0</v>
      </c>
      <c r="I999" s="526"/>
      <c r="J999" s="117"/>
      <c r="K999" s="501"/>
      <c r="L999" s="501"/>
      <c r="M999" s="501"/>
      <c r="N999" s="501"/>
    </row>
    <row r="1000" spans="1:14" ht="18.75" hidden="1" customHeight="1" x14ac:dyDescent="0.25">
      <c r="A1000" s="579" t="s">
        <v>704</v>
      </c>
      <c r="B1000" s="490">
        <v>908</v>
      </c>
      <c r="C1000" s="580" t="s">
        <v>234</v>
      </c>
      <c r="D1000" s="580" t="s">
        <v>213</v>
      </c>
      <c r="E1000" s="580" t="s">
        <v>983</v>
      </c>
      <c r="F1000" s="580" t="s">
        <v>138</v>
      </c>
      <c r="G1000" s="497">
        <v>0</v>
      </c>
      <c r="H1000" s="497">
        <v>0</v>
      </c>
      <c r="I1000" s="526"/>
      <c r="J1000" s="117"/>
      <c r="K1000" s="501"/>
      <c r="L1000" s="501"/>
      <c r="M1000" s="501"/>
      <c r="N1000" s="501"/>
    </row>
    <row r="1001" spans="1:14" ht="38.25" hidden="1" customHeight="1" x14ac:dyDescent="0.25">
      <c r="A1001" s="579" t="s">
        <v>1068</v>
      </c>
      <c r="B1001" s="490">
        <v>908</v>
      </c>
      <c r="C1001" s="580" t="s">
        <v>234</v>
      </c>
      <c r="D1001" s="580" t="s">
        <v>213</v>
      </c>
      <c r="E1001" s="580" t="s">
        <v>1069</v>
      </c>
      <c r="F1001" s="580"/>
      <c r="G1001" s="497">
        <f>G1002</f>
        <v>0</v>
      </c>
      <c r="H1001" s="497">
        <f>H1002</f>
        <v>0</v>
      </c>
      <c r="I1001" s="526"/>
      <c r="J1001" s="117"/>
      <c r="K1001" s="501"/>
      <c r="L1001" s="501"/>
      <c r="M1001" s="501"/>
      <c r="N1001" s="501"/>
    </row>
    <row r="1002" spans="1:14" ht="32.25" hidden="1" customHeight="1" x14ac:dyDescent="0.25">
      <c r="A1002" s="579" t="s">
        <v>131</v>
      </c>
      <c r="B1002" s="490">
        <v>908</v>
      </c>
      <c r="C1002" s="580" t="s">
        <v>234</v>
      </c>
      <c r="D1002" s="580" t="s">
        <v>213</v>
      </c>
      <c r="E1002" s="580" t="s">
        <v>1069</v>
      </c>
      <c r="F1002" s="580" t="s">
        <v>132</v>
      </c>
      <c r="G1002" s="497">
        <f>G1003</f>
        <v>0</v>
      </c>
      <c r="H1002" s="497">
        <f>H1003</f>
        <v>0</v>
      </c>
      <c r="I1002" s="526"/>
      <c r="J1002" s="117"/>
      <c r="K1002" s="501"/>
      <c r="L1002" s="501"/>
      <c r="M1002" s="501"/>
      <c r="N1002" s="501"/>
    </row>
    <row r="1003" spans="1:14" ht="35.450000000000003" hidden="1" customHeight="1" x14ac:dyDescent="0.25">
      <c r="A1003" s="579" t="s">
        <v>133</v>
      </c>
      <c r="B1003" s="490">
        <v>908</v>
      </c>
      <c r="C1003" s="580" t="s">
        <v>234</v>
      </c>
      <c r="D1003" s="580" t="s">
        <v>213</v>
      </c>
      <c r="E1003" s="580" t="s">
        <v>1069</v>
      </c>
      <c r="F1003" s="580" t="s">
        <v>134</v>
      </c>
      <c r="G1003" s="497">
        <v>0</v>
      </c>
      <c r="H1003" s="497">
        <v>0</v>
      </c>
      <c r="I1003" s="526"/>
      <c r="J1003" s="117"/>
      <c r="K1003" s="501"/>
      <c r="L1003" s="501"/>
      <c r="M1003" s="501"/>
      <c r="N1003" s="501"/>
    </row>
    <row r="1004" spans="1:14" ht="47.25" customHeight="1" x14ac:dyDescent="0.25">
      <c r="A1004" s="494" t="s">
        <v>1526</v>
      </c>
      <c r="B1004" s="491">
        <v>908</v>
      </c>
      <c r="C1004" s="495" t="s">
        <v>234</v>
      </c>
      <c r="D1004" s="495" t="s">
        <v>213</v>
      </c>
      <c r="E1004" s="495" t="s">
        <v>518</v>
      </c>
      <c r="F1004" s="495"/>
      <c r="G1004" s="493">
        <f>G1005+G1009+G1013+G1017+G1029+G1025</f>
        <v>700</v>
      </c>
      <c r="H1004" s="493">
        <f>H1005+H1009+H1013+H1017+H1029+H1025</f>
        <v>700</v>
      </c>
      <c r="I1004" s="526"/>
      <c r="J1004" s="117"/>
      <c r="K1004" s="501"/>
      <c r="L1004" s="501"/>
      <c r="M1004" s="501"/>
      <c r="N1004" s="117"/>
    </row>
    <row r="1005" spans="1:14" ht="30.75" customHeight="1" x14ac:dyDescent="0.25">
      <c r="A1005" s="494" t="s">
        <v>963</v>
      </c>
      <c r="B1005" s="491">
        <v>908</v>
      </c>
      <c r="C1005" s="495" t="s">
        <v>234</v>
      </c>
      <c r="D1005" s="495" t="s">
        <v>213</v>
      </c>
      <c r="E1005" s="495" t="s">
        <v>965</v>
      </c>
      <c r="F1005" s="495"/>
      <c r="G1005" s="493">
        <f t="shared" ref="G1005:H1007" si="81">G1006</f>
        <v>700</v>
      </c>
      <c r="H1005" s="493">
        <f t="shared" si="81"/>
        <v>700</v>
      </c>
      <c r="I1005" s="526"/>
      <c r="J1005" s="117"/>
      <c r="K1005" s="501"/>
      <c r="L1005" s="501"/>
      <c r="M1005" s="501"/>
      <c r="N1005" s="501"/>
    </row>
    <row r="1006" spans="1:14" ht="15.75" x14ac:dyDescent="0.25">
      <c r="A1006" s="45" t="s">
        <v>964</v>
      </c>
      <c r="B1006" s="490">
        <v>908</v>
      </c>
      <c r="C1006" s="573" t="s">
        <v>234</v>
      </c>
      <c r="D1006" s="573" t="s">
        <v>213</v>
      </c>
      <c r="E1006" s="580" t="s">
        <v>966</v>
      </c>
      <c r="F1006" s="573"/>
      <c r="G1006" s="497">
        <f t="shared" si="81"/>
        <v>700</v>
      </c>
      <c r="H1006" s="497">
        <f t="shared" si="81"/>
        <v>700</v>
      </c>
      <c r="I1006" s="526"/>
      <c r="J1006" s="117"/>
      <c r="K1006" s="501"/>
      <c r="L1006" s="501"/>
      <c r="M1006" s="501"/>
      <c r="N1006" s="501"/>
    </row>
    <row r="1007" spans="1:14" ht="31.5" x14ac:dyDescent="0.25">
      <c r="A1007" s="31" t="s">
        <v>131</v>
      </c>
      <c r="B1007" s="490">
        <v>908</v>
      </c>
      <c r="C1007" s="573" t="s">
        <v>234</v>
      </c>
      <c r="D1007" s="573" t="s">
        <v>213</v>
      </c>
      <c r="E1007" s="580" t="s">
        <v>966</v>
      </c>
      <c r="F1007" s="573" t="s">
        <v>132</v>
      </c>
      <c r="G1007" s="497">
        <f t="shared" si="81"/>
        <v>700</v>
      </c>
      <c r="H1007" s="497">
        <f t="shared" si="81"/>
        <v>700</v>
      </c>
      <c r="I1007" s="526"/>
      <c r="J1007" s="117"/>
      <c r="K1007" s="501"/>
      <c r="L1007" s="501"/>
      <c r="M1007" s="501"/>
      <c r="N1007" s="501"/>
    </row>
    <row r="1008" spans="1:14" ht="31.5" x14ac:dyDescent="0.25">
      <c r="A1008" s="31" t="s">
        <v>133</v>
      </c>
      <c r="B1008" s="490">
        <v>908</v>
      </c>
      <c r="C1008" s="573" t="s">
        <v>234</v>
      </c>
      <c r="D1008" s="573" t="s">
        <v>213</v>
      </c>
      <c r="E1008" s="580" t="s">
        <v>966</v>
      </c>
      <c r="F1008" s="573" t="s">
        <v>134</v>
      </c>
      <c r="G1008" s="497">
        <v>700</v>
      </c>
      <c r="H1008" s="497">
        <v>700</v>
      </c>
      <c r="I1008" s="526"/>
      <c r="J1008" s="117"/>
      <c r="K1008" s="501"/>
      <c r="L1008" s="501"/>
      <c r="M1008" s="501"/>
      <c r="N1008" s="501"/>
    </row>
    <row r="1009" spans="1:14" ht="15.75" hidden="1" x14ac:dyDescent="0.25">
      <c r="A1009" s="34" t="s">
        <v>967</v>
      </c>
      <c r="B1009" s="491">
        <v>908</v>
      </c>
      <c r="C1009" s="7" t="s">
        <v>234</v>
      </c>
      <c r="D1009" s="7" t="s">
        <v>213</v>
      </c>
      <c r="E1009" s="495" t="s">
        <v>968</v>
      </c>
      <c r="F1009" s="7"/>
      <c r="G1009" s="493">
        <f t="shared" ref="G1009:H1011" si="82">G1010</f>
        <v>0</v>
      </c>
      <c r="H1009" s="493">
        <f t="shared" si="82"/>
        <v>0</v>
      </c>
      <c r="I1009" s="526"/>
      <c r="J1009" s="117"/>
      <c r="K1009" s="501"/>
      <c r="L1009" s="501"/>
      <c r="M1009" s="501"/>
      <c r="N1009" s="117"/>
    </row>
    <row r="1010" spans="1:14" ht="15.75" hidden="1" x14ac:dyDescent="0.25">
      <c r="A1010" s="45" t="s">
        <v>523</v>
      </c>
      <c r="B1010" s="490">
        <v>908</v>
      </c>
      <c r="C1010" s="573" t="s">
        <v>234</v>
      </c>
      <c r="D1010" s="573" t="s">
        <v>213</v>
      </c>
      <c r="E1010" s="580" t="s">
        <v>971</v>
      </c>
      <c r="F1010" s="573"/>
      <c r="G1010" s="497">
        <f t="shared" si="82"/>
        <v>0</v>
      </c>
      <c r="H1010" s="497">
        <f t="shared" si="82"/>
        <v>0</v>
      </c>
      <c r="I1010" s="526"/>
      <c r="J1010" s="117"/>
      <c r="K1010" s="501"/>
      <c r="L1010" s="501"/>
      <c r="M1010" s="501"/>
      <c r="N1010" s="117"/>
    </row>
    <row r="1011" spans="1:14" ht="31.5" hidden="1" x14ac:dyDescent="0.25">
      <c r="A1011" s="31" t="s">
        <v>131</v>
      </c>
      <c r="B1011" s="490">
        <v>908</v>
      </c>
      <c r="C1011" s="573" t="s">
        <v>234</v>
      </c>
      <c r="D1011" s="573" t="s">
        <v>213</v>
      </c>
      <c r="E1011" s="580" t="s">
        <v>971</v>
      </c>
      <c r="F1011" s="573" t="s">
        <v>132</v>
      </c>
      <c r="G1011" s="497">
        <f t="shared" si="82"/>
        <v>0</v>
      </c>
      <c r="H1011" s="497">
        <f t="shared" si="82"/>
        <v>0</v>
      </c>
      <c r="I1011" s="526"/>
      <c r="J1011" s="117"/>
      <c r="K1011" s="501"/>
      <c r="L1011" s="501"/>
      <c r="M1011" s="501"/>
      <c r="N1011" s="501"/>
    </row>
    <row r="1012" spans="1:14" ht="31.5" hidden="1" x14ac:dyDescent="0.25">
      <c r="A1012" s="31" t="s">
        <v>133</v>
      </c>
      <c r="B1012" s="490">
        <v>908</v>
      </c>
      <c r="C1012" s="573" t="s">
        <v>234</v>
      </c>
      <c r="D1012" s="573" t="s">
        <v>213</v>
      </c>
      <c r="E1012" s="580" t="s">
        <v>971</v>
      </c>
      <c r="F1012" s="573" t="s">
        <v>134</v>
      </c>
      <c r="G1012" s="489"/>
      <c r="H1012" s="489"/>
      <c r="I1012" s="526"/>
      <c r="J1012" s="117"/>
      <c r="K1012" s="501"/>
      <c r="L1012" s="501"/>
      <c r="M1012" s="501"/>
      <c r="N1012" s="501"/>
    </row>
    <row r="1013" spans="1:14" ht="16.5" hidden="1" customHeight="1" x14ac:dyDescent="0.25">
      <c r="A1013" s="58" t="s">
        <v>969</v>
      </c>
      <c r="B1013" s="491">
        <v>908</v>
      </c>
      <c r="C1013" s="7" t="s">
        <v>234</v>
      </c>
      <c r="D1013" s="7" t="s">
        <v>213</v>
      </c>
      <c r="E1013" s="495" t="s">
        <v>970</v>
      </c>
      <c r="F1013" s="7"/>
      <c r="G1013" s="488">
        <f t="shared" ref="G1013:H1015" si="83">G1014</f>
        <v>0</v>
      </c>
      <c r="H1013" s="488">
        <f t="shared" si="83"/>
        <v>0</v>
      </c>
      <c r="I1013" s="526"/>
      <c r="J1013" s="117"/>
      <c r="K1013" s="501"/>
      <c r="L1013" s="501"/>
      <c r="M1013" s="501"/>
      <c r="N1013" s="501"/>
    </row>
    <row r="1014" spans="1:14" ht="15.75" hidden="1" x14ac:dyDescent="0.25">
      <c r="A1014" s="45" t="s">
        <v>525</v>
      </c>
      <c r="B1014" s="490">
        <v>908</v>
      </c>
      <c r="C1014" s="573" t="s">
        <v>234</v>
      </c>
      <c r="D1014" s="573" t="s">
        <v>213</v>
      </c>
      <c r="E1014" s="580" t="s">
        <v>972</v>
      </c>
      <c r="F1014" s="573"/>
      <c r="G1014" s="497">
        <f t="shared" si="83"/>
        <v>0</v>
      </c>
      <c r="H1014" s="497">
        <f t="shared" si="83"/>
        <v>0</v>
      </c>
      <c r="I1014" s="526"/>
      <c r="J1014" s="117"/>
      <c r="K1014" s="501"/>
      <c r="L1014" s="501"/>
      <c r="M1014" s="501"/>
      <c r="N1014" s="501"/>
    </row>
    <row r="1015" spans="1:14" ht="31.5" hidden="1" x14ac:dyDescent="0.25">
      <c r="A1015" s="31" t="s">
        <v>131</v>
      </c>
      <c r="B1015" s="490">
        <v>908</v>
      </c>
      <c r="C1015" s="573" t="s">
        <v>234</v>
      </c>
      <c r="D1015" s="573" t="s">
        <v>213</v>
      </c>
      <c r="E1015" s="580" t="s">
        <v>972</v>
      </c>
      <c r="F1015" s="573" t="s">
        <v>132</v>
      </c>
      <c r="G1015" s="497">
        <f t="shared" si="83"/>
        <v>0</v>
      </c>
      <c r="H1015" s="497">
        <f t="shared" si="83"/>
        <v>0</v>
      </c>
      <c r="I1015" s="526"/>
      <c r="J1015" s="117"/>
      <c r="K1015" s="501"/>
      <c r="L1015" s="501"/>
      <c r="M1015" s="501"/>
      <c r="N1015" s="501"/>
    </row>
    <row r="1016" spans="1:14" ht="31.5" hidden="1" x14ac:dyDescent="0.25">
      <c r="A1016" s="31" t="s">
        <v>133</v>
      </c>
      <c r="B1016" s="490">
        <v>908</v>
      </c>
      <c r="C1016" s="573" t="s">
        <v>234</v>
      </c>
      <c r="D1016" s="573" t="s">
        <v>213</v>
      </c>
      <c r="E1016" s="580" t="s">
        <v>972</v>
      </c>
      <c r="F1016" s="573" t="s">
        <v>134</v>
      </c>
      <c r="G1016" s="489"/>
      <c r="H1016" s="489"/>
      <c r="I1016" s="526"/>
      <c r="J1016" s="117"/>
      <c r="K1016" s="501"/>
      <c r="L1016" s="501"/>
      <c r="M1016" s="501"/>
      <c r="N1016" s="501"/>
    </row>
    <row r="1017" spans="1:14" ht="31.5" hidden="1" x14ac:dyDescent="0.25">
      <c r="A1017" s="58" t="s">
        <v>973</v>
      </c>
      <c r="B1017" s="491">
        <v>908</v>
      </c>
      <c r="C1017" s="7" t="s">
        <v>234</v>
      </c>
      <c r="D1017" s="7" t="s">
        <v>213</v>
      </c>
      <c r="E1017" s="495" t="s">
        <v>974</v>
      </c>
      <c r="F1017" s="7"/>
      <c r="G1017" s="488">
        <f t="shared" ref="G1017:H1019" si="84">G1018</f>
        <v>0</v>
      </c>
      <c r="H1017" s="488">
        <f t="shared" si="84"/>
        <v>0</v>
      </c>
      <c r="I1017" s="526"/>
      <c r="J1017" s="117"/>
      <c r="K1017" s="501"/>
      <c r="L1017" s="501"/>
      <c r="M1017" s="501"/>
      <c r="N1017" s="501"/>
    </row>
    <row r="1018" spans="1:14" ht="15.75" hidden="1" x14ac:dyDescent="0.25">
      <c r="A1018" s="45" t="s">
        <v>527</v>
      </c>
      <c r="B1018" s="490">
        <v>908</v>
      </c>
      <c r="C1018" s="573" t="s">
        <v>234</v>
      </c>
      <c r="D1018" s="573" t="s">
        <v>213</v>
      </c>
      <c r="E1018" s="580" t="s">
        <v>975</v>
      </c>
      <c r="F1018" s="573"/>
      <c r="G1018" s="497">
        <f t="shared" si="84"/>
        <v>0</v>
      </c>
      <c r="H1018" s="497">
        <f t="shared" si="84"/>
        <v>0</v>
      </c>
      <c r="I1018" s="526"/>
      <c r="J1018" s="117"/>
      <c r="K1018" s="501"/>
      <c r="L1018" s="501"/>
      <c r="M1018" s="501"/>
      <c r="N1018" s="501"/>
    </row>
    <row r="1019" spans="1:14" ht="31.5" hidden="1" x14ac:dyDescent="0.25">
      <c r="A1019" s="31" t="s">
        <v>131</v>
      </c>
      <c r="B1019" s="490">
        <v>908</v>
      </c>
      <c r="C1019" s="573" t="s">
        <v>234</v>
      </c>
      <c r="D1019" s="573" t="s">
        <v>213</v>
      </c>
      <c r="E1019" s="580" t="s">
        <v>975</v>
      </c>
      <c r="F1019" s="573" t="s">
        <v>132</v>
      </c>
      <c r="G1019" s="497">
        <f t="shared" si="84"/>
        <v>0</v>
      </c>
      <c r="H1019" s="497">
        <f t="shared" si="84"/>
        <v>0</v>
      </c>
      <c r="I1019" s="526"/>
      <c r="J1019" s="117"/>
      <c r="K1019" s="501"/>
      <c r="L1019" s="501"/>
      <c r="M1019" s="501"/>
      <c r="N1019" s="501"/>
    </row>
    <row r="1020" spans="1:14" ht="31.5" hidden="1" x14ac:dyDescent="0.25">
      <c r="A1020" s="31" t="s">
        <v>133</v>
      </c>
      <c r="B1020" s="490">
        <v>908</v>
      </c>
      <c r="C1020" s="573" t="s">
        <v>234</v>
      </c>
      <c r="D1020" s="573" t="s">
        <v>213</v>
      </c>
      <c r="E1020" s="580" t="s">
        <v>975</v>
      </c>
      <c r="F1020" s="573" t="s">
        <v>134</v>
      </c>
      <c r="G1020" s="489"/>
      <c r="H1020" s="489"/>
      <c r="I1020" s="526"/>
      <c r="J1020" s="117"/>
      <c r="K1020" s="501"/>
      <c r="L1020" s="501"/>
      <c r="M1020" s="501"/>
      <c r="N1020" s="501"/>
    </row>
    <row r="1021" spans="1:14" ht="31.7" hidden="1" customHeight="1" x14ac:dyDescent="0.25">
      <c r="A1021" s="34" t="s">
        <v>1014</v>
      </c>
      <c r="B1021" s="491">
        <v>908</v>
      </c>
      <c r="C1021" s="7" t="s">
        <v>234</v>
      </c>
      <c r="D1021" s="7" t="s">
        <v>213</v>
      </c>
      <c r="E1021" s="495" t="s">
        <v>1015</v>
      </c>
      <c r="F1021" s="7"/>
      <c r="G1021" s="488">
        <f t="shared" ref="G1021:H1023" si="85">G1022</f>
        <v>0</v>
      </c>
      <c r="H1021" s="488">
        <f t="shared" si="85"/>
        <v>0</v>
      </c>
      <c r="I1021" s="526"/>
      <c r="J1021" s="117"/>
      <c r="K1021" s="501"/>
      <c r="L1021" s="501"/>
      <c r="M1021" s="501"/>
      <c r="N1021" s="501"/>
    </row>
    <row r="1022" spans="1:14" ht="15.75" hidden="1" x14ac:dyDescent="0.25">
      <c r="A1022" s="45" t="s">
        <v>529</v>
      </c>
      <c r="B1022" s="490">
        <v>908</v>
      </c>
      <c r="C1022" s="573" t="s">
        <v>234</v>
      </c>
      <c r="D1022" s="573" t="s">
        <v>213</v>
      </c>
      <c r="E1022" s="580" t="s">
        <v>1018</v>
      </c>
      <c r="F1022" s="573"/>
      <c r="G1022" s="497">
        <f t="shared" si="85"/>
        <v>0</v>
      </c>
      <c r="H1022" s="497">
        <f t="shared" si="85"/>
        <v>0</v>
      </c>
      <c r="I1022" s="526"/>
      <c r="J1022" s="117"/>
      <c r="K1022" s="501"/>
      <c r="L1022" s="501"/>
      <c r="M1022" s="501"/>
      <c r="N1022" s="501"/>
    </row>
    <row r="1023" spans="1:14" ht="31.5" hidden="1" x14ac:dyDescent="0.25">
      <c r="A1023" s="31" t="s">
        <v>131</v>
      </c>
      <c r="B1023" s="490">
        <v>908</v>
      </c>
      <c r="C1023" s="573" t="s">
        <v>234</v>
      </c>
      <c r="D1023" s="573" t="s">
        <v>213</v>
      </c>
      <c r="E1023" s="580" t="s">
        <v>1018</v>
      </c>
      <c r="F1023" s="573" t="s">
        <v>132</v>
      </c>
      <c r="G1023" s="497">
        <f t="shared" si="85"/>
        <v>0</v>
      </c>
      <c r="H1023" s="497">
        <f t="shared" si="85"/>
        <v>0</v>
      </c>
      <c r="I1023" s="526"/>
      <c r="J1023" s="117"/>
      <c r="K1023" s="501"/>
      <c r="L1023" s="501"/>
      <c r="M1023" s="501"/>
      <c r="N1023" s="501"/>
    </row>
    <row r="1024" spans="1:14" ht="31.5" hidden="1" x14ac:dyDescent="0.25">
      <c r="A1024" s="31" t="s">
        <v>133</v>
      </c>
      <c r="B1024" s="490">
        <v>908</v>
      </c>
      <c r="C1024" s="573" t="s">
        <v>234</v>
      </c>
      <c r="D1024" s="573" t="s">
        <v>213</v>
      </c>
      <c r="E1024" s="580" t="s">
        <v>1018</v>
      </c>
      <c r="F1024" s="573" t="s">
        <v>134</v>
      </c>
      <c r="G1024" s="497">
        <v>0</v>
      </c>
      <c r="H1024" s="497">
        <v>0</v>
      </c>
      <c r="I1024" s="526"/>
      <c r="J1024" s="117"/>
      <c r="K1024" s="501"/>
      <c r="L1024" s="501"/>
      <c r="M1024" s="501"/>
      <c r="N1024" s="501"/>
    </row>
    <row r="1025" spans="1:14" ht="31.5" hidden="1" x14ac:dyDescent="0.25">
      <c r="A1025" s="220" t="s">
        <v>1016</v>
      </c>
      <c r="B1025" s="491">
        <v>908</v>
      </c>
      <c r="C1025" s="7" t="s">
        <v>234</v>
      </c>
      <c r="D1025" s="7" t="s">
        <v>213</v>
      </c>
      <c r="E1025" s="495" t="s">
        <v>1017</v>
      </c>
      <c r="F1025" s="7"/>
      <c r="G1025" s="493">
        <f t="shared" ref="G1025:H1027" si="86">G1026</f>
        <v>0</v>
      </c>
      <c r="H1025" s="493">
        <f t="shared" si="86"/>
        <v>0</v>
      </c>
      <c r="I1025" s="526"/>
      <c r="J1025" s="117"/>
      <c r="K1025" s="501"/>
      <c r="L1025" s="501"/>
      <c r="M1025" s="501"/>
      <c r="N1025" s="501"/>
    </row>
    <row r="1026" spans="1:14" ht="21.75" hidden="1" customHeight="1" x14ac:dyDescent="0.25">
      <c r="A1026" s="174" t="s">
        <v>531</v>
      </c>
      <c r="B1026" s="490">
        <v>908</v>
      </c>
      <c r="C1026" s="573" t="s">
        <v>234</v>
      </c>
      <c r="D1026" s="573" t="s">
        <v>213</v>
      </c>
      <c r="E1026" s="580" t="s">
        <v>1019</v>
      </c>
      <c r="F1026" s="573"/>
      <c r="G1026" s="497">
        <f t="shared" si="86"/>
        <v>0</v>
      </c>
      <c r="H1026" s="497">
        <f t="shared" si="86"/>
        <v>0</v>
      </c>
      <c r="I1026" s="526"/>
      <c r="J1026" s="117"/>
      <c r="K1026" s="501"/>
      <c r="L1026" s="501"/>
      <c r="M1026" s="501"/>
      <c r="N1026" s="501"/>
    </row>
    <row r="1027" spans="1:14" ht="31.7" hidden="1" customHeight="1" x14ac:dyDescent="0.25">
      <c r="A1027" s="31" t="s">
        <v>131</v>
      </c>
      <c r="B1027" s="490">
        <v>908</v>
      </c>
      <c r="C1027" s="573" t="s">
        <v>234</v>
      </c>
      <c r="D1027" s="573" t="s">
        <v>213</v>
      </c>
      <c r="E1027" s="580" t="s">
        <v>1019</v>
      </c>
      <c r="F1027" s="573" t="s">
        <v>132</v>
      </c>
      <c r="G1027" s="497">
        <f t="shared" si="86"/>
        <v>0</v>
      </c>
      <c r="H1027" s="497">
        <f t="shared" si="86"/>
        <v>0</v>
      </c>
      <c r="I1027" s="526"/>
      <c r="J1027" s="117"/>
      <c r="K1027" s="501"/>
      <c r="L1027" s="501"/>
      <c r="M1027" s="501"/>
      <c r="N1027" s="501"/>
    </row>
    <row r="1028" spans="1:14" ht="36" hidden="1" customHeight="1" x14ac:dyDescent="0.25">
      <c r="A1028" s="31" t="s">
        <v>133</v>
      </c>
      <c r="B1028" s="490">
        <v>908</v>
      </c>
      <c r="C1028" s="573" t="s">
        <v>234</v>
      </c>
      <c r="D1028" s="573" t="s">
        <v>213</v>
      </c>
      <c r="E1028" s="580" t="s">
        <v>1019</v>
      </c>
      <c r="F1028" s="573" t="s">
        <v>134</v>
      </c>
      <c r="G1028" s="497">
        <v>0</v>
      </c>
      <c r="H1028" s="497">
        <v>0</v>
      </c>
      <c r="I1028" s="526"/>
      <c r="J1028" s="117"/>
      <c r="K1028" s="501"/>
      <c r="L1028" s="501"/>
      <c r="M1028" s="501"/>
      <c r="N1028" s="501"/>
    </row>
    <row r="1029" spans="1:14" ht="31.7" hidden="1" customHeight="1" x14ac:dyDescent="0.25">
      <c r="A1029" s="220" t="s">
        <v>977</v>
      </c>
      <c r="B1029" s="491">
        <v>908</v>
      </c>
      <c r="C1029" s="7" t="s">
        <v>234</v>
      </c>
      <c r="D1029" s="7" t="s">
        <v>213</v>
      </c>
      <c r="E1029" s="495" t="s">
        <v>978</v>
      </c>
      <c r="F1029" s="7"/>
      <c r="G1029" s="493">
        <f t="shared" ref="G1029:H1031" si="87">G1030</f>
        <v>0</v>
      </c>
      <c r="H1029" s="493">
        <f t="shared" si="87"/>
        <v>0</v>
      </c>
      <c r="I1029" s="526"/>
      <c r="J1029" s="117"/>
      <c r="K1029" s="501"/>
      <c r="L1029" s="501"/>
      <c r="M1029" s="501"/>
      <c r="N1029" s="501"/>
    </row>
    <row r="1030" spans="1:14" ht="15.75" hidden="1" x14ac:dyDescent="0.25">
      <c r="A1030" s="174" t="s">
        <v>533</v>
      </c>
      <c r="B1030" s="490">
        <v>908</v>
      </c>
      <c r="C1030" s="573" t="s">
        <v>234</v>
      </c>
      <c r="D1030" s="573" t="s">
        <v>213</v>
      </c>
      <c r="E1030" s="580" t="s">
        <v>976</v>
      </c>
      <c r="F1030" s="573"/>
      <c r="G1030" s="497">
        <f t="shared" si="87"/>
        <v>0</v>
      </c>
      <c r="H1030" s="497">
        <f t="shared" si="87"/>
        <v>0</v>
      </c>
      <c r="I1030" s="526"/>
      <c r="J1030" s="117"/>
      <c r="K1030" s="501"/>
    </row>
    <row r="1031" spans="1:14" ht="31.5" hidden="1" x14ac:dyDescent="0.25">
      <c r="A1031" s="579" t="s">
        <v>131</v>
      </c>
      <c r="B1031" s="490">
        <v>908</v>
      </c>
      <c r="C1031" s="573" t="s">
        <v>234</v>
      </c>
      <c r="D1031" s="573" t="s">
        <v>213</v>
      </c>
      <c r="E1031" s="580" t="s">
        <v>976</v>
      </c>
      <c r="F1031" s="573" t="s">
        <v>132</v>
      </c>
      <c r="G1031" s="497">
        <f t="shared" si="87"/>
        <v>0</v>
      </c>
      <c r="H1031" s="497">
        <f t="shared" si="87"/>
        <v>0</v>
      </c>
      <c r="I1031" s="526"/>
      <c r="J1031" s="117"/>
    </row>
    <row r="1032" spans="1:14" ht="31.5" hidden="1" x14ac:dyDescent="0.25">
      <c r="A1032" s="579" t="s">
        <v>133</v>
      </c>
      <c r="B1032" s="490">
        <v>908</v>
      </c>
      <c r="C1032" s="573" t="s">
        <v>234</v>
      </c>
      <c r="D1032" s="573" t="s">
        <v>213</v>
      </c>
      <c r="E1032" s="580" t="s">
        <v>976</v>
      </c>
      <c r="F1032" s="573" t="s">
        <v>134</v>
      </c>
      <c r="G1032" s="497"/>
      <c r="H1032" s="497"/>
      <c r="I1032" s="526"/>
      <c r="J1032" s="117"/>
    </row>
    <row r="1033" spans="1:14" ht="31.5" x14ac:dyDescent="0.25">
      <c r="A1033" s="494" t="s">
        <v>1528</v>
      </c>
      <c r="B1033" s="491">
        <v>908</v>
      </c>
      <c r="C1033" s="7" t="s">
        <v>234</v>
      </c>
      <c r="D1033" s="7" t="s">
        <v>213</v>
      </c>
      <c r="E1033" s="495" t="s">
        <v>1141</v>
      </c>
      <c r="F1033" s="7"/>
      <c r="G1033" s="493">
        <f t="shared" ref="G1033:H1036" si="88">G1034</f>
        <v>204</v>
      </c>
      <c r="H1033" s="493">
        <f t="shared" si="88"/>
        <v>204</v>
      </c>
      <c r="I1033" s="526"/>
      <c r="J1033" s="117"/>
    </row>
    <row r="1034" spans="1:14" ht="31.5" x14ac:dyDescent="0.25">
      <c r="A1034" s="494" t="s">
        <v>1142</v>
      </c>
      <c r="B1034" s="491">
        <v>908</v>
      </c>
      <c r="C1034" s="7" t="s">
        <v>234</v>
      </c>
      <c r="D1034" s="7" t="s">
        <v>213</v>
      </c>
      <c r="E1034" s="495" t="s">
        <v>1143</v>
      </c>
      <c r="F1034" s="7"/>
      <c r="G1034" s="493">
        <f t="shared" si="88"/>
        <v>204</v>
      </c>
      <c r="H1034" s="493">
        <f t="shared" si="88"/>
        <v>204</v>
      </c>
      <c r="I1034" s="526"/>
      <c r="J1034" s="117"/>
    </row>
    <row r="1035" spans="1:14" ht="15.75" x14ac:dyDescent="0.25">
      <c r="A1035" s="579" t="s">
        <v>537</v>
      </c>
      <c r="B1035" s="490">
        <v>908</v>
      </c>
      <c r="C1035" s="573" t="s">
        <v>234</v>
      </c>
      <c r="D1035" s="573" t="s">
        <v>213</v>
      </c>
      <c r="E1035" s="580" t="s">
        <v>1144</v>
      </c>
      <c r="F1035" s="573"/>
      <c r="G1035" s="497">
        <f t="shared" si="88"/>
        <v>204</v>
      </c>
      <c r="H1035" s="497">
        <f t="shared" si="88"/>
        <v>204</v>
      </c>
      <c r="I1035" s="526"/>
      <c r="J1035" s="117"/>
    </row>
    <row r="1036" spans="1:14" ht="31.5" x14ac:dyDescent="0.25">
      <c r="A1036" s="579" t="s">
        <v>131</v>
      </c>
      <c r="B1036" s="490">
        <v>908</v>
      </c>
      <c r="C1036" s="573" t="s">
        <v>234</v>
      </c>
      <c r="D1036" s="573" t="s">
        <v>213</v>
      </c>
      <c r="E1036" s="580" t="s">
        <v>1144</v>
      </c>
      <c r="F1036" s="573" t="s">
        <v>132</v>
      </c>
      <c r="G1036" s="497">
        <f t="shared" si="88"/>
        <v>204</v>
      </c>
      <c r="H1036" s="497">
        <f t="shared" si="88"/>
        <v>204</v>
      </c>
      <c r="I1036" s="526"/>
      <c r="J1036" s="117"/>
    </row>
    <row r="1037" spans="1:14" ht="31.5" x14ac:dyDescent="0.25">
      <c r="A1037" s="579" t="s">
        <v>133</v>
      </c>
      <c r="B1037" s="490">
        <v>908</v>
      </c>
      <c r="C1037" s="573" t="s">
        <v>234</v>
      </c>
      <c r="D1037" s="573" t="s">
        <v>213</v>
      </c>
      <c r="E1037" s="580" t="s">
        <v>1144</v>
      </c>
      <c r="F1037" s="573" t="s">
        <v>134</v>
      </c>
      <c r="G1037" s="497">
        <f>204</f>
        <v>204</v>
      </c>
      <c r="H1037" s="497">
        <f>204</f>
        <v>204</v>
      </c>
      <c r="I1037" s="526"/>
      <c r="J1037" s="117"/>
    </row>
    <row r="1038" spans="1:14" ht="15.75" x14ac:dyDescent="0.25">
      <c r="A1038" s="494" t="s">
        <v>541</v>
      </c>
      <c r="B1038" s="491">
        <v>908</v>
      </c>
      <c r="C1038" s="495" t="s">
        <v>234</v>
      </c>
      <c r="D1038" s="495" t="s">
        <v>215</v>
      </c>
      <c r="E1038" s="495"/>
      <c r="F1038" s="495"/>
      <c r="G1038" s="493">
        <f>G1039+G1044+G1091</f>
        <v>9635.7199999999993</v>
      </c>
      <c r="H1038" s="493">
        <f>H1039+H1044+H1091</f>
        <v>9635.7199999999993</v>
      </c>
      <c r="I1038" s="526"/>
      <c r="J1038" s="501"/>
    </row>
    <row r="1039" spans="1:14" ht="15.75" x14ac:dyDescent="0.25">
      <c r="A1039" s="494" t="s">
        <v>141</v>
      </c>
      <c r="B1039" s="491">
        <v>908</v>
      </c>
      <c r="C1039" s="495" t="s">
        <v>234</v>
      </c>
      <c r="D1039" s="495" t="s">
        <v>215</v>
      </c>
      <c r="E1039" s="495" t="s">
        <v>866</v>
      </c>
      <c r="F1039" s="495"/>
      <c r="G1039" s="493">
        <f t="shared" ref="G1039:H1042" si="89">G1040</f>
        <v>390</v>
      </c>
      <c r="H1039" s="493">
        <f t="shared" si="89"/>
        <v>390</v>
      </c>
      <c r="I1039" s="526"/>
      <c r="J1039" s="501"/>
    </row>
    <row r="1040" spans="1:14" ht="31.5" x14ac:dyDescent="0.25">
      <c r="A1040" s="494" t="s">
        <v>870</v>
      </c>
      <c r="B1040" s="491">
        <v>908</v>
      </c>
      <c r="C1040" s="495" t="s">
        <v>234</v>
      </c>
      <c r="D1040" s="495" t="s">
        <v>215</v>
      </c>
      <c r="E1040" s="495" t="s">
        <v>865</v>
      </c>
      <c r="F1040" s="495"/>
      <c r="G1040" s="493">
        <f t="shared" si="89"/>
        <v>390</v>
      </c>
      <c r="H1040" s="493">
        <f t="shared" si="89"/>
        <v>390</v>
      </c>
      <c r="I1040" s="526"/>
      <c r="J1040" s="501"/>
    </row>
    <row r="1041" spans="1:17" ht="15.75" x14ac:dyDescent="0.25">
      <c r="A1041" s="579" t="s">
        <v>564</v>
      </c>
      <c r="B1041" s="490">
        <v>908</v>
      </c>
      <c r="C1041" s="580" t="s">
        <v>234</v>
      </c>
      <c r="D1041" s="580" t="s">
        <v>215</v>
      </c>
      <c r="E1041" s="580" t="s">
        <v>1074</v>
      </c>
      <c r="F1041" s="580"/>
      <c r="G1041" s="497">
        <f t="shared" si="89"/>
        <v>390</v>
      </c>
      <c r="H1041" s="497">
        <f t="shared" si="89"/>
        <v>390</v>
      </c>
      <c r="I1041" s="526"/>
      <c r="J1041" s="501"/>
    </row>
    <row r="1042" spans="1:17" ht="31.5" x14ac:dyDescent="0.25">
      <c r="A1042" s="579" t="s">
        <v>131</v>
      </c>
      <c r="B1042" s="490">
        <v>908</v>
      </c>
      <c r="C1042" s="580" t="s">
        <v>234</v>
      </c>
      <c r="D1042" s="580" t="s">
        <v>215</v>
      </c>
      <c r="E1042" s="580" t="s">
        <v>1074</v>
      </c>
      <c r="F1042" s="580" t="s">
        <v>132</v>
      </c>
      <c r="G1042" s="497">
        <f t="shared" si="89"/>
        <v>390</v>
      </c>
      <c r="H1042" s="497">
        <f t="shared" si="89"/>
        <v>390</v>
      </c>
      <c r="I1042" s="526"/>
      <c r="J1042" s="117"/>
    </row>
    <row r="1043" spans="1:17" ht="31.5" x14ac:dyDescent="0.25">
      <c r="A1043" s="579" t="s">
        <v>133</v>
      </c>
      <c r="B1043" s="490">
        <v>908</v>
      </c>
      <c r="C1043" s="580" t="s">
        <v>234</v>
      </c>
      <c r="D1043" s="580" t="s">
        <v>215</v>
      </c>
      <c r="E1043" s="580" t="s">
        <v>1074</v>
      </c>
      <c r="F1043" s="580" t="s">
        <v>134</v>
      </c>
      <c r="G1043" s="27">
        <v>390</v>
      </c>
      <c r="H1043" s="27">
        <v>390</v>
      </c>
      <c r="I1043" s="526"/>
      <c r="J1043" s="501"/>
    </row>
    <row r="1044" spans="1:17" ht="34.5" customHeight="1" x14ac:dyDescent="0.25">
      <c r="A1044" s="494" t="s">
        <v>1362</v>
      </c>
      <c r="B1044" s="491">
        <v>908</v>
      </c>
      <c r="C1044" s="495" t="s">
        <v>234</v>
      </c>
      <c r="D1044" s="495" t="s">
        <v>215</v>
      </c>
      <c r="E1044" s="495" t="s">
        <v>543</v>
      </c>
      <c r="F1044" s="495"/>
      <c r="G1044" s="493">
        <f>G1045+G1076+G1049+G1083+G1087</f>
        <v>8745.7199999999993</v>
      </c>
      <c r="H1044" s="493">
        <f>H1045+H1076+H1049+H1083+H1087</f>
        <v>8745.7199999999993</v>
      </c>
      <c r="I1044" s="526"/>
      <c r="J1044" s="501"/>
    </row>
    <row r="1045" spans="1:17" ht="35.450000000000003" hidden="1" customHeight="1" x14ac:dyDescent="0.25">
      <c r="A1045" s="494" t="s">
        <v>1430</v>
      </c>
      <c r="B1045" s="491">
        <v>908</v>
      </c>
      <c r="C1045" s="495" t="s">
        <v>234</v>
      </c>
      <c r="D1045" s="495" t="s">
        <v>215</v>
      </c>
      <c r="E1045" s="495" t="s">
        <v>1273</v>
      </c>
      <c r="F1045" s="495"/>
      <c r="G1045" s="493">
        <f t="shared" ref="G1045:H1047" si="90">G1046</f>
        <v>0</v>
      </c>
      <c r="H1045" s="493">
        <f t="shared" si="90"/>
        <v>0</v>
      </c>
      <c r="I1045" s="526"/>
      <c r="J1045" s="501"/>
    </row>
    <row r="1046" spans="1:17" ht="21.2" hidden="1" customHeight="1" x14ac:dyDescent="0.25">
      <c r="A1046" s="327" t="s">
        <v>1431</v>
      </c>
      <c r="B1046" s="490">
        <v>908</v>
      </c>
      <c r="C1046" s="580" t="s">
        <v>234</v>
      </c>
      <c r="D1046" s="580" t="s">
        <v>215</v>
      </c>
      <c r="E1046" s="580" t="s">
        <v>1419</v>
      </c>
      <c r="F1046" s="580"/>
      <c r="G1046" s="497">
        <f t="shared" si="90"/>
        <v>0</v>
      </c>
      <c r="H1046" s="497">
        <f t="shared" si="90"/>
        <v>0</v>
      </c>
      <c r="I1046" s="526"/>
      <c r="J1046" s="501"/>
    </row>
    <row r="1047" spans="1:17" ht="35.450000000000003" hidden="1" customHeight="1" x14ac:dyDescent="0.25">
      <c r="A1047" s="579" t="s">
        <v>131</v>
      </c>
      <c r="B1047" s="490">
        <v>908</v>
      </c>
      <c r="C1047" s="580" t="s">
        <v>234</v>
      </c>
      <c r="D1047" s="580" t="s">
        <v>215</v>
      </c>
      <c r="E1047" s="580" t="s">
        <v>1419</v>
      </c>
      <c r="F1047" s="580" t="s">
        <v>132</v>
      </c>
      <c r="G1047" s="497">
        <f t="shared" si="90"/>
        <v>0</v>
      </c>
      <c r="H1047" s="497">
        <f t="shared" si="90"/>
        <v>0</v>
      </c>
      <c r="I1047" s="526"/>
      <c r="J1047" s="501"/>
    </row>
    <row r="1048" spans="1:17" ht="35.450000000000003" hidden="1" customHeight="1" x14ac:dyDescent="0.25">
      <c r="A1048" s="579" t="s">
        <v>133</v>
      </c>
      <c r="B1048" s="490">
        <v>908</v>
      </c>
      <c r="C1048" s="580" t="s">
        <v>234</v>
      </c>
      <c r="D1048" s="580" t="s">
        <v>215</v>
      </c>
      <c r="E1048" s="580" t="s">
        <v>1419</v>
      </c>
      <c r="F1048" s="580" t="s">
        <v>134</v>
      </c>
      <c r="G1048" s="497">
        <v>0</v>
      </c>
      <c r="H1048" s="497">
        <v>0</v>
      </c>
      <c r="I1048" s="526"/>
      <c r="J1048" s="501"/>
    </row>
    <row r="1049" spans="1:17" ht="35.450000000000003" customHeight="1" x14ac:dyDescent="0.25">
      <c r="A1049" s="494" t="s">
        <v>1450</v>
      </c>
      <c r="B1049" s="491">
        <v>908</v>
      </c>
      <c r="C1049" s="495" t="s">
        <v>234</v>
      </c>
      <c r="D1049" s="495" t="s">
        <v>215</v>
      </c>
      <c r="E1049" s="495" t="s">
        <v>1274</v>
      </c>
      <c r="F1049" s="495"/>
      <c r="G1049" s="493">
        <f>G1050+G1053+G1059+G1062+G1065+G1070+G1073</f>
        <v>2248.02</v>
      </c>
      <c r="H1049" s="493">
        <f>H1050+H1053+H1059+H1062+H1065+H1070+H1073</f>
        <v>2248.02</v>
      </c>
      <c r="I1049" s="526"/>
      <c r="J1049" s="501"/>
    </row>
    <row r="1050" spans="1:17" ht="19.5" customHeight="1" x14ac:dyDescent="0.25">
      <c r="A1050" s="579" t="s">
        <v>546</v>
      </c>
      <c r="B1050" s="490">
        <v>908</v>
      </c>
      <c r="C1050" s="580" t="s">
        <v>234</v>
      </c>
      <c r="D1050" s="580" t="s">
        <v>215</v>
      </c>
      <c r="E1050" s="580" t="s">
        <v>1429</v>
      </c>
      <c r="F1050" s="580"/>
      <c r="G1050" s="497">
        <f>G1051</f>
        <v>365</v>
      </c>
      <c r="H1050" s="497">
        <f>H1051</f>
        <v>365</v>
      </c>
      <c r="I1050" s="526"/>
      <c r="J1050" s="501"/>
    </row>
    <row r="1051" spans="1:17" ht="31.5" x14ac:dyDescent="0.25">
      <c r="A1051" s="579" t="s">
        <v>131</v>
      </c>
      <c r="B1051" s="490">
        <v>908</v>
      </c>
      <c r="C1051" s="580" t="s">
        <v>234</v>
      </c>
      <c r="D1051" s="580" t="s">
        <v>215</v>
      </c>
      <c r="E1051" s="580" t="s">
        <v>1429</v>
      </c>
      <c r="F1051" s="580" t="s">
        <v>132</v>
      </c>
      <c r="G1051" s="497">
        <f>G1052</f>
        <v>365</v>
      </c>
      <c r="H1051" s="497">
        <f>H1052</f>
        <v>365</v>
      </c>
      <c r="I1051" s="526"/>
      <c r="J1051" s="501"/>
    </row>
    <row r="1052" spans="1:17" ht="31.5" x14ac:dyDescent="0.25">
      <c r="A1052" s="579" t="s">
        <v>133</v>
      </c>
      <c r="B1052" s="490">
        <v>908</v>
      </c>
      <c r="C1052" s="580" t="s">
        <v>234</v>
      </c>
      <c r="D1052" s="580" t="s">
        <v>215</v>
      </c>
      <c r="E1052" s="580" t="s">
        <v>1429</v>
      </c>
      <c r="F1052" s="580" t="s">
        <v>134</v>
      </c>
      <c r="G1052" s="497">
        <v>365</v>
      </c>
      <c r="H1052" s="497">
        <v>365</v>
      </c>
      <c r="I1052" s="526"/>
      <c r="J1052" s="501"/>
      <c r="K1052" s="537"/>
    </row>
    <row r="1053" spans="1:17" ht="15.75" x14ac:dyDescent="0.25">
      <c r="A1053" s="579" t="s">
        <v>1086</v>
      </c>
      <c r="B1053" s="490">
        <v>908</v>
      </c>
      <c r="C1053" s="580" t="s">
        <v>234</v>
      </c>
      <c r="D1053" s="580" t="s">
        <v>215</v>
      </c>
      <c r="E1053" s="580" t="s">
        <v>1418</v>
      </c>
      <c r="F1053" s="580"/>
      <c r="G1053" s="497">
        <f>G1054+G1056</f>
        <v>1408.02</v>
      </c>
      <c r="H1053" s="497">
        <f>H1054+H1056</f>
        <v>1408.02</v>
      </c>
      <c r="I1053" s="526"/>
      <c r="J1053" s="501"/>
    </row>
    <row r="1054" spans="1:17" ht="31.5" x14ac:dyDescent="0.25">
      <c r="A1054" s="579" t="s">
        <v>131</v>
      </c>
      <c r="B1054" s="490">
        <v>908</v>
      </c>
      <c r="C1054" s="580" t="s">
        <v>234</v>
      </c>
      <c r="D1054" s="580" t="s">
        <v>215</v>
      </c>
      <c r="E1054" s="580" t="s">
        <v>1418</v>
      </c>
      <c r="F1054" s="580" t="s">
        <v>132</v>
      </c>
      <c r="G1054" s="497">
        <f>G1055</f>
        <v>1408.02</v>
      </c>
      <c r="H1054" s="497">
        <f>H1055</f>
        <v>1408.02</v>
      </c>
      <c r="I1054" s="526"/>
      <c r="J1054" s="501"/>
    </row>
    <row r="1055" spans="1:17" ht="31.5" x14ac:dyDescent="0.25">
      <c r="A1055" s="579" t="s">
        <v>133</v>
      </c>
      <c r="B1055" s="490">
        <v>908</v>
      </c>
      <c r="C1055" s="580" t="s">
        <v>234</v>
      </c>
      <c r="D1055" s="580" t="s">
        <v>215</v>
      </c>
      <c r="E1055" s="580" t="s">
        <v>1418</v>
      </c>
      <c r="F1055" s="580" t="s">
        <v>134</v>
      </c>
      <c r="G1055" s="497">
        <f>1408.02</f>
        <v>1408.02</v>
      </c>
      <c r="H1055" s="497">
        <f>1408.02</f>
        <v>1408.02</v>
      </c>
      <c r="I1055" s="526"/>
      <c r="J1055" s="501"/>
      <c r="N1055" s="537"/>
      <c r="Q1055" s="537"/>
    </row>
    <row r="1056" spans="1:17" ht="15.75" hidden="1" x14ac:dyDescent="0.25">
      <c r="A1056" s="579" t="s">
        <v>135</v>
      </c>
      <c r="B1056" s="490">
        <v>908</v>
      </c>
      <c r="C1056" s="580" t="s">
        <v>234</v>
      </c>
      <c r="D1056" s="580" t="s">
        <v>215</v>
      </c>
      <c r="E1056" s="580" t="s">
        <v>1418</v>
      </c>
      <c r="F1056" s="580" t="s">
        <v>145</v>
      </c>
      <c r="G1056" s="497">
        <f>G1058+G1057</f>
        <v>0</v>
      </c>
      <c r="H1056" s="497">
        <f>H1058+H1057</f>
        <v>0</v>
      </c>
      <c r="I1056" s="526"/>
      <c r="J1056" s="501"/>
    </row>
    <row r="1057" spans="1:10" ht="32.25" hidden="1" customHeight="1" x14ac:dyDescent="0.25">
      <c r="A1057" s="579" t="s">
        <v>836</v>
      </c>
      <c r="B1057" s="490">
        <v>908</v>
      </c>
      <c r="C1057" s="580" t="s">
        <v>234</v>
      </c>
      <c r="D1057" s="580" t="s">
        <v>215</v>
      </c>
      <c r="E1057" s="580" t="s">
        <v>1418</v>
      </c>
      <c r="F1057" s="580" t="s">
        <v>147</v>
      </c>
      <c r="G1057" s="497">
        <v>0</v>
      </c>
      <c r="H1057" s="497">
        <v>0</v>
      </c>
      <c r="I1057" s="526"/>
      <c r="J1057" s="501"/>
    </row>
    <row r="1058" spans="1:10" ht="15.75" hidden="1" x14ac:dyDescent="0.25">
      <c r="A1058" s="579" t="s">
        <v>704</v>
      </c>
      <c r="B1058" s="490">
        <v>908</v>
      </c>
      <c r="C1058" s="580" t="s">
        <v>234</v>
      </c>
      <c r="D1058" s="580" t="s">
        <v>215</v>
      </c>
      <c r="E1058" s="580" t="s">
        <v>1418</v>
      </c>
      <c r="F1058" s="580" t="s">
        <v>138</v>
      </c>
      <c r="G1058" s="497">
        <f>3.4+37.5-40.9</f>
        <v>0</v>
      </c>
      <c r="H1058" s="497">
        <f>3.4+37.5-40.9</f>
        <v>0</v>
      </c>
      <c r="I1058" s="526"/>
      <c r="J1058" s="501"/>
    </row>
    <row r="1059" spans="1:10" ht="15.75" hidden="1" x14ac:dyDescent="0.25">
      <c r="A1059" s="579" t="s">
        <v>550</v>
      </c>
      <c r="B1059" s="490">
        <v>908</v>
      </c>
      <c r="C1059" s="580" t="s">
        <v>234</v>
      </c>
      <c r="D1059" s="580" t="s">
        <v>215</v>
      </c>
      <c r="E1059" s="580" t="s">
        <v>1298</v>
      </c>
      <c r="F1059" s="580"/>
      <c r="G1059" s="497">
        <f>G1060</f>
        <v>0</v>
      </c>
      <c r="H1059" s="497">
        <f>H1060</f>
        <v>0</v>
      </c>
      <c r="I1059" s="526"/>
      <c r="J1059" s="501"/>
    </row>
    <row r="1060" spans="1:10" ht="31.5" hidden="1" x14ac:dyDescent="0.25">
      <c r="A1060" s="579" t="s">
        <v>131</v>
      </c>
      <c r="B1060" s="490">
        <v>908</v>
      </c>
      <c r="C1060" s="580" t="s">
        <v>234</v>
      </c>
      <c r="D1060" s="580" t="s">
        <v>215</v>
      </c>
      <c r="E1060" s="580" t="s">
        <v>1298</v>
      </c>
      <c r="F1060" s="580" t="s">
        <v>132</v>
      </c>
      <c r="G1060" s="497">
        <f>G1061</f>
        <v>0</v>
      </c>
      <c r="H1060" s="497">
        <f>H1061</f>
        <v>0</v>
      </c>
      <c r="I1060" s="526"/>
      <c r="J1060" s="501"/>
    </row>
    <row r="1061" spans="1:10" ht="31.5" hidden="1" x14ac:dyDescent="0.25">
      <c r="A1061" s="579" t="s">
        <v>133</v>
      </c>
      <c r="B1061" s="490">
        <v>908</v>
      </c>
      <c r="C1061" s="580" t="s">
        <v>234</v>
      </c>
      <c r="D1061" s="580" t="s">
        <v>215</v>
      </c>
      <c r="E1061" s="580" t="s">
        <v>1298</v>
      </c>
      <c r="F1061" s="580" t="s">
        <v>134</v>
      </c>
      <c r="G1061" s="497">
        <v>0</v>
      </c>
      <c r="H1061" s="497">
        <v>0</v>
      </c>
      <c r="I1061" s="526"/>
      <c r="J1061" s="501"/>
    </row>
    <row r="1062" spans="1:10" ht="15.75" x14ac:dyDescent="0.25">
      <c r="A1062" s="579" t="s">
        <v>555</v>
      </c>
      <c r="B1062" s="490">
        <v>908</v>
      </c>
      <c r="C1062" s="580" t="s">
        <v>234</v>
      </c>
      <c r="D1062" s="580" t="s">
        <v>215</v>
      </c>
      <c r="E1062" s="580" t="s">
        <v>1275</v>
      </c>
      <c r="F1062" s="580"/>
      <c r="G1062" s="497">
        <f>G1063</f>
        <v>50</v>
      </c>
      <c r="H1062" s="497">
        <f>H1063</f>
        <v>50</v>
      </c>
      <c r="I1062" s="526"/>
      <c r="J1062" s="501"/>
    </row>
    <row r="1063" spans="1:10" ht="31.5" x14ac:dyDescent="0.25">
      <c r="A1063" s="579" t="s">
        <v>131</v>
      </c>
      <c r="B1063" s="490">
        <v>908</v>
      </c>
      <c r="C1063" s="580" t="s">
        <v>234</v>
      </c>
      <c r="D1063" s="580" t="s">
        <v>215</v>
      </c>
      <c r="E1063" s="580" t="s">
        <v>1275</v>
      </c>
      <c r="F1063" s="580" t="s">
        <v>132</v>
      </c>
      <c r="G1063" s="497">
        <f>G1064</f>
        <v>50</v>
      </c>
      <c r="H1063" s="497">
        <f>H1064</f>
        <v>50</v>
      </c>
      <c r="I1063" s="526"/>
      <c r="J1063" s="501"/>
    </row>
    <row r="1064" spans="1:10" ht="36" customHeight="1" x14ac:dyDescent="0.25">
      <c r="A1064" s="579" t="s">
        <v>133</v>
      </c>
      <c r="B1064" s="490">
        <v>908</v>
      </c>
      <c r="C1064" s="580" t="s">
        <v>234</v>
      </c>
      <c r="D1064" s="580" t="s">
        <v>215</v>
      </c>
      <c r="E1064" s="580" t="s">
        <v>1275</v>
      </c>
      <c r="F1064" s="580" t="s">
        <v>134</v>
      </c>
      <c r="G1064" s="497">
        <v>50</v>
      </c>
      <c r="H1064" s="497">
        <v>50</v>
      </c>
      <c r="I1064" s="526"/>
      <c r="J1064" s="501"/>
    </row>
    <row r="1065" spans="1:10" ht="30.75" customHeight="1" x14ac:dyDescent="0.25">
      <c r="A1065" s="325" t="s">
        <v>1432</v>
      </c>
      <c r="B1065" s="490">
        <v>908</v>
      </c>
      <c r="C1065" s="580" t="s">
        <v>234</v>
      </c>
      <c r="D1065" s="580" t="s">
        <v>215</v>
      </c>
      <c r="E1065" s="580" t="s">
        <v>1276</v>
      </c>
      <c r="F1065" s="580"/>
      <c r="G1065" s="497">
        <f>G1066+G1068</f>
        <v>375</v>
      </c>
      <c r="H1065" s="497">
        <f>H1066+H1068</f>
        <v>375</v>
      </c>
      <c r="I1065" s="526"/>
      <c r="J1065" s="501"/>
    </row>
    <row r="1066" spans="1:10" ht="31.5" x14ac:dyDescent="0.25">
      <c r="A1066" s="579" t="s">
        <v>131</v>
      </c>
      <c r="B1066" s="490">
        <v>908</v>
      </c>
      <c r="C1066" s="580" t="s">
        <v>234</v>
      </c>
      <c r="D1066" s="580" t="s">
        <v>215</v>
      </c>
      <c r="E1066" s="580" t="s">
        <v>1276</v>
      </c>
      <c r="F1066" s="580" t="s">
        <v>132</v>
      </c>
      <c r="G1066" s="497">
        <f>G1067</f>
        <v>375</v>
      </c>
      <c r="H1066" s="497">
        <f>H1067</f>
        <v>375</v>
      </c>
      <c r="I1066" s="526"/>
      <c r="J1066" s="501"/>
    </row>
    <row r="1067" spans="1:10" ht="31.5" x14ac:dyDescent="0.25">
      <c r="A1067" s="579" t="s">
        <v>133</v>
      </c>
      <c r="B1067" s="490">
        <v>908</v>
      </c>
      <c r="C1067" s="580" t="s">
        <v>234</v>
      </c>
      <c r="D1067" s="580" t="s">
        <v>215</v>
      </c>
      <c r="E1067" s="580" t="s">
        <v>1276</v>
      </c>
      <c r="F1067" s="580" t="s">
        <v>134</v>
      </c>
      <c r="G1067" s="497">
        <f>375</f>
        <v>375</v>
      </c>
      <c r="H1067" s="497">
        <f>375</f>
        <v>375</v>
      </c>
      <c r="I1067" s="526"/>
      <c r="J1067" s="501"/>
    </row>
    <row r="1068" spans="1:10" ht="15.75" hidden="1" x14ac:dyDescent="0.25">
      <c r="A1068" s="579" t="s">
        <v>135</v>
      </c>
      <c r="B1068" s="490">
        <v>908</v>
      </c>
      <c r="C1068" s="580" t="s">
        <v>234</v>
      </c>
      <c r="D1068" s="580" t="s">
        <v>215</v>
      </c>
      <c r="E1068" s="580" t="s">
        <v>1276</v>
      </c>
      <c r="F1068" s="580" t="s">
        <v>145</v>
      </c>
      <c r="G1068" s="497">
        <f>G1069</f>
        <v>0</v>
      </c>
      <c r="H1068" s="497">
        <f>H1069</f>
        <v>0</v>
      </c>
      <c r="I1068" s="526"/>
      <c r="J1068" s="501"/>
    </row>
    <row r="1069" spans="1:10" ht="15.75" hidden="1" x14ac:dyDescent="0.25">
      <c r="A1069" s="579" t="s">
        <v>704</v>
      </c>
      <c r="B1069" s="490">
        <v>908</v>
      </c>
      <c r="C1069" s="580" t="s">
        <v>234</v>
      </c>
      <c r="D1069" s="580" t="s">
        <v>215</v>
      </c>
      <c r="E1069" s="580" t="s">
        <v>1276</v>
      </c>
      <c r="F1069" s="580" t="s">
        <v>138</v>
      </c>
      <c r="G1069" s="497">
        <f>75-75</f>
        <v>0</v>
      </c>
      <c r="H1069" s="497">
        <f>75-75</f>
        <v>0</v>
      </c>
      <c r="I1069" s="526"/>
      <c r="J1069" s="501"/>
    </row>
    <row r="1070" spans="1:10" ht="15.75" hidden="1" x14ac:dyDescent="0.25">
      <c r="A1070" s="45" t="s">
        <v>559</v>
      </c>
      <c r="B1070" s="490">
        <v>908</v>
      </c>
      <c r="C1070" s="580" t="s">
        <v>234</v>
      </c>
      <c r="D1070" s="580" t="s">
        <v>215</v>
      </c>
      <c r="E1070" s="580" t="s">
        <v>1277</v>
      </c>
      <c r="F1070" s="580"/>
      <c r="G1070" s="497">
        <f>G1071</f>
        <v>0</v>
      </c>
      <c r="H1070" s="497">
        <f>H1071</f>
        <v>0</v>
      </c>
      <c r="I1070" s="526"/>
      <c r="J1070" s="501"/>
    </row>
    <row r="1071" spans="1:10" ht="31.5" hidden="1" x14ac:dyDescent="0.25">
      <c r="A1071" s="579" t="s">
        <v>131</v>
      </c>
      <c r="B1071" s="490">
        <v>908</v>
      </c>
      <c r="C1071" s="580" t="s">
        <v>234</v>
      </c>
      <c r="D1071" s="580" t="s">
        <v>215</v>
      </c>
      <c r="E1071" s="580" t="s">
        <v>1277</v>
      </c>
      <c r="F1071" s="580" t="s">
        <v>132</v>
      </c>
      <c r="G1071" s="497">
        <f>G1072</f>
        <v>0</v>
      </c>
      <c r="H1071" s="497">
        <f>H1072</f>
        <v>0</v>
      </c>
      <c r="I1071" s="526"/>
      <c r="J1071" s="501"/>
    </row>
    <row r="1072" spans="1:10" ht="31.5" hidden="1" x14ac:dyDescent="0.25">
      <c r="A1072" s="579" t="s">
        <v>133</v>
      </c>
      <c r="B1072" s="490">
        <v>908</v>
      </c>
      <c r="C1072" s="580" t="s">
        <v>234</v>
      </c>
      <c r="D1072" s="580" t="s">
        <v>215</v>
      </c>
      <c r="E1072" s="580" t="s">
        <v>1277</v>
      </c>
      <c r="F1072" s="580" t="s">
        <v>134</v>
      </c>
      <c r="G1072" s="497">
        <v>0</v>
      </c>
      <c r="H1072" s="497">
        <v>0</v>
      </c>
      <c r="I1072" s="526"/>
      <c r="J1072" s="501"/>
    </row>
    <row r="1073" spans="1:10" ht="31.5" x14ac:dyDescent="0.25">
      <c r="A1073" s="326" t="s">
        <v>1088</v>
      </c>
      <c r="B1073" s="490">
        <v>908</v>
      </c>
      <c r="C1073" s="580" t="s">
        <v>234</v>
      </c>
      <c r="D1073" s="580" t="s">
        <v>215</v>
      </c>
      <c r="E1073" s="580" t="s">
        <v>1278</v>
      </c>
      <c r="F1073" s="580"/>
      <c r="G1073" s="497">
        <f>G1074</f>
        <v>50</v>
      </c>
      <c r="H1073" s="497">
        <f>H1074</f>
        <v>50</v>
      </c>
      <c r="I1073" s="526"/>
      <c r="J1073" s="501"/>
    </row>
    <row r="1074" spans="1:10" ht="31.5" x14ac:dyDescent="0.25">
      <c r="A1074" s="579" t="s">
        <v>131</v>
      </c>
      <c r="B1074" s="490">
        <v>908</v>
      </c>
      <c r="C1074" s="580" t="s">
        <v>234</v>
      </c>
      <c r="D1074" s="580" t="s">
        <v>215</v>
      </c>
      <c r="E1074" s="580" t="s">
        <v>1278</v>
      </c>
      <c r="F1074" s="580" t="s">
        <v>132</v>
      </c>
      <c r="G1074" s="497">
        <f>G1075</f>
        <v>50</v>
      </c>
      <c r="H1074" s="497">
        <f>H1075</f>
        <v>50</v>
      </c>
      <c r="I1074" s="526"/>
      <c r="J1074" s="501"/>
    </row>
    <row r="1075" spans="1:10" ht="31.5" x14ac:dyDescent="0.25">
      <c r="A1075" s="579" t="s">
        <v>133</v>
      </c>
      <c r="B1075" s="490">
        <v>908</v>
      </c>
      <c r="C1075" s="580" t="s">
        <v>234</v>
      </c>
      <c r="D1075" s="580" t="s">
        <v>215</v>
      </c>
      <c r="E1075" s="580" t="s">
        <v>1278</v>
      </c>
      <c r="F1075" s="580" t="s">
        <v>134</v>
      </c>
      <c r="G1075" s="497">
        <f>50</f>
        <v>50</v>
      </c>
      <c r="H1075" s="497">
        <f>50</f>
        <v>50</v>
      </c>
      <c r="I1075" s="526"/>
      <c r="J1075" s="501"/>
    </row>
    <row r="1076" spans="1:10" ht="31.5" x14ac:dyDescent="0.25">
      <c r="A1076" s="494" t="s">
        <v>891</v>
      </c>
      <c r="B1076" s="491">
        <v>908</v>
      </c>
      <c r="C1076" s="495" t="s">
        <v>234</v>
      </c>
      <c r="D1076" s="495" t="s">
        <v>215</v>
      </c>
      <c r="E1076" s="495" t="s">
        <v>1296</v>
      </c>
      <c r="F1076" s="495"/>
      <c r="G1076" s="493">
        <f>G1077+G1080</f>
        <v>2145.8000000000002</v>
      </c>
      <c r="H1076" s="493">
        <f>H1077+H1080</f>
        <v>2145.8000000000002</v>
      </c>
      <c r="I1076" s="526"/>
      <c r="J1076" s="501"/>
    </row>
    <row r="1077" spans="1:10" ht="31.5" hidden="1" x14ac:dyDescent="0.25">
      <c r="A1077" s="579" t="s">
        <v>690</v>
      </c>
      <c r="B1077" s="490">
        <v>908</v>
      </c>
      <c r="C1077" s="580" t="s">
        <v>234</v>
      </c>
      <c r="D1077" s="580" t="s">
        <v>215</v>
      </c>
      <c r="E1077" s="580" t="s">
        <v>1327</v>
      </c>
      <c r="F1077" s="580"/>
      <c r="G1077" s="497">
        <f>G1078</f>
        <v>0</v>
      </c>
      <c r="H1077" s="497">
        <f>H1078</f>
        <v>0</v>
      </c>
      <c r="I1077" s="526"/>
      <c r="J1077" s="501"/>
    </row>
    <row r="1078" spans="1:10" ht="31.5" hidden="1" x14ac:dyDescent="0.25">
      <c r="A1078" s="579" t="s">
        <v>131</v>
      </c>
      <c r="B1078" s="490">
        <v>908</v>
      </c>
      <c r="C1078" s="580" t="s">
        <v>234</v>
      </c>
      <c r="D1078" s="580" t="s">
        <v>215</v>
      </c>
      <c r="E1078" s="580" t="s">
        <v>1327</v>
      </c>
      <c r="F1078" s="580" t="s">
        <v>132</v>
      </c>
      <c r="G1078" s="497">
        <f>G1079</f>
        <v>0</v>
      </c>
      <c r="H1078" s="497">
        <f>H1079</f>
        <v>0</v>
      </c>
      <c r="I1078" s="526"/>
      <c r="J1078" s="501"/>
    </row>
    <row r="1079" spans="1:10" ht="31.5" hidden="1" x14ac:dyDescent="0.25">
      <c r="A1079" s="579" t="s">
        <v>133</v>
      </c>
      <c r="B1079" s="490">
        <v>908</v>
      </c>
      <c r="C1079" s="580" t="s">
        <v>234</v>
      </c>
      <c r="D1079" s="580" t="s">
        <v>215</v>
      </c>
      <c r="E1079" s="580" t="s">
        <v>1327</v>
      </c>
      <c r="F1079" s="580" t="s">
        <v>134</v>
      </c>
      <c r="G1079" s="497">
        <v>0</v>
      </c>
      <c r="H1079" s="497">
        <v>0</v>
      </c>
      <c r="I1079" s="526"/>
      <c r="J1079" s="501"/>
    </row>
    <row r="1080" spans="1:10" ht="47.25" x14ac:dyDescent="0.25">
      <c r="A1080" s="579" t="s">
        <v>1070</v>
      </c>
      <c r="B1080" s="490">
        <v>908</v>
      </c>
      <c r="C1080" s="580" t="s">
        <v>234</v>
      </c>
      <c r="D1080" s="580" t="s">
        <v>215</v>
      </c>
      <c r="E1080" s="580" t="s">
        <v>1295</v>
      </c>
      <c r="F1080" s="580"/>
      <c r="G1080" s="497">
        <f>G1081</f>
        <v>2145.8000000000002</v>
      </c>
      <c r="H1080" s="497">
        <f>H1081</f>
        <v>2145.8000000000002</v>
      </c>
      <c r="I1080" s="526"/>
      <c r="J1080" s="501"/>
    </row>
    <row r="1081" spans="1:10" ht="31.5" x14ac:dyDescent="0.25">
      <c r="A1081" s="579" t="s">
        <v>131</v>
      </c>
      <c r="B1081" s="490">
        <v>908</v>
      </c>
      <c r="C1081" s="580" t="s">
        <v>234</v>
      </c>
      <c r="D1081" s="580" t="s">
        <v>215</v>
      </c>
      <c r="E1081" s="580" t="s">
        <v>1295</v>
      </c>
      <c r="F1081" s="580" t="s">
        <v>132</v>
      </c>
      <c r="G1081" s="497">
        <f>G1082</f>
        <v>2145.8000000000002</v>
      </c>
      <c r="H1081" s="497">
        <f>H1082</f>
        <v>2145.8000000000002</v>
      </c>
      <c r="I1081" s="526"/>
      <c r="J1081" s="501"/>
    </row>
    <row r="1082" spans="1:10" ht="31.5" x14ac:dyDescent="0.25">
      <c r="A1082" s="579" t="s">
        <v>133</v>
      </c>
      <c r="B1082" s="490">
        <v>908</v>
      </c>
      <c r="C1082" s="580" t="s">
        <v>234</v>
      </c>
      <c r="D1082" s="580" t="s">
        <v>215</v>
      </c>
      <c r="E1082" s="580" t="s">
        <v>1295</v>
      </c>
      <c r="F1082" s="580" t="s">
        <v>134</v>
      </c>
      <c r="G1082" s="497">
        <v>2145.8000000000002</v>
      </c>
      <c r="H1082" s="497">
        <v>2145.8000000000002</v>
      </c>
      <c r="I1082" s="526"/>
      <c r="J1082" s="501"/>
    </row>
    <row r="1083" spans="1:10" ht="31.5" hidden="1" x14ac:dyDescent="0.25">
      <c r="A1083" s="34" t="s">
        <v>1651</v>
      </c>
      <c r="B1083" s="491">
        <v>908</v>
      </c>
      <c r="C1083" s="495" t="s">
        <v>234</v>
      </c>
      <c r="D1083" s="495" t="s">
        <v>215</v>
      </c>
      <c r="E1083" s="495" t="s">
        <v>1652</v>
      </c>
      <c r="F1083" s="495"/>
      <c r="G1083" s="493">
        <f t="shared" ref="G1083:H1085" si="91">G1084</f>
        <v>0</v>
      </c>
      <c r="H1083" s="493">
        <f t="shared" si="91"/>
        <v>0</v>
      </c>
      <c r="I1083" s="526"/>
      <c r="J1083" s="501"/>
    </row>
    <row r="1084" spans="1:10" ht="15.75" hidden="1" x14ac:dyDescent="0.25">
      <c r="A1084" s="31" t="s">
        <v>1650</v>
      </c>
      <c r="B1084" s="490">
        <v>908</v>
      </c>
      <c r="C1084" s="580" t="s">
        <v>234</v>
      </c>
      <c r="D1084" s="580" t="s">
        <v>215</v>
      </c>
      <c r="E1084" s="580" t="s">
        <v>1653</v>
      </c>
      <c r="F1084" s="580"/>
      <c r="G1084" s="497">
        <f t="shared" si="91"/>
        <v>0</v>
      </c>
      <c r="H1084" s="497">
        <f t="shared" si="91"/>
        <v>0</v>
      </c>
      <c r="I1084" s="526"/>
      <c r="J1084" s="501"/>
    </row>
    <row r="1085" spans="1:10" ht="31.5" hidden="1" x14ac:dyDescent="0.25">
      <c r="A1085" s="579" t="s">
        <v>131</v>
      </c>
      <c r="B1085" s="490">
        <v>908</v>
      </c>
      <c r="C1085" s="580" t="s">
        <v>234</v>
      </c>
      <c r="D1085" s="580" t="s">
        <v>215</v>
      </c>
      <c r="E1085" s="580" t="s">
        <v>1653</v>
      </c>
      <c r="F1085" s="580" t="s">
        <v>132</v>
      </c>
      <c r="G1085" s="497">
        <f t="shared" si="91"/>
        <v>0</v>
      </c>
      <c r="H1085" s="497">
        <f t="shared" si="91"/>
        <v>0</v>
      </c>
      <c r="I1085" s="526"/>
      <c r="J1085" s="501"/>
    </row>
    <row r="1086" spans="1:10" ht="31.5" hidden="1" x14ac:dyDescent="0.25">
      <c r="A1086" s="579" t="s">
        <v>133</v>
      </c>
      <c r="B1086" s="490">
        <v>908</v>
      </c>
      <c r="C1086" s="580" t="s">
        <v>234</v>
      </c>
      <c r="D1086" s="580" t="s">
        <v>215</v>
      </c>
      <c r="E1086" s="580" t="s">
        <v>1653</v>
      </c>
      <c r="F1086" s="580" t="s">
        <v>134</v>
      </c>
      <c r="G1086" s="497"/>
      <c r="H1086" s="497"/>
      <c r="I1086" s="535"/>
      <c r="J1086" s="501"/>
    </row>
    <row r="1087" spans="1:10" ht="31.5" x14ac:dyDescent="0.25">
      <c r="A1087" s="34" t="s">
        <v>1678</v>
      </c>
      <c r="B1087" s="491">
        <v>908</v>
      </c>
      <c r="C1087" s="495" t="s">
        <v>234</v>
      </c>
      <c r="D1087" s="495" t="s">
        <v>215</v>
      </c>
      <c r="E1087" s="495" t="s">
        <v>1677</v>
      </c>
      <c r="F1087" s="495"/>
      <c r="G1087" s="493">
        <f t="shared" ref="G1087:H1089" si="92">G1088</f>
        <v>4351.8999999999996</v>
      </c>
      <c r="H1087" s="493">
        <f t="shared" si="92"/>
        <v>4351.8999999999996</v>
      </c>
      <c r="I1087" s="540"/>
      <c r="J1087" s="501"/>
    </row>
    <row r="1088" spans="1:10" ht="15.75" x14ac:dyDescent="0.25">
      <c r="A1088" s="31" t="s">
        <v>1747</v>
      </c>
      <c r="B1088" s="490">
        <v>908</v>
      </c>
      <c r="C1088" s="580" t="s">
        <v>234</v>
      </c>
      <c r="D1088" s="580" t="s">
        <v>215</v>
      </c>
      <c r="E1088" s="580" t="s">
        <v>1686</v>
      </c>
      <c r="F1088" s="580"/>
      <c r="G1088" s="497">
        <f t="shared" si="92"/>
        <v>4351.8999999999996</v>
      </c>
      <c r="H1088" s="497">
        <f t="shared" si="92"/>
        <v>4351.8999999999996</v>
      </c>
      <c r="I1088" s="540"/>
      <c r="J1088" s="501"/>
    </row>
    <row r="1089" spans="1:10" ht="31.5" x14ac:dyDescent="0.25">
      <c r="A1089" s="579" t="s">
        <v>131</v>
      </c>
      <c r="B1089" s="490">
        <v>908</v>
      </c>
      <c r="C1089" s="580" t="s">
        <v>234</v>
      </c>
      <c r="D1089" s="580" t="s">
        <v>215</v>
      </c>
      <c r="E1089" s="580" t="s">
        <v>1686</v>
      </c>
      <c r="F1089" s="580" t="s">
        <v>132</v>
      </c>
      <c r="G1089" s="497">
        <f t="shared" si="92"/>
        <v>4351.8999999999996</v>
      </c>
      <c r="H1089" s="497">
        <f t="shared" si="92"/>
        <v>4351.8999999999996</v>
      </c>
      <c r="I1089" s="540"/>
      <c r="J1089" s="501"/>
    </row>
    <row r="1090" spans="1:10" ht="31.5" x14ac:dyDescent="0.25">
      <c r="A1090" s="579" t="s">
        <v>133</v>
      </c>
      <c r="B1090" s="490">
        <v>908</v>
      </c>
      <c r="C1090" s="580" t="s">
        <v>234</v>
      </c>
      <c r="D1090" s="580" t="s">
        <v>215</v>
      </c>
      <c r="E1090" s="580" t="s">
        <v>1686</v>
      </c>
      <c r="F1090" s="580" t="s">
        <v>134</v>
      </c>
      <c r="G1090" s="497">
        <f>4173.5+178.4</f>
        <v>4351.8999999999996</v>
      </c>
      <c r="H1090" s="497">
        <f>4173.5+178.4</f>
        <v>4351.8999999999996</v>
      </c>
      <c r="I1090" s="540"/>
      <c r="J1090" s="501"/>
    </row>
    <row r="1091" spans="1:10" ht="51" customHeight="1" x14ac:dyDescent="0.25">
      <c r="A1091" s="494" t="s">
        <v>1607</v>
      </c>
      <c r="B1091" s="491">
        <v>908</v>
      </c>
      <c r="C1091" s="495" t="s">
        <v>234</v>
      </c>
      <c r="D1091" s="495" t="s">
        <v>215</v>
      </c>
      <c r="E1091" s="495" t="s">
        <v>711</v>
      </c>
      <c r="F1091" s="495"/>
      <c r="G1091" s="493">
        <f>G1092+G1096</f>
        <v>500</v>
      </c>
      <c r="H1091" s="493">
        <f>H1092+H1096</f>
        <v>500</v>
      </c>
      <c r="I1091" s="526"/>
      <c r="J1091" s="501"/>
    </row>
    <row r="1092" spans="1:10" ht="34.5" customHeight="1" x14ac:dyDescent="0.25">
      <c r="A1092" s="494" t="s">
        <v>1066</v>
      </c>
      <c r="B1092" s="491">
        <v>908</v>
      </c>
      <c r="C1092" s="495" t="s">
        <v>234</v>
      </c>
      <c r="D1092" s="495" t="s">
        <v>215</v>
      </c>
      <c r="E1092" s="495" t="s">
        <v>1087</v>
      </c>
      <c r="F1092" s="495"/>
      <c r="G1092" s="493">
        <f t="shared" ref="G1092:H1094" si="93">G1093</f>
        <v>500</v>
      </c>
      <c r="H1092" s="493">
        <f t="shared" si="93"/>
        <v>500</v>
      </c>
      <c r="I1092" s="526"/>
      <c r="J1092" s="501"/>
    </row>
    <row r="1093" spans="1:10" ht="48.75" customHeight="1" x14ac:dyDescent="0.25">
      <c r="A1093" s="80" t="s">
        <v>693</v>
      </c>
      <c r="B1093" s="490">
        <v>908</v>
      </c>
      <c r="C1093" s="580" t="s">
        <v>234</v>
      </c>
      <c r="D1093" s="580" t="s">
        <v>215</v>
      </c>
      <c r="E1093" s="580" t="s">
        <v>835</v>
      </c>
      <c r="F1093" s="580"/>
      <c r="G1093" s="497">
        <f t="shared" si="93"/>
        <v>500</v>
      </c>
      <c r="H1093" s="497">
        <f t="shared" si="93"/>
        <v>500</v>
      </c>
      <c r="I1093" s="526"/>
      <c r="J1093" s="501"/>
    </row>
    <row r="1094" spans="1:10" ht="31.5" x14ac:dyDescent="0.25">
      <c r="A1094" s="579" t="s">
        <v>131</v>
      </c>
      <c r="B1094" s="490">
        <v>908</v>
      </c>
      <c r="C1094" s="580" t="s">
        <v>234</v>
      </c>
      <c r="D1094" s="580" t="s">
        <v>215</v>
      </c>
      <c r="E1094" s="580" t="s">
        <v>835</v>
      </c>
      <c r="F1094" s="580" t="s">
        <v>132</v>
      </c>
      <c r="G1094" s="497">
        <f t="shared" si="93"/>
        <v>500</v>
      </c>
      <c r="H1094" s="497">
        <f t="shared" si="93"/>
        <v>500</v>
      </c>
      <c r="I1094" s="526"/>
      <c r="J1094" s="501"/>
    </row>
    <row r="1095" spans="1:10" ht="31.5" x14ac:dyDescent="0.25">
      <c r="A1095" s="579" t="s">
        <v>133</v>
      </c>
      <c r="B1095" s="490">
        <v>908</v>
      </c>
      <c r="C1095" s="580" t="s">
        <v>234</v>
      </c>
      <c r="D1095" s="580" t="s">
        <v>215</v>
      </c>
      <c r="E1095" s="580" t="s">
        <v>835</v>
      </c>
      <c r="F1095" s="580" t="s">
        <v>134</v>
      </c>
      <c r="G1095" s="497">
        <f>500</f>
        <v>500</v>
      </c>
      <c r="H1095" s="497">
        <f>500</f>
        <v>500</v>
      </c>
      <c r="I1095" s="526"/>
      <c r="J1095" s="501"/>
    </row>
    <row r="1096" spans="1:10" ht="98.25" hidden="1" customHeight="1" x14ac:dyDescent="0.25">
      <c r="A1096" s="494" t="s">
        <v>1681</v>
      </c>
      <c r="B1096" s="491">
        <v>908</v>
      </c>
      <c r="C1096" s="495" t="s">
        <v>234</v>
      </c>
      <c r="D1096" s="495" t="s">
        <v>215</v>
      </c>
      <c r="E1096" s="495" t="s">
        <v>1682</v>
      </c>
      <c r="F1096" s="495"/>
      <c r="G1096" s="493">
        <f t="shared" ref="G1096:H1098" si="94">G1097</f>
        <v>0</v>
      </c>
      <c r="H1096" s="493">
        <f t="shared" si="94"/>
        <v>0</v>
      </c>
      <c r="I1096" s="526"/>
      <c r="J1096" s="501"/>
    </row>
    <row r="1097" spans="1:10" ht="76.150000000000006" hidden="1" customHeight="1" x14ac:dyDescent="0.25">
      <c r="A1097" s="80" t="s">
        <v>1704</v>
      </c>
      <c r="B1097" s="490">
        <v>908</v>
      </c>
      <c r="C1097" s="580" t="s">
        <v>234</v>
      </c>
      <c r="D1097" s="580" t="s">
        <v>215</v>
      </c>
      <c r="E1097" s="580" t="s">
        <v>1683</v>
      </c>
      <c r="F1097" s="580"/>
      <c r="G1097" s="497">
        <f t="shared" si="94"/>
        <v>0</v>
      </c>
      <c r="H1097" s="497">
        <f t="shared" si="94"/>
        <v>0</v>
      </c>
      <c r="I1097" s="526"/>
      <c r="J1097" s="501"/>
    </row>
    <row r="1098" spans="1:10" ht="31.15" hidden="1" customHeight="1" x14ac:dyDescent="0.25">
      <c r="A1098" s="579" t="s">
        <v>131</v>
      </c>
      <c r="B1098" s="490">
        <v>908</v>
      </c>
      <c r="C1098" s="580" t="s">
        <v>234</v>
      </c>
      <c r="D1098" s="580" t="s">
        <v>215</v>
      </c>
      <c r="E1098" s="580" t="s">
        <v>1683</v>
      </c>
      <c r="F1098" s="580" t="s">
        <v>132</v>
      </c>
      <c r="G1098" s="497">
        <f t="shared" si="94"/>
        <v>0</v>
      </c>
      <c r="H1098" s="497">
        <f t="shared" si="94"/>
        <v>0</v>
      </c>
      <c r="I1098" s="526"/>
      <c r="J1098" s="501"/>
    </row>
    <row r="1099" spans="1:10" ht="31.15" hidden="1" customHeight="1" x14ac:dyDescent="0.25">
      <c r="A1099" s="579" t="s">
        <v>133</v>
      </c>
      <c r="B1099" s="490">
        <v>908</v>
      </c>
      <c r="C1099" s="580" t="s">
        <v>234</v>
      </c>
      <c r="D1099" s="580" t="s">
        <v>215</v>
      </c>
      <c r="E1099" s="580" t="s">
        <v>1683</v>
      </c>
      <c r="F1099" s="580" t="s">
        <v>134</v>
      </c>
      <c r="G1099" s="497"/>
      <c r="H1099" s="497"/>
      <c r="I1099" s="526"/>
      <c r="J1099" s="501"/>
    </row>
    <row r="1100" spans="1:10" ht="31.5" x14ac:dyDescent="0.25">
      <c r="A1100" s="494" t="s">
        <v>569</v>
      </c>
      <c r="B1100" s="491">
        <v>908</v>
      </c>
      <c r="C1100" s="495" t="s">
        <v>234</v>
      </c>
      <c r="D1100" s="495" t="s">
        <v>234</v>
      </c>
      <c r="E1100" s="495"/>
      <c r="F1100" s="495"/>
      <c r="G1100" s="493">
        <f>G1101+G1116+G1141</f>
        <v>30376.5</v>
      </c>
      <c r="H1100" s="493">
        <f>H1101+H1116+H1141</f>
        <v>30376.5</v>
      </c>
      <c r="I1100" s="526"/>
      <c r="J1100" s="501"/>
    </row>
    <row r="1101" spans="1:10" ht="31.5" x14ac:dyDescent="0.25">
      <c r="A1101" s="494" t="s">
        <v>917</v>
      </c>
      <c r="B1101" s="491">
        <v>908</v>
      </c>
      <c r="C1101" s="495" t="s">
        <v>234</v>
      </c>
      <c r="D1101" s="495" t="s">
        <v>234</v>
      </c>
      <c r="E1101" s="495" t="s">
        <v>858</v>
      </c>
      <c r="F1101" s="495"/>
      <c r="G1101" s="493">
        <f>G1102</f>
        <v>16377</v>
      </c>
      <c r="H1101" s="493">
        <f>H1102</f>
        <v>16377</v>
      </c>
      <c r="I1101" s="526"/>
      <c r="J1101" s="501"/>
    </row>
    <row r="1102" spans="1:10" ht="15.75" x14ac:dyDescent="0.25">
      <c r="A1102" s="494" t="s">
        <v>918</v>
      </c>
      <c r="B1102" s="491">
        <v>908</v>
      </c>
      <c r="C1102" s="495" t="s">
        <v>234</v>
      </c>
      <c r="D1102" s="495" t="s">
        <v>234</v>
      </c>
      <c r="E1102" s="495" t="s">
        <v>859</v>
      </c>
      <c r="F1102" s="495"/>
      <c r="G1102" s="493">
        <f>G1103+G1113+G1110</f>
        <v>16377</v>
      </c>
      <c r="H1102" s="493">
        <f>H1103+H1113+H1110</f>
        <v>16377</v>
      </c>
      <c r="I1102" s="526"/>
      <c r="J1102" s="501"/>
    </row>
    <row r="1103" spans="1:10" ht="31.9" customHeight="1" x14ac:dyDescent="0.25">
      <c r="A1103" s="579" t="s">
        <v>897</v>
      </c>
      <c r="B1103" s="490">
        <v>908</v>
      </c>
      <c r="C1103" s="580" t="s">
        <v>234</v>
      </c>
      <c r="D1103" s="580" t="s">
        <v>234</v>
      </c>
      <c r="E1103" s="580" t="s">
        <v>860</v>
      </c>
      <c r="F1103" s="580"/>
      <c r="G1103" s="497">
        <f>G1104+G1108+G1106</f>
        <v>14388.5</v>
      </c>
      <c r="H1103" s="497">
        <f>H1104+H1108+H1106</f>
        <v>14388.5</v>
      </c>
      <c r="I1103" s="526"/>
      <c r="J1103" s="501"/>
    </row>
    <row r="1104" spans="1:10" ht="60.75" customHeight="1" x14ac:dyDescent="0.25">
      <c r="A1104" s="579" t="s">
        <v>127</v>
      </c>
      <c r="B1104" s="490">
        <v>908</v>
      </c>
      <c r="C1104" s="580" t="s">
        <v>234</v>
      </c>
      <c r="D1104" s="580" t="s">
        <v>234</v>
      </c>
      <c r="E1104" s="580" t="s">
        <v>860</v>
      </c>
      <c r="F1104" s="580" t="s">
        <v>128</v>
      </c>
      <c r="G1104" s="497">
        <f>G1105</f>
        <v>14363.5</v>
      </c>
      <c r="H1104" s="497">
        <f>H1105</f>
        <v>14363.5</v>
      </c>
      <c r="I1104" s="526"/>
      <c r="J1104" s="501"/>
    </row>
    <row r="1105" spans="1:10" ht="31.5" x14ac:dyDescent="0.25">
      <c r="A1105" s="579" t="s">
        <v>129</v>
      </c>
      <c r="B1105" s="490">
        <v>908</v>
      </c>
      <c r="C1105" s="580" t="s">
        <v>234</v>
      </c>
      <c r="D1105" s="580" t="s">
        <v>234</v>
      </c>
      <c r="E1105" s="580" t="s">
        <v>860</v>
      </c>
      <c r="F1105" s="580" t="s">
        <v>130</v>
      </c>
      <c r="G1105" s="27">
        <v>14363.5</v>
      </c>
      <c r="H1105" s="27">
        <f>G1105</f>
        <v>14363.5</v>
      </c>
      <c r="I1105" s="526"/>
      <c r="J1105" s="501"/>
    </row>
    <row r="1106" spans="1:10" ht="31.5" x14ac:dyDescent="0.25">
      <c r="A1106" s="579" t="s">
        <v>131</v>
      </c>
      <c r="B1106" s="490">
        <v>908</v>
      </c>
      <c r="C1106" s="580" t="s">
        <v>234</v>
      </c>
      <c r="D1106" s="580" t="s">
        <v>234</v>
      </c>
      <c r="E1106" s="580" t="s">
        <v>860</v>
      </c>
      <c r="F1106" s="580" t="s">
        <v>132</v>
      </c>
      <c r="G1106" s="497">
        <f>G1107</f>
        <v>25</v>
      </c>
      <c r="H1106" s="497">
        <f>H1107</f>
        <v>25</v>
      </c>
      <c r="I1106" s="526"/>
      <c r="J1106" s="501"/>
    </row>
    <row r="1107" spans="1:10" ht="36.75" customHeight="1" x14ac:dyDescent="0.25">
      <c r="A1107" s="579" t="s">
        <v>133</v>
      </c>
      <c r="B1107" s="490">
        <v>908</v>
      </c>
      <c r="C1107" s="580" t="s">
        <v>234</v>
      </c>
      <c r="D1107" s="580" t="s">
        <v>234</v>
      </c>
      <c r="E1107" s="580" t="s">
        <v>860</v>
      </c>
      <c r="F1107" s="580" t="s">
        <v>134</v>
      </c>
      <c r="G1107" s="27">
        <v>25</v>
      </c>
      <c r="H1107" s="27">
        <v>25</v>
      </c>
      <c r="I1107" s="526"/>
      <c r="J1107" s="501"/>
    </row>
    <row r="1108" spans="1:10" ht="15.75" hidden="1" x14ac:dyDescent="0.25">
      <c r="A1108" s="579" t="s">
        <v>135</v>
      </c>
      <c r="B1108" s="490">
        <v>908</v>
      </c>
      <c r="C1108" s="580" t="s">
        <v>234</v>
      </c>
      <c r="D1108" s="580" t="s">
        <v>234</v>
      </c>
      <c r="E1108" s="580" t="s">
        <v>860</v>
      </c>
      <c r="F1108" s="580" t="s">
        <v>145</v>
      </c>
      <c r="G1108" s="497">
        <f>G1109</f>
        <v>0</v>
      </c>
      <c r="H1108" s="497">
        <f>H1109</f>
        <v>0</v>
      </c>
      <c r="I1108" s="526"/>
      <c r="J1108" s="501"/>
    </row>
    <row r="1109" spans="1:10" ht="15.75" hidden="1" x14ac:dyDescent="0.25">
      <c r="A1109" s="579" t="s">
        <v>568</v>
      </c>
      <c r="B1109" s="490">
        <v>908</v>
      </c>
      <c r="C1109" s="580" t="s">
        <v>234</v>
      </c>
      <c r="D1109" s="580" t="s">
        <v>234</v>
      </c>
      <c r="E1109" s="580" t="s">
        <v>860</v>
      </c>
      <c r="F1109" s="580" t="s">
        <v>138</v>
      </c>
      <c r="G1109" s="497"/>
      <c r="H1109" s="497"/>
      <c r="I1109" s="526"/>
      <c r="J1109" s="501"/>
    </row>
    <row r="1110" spans="1:10" ht="31.5" x14ac:dyDescent="0.25">
      <c r="A1110" s="579" t="s">
        <v>840</v>
      </c>
      <c r="B1110" s="490">
        <v>908</v>
      </c>
      <c r="C1110" s="580" t="s">
        <v>234</v>
      </c>
      <c r="D1110" s="580" t="s">
        <v>234</v>
      </c>
      <c r="E1110" s="580" t="s">
        <v>861</v>
      </c>
      <c r="F1110" s="580"/>
      <c r="G1110" s="497">
        <f>G1111</f>
        <v>1280.5</v>
      </c>
      <c r="H1110" s="497">
        <f>H1111</f>
        <v>1280.5</v>
      </c>
      <c r="I1110" s="526"/>
      <c r="J1110" s="501"/>
    </row>
    <row r="1111" spans="1:10" ht="63" x14ac:dyDescent="0.25">
      <c r="A1111" s="579" t="s">
        <v>127</v>
      </c>
      <c r="B1111" s="490">
        <v>908</v>
      </c>
      <c r="C1111" s="580" t="s">
        <v>234</v>
      </c>
      <c r="D1111" s="580" t="s">
        <v>234</v>
      </c>
      <c r="E1111" s="580" t="s">
        <v>861</v>
      </c>
      <c r="F1111" s="580" t="s">
        <v>128</v>
      </c>
      <c r="G1111" s="497">
        <f>G1112</f>
        <v>1280.5</v>
      </c>
      <c r="H1111" s="497">
        <f>H1112</f>
        <v>1280.5</v>
      </c>
      <c r="I1111" s="526"/>
      <c r="J1111" s="501"/>
    </row>
    <row r="1112" spans="1:10" ht="31.5" x14ac:dyDescent="0.25">
      <c r="A1112" s="579" t="s">
        <v>129</v>
      </c>
      <c r="B1112" s="490">
        <v>908</v>
      </c>
      <c r="C1112" s="580" t="s">
        <v>234</v>
      </c>
      <c r="D1112" s="580" t="s">
        <v>234</v>
      </c>
      <c r="E1112" s="580" t="s">
        <v>861</v>
      </c>
      <c r="F1112" s="580" t="s">
        <v>130</v>
      </c>
      <c r="G1112" s="497">
        <v>1280.5</v>
      </c>
      <c r="H1112" s="497">
        <f>G1112</f>
        <v>1280.5</v>
      </c>
      <c r="I1112" s="526"/>
      <c r="J1112" s="501"/>
    </row>
    <row r="1113" spans="1:10" ht="31.5" x14ac:dyDescent="0.25">
      <c r="A1113" s="579" t="s">
        <v>839</v>
      </c>
      <c r="B1113" s="490">
        <v>908</v>
      </c>
      <c r="C1113" s="580" t="s">
        <v>234</v>
      </c>
      <c r="D1113" s="580" t="s">
        <v>234</v>
      </c>
      <c r="E1113" s="580" t="s">
        <v>862</v>
      </c>
      <c r="F1113" s="580"/>
      <c r="G1113" s="497">
        <f>G1114</f>
        <v>708</v>
      </c>
      <c r="H1113" s="497">
        <f>H1114</f>
        <v>708</v>
      </c>
      <c r="I1113" s="526"/>
      <c r="J1113" s="501"/>
    </row>
    <row r="1114" spans="1:10" ht="63" x14ac:dyDescent="0.25">
      <c r="A1114" s="579" t="s">
        <v>127</v>
      </c>
      <c r="B1114" s="490">
        <v>908</v>
      </c>
      <c r="C1114" s="580" t="s">
        <v>234</v>
      </c>
      <c r="D1114" s="580" t="s">
        <v>234</v>
      </c>
      <c r="E1114" s="580" t="s">
        <v>862</v>
      </c>
      <c r="F1114" s="580" t="s">
        <v>128</v>
      </c>
      <c r="G1114" s="497">
        <f>G1115</f>
        <v>708</v>
      </c>
      <c r="H1114" s="497">
        <f>H1115</f>
        <v>708</v>
      </c>
      <c r="I1114" s="526"/>
      <c r="J1114" s="501"/>
    </row>
    <row r="1115" spans="1:10" ht="31.5" x14ac:dyDescent="0.25">
      <c r="A1115" s="579" t="s">
        <v>129</v>
      </c>
      <c r="B1115" s="490">
        <v>908</v>
      </c>
      <c r="C1115" s="580" t="s">
        <v>234</v>
      </c>
      <c r="D1115" s="580" t="s">
        <v>234</v>
      </c>
      <c r="E1115" s="580" t="s">
        <v>862</v>
      </c>
      <c r="F1115" s="580" t="s">
        <v>130</v>
      </c>
      <c r="G1115" s="497">
        <f>368+340</f>
        <v>708</v>
      </c>
      <c r="H1115" s="497">
        <f>368+340</f>
        <v>708</v>
      </c>
      <c r="I1115" s="526"/>
      <c r="J1115" s="501"/>
    </row>
    <row r="1116" spans="1:10" ht="15.75" x14ac:dyDescent="0.25">
      <c r="A1116" s="494" t="s">
        <v>141</v>
      </c>
      <c r="B1116" s="491">
        <v>908</v>
      </c>
      <c r="C1116" s="495" t="s">
        <v>234</v>
      </c>
      <c r="D1116" s="495" t="s">
        <v>234</v>
      </c>
      <c r="E1116" s="495" t="s">
        <v>866</v>
      </c>
      <c r="F1116" s="495"/>
      <c r="G1116" s="493">
        <f>G1117+G1128</f>
        <v>13999.5</v>
      </c>
      <c r="H1116" s="493">
        <f>H1117+H1128</f>
        <v>13999.5</v>
      </c>
      <c r="I1116" s="526"/>
      <c r="J1116" s="501"/>
    </row>
    <row r="1117" spans="1:10" ht="15.75" x14ac:dyDescent="0.25">
      <c r="A1117" s="494" t="s">
        <v>954</v>
      </c>
      <c r="B1117" s="491">
        <v>908</v>
      </c>
      <c r="C1117" s="495" t="s">
        <v>234</v>
      </c>
      <c r="D1117" s="495" t="s">
        <v>234</v>
      </c>
      <c r="E1117" s="495" t="s">
        <v>953</v>
      </c>
      <c r="F1117" s="495"/>
      <c r="G1117" s="44">
        <f>G1118+G1121</f>
        <v>13017.5</v>
      </c>
      <c r="H1117" s="44">
        <f>H1118+H1121</f>
        <v>13017.5</v>
      </c>
      <c r="I1117" s="526"/>
      <c r="J1117" s="501"/>
    </row>
    <row r="1118" spans="1:10" ht="31.5" x14ac:dyDescent="0.25">
      <c r="A1118" s="579" t="s">
        <v>839</v>
      </c>
      <c r="B1118" s="490">
        <v>908</v>
      </c>
      <c r="C1118" s="580" t="s">
        <v>234</v>
      </c>
      <c r="D1118" s="580" t="s">
        <v>234</v>
      </c>
      <c r="E1118" s="580" t="s">
        <v>956</v>
      </c>
      <c r="F1118" s="580"/>
      <c r="G1118" s="497">
        <f>G1119</f>
        <v>498</v>
      </c>
      <c r="H1118" s="497">
        <f>H1119</f>
        <v>498</v>
      </c>
      <c r="I1118" s="526"/>
      <c r="J1118" s="501"/>
    </row>
    <row r="1119" spans="1:10" ht="63" x14ac:dyDescent="0.25">
      <c r="A1119" s="579" t="s">
        <v>127</v>
      </c>
      <c r="B1119" s="490">
        <v>908</v>
      </c>
      <c r="C1119" s="580" t="s">
        <v>234</v>
      </c>
      <c r="D1119" s="580" t="s">
        <v>234</v>
      </c>
      <c r="E1119" s="580" t="s">
        <v>956</v>
      </c>
      <c r="F1119" s="580" t="s">
        <v>128</v>
      </c>
      <c r="G1119" s="497">
        <f>G1120</f>
        <v>498</v>
      </c>
      <c r="H1119" s="497">
        <f>H1120</f>
        <v>498</v>
      </c>
      <c r="I1119" s="526"/>
      <c r="J1119" s="501"/>
    </row>
    <row r="1120" spans="1:10" ht="15.75" x14ac:dyDescent="0.25">
      <c r="A1120" s="579" t="s">
        <v>342</v>
      </c>
      <c r="B1120" s="490">
        <v>908</v>
      </c>
      <c r="C1120" s="580" t="s">
        <v>234</v>
      </c>
      <c r="D1120" s="580" t="s">
        <v>234</v>
      </c>
      <c r="E1120" s="580" t="s">
        <v>956</v>
      </c>
      <c r="F1120" s="580" t="s">
        <v>209</v>
      </c>
      <c r="G1120" s="497">
        <v>498</v>
      </c>
      <c r="H1120" s="497">
        <v>498</v>
      </c>
      <c r="I1120" s="526"/>
      <c r="J1120" s="501"/>
    </row>
    <row r="1121" spans="1:19" ht="15.75" x14ac:dyDescent="0.25">
      <c r="A1121" s="579" t="s">
        <v>801</v>
      </c>
      <c r="B1121" s="490">
        <v>908</v>
      </c>
      <c r="C1121" s="580" t="s">
        <v>234</v>
      </c>
      <c r="D1121" s="580" t="s">
        <v>234</v>
      </c>
      <c r="E1121" s="580" t="s">
        <v>955</v>
      </c>
      <c r="F1121" s="580"/>
      <c r="G1121" s="497">
        <f>G1123+G1125+G1126</f>
        <v>12519.5</v>
      </c>
      <c r="H1121" s="497">
        <f>H1123+H1125+H1126</f>
        <v>12519.5</v>
      </c>
      <c r="I1121" s="526"/>
      <c r="J1121" s="501"/>
    </row>
    <row r="1122" spans="1:19" ht="63" x14ac:dyDescent="0.25">
      <c r="A1122" s="579" t="s">
        <v>127</v>
      </c>
      <c r="B1122" s="490">
        <v>908</v>
      </c>
      <c r="C1122" s="580" t="s">
        <v>234</v>
      </c>
      <c r="D1122" s="580" t="s">
        <v>234</v>
      </c>
      <c r="E1122" s="580" t="s">
        <v>955</v>
      </c>
      <c r="F1122" s="580" t="s">
        <v>128</v>
      </c>
      <c r="G1122" s="497">
        <f>G1123</f>
        <v>10681.4</v>
      </c>
      <c r="H1122" s="497">
        <f>H1123</f>
        <v>10681.4</v>
      </c>
      <c r="I1122" s="526"/>
      <c r="J1122" s="501"/>
    </row>
    <row r="1123" spans="1:19" ht="15.75" x14ac:dyDescent="0.25">
      <c r="A1123" s="579" t="s">
        <v>342</v>
      </c>
      <c r="B1123" s="490">
        <v>908</v>
      </c>
      <c r="C1123" s="580" t="s">
        <v>234</v>
      </c>
      <c r="D1123" s="580" t="s">
        <v>234</v>
      </c>
      <c r="E1123" s="580" t="s">
        <v>955</v>
      </c>
      <c r="F1123" s="580" t="s">
        <v>209</v>
      </c>
      <c r="G1123" s="27">
        <v>10681.4</v>
      </c>
      <c r="H1123" s="27">
        <f>G1123</f>
        <v>10681.4</v>
      </c>
      <c r="I1123" s="526"/>
      <c r="J1123" s="501"/>
    </row>
    <row r="1124" spans="1:19" ht="31.5" x14ac:dyDescent="0.25">
      <c r="A1124" s="579" t="s">
        <v>131</v>
      </c>
      <c r="B1124" s="490">
        <v>908</v>
      </c>
      <c r="C1124" s="580" t="s">
        <v>234</v>
      </c>
      <c r="D1124" s="580" t="s">
        <v>234</v>
      </c>
      <c r="E1124" s="580" t="s">
        <v>955</v>
      </c>
      <c r="F1124" s="580" t="s">
        <v>132</v>
      </c>
      <c r="G1124" s="497">
        <f>G1125</f>
        <v>1791.1</v>
      </c>
      <c r="H1124" s="497">
        <f>H1125</f>
        <v>1791.1</v>
      </c>
      <c r="I1124" s="526"/>
      <c r="J1124" s="501"/>
    </row>
    <row r="1125" spans="1:19" ht="31.5" x14ac:dyDescent="0.25">
      <c r="A1125" s="579" t="s">
        <v>133</v>
      </c>
      <c r="B1125" s="490">
        <v>908</v>
      </c>
      <c r="C1125" s="580" t="s">
        <v>234</v>
      </c>
      <c r="D1125" s="580" t="s">
        <v>234</v>
      </c>
      <c r="E1125" s="580" t="s">
        <v>955</v>
      </c>
      <c r="F1125" s="580" t="s">
        <v>134</v>
      </c>
      <c r="G1125" s="27">
        <f>1791.1</f>
        <v>1791.1</v>
      </c>
      <c r="H1125" s="27">
        <f>1791.1</f>
        <v>1791.1</v>
      </c>
      <c r="I1125" s="526"/>
      <c r="J1125" s="501"/>
    </row>
    <row r="1126" spans="1:19" ht="15.75" x14ac:dyDescent="0.25">
      <c r="A1126" s="579" t="s">
        <v>135</v>
      </c>
      <c r="B1126" s="490">
        <v>908</v>
      </c>
      <c r="C1126" s="580" t="s">
        <v>234</v>
      </c>
      <c r="D1126" s="580" t="s">
        <v>234</v>
      </c>
      <c r="E1126" s="580" t="s">
        <v>955</v>
      </c>
      <c r="F1126" s="580" t="s">
        <v>145</v>
      </c>
      <c r="G1126" s="27">
        <f>G1127</f>
        <v>47</v>
      </c>
      <c r="H1126" s="27">
        <f>H1127</f>
        <v>47</v>
      </c>
      <c r="I1126" s="526"/>
      <c r="J1126" s="501"/>
    </row>
    <row r="1127" spans="1:19" ht="15.75" x14ac:dyDescent="0.25">
      <c r="A1127" s="579" t="s">
        <v>568</v>
      </c>
      <c r="B1127" s="490">
        <v>908</v>
      </c>
      <c r="C1127" s="580" t="s">
        <v>234</v>
      </c>
      <c r="D1127" s="580" t="s">
        <v>234</v>
      </c>
      <c r="E1127" s="580" t="s">
        <v>955</v>
      </c>
      <c r="F1127" s="580" t="s">
        <v>138</v>
      </c>
      <c r="G1127" s="27">
        <f>47</f>
        <v>47</v>
      </c>
      <c r="H1127" s="27">
        <f>47</f>
        <v>47</v>
      </c>
      <c r="I1127" s="526"/>
      <c r="J1127" s="501"/>
    </row>
    <row r="1128" spans="1:19" ht="31.5" x14ac:dyDescent="0.25">
      <c r="A1128" s="494" t="s">
        <v>870</v>
      </c>
      <c r="B1128" s="491">
        <v>908</v>
      </c>
      <c r="C1128" s="495" t="s">
        <v>234</v>
      </c>
      <c r="D1128" s="495" t="s">
        <v>234</v>
      </c>
      <c r="E1128" s="495" t="s">
        <v>865</v>
      </c>
      <c r="F1128" s="495"/>
      <c r="G1128" s="493">
        <f>G1129+G1136</f>
        <v>982</v>
      </c>
      <c r="H1128" s="493">
        <f>H1129+H1136</f>
        <v>982</v>
      </c>
      <c r="I1128" s="526"/>
      <c r="J1128" s="501"/>
    </row>
    <row r="1129" spans="1:19" ht="31.5" x14ac:dyDescent="0.25">
      <c r="A1129" s="579" t="s">
        <v>570</v>
      </c>
      <c r="B1129" s="490">
        <v>908</v>
      </c>
      <c r="C1129" s="580" t="s">
        <v>234</v>
      </c>
      <c r="D1129" s="580" t="s">
        <v>234</v>
      </c>
      <c r="E1129" s="580" t="s">
        <v>984</v>
      </c>
      <c r="F1129" s="580"/>
      <c r="G1129" s="27">
        <f>G1132+G1130</f>
        <v>982</v>
      </c>
      <c r="H1129" s="27">
        <f>H1132+H1130</f>
        <v>982</v>
      </c>
      <c r="I1129" s="526"/>
      <c r="J1129" s="501"/>
    </row>
    <row r="1130" spans="1:19" ht="15.75" hidden="1" x14ac:dyDescent="0.25">
      <c r="A1130" s="579" t="s">
        <v>1535</v>
      </c>
      <c r="B1130" s="490">
        <v>908</v>
      </c>
      <c r="C1130" s="580" t="s">
        <v>234</v>
      </c>
      <c r="D1130" s="580" t="s">
        <v>234</v>
      </c>
      <c r="E1130" s="580" t="s">
        <v>984</v>
      </c>
      <c r="F1130" s="580" t="s">
        <v>249</v>
      </c>
      <c r="G1130" s="27">
        <f>G1131</f>
        <v>0</v>
      </c>
      <c r="H1130" s="27">
        <f>H1131</f>
        <v>0</v>
      </c>
      <c r="I1130" s="526"/>
      <c r="J1130" s="501"/>
    </row>
    <row r="1131" spans="1:19" ht="15.75" hidden="1" x14ac:dyDescent="0.25">
      <c r="A1131" s="579" t="s">
        <v>1534</v>
      </c>
      <c r="B1131" s="490">
        <v>908</v>
      </c>
      <c r="C1131" s="580" t="s">
        <v>234</v>
      </c>
      <c r="D1131" s="580" t="s">
        <v>234</v>
      </c>
      <c r="E1131" s="580" t="s">
        <v>984</v>
      </c>
      <c r="F1131" s="580" t="s">
        <v>1536</v>
      </c>
      <c r="G1131" s="27">
        <f>4500-240-240-1748.75-2271.25</f>
        <v>0</v>
      </c>
      <c r="H1131" s="27">
        <f>4500-240-240-1748.75-2271.25</f>
        <v>0</v>
      </c>
      <c r="I1131" s="526"/>
      <c r="J1131" s="501"/>
    </row>
    <row r="1132" spans="1:19" ht="15.75" x14ac:dyDescent="0.25">
      <c r="A1132" s="579" t="s">
        <v>135</v>
      </c>
      <c r="B1132" s="490">
        <v>908</v>
      </c>
      <c r="C1132" s="580" t="s">
        <v>234</v>
      </c>
      <c r="D1132" s="580" t="s">
        <v>234</v>
      </c>
      <c r="E1132" s="580" t="s">
        <v>984</v>
      </c>
      <c r="F1132" s="580" t="s">
        <v>145</v>
      </c>
      <c r="G1132" s="27">
        <f>G1133+G1134+G1135</f>
        <v>982</v>
      </c>
      <c r="H1132" s="27">
        <f>H1133+H1134+H1135</f>
        <v>982</v>
      </c>
      <c r="I1132" s="526"/>
      <c r="J1132" s="501"/>
    </row>
    <row r="1133" spans="1:19" ht="47.25" customHeight="1" x14ac:dyDescent="0.25">
      <c r="A1133" s="579" t="s">
        <v>184</v>
      </c>
      <c r="B1133" s="490">
        <v>908</v>
      </c>
      <c r="C1133" s="580" t="s">
        <v>234</v>
      </c>
      <c r="D1133" s="580" t="s">
        <v>234</v>
      </c>
      <c r="E1133" s="580" t="s">
        <v>984</v>
      </c>
      <c r="F1133" s="580" t="s">
        <v>160</v>
      </c>
      <c r="G1133" s="27">
        <v>982</v>
      </c>
      <c r="H1133" s="27">
        <v>982</v>
      </c>
      <c r="I1133" s="526"/>
      <c r="J1133" s="501"/>
    </row>
    <row r="1134" spans="1:19" ht="15.75" hidden="1" x14ac:dyDescent="0.25">
      <c r="A1134" s="579" t="s">
        <v>704</v>
      </c>
      <c r="B1134" s="490">
        <v>908</v>
      </c>
      <c r="C1134" s="580" t="s">
        <v>234</v>
      </c>
      <c r="D1134" s="580" t="s">
        <v>234</v>
      </c>
      <c r="E1134" s="580" t="s">
        <v>984</v>
      </c>
      <c r="F1134" s="580" t="s">
        <v>138</v>
      </c>
      <c r="G1134" s="27"/>
      <c r="H1134" s="27"/>
      <c r="I1134" s="534"/>
      <c r="J1134" s="501"/>
      <c r="K1134" s="537"/>
      <c r="N1134" s="537"/>
      <c r="Q1134" s="537"/>
      <c r="S1134" s="537"/>
    </row>
    <row r="1135" spans="1:19" ht="15.75" hidden="1" x14ac:dyDescent="0.25">
      <c r="A1135" s="579" t="s">
        <v>1657</v>
      </c>
      <c r="B1135" s="490">
        <v>908</v>
      </c>
      <c r="C1135" s="580" t="s">
        <v>234</v>
      </c>
      <c r="D1135" s="580" t="s">
        <v>234</v>
      </c>
      <c r="E1135" s="580" t="s">
        <v>984</v>
      </c>
      <c r="F1135" s="580" t="s">
        <v>1658</v>
      </c>
      <c r="G1135" s="27">
        <f>240-240</f>
        <v>0</v>
      </c>
      <c r="H1135" s="27">
        <f>240-240</f>
        <v>0</v>
      </c>
      <c r="I1135" s="526"/>
      <c r="J1135" s="501"/>
    </row>
    <row r="1136" spans="1:19" ht="37.5" hidden="1" customHeight="1" x14ac:dyDescent="0.25">
      <c r="A1136" s="579" t="s">
        <v>1671</v>
      </c>
      <c r="B1136" s="490">
        <v>908</v>
      </c>
      <c r="C1136" s="580" t="s">
        <v>234</v>
      </c>
      <c r="D1136" s="580" t="s">
        <v>234</v>
      </c>
      <c r="E1136" s="580" t="s">
        <v>1672</v>
      </c>
      <c r="F1136" s="580"/>
      <c r="G1136" s="27">
        <f>G1137+G1139</f>
        <v>0</v>
      </c>
      <c r="H1136" s="27">
        <f>H1137+H1139</f>
        <v>0</v>
      </c>
      <c r="I1136" s="526"/>
      <c r="J1136" s="501"/>
    </row>
    <row r="1137" spans="1:10" ht="21.75" hidden="1" customHeight="1" x14ac:dyDescent="0.25">
      <c r="A1137" s="579" t="s">
        <v>1674</v>
      </c>
      <c r="B1137" s="490">
        <v>908</v>
      </c>
      <c r="C1137" s="580" t="s">
        <v>234</v>
      </c>
      <c r="D1137" s="580" t="s">
        <v>234</v>
      </c>
      <c r="E1137" s="580" t="s">
        <v>1672</v>
      </c>
      <c r="F1137" s="580" t="s">
        <v>837</v>
      </c>
      <c r="G1137" s="27">
        <f>G1138</f>
        <v>0</v>
      </c>
      <c r="H1137" s="27">
        <f>H1138</f>
        <v>0</v>
      </c>
      <c r="I1137" s="526"/>
      <c r="J1137" s="501"/>
    </row>
    <row r="1138" spans="1:10" ht="35.25" hidden="1" customHeight="1" x14ac:dyDescent="0.25">
      <c r="A1138" s="579" t="s">
        <v>838</v>
      </c>
      <c r="B1138" s="490">
        <v>908</v>
      </c>
      <c r="C1138" s="580" t="s">
        <v>234</v>
      </c>
      <c r="D1138" s="580" t="s">
        <v>234</v>
      </c>
      <c r="E1138" s="580" t="s">
        <v>1672</v>
      </c>
      <c r="F1138" s="580" t="s">
        <v>1675</v>
      </c>
      <c r="G1138" s="27"/>
      <c r="H1138" s="27"/>
      <c r="I1138" s="526"/>
      <c r="J1138" s="501"/>
    </row>
    <row r="1139" spans="1:10" ht="21.75" hidden="1" customHeight="1" x14ac:dyDescent="0.25">
      <c r="A1139" s="579" t="s">
        <v>135</v>
      </c>
      <c r="B1139" s="490">
        <v>908</v>
      </c>
      <c r="C1139" s="580" t="s">
        <v>234</v>
      </c>
      <c r="D1139" s="580" t="s">
        <v>234</v>
      </c>
      <c r="E1139" s="580" t="s">
        <v>1672</v>
      </c>
      <c r="F1139" s="580" t="s">
        <v>145</v>
      </c>
      <c r="G1139" s="27">
        <f>G1140</f>
        <v>0</v>
      </c>
      <c r="H1139" s="27">
        <f>H1140</f>
        <v>0</v>
      </c>
      <c r="I1139" s="526"/>
      <c r="J1139" s="501"/>
    </row>
    <row r="1140" spans="1:10" ht="39.75" hidden="1" customHeight="1" x14ac:dyDescent="0.25">
      <c r="A1140" s="579" t="s">
        <v>184</v>
      </c>
      <c r="B1140" s="490">
        <v>908</v>
      </c>
      <c r="C1140" s="580" t="s">
        <v>234</v>
      </c>
      <c r="D1140" s="580" t="s">
        <v>234</v>
      </c>
      <c r="E1140" s="580" t="s">
        <v>1672</v>
      </c>
      <c r="F1140" s="580" t="s">
        <v>160</v>
      </c>
      <c r="G1140" s="27"/>
      <c r="H1140" s="27"/>
      <c r="I1140" s="526"/>
      <c r="J1140" s="501"/>
    </row>
    <row r="1141" spans="1:10" ht="47.25" hidden="1" x14ac:dyDescent="0.25">
      <c r="A1141" s="34" t="s">
        <v>1357</v>
      </c>
      <c r="B1141" s="491">
        <v>908</v>
      </c>
      <c r="C1141" s="495" t="s">
        <v>234</v>
      </c>
      <c r="D1141" s="495" t="s">
        <v>234</v>
      </c>
      <c r="E1141" s="495" t="s">
        <v>324</v>
      </c>
      <c r="F1141" s="495"/>
      <c r="G1141" s="493">
        <f t="shared" ref="G1141:H1144" si="95">G1142</f>
        <v>0</v>
      </c>
      <c r="H1141" s="493">
        <f t="shared" si="95"/>
        <v>0</v>
      </c>
      <c r="I1141" s="526"/>
      <c r="J1141" s="501"/>
    </row>
    <row r="1142" spans="1:10" ht="47.25" hidden="1" x14ac:dyDescent="0.25">
      <c r="A1142" s="34" t="s">
        <v>1009</v>
      </c>
      <c r="B1142" s="491">
        <v>908</v>
      </c>
      <c r="C1142" s="495" t="s">
        <v>234</v>
      </c>
      <c r="D1142" s="495" t="s">
        <v>234</v>
      </c>
      <c r="E1142" s="495" t="s">
        <v>934</v>
      </c>
      <c r="F1142" s="495"/>
      <c r="G1142" s="493">
        <f t="shared" si="95"/>
        <v>0</v>
      </c>
      <c r="H1142" s="493">
        <f t="shared" si="95"/>
        <v>0</v>
      </c>
      <c r="I1142" s="526"/>
      <c r="J1142" s="501"/>
    </row>
    <row r="1143" spans="1:10" ht="47.25" hidden="1" x14ac:dyDescent="0.25">
      <c r="A1143" s="31" t="s">
        <v>1080</v>
      </c>
      <c r="B1143" s="490">
        <v>908</v>
      </c>
      <c r="C1143" s="580" t="s">
        <v>234</v>
      </c>
      <c r="D1143" s="580" t="s">
        <v>234</v>
      </c>
      <c r="E1143" s="580" t="s">
        <v>1026</v>
      </c>
      <c r="F1143" s="580"/>
      <c r="G1143" s="497">
        <f t="shared" si="95"/>
        <v>0</v>
      </c>
      <c r="H1143" s="497">
        <f t="shared" si="95"/>
        <v>0</v>
      </c>
      <c r="I1143" s="526"/>
      <c r="J1143" s="501"/>
    </row>
    <row r="1144" spans="1:10" ht="31.5" hidden="1" x14ac:dyDescent="0.25">
      <c r="A1144" s="579" t="s">
        <v>131</v>
      </c>
      <c r="B1144" s="490">
        <v>908</v>
      </c>
      <c r="C1144" s="580" t="s">
        <v>234</v>
      </c>
      <c r="D1144" s="580" t="s">
        <v>234</v>
      </c>
      <c r="E1144" s="580" t="s">
        <v>1026</v>
      </c>
      <c r="F1144" s="580" t="s">
        <v>132</v>
      </c>
      <c r="G1144" s="497">
        <f t="shared" si="95"/>
        <v>0</v>
      </c>
      <c r="H1144" s="497">
        <f t="shared" si="95"/>
        <v>0</v>
      </c>
      <c r="I1144" s="526"/>
      <c r="J1144" s="501"/>
    </row>
    <row r="1145" spans="1:10" ht="31.5" hidden="1" x14ac:dyDescent="0.25">
      <c r="A1145" s="579" t="s">
        <v>133</v>
      </c>
      <c r="B1145" s="490">
        <v>908</v>
      </c>
      <c r="C1145" s="580" t="s">
        <v>234</v>
      </c>
      <c r="D1145" s="580" t="s">
        <v>234</v>
      </c>
      <c r="E1145" s="580" t="s">
        <v>1026</v>
      </c>
      <c r="F1145" s="580" t="s">
        <v>134</v>
      </c>
      <c r="G1145" s="497"/>
      <c r="H1145" s="497"/>
      <c r="I1145" s="526"/>
      <c r="J1145" s="501"/>
    </row>
    <row r="1146" spans="1:10" ht="15.75" x14ac:dyDescent="0.25">
      <c r="A1146" s="494" t="s">
        <v>243</v>
      </c>
      <c r="B1146" s="491">
        <v>908</v>
      </c>
      <c r="C1146" s="495" t="s">
        <v>244</v>
      </c>
      <c r="D1146" s="495"/>
      <c r="E1146" s="495"/>
      <c r="F1146" s="495"/>
      <c r="G1146" s="493">
        <f t="shared" ref="G1146:H1152" si="96">G1147</f>
        <v>85.11</v>
      </c>
      <c r="H1146" s="493">
        <f t="shared" si="96"/>
        <v>85.11</v>
      </c>
      <c r="I1146" s="526"/>
      <c r="J1146" s="501"/>
    </row>
    <row r="1147" spans="1:10" ht="15.75" x14ac:dyDescent="0.25">
      <c r="A1147" s="494" t="s">
        <v>258</v>
      </c>
      <c r="B1147" s="491">
        <v>908</v>
      </c>
      <c r="C1147" s="495" t="s">
        <v>244</v>
      </c>
      <c r="D1147" s="495" t="s">
        <v>120</v>
      </c>
      <c r="E1147" s="495"/>
      <c r="F1147" s="495"/>
      <c r="G1147" s="493">
        <f t="shared" si="96"/>
        <v>85.11</v>
      </c>
      <c r="H1147" s="493">
        <f t="shared" si="96"/>
        <v>85.11</v>
      </c>
      <c r="I1147" s="526"/>
      <c r="J1147" s="501"/>
    </row>
    <row r="1148" spans="1:10" ht="15.75" x14ac:dyDescent="0.25">
      <c r="A1148" s="494" t="s">
        <v>141</v>
      </c>
      <c r="B1148" s="491">
        <v>908</v>
      </c>
      <c r="C1148" s="495" t="s">
        <v>244</v>
      </c>
      <c r="D1148" s="495" t="s">
        <v>120</v>
      </c>
      <c r="E1148" s="495" t="s">
        <v>866</v>
      </c>
      <c r="F1148" s="495"/>
      <c r="G1148" s="493">
        <f t="shared" si="96"/>
        <v>85.11</v>
      </c>
      <c r="H1148" s="493">
        <f t="shared" si="96"/>
        <v>85.11</v>
      </c>
      <c r="I1148" s="526"/>
      <c r="J1148" s="501"/>
    </row>
    <row r="1149" spans="1:10" ht="15.75" x14ac:dyDescent="0.25">
      <c r="A1149" s="494" t="s">
        <v>141</v>
      </c>
      <c r="B1149" s="491">
        <v>908</v>
      </c>
      <c r="C1149" s="495" t="s">
        <v>244</v>
      </c>
      <c r="D1149" s="495" t="s">
        <v>120</v>
      </c>
      <c r="E1149" s="495" t="s">
        <v>865</v>
      </c>
      <c r="F1149" s="495"/>
      <c r="G1149" s="493">
        <f t="shared" si="96"/>
        <v>85.11</v>
      </c>
      <c r="H1149" s="493">
        <f t="shared" si="96"/>
        <v>85.11</v>
      </c>
      <c r="I1149" s="526"/>
      <c r="J1149" s="501"/>
    </row>
    <row r="1150" spans="1:10" ht="31.5" x14ac:dyDescent="0.25">
      <c r="A1150" s="494" t="s">
        <v>870</v>
      </c>
      <c r="B1150" s="491">
        <v>908</v>
      </c>
      <c r="C1150" s="495" t="s">
        <v>244</v>
      </c>
      <c r="D1150" s="495" t="s">
        <v>120</v>
      </c>
      <c r="E1150" s="495" t="s">
        <v>865</v>
      </c>
      <c r="F1150" s="495"/>
      <c r="G1150" s="493">
        <f t="shared" si="96"/>
        <v>85.11</v>
      </c>
      <c r="H1150" s="493">
        <f t="shared" si="96"/>
        <v>85.11</v>
      </c>
      <c r="I1150" s="526"/>
      <c r="J1150" s="501"/>
    </row>
    <row r="1151" spans="1:10" ht="15.75" x14ac:dyDescent="0.25">
      <c r="A1151" s="579" t="s">
        <v>572</v>
      </c>
      <c r="B1151" s="490">
        <v>908</v>
      </c>
      <c r="C1151" s="580" t="s">
        <v>244</v>
      </c>
      <c r="D1151" s="580" t="s">
        <v>120</v>
      </c>
      <c r="E1151" s="580" t="s">
        <v>985</v>
      </c>
      <c r="F1151" s="580"/>
      <c r="G1151" s="497">
        <f t="shared" si="96"/>
        <v>85.11</v>
      </c>
      <c r="H1151" s="497">
        <f t="shared" si="96"/>
        <v>85.11</v>
      </c>
      <c r="I1151" s="526"/>
      <c r="J1151" s="501"/>
    </row>
    <row r="1152" spans="1:10" ht="31.5" x14ac:dyDescent="0.25">
      <c r="A1152" s="579" t="s">
        <v>131</v>
      </c>
      <c r="B1152" s="490">
        <v>908</v>
      </c>
      <c r="C1152" s="580" t="s">
        <v>244</v>
      </c>
      <c r="D1152" s="580" t="s">
        <v>120</v>
      </c>
      <c r="E1152" s="580" t="s">
        <v>985</v>
      </c>
      <c r="F1152" s="580" t="s">
        <v>132</v>
      </c>
      <c r="G1152" s="497">
        <f t="shared" si="96"/>
        <v>85.11</v>
      </c>
      <c r="H1152" s="497">
        <f t="shared" si="96"/>
        <v>85.11</v>
      </c>
      <c r="I1152" s="526"/>
      <c r="J1152" s="501"/>
    </row>
    <row r="1153" spans="1:10" ht="31.5" x14ac:dyDescent="0.25">
      <c r="A1153" s="579" t="s">
        <v>133</v>
      </c>
      <c r="B1153" s="490">
        <v>908</v>
      </c>
      <c r="C1153" s="580" t="s">
        <v>244</v>
      </c>
      <c r="D1153" s="580" t="s">
        <v>120</v>
      </c>
      <c r="E1153" s="580" t="s">
        <v>985</v>
      </c>
      <c r="F1153" s="580" t="s">
        <v>134</v>
      </c>
      <c r="G1153" s="497">
        <f>85.11</f>
        <v>85.11</v>
      </c>
      <c r="H1153" s="497">
        <f>85.11</f>
        <v>85.11</v>
      </c>
      <c r="I1153" s="526"/>
      <c r="J1153" s="501"/>
    </row>
    <row r="1154" spans="1:10" ht="33.950000000000003" customHeight="1" x14ac:dyDescent="0.25">
      <c r="A1154" s="491" t="s">
        <v>574</v>
      </c>
      <c r="B1154" s="491">
        <v>910</v>
      </c>
      <c r="C1154" s="47"/>
      <c r="D1154" s="47"/>
      <c r="E1154" s="47"/>
      <c r="F1154" s="47"/>
      <c r="G1154" s="493">
        <f t="shared" ref="G1154:H1157" si="97">G1155</f>
        <v>5970</v>
      </c>
      <c r="H1154" s="493">
        <f t="shared" si="97"/>
        <v>5970</v>
      </c>
      <c r="I1154" s="526"/>
      <c r="J1154" s="501"/>
    </row>
    <row r="1155" spans="1:10" ht="15.75" x14ac:dyDescent="0.25">
      <c r="A1155" s="494" t="s">
        <v>117</v>
      </c>
      <c r="B1155" s="491">
        <v>910</v>
      </c>
      <c r="C1155" s="495" t="s">
        <v>118</v>
      </c>
      <c r="D1155" s="495"/>
      <c r="E1155" s="495"/>
      <c r="F1155" s="495"/>
      <c r="G1155" s="493">
        <f t="shared" si="97"/>
        <v>5970</v>
      </c>
      <c r="H1155" s="493">
        <f t="shared" si="97"/>
        <v>5970</v>
      </c>
      <c r="I1155" s="526"/>
      <c r="J1155" s="501"/>
    </row>
    <row r="1156" spans="1:10" ht="47.25" customHeight="1" x14ac:dyDescent="0.25">
      <c r="A1156" s="494" t="s">
        <v>578</v>
      </c>
      <c r="B1156" s="491">
        <v>910</v>
      </c>
      <c r="C1156" s="495" t="s">
        <v>118</v>
      </c>
      <c r="D1156" s="495" t="s">
        <v>215</v>
      </c>
      <c r="E1156" s="495"/>
      <c r="F1156" s="495"/>
      <c r="G1156" s="493">
        <f t="shared" si="97"/>
        <v>5970</v>
      </c>
      <c r="H1156" s="493">
        <f t="shared" si="97"/>
        <v>5970</v>
      </c>
      <c r="I1156" s="526"/>
      <c r="J1156" s="501"/>
    </row>
    <row r="1157" spans="1:10" ht="31.5" x14ac:dyDescent="0.25">
      <c r="A1157" s="494" t="s">
        <v>917</v>
      </c>
      <c r="B1157" s="491">
        <v>910</v>
      </c>
      <c r="C1157" s="495" t="s">
        <v>118</v>
      </c>
      <c r="D1157" s="495" t="s">
        <v>215</v>
      </c>
      <c r="E1157" s="495" t="s">
        <v>858</v>
      </c>
      <c r="F1157" s="495"/>
      <c r="G1157" s="493">
        <f t="shared" si="97"/>
        <v>5970</v>
      </c>
      <c r="H1157" s="493">
        <f t="shared" si="97"/>
        <v>5970</v>
      </c>
      <c r="I1157" s="526"/>
      <c r="J1157" s="501"/>
    </row>
    <row r="1158" spans="1:10" ht="15.75" x14ac:dyDescent="0.25">
      <c r="A1158" s="494" t="s">
        <v>986</v>
      </c>
      <c r="B1158" s="491">
        <v>910</v>
      </c>
      <c r="C1158" s="495" t="s">
        <v>118</v>
      </c>
      <c r="D1158" s="495" t="s">
        <v>215</v>
      </c>
      <c r="E1158" s="495" t="s">
        <v>987</v>
      </c>
      <c r="F1158" s="495"/>
      <c r="G1158" s="493">
        <f>G1164+G1169+G1159</f>
        <v>5970</v>
      </c>
      <c r="H1158" s="493">
        <f>H1164+H1169+H1159</f>
        <v>5970</v>
      </c>
      <c r="I1158" s="526"/>
      <c r="J1158" s="501"/>
    </row>
    <row r="1159" spans="1:10" ht="31.5" x14ac:dyDescent="0.25">
      <c r="A1159" s="291" t="s">
        <v>1363</v>
      </c>
      <c r="B1159" s="490">
        <v>910</v>
      </c>
      <c r="C1159" s="580" t="s">
        <v>118</v>
      </c>
      <c r="D1159" s="580" t="s">
        <v>215</v>
      </c>
      <c r="E1159" s="580" t="s">
        <v>1401</v>
      </c>
      <c r="F1159" s="495"/>
      <c r="G1159" s="497">
        <f>G1160+G1162</f>
        <v>4708.8999999999996</v>
      </c>
      <c r="H1159" s="497">
        <f>H1160+H1162</f>
        <v>4708.8999999999996</v>
      </c>
      <c r="I1159" s="526"/>
      <c r="J1159" s="501"/>
    </row>
    <row r="1160" spans="1:10" ht="63" x14ac:dyDescent="0.25">
      <c r="A1160" s="579" t="s">
        <v>127</v>
      </c>
      <c r="B1160" s="490">
        <v>910</v>
      </c>
      <c r="C1160" s="580" t="s">
        <v>118</v>
      </c>
      <c r="D1160" s="580" t="s">
        <v>215</v>
      </c>
      <c r="E1160" s="580" t="s">
        <v>1401</v>
      </c>
      <c r="F1160" s="580" t="s">
        <v>128</v>
      </c>
      <c r="G1160" s="497">
        <f>G1161</f>
        <v>4615.8999999999996</v>
      </c>
      <c r="H1160" s="497">
        <f>H1161</f>
        <v>4615.8999999999996</v>
      </c>
      <c r="I1160" s="526"/>
      <c r="J1160" s="501"/>
    </row>
    <row r="1161" spans="1:10" ht="31.5" x14ac:dyDescent="0.25">
      <c r="A1161" s="579" t="s">
        <v>129</v>
      </c>
      <c r="B1161" s="490">
        <v>910</v>
      </c>
      <c r="C1161" s="580" t="s">
        <v>118</v>
      </c>
      <c r="D1161" s="580" t="s">
        <v>215</v>
      </c>
      <c r="E1161" s="580" t="s">
        <v>1401</v>
      </c>
      <c r="F1161" s="580" t="s">
        <v>130</v>
      </c>
      <c r="G1161" s="497">
        <v>4615.8999999999996</v>
      </c>
      <c r="H1161" s="497">
        <f>G1161</f>
        <v>4615.8999999999996</v>
      </c>
      <c r="I1161" s="526"/>
      <c r="J1161" s="501"/>
    </row>
    <row r="1162" spans="1:10" ht="31.5" x14ac:dyDescent="0.25">
      <c r="A1162" s="579" t="s">
        <v>198</v>
      </c>
      <c r="B1162" s="490">
        <v>910</v>
      </c>
      <c r="C1162" s="580" t="s">
        <v>118</v>
      </c>
      <c r="D1162" s="580" t="s">
        <v>215</v>
      </c>
      <c r="E1162" s="580" t="s">
        <v>1401</v>
      </c>
      <c r="F1162" s="580" t="s">
        <v>132</v>
      </c>
      <c r="G1162" s="497">
        <f>G1163</f>
        <v>93</v>
      </c>
      <c r="H1162" s="497">
        <f>H1163</f>
        <v>93</v>
      </c>
      <c r="I1162" s="526"/>
      <c r="J1162" s="501"/>
    </row>
    <row r="1163" spans="1:10" ht="31.5" x14ac:dyDescent="0.25">
      <c r="A1163" s="579" t="s">
        <v>133</v>
      </c>
      <c r="B1163" s="490">
        <v>910</v>
      </c>
      <c r="C1163" s="580" t="s">
        <v>118</v>
      </c>
      <c r="D1163" s="580" t="s">
        <v>215</v>
      </c>
      <c r="E1163" s="580" t="s">
        <v>1401</v>
      </c>
      <c r="F1163" s="580" t="s">
        <v>134</v>
      </c>
      <c r="G1163" s="497">
        <v>93</v>
      </c>
      <c r="H1163" s="497">
        <v>93</v>
      </c>
      <c r="I1163" s="526"/>
      <c r="J1163" s="501"/>
    </row>
    <row r="1164" spans="1:10" ht="37.35" customHeight="1" x14ac:dyDescent="0.25">
      <c r="A1164" s="579" t="s">
        <v>990</v>
      </c>
      <c r="B1164" s="490">
        <v>910</v>
      </c>
      <c r="C1164" s="580" t="s">
        <v>118</v>
      </c>
      <c r="D1164" s="580" t="s">
        <v>215</v>
      </c>
      <c r="E1164" s="580" t="s">
        <v>991</v>
      </c>
      <c r="F1164" s="580"/>
      <c r="G1164" s="497">
        <f>G1165+G1167</f>
        <v>1261.0999999999999</v>
      </c>
      <c r="H1164" s="497">
        <f>H1165+H1167</f>
        <v>1261.0999999999999</v>
      </c>
      <c r="I1164" s="526"/>
      <c r="J1164" s="501"/>
    </row>
    <row r="1165" spans="1:10" ht="63" x14ac:dyDescent="0.25">
      <c r="A1165" s="579" t="s">
        <v>127</v>
      </c>
      <c r="B1165" s="490">
        <v>910</v>
      </c>
      <c r="C1165" s="580" t="s">
        <v>118</v>
      </c>
      <c r="D1165" s="580" t="s">
        <v>215</v>
      </c>
      <c r="E1165" s="580" t="s">
        <v>991</v>
      </c>
      <c r="F1165" s="580" t="s">
        <v>128</v>
      </c>
      <c r="G1165" s="497">
        <f>G1166</f>
        <v>1261.0999999999999</v>
      </c>
      <c r="H1165" s="497">
        <f>H1166</f>
        <v>1261.0999999999999</v>
      </c>
      <c r="I1165" s="526"/>
      <c r="J1165" s="501"/>
    </row>
    <row r="1166" spans="1:10" ht="31.5" x14ac:dyDescent="0.25">
      <c r="A1166" s="579" t="s">
        <v>129</v>
      </c>
      <c r="B1166" s="490">
        <v>910</v>
      </c>
      <c r="C1166" s="580" t="s">
        <v>118</v>
      </c>
      <c r="D1166" s="580" t="s">
        <v>215</v>
      </c>
      <c r="E1166" s="580" t="s">
        <v>991</v>
      </c>
      <c r="F1166" s="580" t="s">
        <v>130</v>
      </c>
      <c r="G1166" s="497">
        <v>1261.0999999999999</v>
      </c>
      <c r="H1166" s="497">
        <f>G1166</f>
        <v>1261.0999999999999</v>
      </c>
      <c r="I1166" s="526"/>
      <c r="J1166" s="501"/>
    </row>
    <row r="1167" spans="1:10" ht="31.5" hidden="1" x14ac:dyDescent="0.25">
      <c r="A1167" s="579" t="s">
        <v>198</v>
      </c>
      <c r="B1167" s="490">
        <v>910</v>
      </c>
      <c r="C1167" s="580" t="s">
        <v>118</v>
      </c>
      <c r="D1167" s="580" t="s">
        <v>215</v>
      </c>
      <c r="E1167" s="580" t="s">
        <v>991</v>
      </c>
      <c r="F1167" s="580" t="s">
        <v>132</v>
      </c>
      <c r="G1167" s="497">
        <f>G1168</f>
        <v>0</v>
      </c>
      <c r="H1167" s="497">
        <f>H1168</f>
        <v>0</v>
      </c>
      <c r="I1167" s="526"/>
      <c r="J1167" s="501"/>
    </row>
    <row r="1168" spans="1:10" ht="31.5" hidden="1" x14ac:dyDescent="0.25">
      <c r="A1168" s="579" t="s">
        <v>133</v>
      </c>
      <c r="B1168" s="490">
        <v>910</v>
      </c>
      <c r="C1168" s="580" t="s">
        <v>118</v>
      </c>
      <c r="D1168" s="580" t="s">
        <v>215</v>
      </c>
      <c r="E1168" s="580" t="s">
        <v>991</v>
      </c>
      <c r="F1168" s="580" t="s">
        <v>134</v>
      </c>
      <c r="G1168" s="497">
        <v>0</v>
      </c>
      <c r="H1168" s="497">
        <v>0</v>
      </c>
      <c r="I1168" s="526"/>
      <c r="J1168" s="501"/>
    </row>
    <row r="1169" spans="1:37" ht="39.75" hidden="1" customHeight="1" x14ac:dyDescent="0.25">
      <c r="A1169" s="579" t="s">
        <v>839</v>
      </c>
      <c r="B1169" s="490">
        <v>910</v>
      </c>
      <c r="C1169" s="580" t="s">
        <v>118</v>
      </c>
      <c r="D1169" s="580" t="s">
        <v>215</v>
      </c>
      <c r="E1169" s="580" t="s">
        <v>989</v>
      </c>
      <c r="F1169" s="580"/>
      <c r="G1169" s="497">
        <f>G1170</f>
        <v>0</v>
      </c>
      <c r="H1169" s="497">
        <f>H1170</f>
        <v>0</v>
      </c>
      <c r="I1169" s="526"/>
      <c r="J1169" s="501"/>
    </row>
    <row r="1170" spans="1:37" ht="69.75" hidden="1" customHeight="1" x14ac:dyDescent="0.25">
      <c r="A1170" s="579" t="s">
        <v>127</v>
      </c>
      <c r="B1170" s="490">
        <v>910</v>
      </c>
      <c r="C1170" s="580" t="s">
        <v>118</v>
      </c>
      <c r="D1170" s="580" t="s">
        <v>215</v>
      </c>
      <c r="E1170" s="580" t="s">
        <v>989</v>
      </c>
      <c r="F1170" s="580" t="s">
        <v>128</v>
      </c>
      <c r="G1170" s="497">
        <f>G1171</f>
        <v>0</v>
      </c>
      <c r="H1170" s="497">
        <f>H1171</f>
        <v>0</v>
      </c>
      <c r="I1170" s="526"/>
      <c r="J1170" s="501"/>
    </row>
    <row r="1171" spans="1:37" ht="35.450000000000003" hidden="1" customHeight="1" x14ac:dyDescent="0.25">
      <c r="A1171" s="579" t="s">
        <v>129</v>
      </c>
      <c r="B1171" s="490">
        <v>910</v>
      </c>
      <c r="C1171" s="580" t="s">
        <v>118</v>
      </c>
      <c r="D1171" s="580" t="s">
        <v>215</v>
      </c>
      <c r="E1171" s="580" t="s">
        <v>989</v>
      </c>
      <c r="F1171" s="580" t="s">
        <v>130</v>
      </c>
      <c r="G1171" s="497"/>
      <c r="H1171" s="497"/>
      <c r="I1171" s="526"/>
      <c r="J1171" s="501"/>
    </row>
    <row r="1172" spans="1:37" ht="15.75" x14ac:dyDescent="0.25">
      <c r="A1172" s="48" t="s">
        <v>587</v>
      </c>
      <c r="B1172" s="48"/>
      <c r="C1172" s="495"/>
      <c r="D1172" s="495"/>
      <c r="E1172" s="495"/>
      <c r="F1172" s="495"/>
      <c r="G1172" s="394">
        <f>G1154+G912+G821+G586+G535+G241+G31+G10+G519+G9</f>
        <v>808002.76000000013</v>
      </c>
      <c r="H1172" s="394">
        <f>H1154+H912+H821+H586+H535+H241+H31+H10+H519+H9</f>
        <v>777654.66000000015</v>
      </c>
    </row>
    <row r="1173" spans="1:37" ht="15.75" x14ac:dyDescent="0.25">
      <c r="A1173" s="284"/>
      <c r="B1173" s="284"/>
      <c r="C1173" s="285"/>
      <c r="D1173" s="285"/>
      <c r="E1173" s="285"/>
      <c r="F1173" s="285"/>
      <c r="G1173" s="286"/>
      <c r="H1173" s="286"/>
      <c r="I1173" s="526"/>
      <c r="J1173" s="739"/>
      <c r="K1173" s="739"/>
      <c r="L1173" s="739"/>
      <c r="M1173" s="739"/>
      <c r="N1173" s="739"/>
      <c r="O1173" s="739"/>
      <c r="P1173" s="739"/>
      <c r="Q1173" s="739"/>
      <c r="R1173" s="739"/>
      <c r="S1173" s="739"/>
      <c r="T1173" s="501"/>
      <c r="U1173" s="501"/>
      <c r="V1173" s="501"/>
      <c r="W1173" s="501"/>
      <c r="X1173" s="501"/>
      <c r="Y1173" s="501"/>
      <c r="Z1173" s="501"/>
      <c r="AA1173" s="501"/>
      <c r="AB1173" s="501"/>
      <c r="AC1173" s="501"/>
      <c r="AD1173" s="501"/>
      <c r="AE1173" s="501"/>
    </row>
    <row r="1174" spans="1:37" ht="28.5" customHeight="1" x14ac:dyDescent="0.25">
      <c r="A1174" s="50"/>
      <c r="B1174" s="50"/>
      <c r="C1174" s="50"/>
      <c r="D1174" s="50"/>
      <c r="E1174" s="50">
        <f>пр.1дох.22!C76-пр.1дох.22!C78</f>
        <v>274315.80000000005</v>
      </c>
      <c r="F1174" s="50"/>
      <c r="I1174" s="526"/>
      <c r="J1174" s="673"/>
      <c r="K1174" s="673"/>
      <c r="L1174" s="673"/>
      <c r="M1174" s="673"/>
      <c r="N1174" s="673"/>
      <c r="O1174" s="673"/>
      <c r="P1174" s="673"/>
      <c r="Q1174" s="673"/>
      <c r="R1174" s="673"/>
      <c r="S1174" s="673"/>
      <c r="T1174" s="501"/>
      <c r="U1174" s="501"/>
      <c r="V1174" s="501"/>
      <c r="W1174" s="501"/>
      <c r="X1174" s="501"/>
      <c r="Y1174" s="501"/>
      <c r="Z1174" s="501"/>
      <c r="AA1174" s="501"/>
      <c r="AB1174" s="501"/>
      <c r="AC1174" s="501"/>
      <c r="AD1174" s="501"/>
      <c r="AE1174" s="501"/>
    </row>
    <row r="1175" spans="1:37" ht="18.75" x14ac:dyDescent="0.3">
      <c r="A1175" s="50"/>
      <c r="B1175" s="50"/>
      <c r="C1175" s="51"/>
      <c r="D1175" s="51"/>
      <c r="E1175" s="51"/>
      <c r="F1175" s="397" t="s">
        <v>588</v>
      </c>
      <c r="G1175" s="395">
        <f>G1172-G1176</f>
        <v>547196.3600000001</v>
      </c>
      <c r="H1175" s="395">
        <f>H1172-H1176</f>
        <v>567369.76000000013</v>
      </c>
      <c r="I1175" s="682">
        <f>'Пр.1.1. дох.23-24'!C9+'Пр.1.1. дох.23-24'!C79</f>
        <v>547196.24</v>
      </c>
      <c r="J1175" s="682">
        <f>'Пр.1.1. дох.23-24'!D9+'Пр.1.1. дох.23-24'!D79</f>
        <v>567369.71000000008</v>
      </c>
      <c r="K1175" s="675"/>
      <c r="L1175" s="674"/>
      <c r="M1175" s="674"/>
      <c r="N1175" s="674"/>
      <c r="O1175" s="674"/>
      <c r="P1175" s="674"/>
      <c r="Q1175" s="674"/>
      <c r="R1175" s="674"/>
      <c r="S1175" s="676"/>
      <c r="T1175" s="501"/>
      <c r="U1175" s="501"/>
      <c r="V1175" s="501"/>
      <c r="W1175" s="501"/>
      <c r="X1175" s="501"/>
      <c r="Y1175" s="501"/>
      <c r="Z1175" s="501"/>
      <c r="AA1175" s="501"/>
      <c r="AB1175" s="501"/>
      <c r="AC1175" s="501"/>
      <c r="AD1175" s="501"/>
      <c r="AE1175" s="501"/>
    </row>
    <row r="1176" spans="1:37" ht="18.75" x14ac:dyDescent="0.3">
      <c r="A1176" s="50"/>
      <c r="B1176" s="50"/>
      <c r="C1176" s="51"/>
      <c r="D1176" s="51"/>
      <c r="E1176" s="51"/>
      <c r="F1176" s="397" t="s">
        <v>589</v>
      </c>
      <c r="G1176" s="395">
        <f>G67+G209+G235+G325+G391+G550+G601+G663+G755+G856+G1076+Лист1!K24</f>
        <v>260806.39999999999</v>
      </c>
      <c r="H1176" s="395">
        <f>H67+H209+H235+H325+H391+H550+H601+H663+H755+H856+H1076+Лист1!Q24</f>
        <v>210284.9</v>
      </c>
      <c r="I1176" s="682"/>
      <c r="J1176" s="674"/>
      <c r="K1176" s="674"/>
      <c r="L1176" s="674"/>
      <c r="M1176" s="674"/>
      <c r="N1176" s="674"/>
      <c r="O1176" s="674"/>
      <c r="P1176" s="674"/>
      <c r="Q1176" s="676"/>
      <c r="R1176" s="674"/>
      <c r="S1176" s="676"/>
      <c r="T1176" s="501"/>
      <c r="U1176" s="501"/>
      <c r="V1176" s="501"/>
      <c r="W1176" s="501"/>
      <c r="X1176" s="501"/>
      <c r="Y1176" s="501"/>
      <c r="Z1176" s="501"/>
      <c r="AA1176" s="501"/>
      <c r="AB1176" s="501"/>
      <c r="AC1176" s="501"/>
      <c r="AD1176" s="501"/>
      <c r="AE1176" s="501"/>
    </row>
    <row r="1177" spans="1:37" ht="18.75" x14ac:dyDescent="0.3">
      <c r="A1177" s="50"/>
      <c r="B1177" s="50"/>
      <c r="C1177" s="51"/>
      <c r="D1177" s="51"/>
      <c r="E1177" s="51"/>
      <c r="F1177" s="397"/>
      <c r="G1177" s="395">
        <f>'Пр.1.1. дох.23-24'!C9+'Пр.1.1. дох.23-24'!C79</f>
        <v>547196.24</v>
      </c>
      <c r="H1177" s="395">
        <f>'Пр.1.1. дох.23-24'!D9+'Пр.1.1. дох.23-24'!D79</f>
        <v>567369.71000000008</v>
      </c>
      <c r="I1177" s="682"/>
      <c r="J1177" s="674"/>
      <c r="K1177" s="675"/>
      <c r="L1177" s="674"/>
      <c r="M1177" s="674"/>
      <c r="N1177" s="674"/>
      <c r="O1177" s="674"/>
      <c r="P1177" s="674"/>
      <c r="Q1177" s="674"/>
      <c r="R1177" s="674"/>
      <c r="S1177" s="674"/>
      <c r="T1177" s="117"/>
      <c r="U1177" s="501"/>
      <c r="V1177" s="501"/>
      <c r="W1177" s="501"/>
      <c r="X1177" s="501"/>
      <c r="Y1177" s="501"/>
      <c r="Z1177" s="501"/>
      <c r="AA1177" s="501"/>
      <c r="AB1177" s="501"/>
      <c r="AC1177" s="501"/>
      <c r="AD1177" s="501"/>
      <c r="AE1177" s="501"/>
    </row>
    <row r="1178" spans="1:37" ht="15.75" x14ac:dyDescent="0.25">
      <c r="A1178" s="50"/>
      <c r="B1178" s="50"/>
      <c r="C1178" s="51"/>
      <c r="D1178" s="53"/>
      <c r="E1178" s="53"/>
      <c r="F1178" s="398" t="s">
        <v>674</v>
      </c>
      <c r="G1178" s="102"/>
      <c r="H1178" s="102"/>
      <c r="I1178" s="526"/>
      <c r="J1178" s="677"/>
      <c r="K1178" s="677"/>
      <c r="L1178" s="677"/>
      <c r="M1178" s="677"/>
      <c r="N1178" s="677"/>
      <c r="O1178" s="677"/>
      <c r="P1178" s="677"/>
      <c r="Q1178" s="677"/>
      <c r="R1178" s="648"/>
      <c r="S1178" s="677"/>
      <c r="T1178" s="501"/>
      <c r="U1178" s="501"/>
      <c r="V1178" s="501"/>
      <c r="W1178" s="501"/>
      <c r="X1178" s="501"/>
      <c r="Y1178" s="501"/>
      <c r="Z1178" s="501"/>
      <c r="AA1178" s="501"/>
      <c r="AB1178" s="501"/>
      <c r="AC1178" s="501"/>
      <c r="AD1178" s="501"/>
      <c r="AE1178" s="501"/>
    </row>
    <row r="1179" spans="1:37" ht="15.75" x14ac:dyDescent="0.25">
      <c r="A1179" s="50"/>
      <c r="B1179" s="50"/>
      <c r="C1179" s="51"/>
      <c r="D1179" s="53"/>
      <c r="E1179" s="53"/>
      <c r="F1179" s="53"/>
      <c r="G1179" s="102"/>
      <c r="H1179" s="102"/>
      <c r="I1179" s="526"/>
      <c r="J1179" s="113"/>
      <c r="K1179" s="113"/>
      <c r="L1179" s="501"/>
      <c r="M1179" s="501"/>
      <c r="N1179" s="501"/>
      <c r="O1179" s="113"/>
      <c r="P1179" s="501"/>
      <c r="Q1179" s="113"/>
      <c r="R1179" s="113"/>
      <c r="S1179" s="113"/>
      <c r="T1179" s="501"/>
      <c r="U1179" s="501"/>
      <c r="V1179" s="501"/>
      <c r="W1179" s="501"/>
      <c r="X1179" s="501"/>
      <c r="Y1179" s="501"/>
      <c r="Z1179" s="501"/>
      <c r="AA1179" s="501"/>
      <c r="AB1179" s="501"/>
      <c r="AC1179" s="501"/>
      <c r="AD1179" s="501"/>
      <c r="AE1179" s="501"/>
    </row>
    <row r="1180" spans="1:37" ht="15.75" x14ac:dyDescent="0.25">
      <c r="A1180" s="50"/>
      <c r="B1180" s="50"/>
      <c r="C1180" s="51"/>
      <c r="D1180" s="53"/>
      <c r="E1180" s="53"/>
      <c r="F1180" s="53"/>
      <c r="G1180" s="102"/>
      <c r="H1180" s="102"/>
      <c r="I1180" s="526"/>
      <c r="J1180" s="476"/>
      <c r="K1180" s="117"/>
      <c r="L1180" s="501"/>
      <c r="M1180" s="501"/>
      <c r="N1180" s="501"/>
      <c r="O1180" s="501"/>
      <c r="P1180" s="501"/>
      <c r="Q1180" s="501"/>
      <c r="R1180" s="501"/>
      <c r="S1180" s="117"/>
      <c r="T1180" s="501"/>
      <c r="U1180" s="501"/>
      <c r="V1180" s="501"/>
      <c r="W1180" s="501"/>
      <c r="X1180" s="501"/>
      <c r="Y1180" s="501"/>
      <c r="Z1180" s="501"/>
      <c r="AA1180" s="501"/>
      <c r="AB1180" s="501"/>
      <c r="AC1180" s="501"/>
      <c r="AD1180" s="501"/>
      <c r="AE1180" s="501"/>
    </row>
    <row r="1181" spans="1:37" ht="15.75" x14ac:dyDescent="0.25">
      <c r="A1181" s="50"/>
      <c r="B1181" s="50"/>
      <c r="C1181" s="54">
        <v>1</v>
      </c>
      <c r="D1181" s="53"/>
      <c r="E1181" s="53"/>
      <c r="F1181" s="53"/>
      <c r="G1181" s="102">
        <f>G11+G32+G242+G536+G587+G913+G1155+G822</f>
        <v>152184.19999999998</v>
      </c>
      <c r="H1181" s="102">
        <f>H11+H32+H242+H536+H587+H913+H1155+H822</f>
        <v>158018.59999999998</v>
      </c>
      <c r="I1181" s="526"/>
      <c r="J1181" s="476"/>
      <c r="K1181" s="501"/>
      <c r="L1181" s="501"/>
      <c r="M1181" s="501"/>
      <c r="N1181" s="501"/>
      <c r="O1181" s="501"/>
      <c r="P1181" s="501"/>
      <c r="Q1181" s="501"/>
      <c r="R1181" s="501"/>
      <c r="S1181" s="113"/>
      <c r="T1181" s="501"/>
      <c r="U1181" s="501"/>
      <c r="V1181" s="501"/>
      <c r="W1181" s="501"/>
      <c r="X1181" s="501"/>
      <c r="Y1181" s="501"/>
      <c r="Z1181" s="501"/>
      <c r="AA1181" s="501"/>
      <c r="AB1181" s="501"/>
      <c r="AC1181" s="501"/>
      <c r="AD1181" s="501"/>
      <c r="AE1181" s="501"/>
    </row>
    <row r="1182" spans="1:37" ht="15.75" customHeight="1" x14ac:dyDescent="0.25">
      <c r="A1182" s="50"/>
      <c r="B1182" s="50"/>
      <c r="C1182" s="54" t="s">
        <v>588</v>
      </c>
      <c r="D1182" s="53"/>
      <c r="E1182" s="53"/>
      <c r="F1182" s="53"/>
      <c r="G1182" s="102"/>
      <c r="H1182" s="102"/>
      <c r="I1182" s="534"/>
      <c r="J1182" s="476"/>
      <c r="K1182" s="501"/>
      <c r="L1182" s="501"/>
      <c r="M1182" s="501"/>
      <c r="N1182" s="501"/>
      <c r="O1182" s="501"/>
      <c r="P1182" s="501"/>
      <c r="Q1182" s="501"/>
      <c r="R1182" s="501"/>
      <c r="S1182" s="501"/>
      <c r="T1182" s="501"/>
      <c r="U1182" s="501"/>
      <c r="V1182" s="501"/>
      <c r="W1182" s="501"/>
      <c r="X1182" s="501"/>
      <c r="Y1182" s="501"/>
      <c r="Z1182" s="501"/>
      <c r="AA1182" s="501"/>
      <c r="AB1182" s="501"/>
      <c r="AC1182" s="501"/>
      <c r="AD1182" s="501"/>
      <c r="AE1182" s="501"/>
    </row>
    <row r="1183" spans="1:37" ht="15.75" x14ac:dyDescent="0.25">
      <c r="A1183" s="50"/>
      <c r="B1183" s="50"/>
      <c r="C1183" s="54" t="s">
        <v>589</v>
      </c>
      <c r="D1183" s="53"/>
      <c r="E1183" s="53"/>
      <c r="F1183" s="53"/>
      <c r="G1183" s="102"/>
      <c r="H1183" s="102"/>
      <c r="I1183" s="534"/>
      <c r="J1183" s="739"/>
      <c r="K1183" s="739"/>
      <c r="L1183" s="739"/>
      <c r="M1183" s="739"/>
      <c r="N1183" s="739"/>
      <c r="O1183" s="739"/>
      <c r="P1183" s="739"/>
      <c r="Q1183" s="739"/>
      <c r="R1183" s="739"/>
      <c r="S1183" s="739"/>
      <c r="T1183" s="739"/>
      <c r="U1183" s="739"/>
      <c r="V1183" s="739"/>
      <c r="W1183" s="739"/>
      <c r="X1183" s="739"/>
      <c r="Y1183" s="739"/>
      <c r="Z1183" s="739"/>
      <c r="AA1183" s="739"/>
      <c r="AB1183" s="739"/>
      <c r="AC1183" s="739"/>
      <c r="AD1183" s="739"/>
      <c r="AE1183" s="739"/>
      <c r="AF1183" s="637"/>
      <c r="AG1183" s="637"/>
      <c r="AH1183" s="637"/>
      <c r="AI1183" s="637"/>
      <c r="AJ1183" s="637"/>
      <c r="AK1183" s="637"/>
    </row>
    <row r="1184" spans="1:37" ht="60" x14ac:dyDescent="0.25">
      <c r="A1184" s="50"/>
      <c r="B1184" s="50"/>
      <c r="C1184" s="54">
        <v>2</v>
      </c>
      <c r="D1184" s="53"/>
      <c r="E1184" s="53"/>
      <c r="F1184" s="53"/>
      <c r="G1184" s="102">
        <f>G159</f>
        <v>0</v>
      </c>
      <c r="H1184" s="102">
        <f>H159</f>
        <v>0</v>
      </c>
      <c r="I1184" s="526"/>
      <c r="J1184" s="678"/>
      <c r="K1184" s="678"/>
      <c r="L1184" s="678"/>
      <c r="M1184" s="678"/>
      <c r="N1184" s="678"/>
      <c r="O1184" s="678"/>
      <c r="P1184" s="678"/>
      <c r="Q1184" s="678"/>
      <c r="R1184" s="744"/>
      <c r="S1184" s="744"/>
      <c r="T1184" s="744"/>
      <c r="U1184" s="678"/>
      <c r="V1184" s="678"/>
      <c r="W1184" s="678"/>
      <c r="X1184" s="678"/>
      <c r="Y1184" s="678"/>
      <c r="Z1184" s="678"/>
      <c r="AA1184" s="678"/>
      <c r="AB1184" s="678"/>
      <c r="AC1184" s="678"/>
      <c r="AD1184" s="678"/>
      <c r="AE1184" s="678"/>
      <c r="AF1184" s="647" t="s">
        <v>1639</v>
      </c>
      <c r="AG1184" s="479" t="s">
        <v>1654</v>
      </c>
      <c r="AH1184" s="479" t="s">
        <v>1661</v>
      </c>
      <c r="AI1184" s="479" t="s">
        <v>1670</v>
      </c>
      <c r="AJ1184" s="479" t="s">
        <v>1680</v>
      </c>
      <c r="AK1184" s="549" t="s">
        <v>1684</v>
      </c>
    </row>
    <row r="1185" spans="1:40" ht="15.75" x14ac:dyDescent="0.25">
      <c r="A1185" s="50"/>
      <c r="B1185" s="50"/>
      <c r="C1185" s="54">
        <v>3</v>
      </c>
      <c r="D1185" s="53"/>
      <c r="E1185" s="53"/>
      <c r="F1185" s="53"/>
      <c r="G1185" s="102">
        <f>G927+G166</f>
        <v>8292.4</v>
      </c>
      <c r="H1185" s="102">
        <f>H927+H166</f>
        <v>8292.4</v>
      </c>
      <c r="I1185" s="534"/>
      <c r="J1185" s="679"/>
      <c r="K1185" s="679"/>
      <c r="L1185" s="680"/>
      <c r="M1185" s="679"/>
      <c r="N1185" s="679"/>
      <c r="O1185" s="679"/>
      <c r="P1185" s="679"/>
      <c r="Q1185" s="679"/>
      <c r="R1185" s="681"/>
      <c r="S1185" s="681"/>
      <c r="T1185" s="681"/>
      <c r="U1185" s="679"/>
      <c r="V1185" s="680"/>
      <c r="W1185" s="680"/>
      <c r="X1185" s="680"/>
      <c r="Y1185" s="680"/>
      <c r="Z1185" s="679"/>
      <c r="AA1185" s="679"/>
      <c r="AB1185" s="679"/>
      <c r="AC1185" s="679"/>
      <c r="AD1185" s="679"/>
      <c r="AE1185" s="679"/>
      <c r="AF1185" s="670">
        <v>106.89</v>
      </c>
      <c r="AG1185" s="356">
        <v>21.5</v>
      </c>
      <c r="AH1185" s="356">
        <v>100</v>
      </c>
      <c r="AI1185" s="356">
        <v>205.9</v>
      </c>
      <c r="AJ1185" s="356">
        <v>463.7</v>
      </c>
      <c r="AK1185" s="418">
        <v>63.805999999999997</v>
      </c>
      <c r="AL1185" s="578">
        <f>SUM(J1185:AK1185)</f>
        <v>961.79600000000005</v>
      </c>
    </row>
    <row r="1186" spans="1:40" ht="15.75" x14ac:dyDescent="0.25">
      <c r="A1186" s="50"/>
      <c r="B1186" s="50"/>
      <c r="C1186" s="54" t="s">
        <v>588</v>
      </c>
      <c r="D1186" s="53"/>
      <c r="E1186" s="53"/>
      <c r="F1186" s="53"/>
      <c r="G1186" s="102">
        <f>G1185-G1187</f>
        <v>8392.4</v>
      </c>
      <c r="H1186" s="102">
        <f>H1185-H1187</f>
        <v>8498.2999999999993</v>
      </c>
      <c r="I1186" s="534"/>
      <c r="J1186" s="679"/>
      <c r="K1186" s="679"/>
      <c r="L1186" s="679"/>
      <c r="M1186" s="679"/>
      <c r="N1186" s="679"/>
      <c r="O1186" s="679"/>
      <c r="P1186" s="679"/>
      <c r="Q1186" s="679"/>
      <c r="R1186" s="680"/>
      <c r="S1186" s="680"/>
      <c r="T1186" s="680"/>
      <c r="U1186" s="679"/>
      <c r="V1186" s="680"/>
      <c r="W1186" s="680"/>
      <c r="X1186" s="679"/>
      <c r="Y1186" s="679"/>
      <c r="Z1186" s="679"/>
      <c r="AA1186" s="679"/>
      <c r="AB1186" s="679"/>
      <c r="AC1186" s="679"/>
      <c r="AD1186" s="679"/>
      <c r="AE1186" s="679"/>
      <c r="AF1186" s="670">
        <v>2500</v>
      </c>
      <c r="AG1186" s="356">
        <v>501.7</v>
      </c>
      <c r="AH1186" s="356">
        <v>448</v>
      </c>
      <c r="AI1186" s="356">
        <v>4816.3</v>
      </c>
      <c r="AJ1186" s="356">
        <v>4173.5</v>
      </c>
      <c r="AK1186" s="418">
        <v>1492.7</v>
      </c>
      <c r="AL1186" s="578">
        <f t="shared" ref="AL1186:AL1187" si="98">SUM(J1186:AK1186)</f>
        <v>13932.2</v>
      </c>
      <c r="AN1186" s="230">
        <f>S1180+AL1186</f>
        <v>13932.2</v>
      </c>
    </row>
    <row r="1187" spans="1:40" ht="15.75" x14ac:dyDescent="0.25">
      <c r="A1187" s="50"/>
      <c r="B1187" s="50"/>
      <c r="C1187" s="54" t="s">
        <v>589</v>
      </c>
      <c r="D1187" s="53"/>
      <c r="E1187" s="53"/>
      <c r="F1187" s="53"/>
      <c r="G1187" s="102">
        <f>G195-AH1185</f>
        <v>-100</v>
      </c>
      <c r="H1187" s="102">
        <f>H195-AI1185</f>
        <v>-205.9</v>
      </c>
      <c r="I1187" s="534"/>
      <c r="J1187" s="674"/>
      <c r="K1187" s="674"/>
      <c r="L1187" s="674"/>
      <c r="M1187" s="674"/>
      <c r="N1187" s="674"/>
      <c r="O1187" s="674"/>
      <c r="P1187" s="674"/>
      <c r="Q1187" s="674"/>
      <c r="R1187" s="674"/>
      <c r="S1187" s="674"/>
      <c r="T1187" s="674"/>
      <c r="U1187" s="674"/>
      <c r="V1187" s="674"/>
      <c r="W1187" s="674"/>
      <c r="X1187" s="674"/>
      <c r="Y1187" s="674"/>
      <c r="Z1187" s="674"/>
      <c r="AA1187" s="674"/>
      <c r="AB1187" s="674"/>
      <c r="AC1187" s="674"/>
      <c r="AD1187" s="674"/>
      <c r="AE1187" s="674"/>
      <c r="AF1187" s="671">
        <f t="shared" ref="AF1187:AK1187" si="99">AF1185+AF1186</f>
        <v>2606.89</v>
      </c>
      <c r="AG1187" s="409">
        <f t="shared" si="99"/>
        <v>523.20000000000005</v>
      </c>
      <c r="AH1187" s="409">
        <f t="shared" si="99"/>
        <v>548</v>
      </c>
      <c r="AI1187" s="409">
        <f t="shared" si="99"/>
        <v>5022.2</v>
      </c>
      <c r="AJ1187" s="409">
        <f t="shared" si="99"/>
        <v>4637.2</v>
      </c>
      <c r="AK1187" s="550">
        <f t="shared" si="99"/>
        <v>1556.5060000000001</v>
      </c>
      <c r="AL1187" s="578">
        <f t="shared" si="98"/>
        <v>14893.996000000001</v>
      </c>
    </row>
    <row r="1188" spans="1:40" ht="15.75" x14ac:dyDescent="0.25">
      <c r="A1188" s="50"/>
      <c r="B1188" s="50"/>
      <c r="C1188" s="54">
        <v>4</v>
      </c>
      <c r="D1188" s="53"/>
      <c r="E1188" s="53"/>
      <c r="F1188" s="53"/>
      <c r="G1188" s="102">
        <f>G934+G278+G196</f>
        <v>7269.2</v>
      </c>
      <c r="H1188" s="102">
        <f>H934+H278+H196</f>
        <v>7459.9</v>
      </c>
      <c r="I1188" s="526"/>
      <c r="J1188" s="677"/>
      <c r="K1188" s="677"/>
      <c r="L1188" s="677"/>
      <c r="M1188" s="677"/>
      <c r="N1188" s="677"/>
      <c r="O1188" s="677"/>
      <c r="P1188" s="677"/>
      <c r="Q1188" s="677"/>
      <c r="R1188" s="648"/>
      <c r="S1188" s="677"/>
      <c r="T1188" s="648"/>
      <c r="U1188" s="677"/>
      <c r="V1188" s="677"/>
      <c r="W1188" s="677"/>
      <c r="X1188" s="677"/>
      <c r="Y1188" s="677"/>
      <c r="Z1188" s="677"/>
      <c r="AA1188" s="677"/>
      <c r="AB1188" s="677"/>
      <c r="AC1188" s="677"/>
      <c r="AD1188" s="677"/>
      <c r="AE1188" s="677"/>
      <c r="AF1188" s="672" t="s">
        <v>1492</v>
      </c>
      <c r="AG1188" s="426" t="s">
        <v>1427</v>
      </c>
      <c r="AH1188" s="426" t="s">
        <v>1662</v>
      </c>
      <c r="AI1188" s="426" t="s">
        <v>1676</v>
      </c>
      <c r="AJ1188" s="426" t="s">
        <v>1427</v>
      </c>
      <c r="AK1188" s="551" t="s">
        <v>1427</v>
      </c>
    </row>
    <row r="1189" spans="1:40" ht="15.75" x14ac:dyDescent="0.25">
      <c r="A1189" s="50"/>
      <c r="B1189" s="50"/>
      <c r="C1189" s="54" t="s">
        <v>588</v>
      </c>
      <c r="D1189" s="53"/>
      <c r="E1189" s="53"/>
      <c r="F1189" s="53"/>
      <c r="G1189" s="102">
        <f>G1188-G1190</f>
        <v>6306.7</v>
      </c>
      <c r="H1189" s="102">
        <f>H1188-H1190</f>
        <v>6484.2</v>
      </c>
      <c r="I1189" s="526"/>
      <c r="J1189" s="501"/>
      <c r="K1189" s="501"/>
      <c r="L1189" s="501"/>
      <c r="M1189" s="501"/>
      <c r="N1189" s="501"/>
      <c r="O1189" s="501"/>
      <c r="P1189" s="501"/>
      <c r="Q1189" s="501"/>
      <c r="R1189" s="501"/>
      <c r="S1189" s="501"/>
      <c r="T1189" s="501"/>
      <c r="U1189" s="501"/>
      <c r="V1189" s="501"/>
      <c r="W1189" s="501"/>
      <c r="X1189" s="501"/>
      <c r="Y1189" s="501"/>
      <c r="Z1189" s="501"/>
      <c r="AA1189" s="501"/>
      <c r="AB1189" s="501"/>
      <c r="AC1189" s="501"/>
      <c r="AD1189" s="501"/>
      <c r="AE1189" s="501"/>
    </row>
    <row r="1190" spans="1:40" ht="15.75" x14ac:dyDescent="0.25">
      <c r="A1190" s="50"/>
      <c r="B1190" s="50"/>
      <c r="C1190" s="54" t="s">
        <v>589</v>
      </c>
      <c r="D1190" s="53"/>
      <c r="E1190" s="53"/>
      <c r="F1190" s="53"/>
      <c r="G1190" s="102">
        <f>G287+G217+G209+G200-U1185-W1185-Z1185</f>
        <v>962.5</v>
      </c>
      <c r="H1190" s="102">
        <f>H287+H217+H209+H200-V1185-X1185-AA1185</f>
        <v>975.7</v>
      </c>
    </row>
    <row r="1191" spans="1:40" ht="15.75" x14ac:dyDescent="0.25">
      <c r="A1191" s="50"/>
      <c r="B1191" s="50"/>
      <c r="C1191" s="54">
        <v>5</v>
      </c>
      <c r="D1191" s="53"/>
      <c r="E1191" s="53"/>
      <c r="F1191" s="53"/>
      <c r="G1191" s="102">
        <f>G955+G570</f>
        <v>61958.44</v>
      </c>
      <c r="H1191" s="102">
        <f>H955+H570</f>
        <v>54762.939999999995</v>
      </c>
      <c r="K1191" s="115"/>
      <c r="AA1191" s="230"/>
    </row>
    <row r="1192" spans="1:40" ht="15.75" x14ac:dyDescent="0.25">
      <c r="A1192" s="50"/>
      <c r="B1192" s="50"/>
      <c r="C1192" s="54" t="s">
        <v>588</v>
      </c>
      <c r="D1192" s="53"/>
      <c r="E1192" s="53"/>
      <c r="F1192" s="53"/>
      <c r="G1192" s="102">
        <f>G1191-G1193</f>
        <v>615683.95600000001</v>
      </c>
      <c r="H1192" s="102">
        <f>H1191-H1193</f>
        <v>48890.841999999997</v>
      </c>
      <c r="J1192" s="115"/>
      <c r="K1192" s="115"/>
      <c r="L1192" s="115"/>
      <c r="M1192" s="115"/>
      <c r="N1192" s="115"/>
      <c r="O1192" s="115"/>
      <c r="P1192" s="115"/>
      <c r="Q1192" s="115"/>
      <c r="T1192" s="115"/>
      <c r="U1192" s="115"/>
      <c r="V1192" s="115"/>
      <c r="W1192" s="115"/>
      <c r="X1192" s="115"/>
      <c r="Y1192" s="115"/>
      <c r="Z1192" s="115"/>
    </row>
    <row r="1193" spans="1:40" ht="15.75" x14ac:dyDescent="0.25">
      <c r="A1193" s="50"/>
      <c r="B1193" s="50"/>
      <c r="C1193" s="54" t="s">
        <v>589</v>
      </c>
      <c r="D1193" s="53"/>
      <c r="E1193" s="53"/>
      <c r="F1193" s="53"/>
      <c r="G1193" s="102">
        <f>G987+G1076+G1093-J1175+G1048-P1175-AG1185-AC1185+G1086+G972+G1090-AJ1185+G1099-AK1185</f>
        <v>-553725.51599999995</v>
      </c>
      <c r="H1193" s="102">
        <f>H987+H1076+H1093-K1175+H1048-Q1175-AH1185-AD1185+H1086+H972+H1090-AK1185+H1099-AL1185</f>
        <v>5872.098</v>
      </c>
    </row>
    <row r="1194" spans="1:40" ht="15.75" x14ac:dyDescent="0.25">
      <c r="A1194" s="50"/>
      <c r="B1194" s="50"/>
      <c r="C1194" s="54">
        <v>7</v>
      </c>
      <c r="D1194" s="53"/>
      <c r="E1194" s="53"/>
      <c r="F1194" s="53"/>
      <c r="G1194" s="102">
        <f>G594+G298</f>
        <v>387492.96</v>
      </c>
      <c r="H1194" s="102">
        <f>H594+H298</f>
        <v>343510.56</v>
      </c>
      <c r="J1194" s="115"/>
    </row>
    <row r="1195" spans="1:40" ht="15.75" x14ac:dyDescent="0.25">
      <c r="A1195" s="50"/>
      <c r="B1195" s="50"/>
      <c r="C1195" s="54" t="s">
        <v>588</v>
      </c>
      <c r="D1195" s="53"/>
      <c r="E1195" s="53"/>
      <c r="F1195" s="53"/>
      <c r="G1195" s="102">
        <f>G1194-G1196</f>
        <v>147308.44000000003</v>
      </c>
      <c r="H1195" s="102">
        <f>H1194-H1196</f>
        <v>144966.74000000002</v>
      </c>
      <c r="J1195" s="230"/>
      <c r="K1195" s="230"/>
    </row>
    <row r="1196" spans="1:40" ht="15.75" x14ac:dyDescent="0.25">
      <c r="A1196" s="50"/>
      <c r="B1196" s="50"/>
      <c r="C1196" s="54" t="s">
        <v>589</v>
      </c>
      <c r="D1196" s="53"/>
      <c r="E1196" s="53"/>
      <c r="F1196" s="53"/>
      <c r="G1196" s="102">
        <f>G755+G663+G601+G325+G724+G636+G709-O1175+G728-Q1175-R1175+G782+G752+G713+G705+G701+G697+G633+G629+G309-K1185-L1185-M1185-N1185-O1185-P1185-Q1185-R1185-S1185-AB1185-AD1185-AE1185-AF1185+G642+G646+G716+G720+G363</f>
        <v>240184.52</v>
      </c>
      <c r="H1196" s="102">
        <f>H755+H663+H601+H325+H724+H636+H709-P1175+H728-R1175-S1175+H782+H752+H713+H705+H701+H697+H633+H629+H309-L1185-M1185-N1185-O1185-P1185-Q1185-R1185-S1185-T1185-AC1185-AE1185-AF1185-AG1185+H642+H646+H716+H720+H363</f>
        <v>198543.81999999998</v>
      </c>
      <c r="J1196" s="230"/>
      <c r="K1196" s="230"/>
    </row>
    <row r="1197" spans="1:40" ht="15.75" x14ac:dyDescent="0.25">
      <c r="A1197" s="50"/>
      <c r="B1197" s="50"/>
      <c r="C1197" s="54">
        <v>8</v>
      </c>
      <c r="D1197" s="53"/>
      <c r="E1197" s="53"/>
      <c r="F1197" s="53"/>
      <c r="G1197" s="102">
        <f>G367</f>
        <v>82217.399999999994</v>
      </c>
      <c r="H1197" s="102">
        <f>H367</f>
        <v>82221.399999999994</v>
      </c>
      <c r="J1197" s="115"/>
    </row>
    <row r="1198" spans="1:40" ht="15.75" x14ac:dyDescent="0.25">
      <c r="A1198" s="50"/>
      <c r="B1198" s="50"/>
      <c r="C1198" s="54" t="s">
        <v>588</v>
      </c>
      <c r="D1198" s="53"/>
      <c r="E1198" s="53"/>
      <c r="F1198" s="53"/>
      <c r="G1198" s="102"/>
      <c r="H1198" s="102"/>
      <c r="J1198" s="115"/>
    </row>
    <row r="1199" spans="1:40" ht="15.75" x14ac:dyDescent="0.25">
      <c r="A1199" s="50"/>
      <c r="B1199" s="50"/>
      <c r="C1199" s="54" t="s">
        <v>589</v>
      </c>
      <c r="D1199" s="53"/>
      <c r="E1199" s="53"/>
      <c r="F1199" s="53"/>
      <c r="G1199" s="102"/>
      <c r="H1199" s="102"/>
      <c r="J1199" s="230"/>
    </row>
    <row r="1200" spans="1:40" ht="15.75" x14ac:dyDescent="0.25">
      <c r="A1200" s="50"/>
      <c r="B1200" s="50"/>
      <c r="C1200" s="54">
        <v>10</v>
      </c>
      <c r="D1200" s="53"/>
      <c r="E1200" s="53"/>
      <c r="F1200" s="53"/>
      <c r="G1200" s="102">
        <f>G1146+G474+G220+G580</f>
        <v>15262.41</v>
      </c>
      <c r="H1200" s="102">
        <f>H1146+H474+H220+H580</f>
        <v>15374.51</v>
      </c>
    </row>
    <row r="1201" spans="1:10" ht="15.75" x14ac:dyDescent="0.25">
      <c r="A1201" s="50"/>
      <c r="B1201" s="50"/>
      <c r="C1201" s="54" t="s">
        <v>588</v>
      </c>
      <c r="D1201" s="53"/>
      <c r="E1201" s="53"/>
      <c r="F1201" s="53"/>
      <c r="G1201" s="102">
        <f>G1200-G1202</f>
        <v>11305.61</v>
      </c>
      <c r="H1201" s="102">
        <f>H1200-H1202</f>
        <v>11305.61</v>
      </c>
    </row>
    <row r="1202" spans="1:10" ht="15.75" x14ac:dyDescent="0.25">
      <c r="A1202" s="50"/>
      <c r="B1202" s="50"/>
      <c r="C1202" s="54" t="s">
        <v>589</v>
      </c>
      <c r="D1202" s="53"/>
      <c r="E1202" s="53"/>
      <c r="F1202" s="53"/>
      <c r="G1202" s="102">
        <f>G235+G479+G580-M1175+G230-V1185</f>
        <v>3956.7999999999997</v>
      </c>
      <c r="H1202" s="102">
        <f>H235+H479+H580-N1175+H230-W1185</f>
        <v>4068.9</v>
      </c>
      <c r="J1202" s="230"/>
    </row>
    <row r="1203" spans="1:10" ht="15.75" x14ac:dyDescent="0.25">
      <c r="A1203" s="50"/>
      <c r="B1203" s="50"/>
      <c r="C1203" s="54">
        <v>11</v>
      </c>
      <c r="D1203" s="53"/>
      <c r="E1203" s="53"/>
      <c r="F1203" s="53"/>
      <c r="G1203" s="102">
        <f>G829</f>
        <v>70328.3</v>
      </c>
      <c r="H1203" s="102">
        <f>H829</f>
        <v>70328.3</v>
      </c>
    </row>
    <row r="1204" spans="1:10" ht="15.75" x14ac:dyDescent="0.25">
      <c r="A1204" s="50"/>
      <c r="B1204" s="50"/>
      <c r="C1204" s="54" t="s">
        <v>588</v>
      </c>
      <c r="D1204" s="53"/>
      <c r="E1204" s="53"/>
      <c r="F1204" s="53"/>
      <c r="G1204" s="102">
        <f>G1203-G1205</f>
        <v>69650.3</v>
      </c>
      <c r="H1204" s="102">
        <f>H1203-H1205</f>
        <v>69908.100000000006</v>
      </c>
    </row>
    <row r="1205" spans="1:10" ht="15.75" x14ac:dyDescent="0.25">
      <c r="A1205" s="50"/>
      <c r="B1205" s="50"/>
      <c r="C1205" s="54" t="s">
        <v>589</v>
      </c>
      <c r="D1205" s="53"/>
      <c r="E1205" s="53"/>
      <c r="F1205" s="53"/>
      <c r="G1205" s="102">
        <f>G856+G868-S1175+G860-AI1185</f>
        <v>678</v>
      </c>
      <c r="H1205" s="102">
        <f>H856+H868-T1175+H860-AJ1185</f>
        <v>420.2</v>
      </c>
    </row>
    <row r="1206" spans="1:10" ht="15.75" x14ac:dyDescent="0.25">
      <c r="A1206" s="50"/>
      <c r="B1206" s="50"/>
      <c r="C1206" s="54">
        <v>12</v>
      </c>
      <c r="D1206" s="53"/>
      <c r="E1206" s="53"/>
      <c r="F1206" s="53"/>
      <c r="G1206" s="102">
        <f>G499</f>
        <v>6358.15</v>
      </c>
      <c r="H1206" s="102">
        <f>H499</f>
        <v>6358.15</v>
      </c>
    </row>
    <row r="1207" spans="1:10" ht="15.75" x14ac:dyDescent="0.25">
      <c r="A1207" s="50"/>
      <c r="B1207" s="50"/>
      <c r="C1207" s="55"/>
      <c r="D1207" s="53"/>
      <c r="E1207" s="53"/>
      <c r="F1207" s="53"/>
      <c r="G1207" s="396">
        <f>G1181+G1184+G1185+G1188+G1191+G1194+G1197+G1200+G1203+G1206</f>
        <v>791363.46000000008</v>
      </c>
      <c r="H1207" s="396">
        <f>H1181+H1184+H1185+H1188+H1191+H1194+H1197+H1200+H1203+H1206</f>
        <v>746326.76</v>
      </c>
    </row>
    <row r="1208" spans="1:10" ht="15.75" x14ac:dyDescent="0.25">
      <c r="A1208" s="50"/>
      <c r="B1208" s="50"/>
      <c r="C1208" s="54" t="s">
        <v>588</v>
      </c>
      <c r="D1208" s="53"/>
      <c r="E1208" s="53"/>
      <c r="F1208" s="53"/>
      <c r="G1208" s="396">
        <f>G1182+G1184+G1186+G1189+G1192+G1195+G1198+G1201+G1204+G1206</f>
        <v>865005.5560000001</v>
      </c>
      <c r="H1208" s="396">
        <f>H1182+H1184+H1186+H1189+H1192+H1195+H1198+H1201+H1204+H1206</f>
        <v>296411.94200000004</v>
      </c>
    </row>
    <row r="1209" spans="1:10" ht="15.75" x14ac:dyDescent="0.25">
      <c r="A1209" s="50"/>
      <c r="B1209" s="50"/>
      <c r="C1209" s="54" t="s">
        <v>589</v>
      </c>
      <c r="D1209" s="53"/>
      <c r="E1209" s="53"/>
      <c r="F1209" s="53"/>
      <c r="G1209" s="396">
        <f>G1183+G1190+G1193+G1196+G1199+G1202+G1205+G1187</f>
        <v>-308043.69599999994</v>
      </c>
      <c r="H1209" s="396">
        <f>H1183+H1190+H1193+H1196+H1199+H1202+H1205+H1187</f>
        <v>209674.818</v>
      </c>
    </row>
    <row r="1211" spans="1:10" ht="18.75" x14ac:dyDescent="0.3">
      <c r="D1211" s="578" t="s">
        <v>590</v>
      </c>
      <c r="E1211" s="578">
        <v>50</v>
      </c>
      <c r="G1211" s="391">
        <f>G942</f>
        <v>3048.7</v>
      </c>
      <c r="H1211" s="391">
        <f>H942</f>
        <v>3226.2</v>
      </c>
    </row>
    <row r="1212" spans="1:10" ht="18.75" x14ac:dyDescent="0.3">
      <c r="E1212" s="578">
        <v>51</v>
      </c>
      <c r="G1212" s="391">
        <f>G244+G281+G343+G463+G476</f>
        <v>3446.1</v>
      </c>
      <c r="H1212" s="391">
        <f>H244+H281+H343+H463+H476</f>
        <v>3410.4</v>
      </c>
    </row>
    <row r="1213" spans="1:10" ht="18.75" x14ac:dyDescent="0.3">
      <c r="E1213" s="578">
        <v>52</v>
      </c>
      <c r="G1213" s="391">
        <f>G596+G658+G747+G780</f>
        <v>340752.51</v>
      </c>
      <c r="H1213" s="391">
        <f>H596+H658+H747+H780</f>
        <v>296663.40999999997</v>
      </c>
    </row>
    <row r="1214" spans="1:10" ht="18.75" x14ac:dyDescent="0.3">
      <c r="E1214" s="578">
        <v>53</v>
      </c>
      <c r="G1214" s="391">
        <f>G215</f>
        <v>150</v>
      </c>
      <c r="H1214" s="391">
        <f>H215</f>
        <v>150</v>
      </c>
    </row>
    <row r="1215" spans="1:10" ht="18.75" x14ac:dyDescent="0.3">
      <c r="E1215" s="578">
        <v>54</v>
      </c>
      <c r="G1215" s="391">
        <f>G44+G86</f>
        <v>604</v>
      </c>
      <c r="H1215" s="391">
        <f>H44+H86</f>
        <v>604</v>
      </c>
    </row>
    <row r="1216" spans="1:10" ht="18.75" x14ac:dyDescent="0.3">
      <c r="E1216" s="578">
        <v>55</v>
      </c>
      <c r="G1216" s="391">
        <f>G228</f>
        <v>10</v>
      </c>
      <c r="H1216" s="391">
        <f>H228</f>
        <v>10</v>
      </c>
    </row>
    <row r="1217" spans="1:45" ht="18.75" x14ac:dyDescent="0.3">
      <c r="E1217" s="578">
        <v>56</v>
      </c>
      <c r="G1217" s="391"/>
      <c r="H1217" s="391"/>
    </row>
    <row r="1218" spans="1:45" ht="18.75" x14ac:dyDescent="0.3">
      <c r="E1218" s="578">
        <v>57</v>
      </c>
      <c r="G1218" s="391">
        <f>G831+G905</f>
        <v>58776.1</v>
      </c>
      <c r="H1218" s="391">
        <f>H831+H905</f>
        <v>58776.1</v>
      </c>
    </row>
    <row r="1219" spans="1:45" ht="18.75" x14ac:dyDescent="0.3">
      <c r="E1219" s="578">
        <v>58</v>
      </c>
      <c r="G1219" s="391">
        <f>G300+G369+G501</f>
        <v>86869.37</v>
      </c>
      <c r="H1219" s="391">
        <f>H300+H369+H501</f>
        <v>86869.37</v>
      </c>
    </row>
    <row r="1220" spans="1:45" ht="18.75" x14ac:dyDescent="0.3">
      <c r="E1220" s="578">
        <v>59</v>
      </c>
      <c r="G1220" s="391">
        <f>G136+G332+G423+G469+G647+G736+G1141</f>
        <v>168</v>
      </c>
      <c r="H1220" s="391">
        <f>H136+H332+H423+H469+H647+H736+H1141</f>
        <v>117</v>
      </c>
    </row>
    <row r="1221" spans="1:45" ht="18.75" x14ac:dyDescent="0.3">
      <c r="E1221" s="578">
        <v>60</v>
      </c>
      <c r="G1221" s="391">
        <f>G1044</f>
        <v>8745.7199999999993</v>
      </c>
      <c r="H1221" s="391">
        <f>H1044</f>
        <v>8745.7199999999993</v>
      </c>
    </row>
    <row r="1222" spans="1:45" ht="18.75" x14ac:dyDescent="0.3">
      <c r="E1222" s="578">
        <v>61</v>
      </c>
      <c r="G1222" s="391">
        <f>G198</f>
        <v>274</v>
      </c>
      <c r="H1222" s="391">
        <f>H198</f>
        <v>274</v>
      </c>
    </row>
    <row r="1223" spans="1:45" ht="18.75" x14ac:dyDescent="0.3">
      <c r="E1223" s="578">
        <v>62</v>
      </c>
      <c r="G1223" s="391">
        <f>G1004</f>
        <v>700</v>
      </c>
      <c r="H1223" s="391">
        <f>H1004</f>
        <v>700</v>
      </c>
    </row>
    <row r="1224" spans="1:45" ht="18.75" x14ac:dyDescent="0.3">
      <c r="E1224" s="578">
        <v>63</v>
      </c>
      <c r="G1224" s="391">
        <f>G256+G589+G824</f>
        <v>120</v>
      </c>
      <c r="H1224" s="391">
        <f>H256+H589+H824</f>
        <v>120</v>
      </c>
    </row>
    <row r="1225" spans="1:45" ht="18.75" x14ac:dyDescent="0.3">
      <c r="E1225" s="578">
        <v>64</v>
      </c>
      <c r="G1225" s="391">
        <f>G140+G185+G273+G337+G428+G514+G652+G741+G774+G872</f>
        <v>3826.6400000000003</v>
      </c>
      <c r="H1225" s="391">
        <f>H140+H185+H273+H337+H428+H514+H652+H741+H774+H872</f>
        <v>3826.6400000000003</v>
      </c>
    </row>
    <row r="1226" spans="1:45" ht="18.75" x14ac:dyDescent="0.3">
      <c r="E1226" s="578">
        <v>65</v>
      </c>
      <c r="G1226" s="391">
        <f>G1091</f>
        <v>500</v>
      </c>
      <c r="H1226" s="391">
        <f>H1091</f>
        <v>500</v>
      </c>
    </row>
    <row r="1227" spans="1:45" ht="18.75" x14ac:dyDescent="0.3">
      <c r="E1227" s="578">
        <v>66</v>
      </c>
      <c r="G1227" s="391">
        <f>G565</f>
        <v>0</v>
      </c>
      <c r="H1227" s="391">
        <f>H565</f>
        <v>0</v>
      </c>
    </row>
    <row r="1228" spans="1:45" ht="18.75" x14ac:dyDescent="0.3">
      <c r="E1228" s="578">
        <v>67</v>
      </c>
      <c r="G1228" s="391">
        <f>G149</f>
        <v>45</v>
      </c>
      <c r="H1228" s="391">
        <f>H149</f>
        <v>45</v>
      </c>
    </row>
    <row r="1229" spans="1:45" ht="18.75" x14ac:dyDescent="0.3">
      <c r="E1229" s="578">
        <v>69</v>
      </c>
      <c r="G1229" s="391">
        <f>G154</f>
        <v>80</v>
      </c>
      <c r="H1229" s="391">
        <f>H154</f>
        <v>80</v>
      </c>
    </row>
    <row r="1230" spans="1:45" ht="18.75" x14ac:dyDescent="0.3">
      <c r="E1230" s="578">
        <v>70</v>
      </c>
      <c r="G1230" s="391">
        <f>G1037</f>
        <v>204</v>
      </c>
      <c r="H1230" s="391">
        <f>H1037</f>
        <v>204</v>
      </c>
    </row>
    <row r="1231" spans="1:45" s="527" customFormat="1" ht="18.75" x14ac:dyDescent="0.3">
      <c r="A1231" s="578"/>
      <c r="B1231" s="578"/>
      <c r="C1231" s="578"/>
      <c r="D1231" s="578"/>
      <c r="E1231" s="578"/>
      <c r="F1231" s="578"/>
      <c r="G1231" s="391">
        <f>SUM(G1211:G1230)</f>
        <v>508320.13999999996</v>
      </c>
      <c r="H1231" s="391">
        <f>SUM(H1211:H1230)</f>
        <v>464321.83999999991</v>
      </c>
      <c r="J1231" s="578"/>
      <c r="K1231" s="578"/>
      <c r="L1231" s="578"/>
      <c r="M1231" s="578"/>
      <c r="N1231" s="578"/>
      <c r="O1231" s="578"/>
      <c r="P1231" s="578"/>
      <c r="Q1231" s="578"/>
      <c r="R1231" s="578"/>
      <c r="S1231" s="578"/>
      <c r="T1231" s="578"/>
      <c r="U1231" s="578"/>
      <c r="V1231" s="578"/>
      <c r="W1231" s="578"/>
      <c r="X1231" s="578"/>
      <c r="Y1231" s="578"/>
      <c r="Z1231" s="578"/>
      <c r="AA1231" s="578"/>
      <c r="AB1231" s="578"/>
      <c r="AC1231" s="578"/>
      <c r="AD1231" s="578"/>
      <c r="AE1231" s="578"/>
      <c r="AF1231" s="578"/>
      <c r="AG1231" s="578"/>
      <c r="AH1231" s="578"/>
      <c r="AI1231" s="578"/>
      <c r="AJ1231" s="578"/>
      <c r="AK1231" s="578"/>
      <c r="AL1231" s="578"/>
      <c r="AM1231" s="578"/>
      <c r="AN1231" s="578"/>
      <c r="AO1231" s="578"/>
      <c r="AP1231" s="578"/>
      <c r="AQ1231" s="578"/>
      <c r="AR1231" s="578"/>
      <c r="AS1231" s="578"/>
    </row>
    <row r="1232" spans="1:45" s="527" customFormat="1" x14ac:dyDescent="0.25">
      <c r="A1232" s="578"/>
      <c r="B1232" s="578"/>
      <c r="C1232" s="578"/>
      <c r="D1232" s="578"/>
      <c r="E1232" s="578"/>
      <c r="F1232" s="578"/>
      <c r="G1232" s="115"/>
      <c r="H1232" s="115"/>
      <c r="J1232" s="578"/>
      <c r="K1232" s="578"/>
      <c r="L1232" s="578"/>
      <c r="M1232" s="578"/>
      <c r="N1232" s="578"/>
      <c r="O1232" s="578"/>
      <c r="P1232" s="578"/>
      <c r="Q1232" s="578"/>
      <c r="R1232" s="578"/>
      <c r="S1232" s="578"/>
      <c r="T1232" s="578"/>
      <c r="U1232" s="578"/>
      <c r="V1232" s="578"/>
      <c r="W1232" s="578"/>
      <c r="X1232" s="578"/>
      <c r="Y1232" s="578"/>
      <c r="Z1232" s="578"/>
      <c r="AA1232" s="578"/>
      <c r="AB1232" s="578"/>
      <c r="AC1232" s="578"/>
      <c r="AD1232" s="578"/>
      <c r="AE1232" s="578"/>
      <c r="AF1232" s="578"/>
      <c r="AG1232" s="578"/>
      <c r="AH1232" s="578"/>
      <c r="AI1232" s="578"/>
      <c r="AJ1232" s="578"/>
      <c r="AK1232" s="578"/>
      <c r="AL1232" s="578"/>
      <c r="AM1232" s="578"/>
      <c r="AN1232" s="578"/>
      <c r="AO1232" s="578"/>
      <c r="AP1232" s="578"/>
      <c r="AQ1232" s="578"/>
      <c r="AR1232" s="578"/>
      <c r="AS1232" s="578"/>
    </row>
  </sheetData>
  <mergeCells count="7">
    <mergeCell ref="R1184:T1184"/>
    <mergeCell ref="A5:G5"/>
    <mergeCell ref="J1173:S1173"/>
    <mergeCell ref="J1183:AE1183"/>
    <mergeCell ref="G1:H1"/>
    <mergeCell ref="G2:H2"/>
    <mergeCell ref="G3:H3"/>
  </mergeCells>
  <pageMargins left="0.23622047244094491" right="0.23622047244094491" top="0.74803149606299213" bottom="0.74803149606299213" header="0.31496062992125984" footer="0.31496062992125984"/>
  <pageSetup paperSize="9" scale="76" orientation="portrait" r:id="rId1"/>
  <rowBreaks count="1" manualBreakCount="1">
    <brk id="1172" max="6" man="1"/>
  </rowBreaks>
  <colBreaks count="3" manualBreakCount="3">
    <brk id="8" max="1201" man="1"/>
    <brk id="15" max="1201" man="1"/>
    <brk id="22" max="118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63"/>
  <sheetViews>
    <sheetView zoomScaleNormal="100" zoomScaleSheetLayoutView="100" workbookViewId="0">
      <selection activeCell="N964" sqref="N964"/>
    </sheetView>
  </sheetViews>
  <sheetFormatPr defaultRowHeight="15" x14ac:dyDescent="0.25"/>
  <cols>
    <col min="1" max="1" width="56.28515625" style="1" customWidth="1"/>
    <col min="2" max="2" width="17.42578125" style="1" customWidth="1"/>
    <col min="3" max="3" width="8.28515625" style="1" customWidth="1"/>
    <col min="4" max="4" width="7.28515625" customWidth="1"/>
    <col min="5" max="5" width="8.7109375" customWidth="1"/>
    <col min="6" max="6" width="9.140625" style="1"/>
    <col min="7" max="7" width="15.85546875" style="115" customWidth="1"/>
    <col min="8" max="8" width="13.140625" style="204" hidden="1" customWidth="1"/>
    <col min="9" max="9" width="0" hidden="1" customWidth="1"/>
    <col min="10" max="10" width="10.7109375" hidden="1" customWidth="1"/>
    <col min="11" max="13" width="0" hidden="1" customWidth="1"/>
    <col min="14" max="14" width="11.5703125" customWidth="1"/>
  </cols>
  <sheetData>
    <row r="1" spans="1:8" ht="15.75" x14ac:dyDescent="0.25">
      <c r="A1" s="204"/>
      <c r="B1" s="204"/>
      <c r="C1" s="204"/>
      <c r="D1" s="204"/>
      <c r="E1" s="204"/>
      <c r="F1" s="745" t="s">
        <v>108</v>
      </c>
      <c r="G1" s="745"/>
    </row>
    <row r="2" spans="1:8" ht="15.75" x14ac:dyDescent="0.25">
      <c r="A2" s="204"/>
      <c r="B2" s="204"/>
      <c r="C2" s="204"/>
      <c r="D2" s="204"/>
      <c r="E2" s="204"/>
      <c r="F2" s="745" t="s">
        <v>591</v>
      </c>
      <c r="G2" s="745"/>
    </row>
    <row r="3" spans="1:8" ht="15.75" x14ac:dyDescent="0.25">
      <c r="A3" s="204"/>
      <c r="B3" s="204"/>
      <c r="C3" s="204"/>
      <c r="D3" s="204"/>
      <c r="E3" s="204"/>
      <c r="F3" s="714" t="s">
        <v>1786</v>
      </c>
      <c r="G3" s="714"/>
    </row>
    <row r="4" spans="1:8" s="203" customFormat="1" ht="15.75" x14ac:dyDescent="0.25">
      <c r="A4" s="204"/>
      <c r="B4" s="204"/>
      <c r="C4" s="204"/>
      <c r="D4" s="204"/>
      <c r="E4" s="204"/>
      <c r="F4" s="62"/>
      <c r="G4" s="274"/>
      <c r="H4" s="204"/>
    </row>
    <row r="5" spans="1:8" ht="38.25" customHeight="1" x14ac:dyDescent="0.25">
      <c r="A5" s="731" t="s">
        <v>1787</v>
      </c>
      <c r="B5" s="731"/>
      <c r="C5" s="731"/>
      <c r="D5" s="731"/>
      <c r="E5" s="731"/>
      <c r="F5" s="731"/>
      <c r="G5" s="731"/>
    </row>
    <row r="6" spans="1:8" ht="16.5" x14ac:dyDescent="0.25">
      <c r="A6" s="242"/>
      <c r="B6" s="242"/>
      <c r="C6" s="242"/>
      <c r="D6" s="242"/>
      <c r="E6" s="242"/>
      <c r="F6" s="242"/>
    </row>
    <row r="7" spans="1:8" ht="15.75" x14ac:dyDescent="0.25">
      <c r="A7" s="62"/>
      <c r="B7" s="62"/>
      <c r="C7" s="62"/>
      <c r="D7" s="62"/>
      <c r="E7" s="64"/>
      <c r="F7" s="64"/>
      <c r="G7" s="275" t="s">
        <v>1</v>
      </c>
    </row>
    <row r="8" spans="1:8" ht="31.5" x14ac:dyDescent="0.25">
      <c r="A8" s="66" t="s">
        <v>592</v>
      </c>
      <c r="B8" s="66" t="s">
        <v>617</v>
      </c>
      <c r="C8" s="66" t="s">
        <v>618</v>
      </c>
      <c r="D8" s="66" t="s">
        <v>619</v>
      </c>
      <c r="E8" s="66" t="s">
        <v>620</v>
      </c>
      <c r="F8" s="66" t="s">
        <v>621</v>
      </c>
      <c r="G8" s="392" t="s">
        <v>1027</v>
      </c>
    </row>
    <row r="9" spans="1:8" ht="47.25" x14ac:dyDescent="0.25">
      <c r="A9" s="58" t="s">
        <v>1394</v>
      </c>
      <c r="B9" s="7" t="s">
        <v>510</v>
      </c>
      <c r="C9" s="7"/>
      <c r="D9" s="7"/>
      <c r="E9" s="7"/>
      <c r="F9" s="7"/>
      <c r="G9" s="4">
        <f>G10+G17</f>
        <v>3071.6000000000004</v>
      </c>
      <c r="H9" s="204">
        <v>4766.6000000000004</v>
      </c>
    </row>
    <row r="10" spans="1:8" s="203" customFormat="1" ht="31.5" hidden="1" x14ac:dyDescent="0.25">
      <c r="A10" s="34" t="s">
        <v>999</v>
      </c>
      <c r="B10" s="7" t="s">
        <v>958</v>
      </c>
      <c r="C10" s="40"/>
      <c r="D10" s="40"/>
      <c r="E10" s="40"/>
      <c r="F10" s="40"/>
      <c r="G10" s="6">
        <f>G13</f>
        <v>0</v>
      </c>
      <c r="H10" s="204"/>
    </row>
    <row r="11" spans="1:8" ht="15.75" hidden="1" x14ac:dyDescent="0.25">
      <c r="A11" s="29" t="s">
        <v>232</v>
      </c>
      <c r="B11" s="40" t="s">
        <v>958</v>
      </c>
      <c r="C11" s="40" t="s">
        <v>150</v>
      </c>
      <c r="D11" s="40"/>
      <c r="E11" s="40"/>
      <c r="F11" s="40"/>
      <c r="G11" s="6">
        <f t="shared" ref="G11" si="0">G12</f>
        <v>0</v>
      </c>
    </row>
    <row r="12" spans="1:8" ht="15.75" hidden="1" x14ac:dyDescent="0.25">
      <c r="A12" s="29" t="s">
        <v>508</v>
      </c>
      <c r="B12" s="40" t="s">
        <v>958</v>
      </c>
      <c r="C12" s="40" t="s">
        <v>150</v>
      </c>
      <c r="D12" s="40" t="s">
        <v>219</v>
      </c>
      <c r="E12" s="40"/>
      <c r="F12" s="40"/>
      <c r="G12" s="6">
        <f>G13</f>
        <v>0</v>
      </c>
    </row>
    <row r="13" spans="1:8" s="203" customFormat="1" ht="15.75" hidden="1" x14ac:dyDescent="0.25">
      <c r="A13" s="29" t="s">
        <v>1001</v>
      </c>
      <c r="B13" s="40" t="s">
        <v>1000</v>
      </c>
      <c r="C13" s="40" t="s">
        <v>150</v>
      </c>
      <c r="D13" s="40" t="s">
        <v>219</v>
      </c>
      <c r="E13" s="40"/>
      <c r="F13" s="40"/>
      <c r="G13" s="6">
        <f>G14</f>
        <v>0</v>
      </c>
      <c r="H13" s="204"/>
    </row>
    <row r="14" spans="1:8" s="203" customFormat="1" ht="31.5" hidden="1" x14ac:dyDescent="0.25">
      <c r="A14" s="25" t="s">
        <v>131</v>
      </c>
      <c r="B14" s="40" t="s">
        <v>1000</v>
      </c>
      <c r="C14" s="40" t="s">
        <v>150</v>
      </c>
      <c r="D14" s="40" t="s">
        <v>219</v>
      </c>
      <c r="E14" s="40" t="s">
        <v>132</v>
      </c>
      <c r="F14" s="40"/>
      <c r="G14" s="6">
        <f>G15</f>
        <v>0</v>
      </c>
      <c r="H14" s="204"/>
    </row>
    <row r="15" spans="1:8" s="203" customFormat="1" ht="31.5" hidden="1" x14ac:dyDescent="0.25">
      <c r="A15" s="25" t="s">
        <v>133</v>
      </c>
      <c r="B15" s="40" t="s">
        <v>1000</v>
      </c>
      <c r="C15" s="40" t="s">
        <v>150</v>
      </c>
      <c r="D15" s="40" t="s">
        <v>219</v>
      </c>
      <c r="E15" s="40" t="s">
        <v>134</v>
      </c>
      <c r="F15" s="40"/>
      <c r="G15" s="6">
        <f>'Пр.4 ведом.22'!G945</f>
        <v>0</v>
      </c>
      <c r="H15" s="204"/>
    </row>
    <row r="16" spans="1:8" s="203" customFormat="1" ht="40.700000000000003" hidden="1" customHeight="1" x14ac:dyDescent="0.25">
      <c r="A16" s="45" t="s">
        <v>623</v>
      </c>
      <c r="B16" s="40" t="s">
        <v>1000</v>
      </c>
      <c r="C16" s="40" t="s">
        <v>150</v>
      </c>
      <c r="D16" s="40" t="s">
        <v>219</v>
      </c>
      <c r="E16" s="40" t="s">
        <v>134</v>
      </c>
      <c r="F16" s="40" t="s">
        <v>624</v>
      </c>
      <c r="G16" s="6">
        <f>G15</f>
        <v>0</v>
      </c>
      <c r="H16" s="204"/>
    </row>
    <row r="17" spans="1:9" s="203" customFormat="1" ht="31.5" x14ac:dyDescent="0.25">
      <c r="A17" s="34" t="s">
        <v>1060</v>
      </c>
      <c r="B17" s="24" t="s">
        <v>959</v>
      </c>
      <c r="C17" s="40"/>
      <c r="D17" s="40"/>
      <c r="E17" s="40"/>
      <c r="F17" s="40"/>
      <c r="G17" s="4">
        <f>G18</f>
        <v>3071.6000000000004</v>
      </c>
      <c r="H17" s="204"/>
    </row>
    <row r="18" spans="1:9" s="203" customFormat="1" ht="15.75" x14ac:dyDescent="0.25">
      <c r="A18" s="29" t="s">
        <v>232</v>
      </c>
      <c r="B18" s="40" t="s">
        <v>959</v>
      </c>
      <c r="C18" s="40" t="s">
        <v>150</v>
      </c>
      <c r="D18" s="40"/>
      <c r="E18" s="40"/>
      <c r="F18" s="40"/>
      <c r="G18" s="6">
        <f>G19</f>
        <v>3071.6000000000004</v>
      </c>
      <c r="H18" s="204"/>
    </row>
    <row r="19" spans="1:9" s="203" customFormat="1" ht="15.75" x14ac:dyDescent="0.25">
      <c r="A19" s="29" t="s">
        <v>508</v>
      </c>
      <c r="B19" s="40" t="s">
        <v>959</v>
      </c>
      <c r="C19" s="40" t="s">
        <v>150</v>
      </c>
      <c r="D19" s="40" t="s">
        <v>219</v>
      </c>
      <c r="E19" s="40"/>
      <c r="F19" s="40"/>
      <c r="G19" s="6">
        <f>G20</f>
        <v>3071.6000000000004</v>
      </c>
      <c r="H19" s="204"/>
    </row>
    <row r="20" spans="1:9" ht="15.75" x14ac:dyDescent="0.25">
      <c r="A20" s="29" t="s">
        <v>511</v>
      </c>
      <c r="B20" s="40" t="s">
        <v>1002</v>
      </c>
      <c r="C20" s="40" t="s">
        <v>150</v>
      </c>
      <c r="D20" s="40" t="s">
        <v>219</v>
      </c>
      <c r="E20" s="40"/>
      <c r="F20" s="40"/>
      <c r="G20" s="6">
        <f>G24+G27+G22</f>
        <v>3071.6000000000004</v>
      </c>
    </row>
    <row r="21" spans="1:9" s="203" customFormat="1" ht="78.75" x14ac:dyDescent="0.25">
      <c r="A21" s="25" t="s">
        <v>127</v>
      </c>
      <c r="B21" s="40" t="s">
        <v>1002</v>
      </c>
      <c r="C21" s="40" t="s">
        <v>150</v>
      </c>
      <c r="D21" s="40" t="s">
        <v>219</v>
      </c>
      <c r="E21" s="40" t="s">
        <v>128</v>
      </c>
      <c r="F21" s="40"/>
      <c r="G21" s="6">
        <f>G22</f>
        <v>1907.4</v>
      </c>
      <c r="H21" s="204"/>
    </row>
    <row r="22" spans="1:9" s="203" customFormat="1" ht="15.75" x14ac:dyDescent="0.25">
      <c r="A22" s="25" t="s">
        <v>342</v>
      </c>
      <c r="B22" s="40" t="s">
        <v>1002</v>
      </c>
      <c r="C22" s="40" t="s">
        <v>150</v>
      </c>
      <c r="D22" s="40" t="s">
        <v>219</v>
      </c>
      <c r="E22" s="40" t="s">
        <v>209</v>
      </c>
      <c r="F22" s="40"/>
      <c r="G22" s="6">
        <f>'Пр.4 ведом.22'!G949</f>
        <v>1907.4</v>
      </c>
      <c r="H22" s="204"/>
    </row>
    <row r="23" spans="1:9" s="203" customFormat="1" ht="31.5" x14ac:dyDescent="0.25">
      <c r="A23" s="45" t="s">
        <v>623</v>
      </c>
      <c r="B23" s="40" t="s">
        <v>1002</v>
      </c>
      <c r="C23" s="40" t="s">
        <v>150</v>
      </c>
      <c r="D23" s="40" t="s">
        <v>219</v>
      </c>
      <c r="E23" s="40" t="s">
        <v>209</v>
      </c>
      <c r="F23" s="40" t="s">
        <v>624</v>
      </c>
      <c r="G23" s="6">
        <f>G22</f>
        <v>1907.4</v>
      </c>
      <c r="H23" s="204"/>
    </row>
    <row r="24" spans="1:9" ht="31.5" x14ac:dyDescent="0.25">
      <c r="A24" s="29" t="s">
        <v>131</v>
      </c>
      <c r="B24" s="40" t="s">
        <v>1002</v>
      </c>
      <c r="C24" s="40" t="s">
        <v>150</v>
      </c>
      <c r="D24" s="40" t="s">
        <v>219</v>
      </c>
      <c r="E24" s="40" t="s">
        <v>132</v>
      </c>
      <c r="F24" s="40"/>
      <c r="G24" s="6">
        <f t="shared" ref="G24" si="1">G25</f>
        <v>1164.2</v>
      </c>
    </row>
    <row r="25" spans="1:9" ht="31.5" x14ac:dyDescent="0.25">
      <c r="A25" s="29" t="s">
        <v>133</v>
      </c>
      <c r="B25" s="40" t="s">
        <v>1002</v>
      </c>
      <c r="C25" s="40" t="s">
        <v>150</v>
      </c>
      <c r="D25" s="40" t="s">
        <v>219</v>
      </c>
      <c r="E25" s="40" t="s">
        <v>134</v>
      </c>
      <c r="F25" s="40"/>
      <c r="G25" s="6">
        <f>'Пр.4 ведом.22'!G951</f>
        <v>1164.2</v>
      </c>
    </row>
    <row r="26" spans="1:9" s="203" customFormat="1" ht="31.5" x14ac:dyDescent="0.25">
      <c r="A26" s="45" t="s">
        <v>623</v>
      </c>
      <c r="B26" s="40" t="s">
        <v>1002</v>
      </c>
      <c r="C26" s="40" t="s">
        <v>150</v>
      </c>
      <c r="D26" s="40" t="s">
        <v>219</v>
      </c>
      <c r="E26" s="40" t="s">
        <v>134</v>
      </c>
      <c r="F26" s="40" t="s">
        <v>624</v>
      </c>
      <c r="G26" s="6">
        <f>G25</f>
        <v>1164.2</v>
      </c>
      <c r="H26" s="204"/>
    </row>
    <row r="27" spans="1:9" ht="15.75" hidden="1" x14ac:dyDescent="0.25">
      <c r="A27" s="25" t="s">
        <v>135</v>
      </c>
      <c r="B27" s="40" t="s">
        <v>1002</v>
      </c>
      <c r="C27" s="40" t="s">
        <v>150</v>
      </c>
      <c r="D27" s="40" t="s">
        <v>219</v>
      </c>
      <c r="E27" s="40" t="s">
        <v>145</v>
      </c>
      <c r="F27" s="40"/>
      <c r="G27" s="6">
        <f t="shared" ref="G27" si="2">G28</f>
        <v>0</v>
      </c>
    </row>
    <row r="28" spans="1:9" ht="15.75" hidden="1" x14ac:dyDescent="0.25">
      <c r="A28" s="25" t="s">
        <v>137</v>
      </c>
      <c r="B28" s="40" t="s">
        <v>1002</v>
      </c>
      <c r="C28" s="40" t="s">
        <v>150</v>
      </c>
      <c r="D28" s="40" t="s">
        <v>219</v>
      </c>
      <c r="E28" s="40" t="s">
        <v>138</v>
      </c>
      <c r="F28" s="40"/>
      <c r="G28" s="6">
        <f>'Пр.4 ведом.22'!G953</f>
        <v>0</v>
      </c>
    </row>
    <row r="29" spans="1:9" ht="31.5" hidden="1" x14ac:dyDescent="0.25">
      <c r="A29" s="45" t="s">
        <v>623</v>
      </c>
      <c r="B29" s="40" t="s">
        <v>1002</v>
      </c>
      <c r="C29" s="40" t="s">
        <v>150</v>
      </c>
      <c r="D29" s="40" t="s">
        <v>219</v>
      </c>
      <c r="E29" s="40" t="s">
        <v>138</v>
      </c>
      <c r="F29" s="40" t="s">
        <v>624</v>
      </c>
      <c r="G29" s="6">
        <f>G28</f>
        <v>0</v>
      </c>
    </row>
    <row r="30" spans="1:9" ht="47.25" x14ac:dyDescent="0.25">
      <c r="A30" s="58" t="s">
        <v>1395</v>
      </c>
      <c r="B30" s="7" t="s">
        <v>344</v>
      </c>
      <c r="C30" s="7"/>
      <c r="D30" s="7"/>
      <c r="E30" s="7"/>
      <c r="F30" s="7"/>
      <c r="G30" s="59">
        <f>G31+G60+G68+G97+G113</f>
        <v>3610.8</v>
      </c>
      <c r="H30" s="204">
        <v>4043</v>
      </c>
      <c r="I30" s="22">
        <f>H30-G30</f>
        <v>432.19999999999982</v>
      </c>
    </row>
    <row r="31" spans="1:9" ht="31.5" x14ac:dyDescent="0.25">
      <c r="A31" s="58" t="s">
        <v>625</v>
      </c>
      <c r="B31" s="7" t="s">
        <v>346</v>
      </c>
      <c r="C31" s="7"/>
      <c r="D31" s="7"/>
      <c r="E31" s="7"/>
      <c r="F31" s="7"/>
      <c r="G31" s="59">
        <f>G33+G43+G53</f>
        <v>760.1</v>
      </c>
    </row>
    <row r="32" spans="1:9" s="203" customFormat="1" ht="47.25" x14ac:dyDescent="0.25">
      <c r="A32" s="211" t="s">
        <v>1029</v>
      </c>
      <c r="B32" s="24" t="s">
        <v>892</v>
      </c>
      <c r="C32" s="7"/>
      <c r="D32" s="7"/>
      <c r="E32" s="40"/>
      <c r="F32" s="40"/>
      <c r="G32" s="59">
        <f>G33</f>
        <v>280</v>
      </c>
      <c r="H32" s="204"/>
    </row>
    <row r="33" spans="1:8" ht="15.75" x14ac:dyDescent="0.25">
      <c r="A33" s="45" t="s">
        <v>263</v>
      </c>
      <c r="B33" s="40" t="s">
        <v>892</v>
      </c>
      <c r="C33" s="40" t="s">
        <v>264</v>
      </c>
      <c r="D33" s="40"/>
      <c r="E33" s="40"/>
      <c r="F33" s="40"/>
      <c r="G33" s="10">
        <f t="shared" ref="G33" si="3">G34</f>
        <v>280</v>
      </c>
    </row>
    <row r="34" spans="1:8" ht="15.75" x14ac:dyDescent="0.25">
      <c r="A34" s="45" t="s">
        <v>466</v>
      </c>
      <c r="B34" s="40" t="s">
        <v>892</v>
      </c>
      <c r="C34" s="40" t="s">
        <v>264</v>
      </c>
      <c r="D34" s="40" t="s">
        <v>264</v>
      </c>
      <c r="E34" s="40"/>
      <c r="F34" s="40"/>
      <c r="G34" s="10">
        <f>G35+G39</f>
        <v>280</v>
      </c>
    </row>
    <row r="35" spans="1:8" s="203" customFormat="1" ht="31.5" x14ac:dyDescent="0.25">
      <c r="A35" s="98" t="s">
        <v>1035</v>
      </c>
      <c r="B35" s="20" t="s">
        <v>893</v>
      </c>
      <c r="C35" s="40" t="s">
        <v>264</v>
      </c>
      <c r="D35" s="40" t="s">
        <v>264</v>
      </c>
      <c r="E35" s="40"/>
      <c r="F35" s="40"/>
      <c r="G35" s="10">
        <f>G36</f>
        <v>280</v>
      </c>
      <c r="H35" s="204"/>
    </row>
    <row r="36" spans="1:8" s="203" customFormat="1" ht="78.75" x14ac:dyDescent="0.25">
      <c r="A36" s="25" t="s">
        <v>127</v>
      </c>
      <c r="B36" s="20" t="s">
        <v>893</v>
      </c>
      <c r="C36" s="40" t="s">
        <v>264</v>
      </c>
      <c r="D36" s="40" t="s">
        <v>264</v>
      </c>
      <c r="E36" s="40" t="s">
        <v>128</v>
      </c>
      <c r="F36" s="40"/>
      <c r="G36" s="10">
        <f>G37</f>
        <v>280</v>
      </c>
      <c r="H36" s="204"/>
    </row>
    <row r="37" spans="1:8" s="203" customFormat="1" ht="15.75" x14ac:dyDescent="0.25">
      <c r="A37" s="25" t="s">
        <v>342</v>
      </c>
      <c r="B37" s="20" t="s">
        <v>893</v>
      </c>
      <c r="C37" s="40" t="s">
        <v>264</v>
      </c>
      <c r="D37" s="40" t="s">
        <v>264</v>
      </c>
      <c r="E37" s="40" t="s">
        <v>209</v>
      </c>
      <c r="F37" s="40"/>
      <c r="G37" s="10">
        <f>'Пр.4 ведом.22'!G347</f>
        <v>280</v>
      </c>
      <c r="H37" s="204"/>
    </row>
    <row r="38" spans="1:8" s="203" customFormat="1" ht="47.25" x14ac:dyDescent="0.25">
      <c r="A38" s="45" t="s">
        <v>261</v>
      </c>
      <c r="B38" s="20" t="s">
        <v>893</v>
      </c>
      <c r="C38" s="40" t="s">
        <v>264</v>
      </c>
      <c r="D38" s="40" t="s">
        <v>264</v>
      </c>
      <c r="E38" s="40" t="s">
        <v>209</v>
      </c>
      <c r="F38" s="40" t="s">
        <v>627</v>
      </c>
      <c r="G38" s="6">
        <f>G37</f>
        <v>280</v>
      </c>
      <c r="H38" s="204"/>
    </row>
    <row r="39" spans="1:8" s="203" customFormat="1" ht="15.75" hidden="1" x14ac:dyDescent="0.25">
      <c r="A39" s="25" t="s">
        <v>1030</v>
      </c>
      <c r="B39" s="20" t="s">
        <v>1046</v>
      </c>
      <c r="C39" s="40" t="s">
        <v>264</v>
      </c>
      <c r="D39" s="40" t="s">
        <v>264</v>
      </c>
      <c r="E39" s="40"/>
      <c r="F39" s="40"/>
      <c r="G39" s="10">
        <f>G40</f>
        <v>0</v>
      </c>
      <c r="H39" s="204"/>
    </row>
    <row r="40" spans="1:8" s="203" customFormat="1" ht="31.5" hidden="1" x14ac:dyDescent="0.25">
      <c r="A40" s="25" t="s">
        <v>131</v>
      </c>
      <c r="B40" s="20" t="s">
        <v>1046</v>
      </c>
      <c r="C40" s="40" t="s">
        <v>264</v>
      </c>
      <c r="D40" s="40" t="s">
        <v>264</v>
      </c>
      <c r="E40" s="40" t="s">
        <v>132</v>
      </c>
      <c r="F40" s="40"/>
      <c r="G40" s="10">
        <f>G41</f>
        <v>0</v>
      </c>
      <c r="H40" s="204"/>
    </row>
    <row r="41" spans="1:8" s="203" customFormat="1" ht="31.5" hidden="1" x14ac:dyDescent="0.25">
      <c r="A41" s="25" t="s">
        <v>133</v>
      </c>
      <c r="B41" s="20" t="s">
        <v>1046</v>
      </c>
      <c r="C41" s="40" t="s">
        <v>264</v>
      </c>
      <c r="D41" s="40" t="s">
        <v>264</v>
      </c>
      <c r="E41" s="40" t="s">
        <v>134</v>
      </c>
      <c r="F41" s="40"/>
      <c r="G41" s="10">
        <f>'Пр.3 Рд,пр, ЦС,ВР 22'!F752</f>
        <v>0</v>
      </c>
      <c r="H41" s="204"/>
    </row>
    <row r="42" spans="1:8" s="203" customFormat="1" ht="47.25" hidden="1" x14ac:dyDescent="0.25">
      <c r="A42" s="45" t="s">
        <v>261</v>
      </c>
      <c r="B42" s="20" t="s">
        <v>1046</v>
      </c>
      <c r="C42" s="40" t="s">
        <v>264</v>
      </c>
      <c r="D42" s="40" t="s">
        <v>264</v>
      </c>
      <c r="E42" s="40" t="s">
        <v>134</v>
      </c>
      <c r="F42" s="40" t="s">
        <v>627</v>
      </c>
      <c r="G42" s="6">
        <f>G41</f>
        <v>0</v>
      </c>
      <c r="H42" s="204"/>
    </row>
    <row r="43" spans="1:8" s="203" customFormat="1" ht="63" x14ac:dyDescent="0.25">
      <c r="A43" s="23" t="s">
        <v>1031</v>
      </c>
      <c r="B43" s="24" t="s">
        <v>894</v>
      </c>
      <c r="C43" s="40"/>
      <c r="D43" s="40"/>
      <c r="E43" s="40"/>
      <c r="F43" s="40"/>
      <c r="G43" s="59">
        <f>G44</f>
        <v>455.1</v>
      </c>
      <c r="H43" s="204"/>
    </row>
    <row r="44" spans="1:8" s="203" customFormat="1" ht="15.75" x14ac:dyDescent="0.25">
      <c r="A44" s="45" t="s">
        <v>263</v>
      </c>
      <c r="B44" s="40" t="s">
        <v>894</v>
      </c>
      <c r="C44" s="40" t="s">
        <v>264</v>
      </c>
      <c r="D44" s="40"/>
      <c r="E44" s="40"/>
      <c r="F44" s="40"/>
      <c r="G44" s="10">
        <f>G45</f>
        <v>455.1</v>
      </c>
      <c r="H44" s="204"/>
    </row>
    <row r="45" spans="1:8" s="203" customFormat="1" ht="15.75" x14ac:dyDescent="0.25">
      <c r="A45" s="45" t="s">
        <v>466</v>
      </c>
      <c r="B45" s="40" t="s">
        <v>894</v>
      </c>
      <c r="C45" s="40" t="s">
        <v>264</v>
      </c>
      <c r="D45" s="40" t="s">
        <v>264</v>
      </c>
      <c r="E45" s="40"/>
      <c r="F45" s="40"/>
      <c r="G45" s="10">
        <f>G46+G50</f>
        <v>455.1</v>
      </c>
      <c r="H45" s="204"/>
    </row>
    <row r="46" spans="1:8" ht="15.75" x14ac:dyDescent="0.25">
      <c r="A46" s="25" t="s">
        <v>1032</v>
      </c>
      <c r="B46" s="20" t="s">
        <v>901</v>
      </c>
      <c r="C46" s="40" t="s">
        <v>264</v>
      </c>
      <c r="D46" s="40" t="s">
        <v>264</v>
      </c>
      <c r="E46" s="40"/>
      <c r="F46" s="40"/>
      <c r="G46" s="10">
        <f>G47</f>
        <v>40.1</v>
      </c>
    </row>
    <row r="47" spans="1:8" ht="78.75" x14ac:dyDescent="0.25">
      <c r="A47" s="25" t="s">
        <v>127</v>
      </c>
      <c r="B47" s="20" t="s">
        <v>901</v>
      </c>
      <c r="C47" s="40" t="s">
        <v>264</v>
      </c>
      <c r="D47" s="40" t="s">
        <v>264</v>
      </c>
      <c r="E47" s="40" t="s">
        <v>128</v>
      </c>
      <c r="F47" s="40"/>
      <c r="G47" s="10">
        <f t="shared" ref="G47" si="4">G48</f>
        <v>40.1</v>
      </c>
    </row>
    <row r="48" spans="1:8" ht="15.75" x14ac:dyDescent="0.25">
      <c r="A48" s="25" t="s">
        <v>342</v>
      </c>
      <c r="B48" s="20" t="s">
        <v>901</v>
      </c>
      <c r="C48" s="40" t="s">
        <v>264</v>
      </c>
      <c r="D48" s="40" t="s">
        <v>264</v>
      </c>
      <c r="E48" s="40" t="s">
        <v>209</v>
      </c>
      <c r="F48" s="40"/>
      <c r="G48" s="10">
        <f>'Пр.4 ведом.22'!G354</f>
        <v>40.1</v>
      </c>
    </row>
    <row r="49" spans="1:8" s="203" customFormat="1" ht="47.25" x14ac:dyDescent="0.25">
      <c r="A49" s="45" t="s">
        <v>261</v>
      </c>
      <c r="B49" s="20" t="s">
        <v>901</v>
      </c>
      <c r="C49" s="40" t="s">
        <v>264</v>
      </c>
      <c r="D49" s="40" t="s">
        <v>264</v>
      </c>
      <c r="E49" s="40" t="s">
        <v>209</v>
      </c>
      <c r="F49" s="40" t="s">
        <v>627</v>
      </c>
      <c r="G49" s="6">
        <f>G48</f>
        <v>40.1</v>
      </c>
      <c r="H49" s="204"/>
    </row>
    <row r="50" spans="1:8" ht="31.5" x14ac:dyDescent="0.25">
      <c r="A50" s="25" t="s">
        <v>131</v>
      </c>
      <c r="B50" s="20" t="s">
        <v>901</v>
      </c>
      <c r="C50" s="40" t="s">
        <v>264</v>
      </c>
      <c r="D50" s="40" t="s">
        <v>264</v>
      </c>
      <c r="E50" s="40" t="s">
        <v>132</v>
      </c>
      <c r="F50" s="40"/>
      <c r="G50" s="10">
        <f t="shared" ref="G50" si="5">G51</f>
        <v>415</v>
      </c>
    </row>
    <row r="51" spans="1:8" ht="31.5" x14ac:dyDescent="0.25">
      <c r="A51" s="25" t="s">
        <v>133</v>
      </c>
      <c r="B51" s="20" t="s">
        <v>901</v>
      </c>
      <c r="C51" s="40" t="s">
        <v>264</v>
      </c>
      <c r="D51" s="40" t="s">
        <v>264</v>
      </c>
      <c r="E51" s="40" t="s">
        <v>134</v>
      </c>
      <c r="F51" s="40"/>
      <c r="G51" s="6">
        <f>'Пр.4 ведом.22'!G356</f>
        <v>415</v>
      </c>
    </row>
    <row r="52" spans="1:8" s="203" customFormat="1" ht="47.25" x14ac:dyDescent="0.25">
      <c r="A52" s="45" t="s">
        <v>261</v>
      </c>
      <c r="B52" s="20" t="s">
        <v>901</v>
      </c>
      <c r="C52" s="40" t="s">
        <v>264</v>
      </c>
      <c r="D52" s="40" t="s">
        <v>264</v>
      </c>
      <c r="E52" s="40" t="s">
        <v>134</v>
      </c>
      <c r="F52" s="40" t="s">
        <v>627</v>
      </c>
      <c r="G52" s="6">
        <f>G51</f>
        <v>415</v>
      </c>
      <c r="H52" s="204"/>
    </row>
    <row r="53" spans="1:8" ht="33" customHeight="1" x14ac:dyDescent="0.25">
      <c r="A53" s="23" t="s">
        <v>1037</v>
      </c>
      <c r="B53" s="24" t="s">
        <v>1033</v>
      </c>
      <c r="C53" s="40"/>
      <c r="D53" s="40"/>
      <c r="E53" s="40"/>
      <c r="F53" s="40"/>
      <c r="G53" s="4">
        <f>G56</f>
        <v>25</v>
      </c>
    </row>
    <row r="54" spans="1:8" s="203" customFormat="1" ht="16.5" customHeight="1" x14ac:dyDescent="0.25">
      <c r="A54" s="45" t="s">
        <v>263</v>
      </c>
      <c r="B54" s="40" t="s">
        <v>1033</v>
      </c>
      <c r="C54" s="40" t="s">
        <v>264</v>
      </c>
      <c r="D54" s="40"/>
      <c r="E54" s="40"/>
      <c r="F54" s="40"/>
      <c r="G54" s="10">
        <f>G55</f>
        <v>25</v>
      </c>
      <c r="H54" s="204"/>
    </row>
    <row r="55" spans="1:8" s="203" customFormat="1" ht="18.75" customHeight="1" x14ac:dyDescent="0.25">
      <c r="A55" s="45" t="s">
        <v>466</v>
      </c>
      <c r="B55" s="40" t="s">
        <v>1033</v>
      </c>
      <c r="C55" s="40" t="s">
        <v>264</v>
      </c>
      <c r="D55" s="40" t="s">
        <v>264</v>
      </c>
      <c r="E55" s="40"/>
      <c r="F55" s="40"/>
      <c r="G55" s="10">
        <f>G56</f>
        <v>25</v>
      </c>
      <c r="H55" s="204"/>
    </row>
    <row r="56" spans="1:8" ht="47.25" x14ac:dyDescent="0.25">
      <c r="A56" s="231" t="s">
        <v>1034</v>
      </c>
      <c r="B56" s="20" t="s">
        <v>1047</v>
      </c>
      <c r="C56" s="40" t="s">
        <v>264</v>
      </c>
      <c r="D56" s="40" t="s">
        <v>264</v>
      </c>
      <c r="E56" s="20"/>
      <c r="F56" s="40"/>
      <c r="G56" s="6">
        <f t="shared" ref="G56" si="6">G57</f>
        <v>25</v>
      </c>
    </row>
    <row r="57" spans="1:8" ht="15.75" x14ac:dyDescent="0.25">
      <c r="A57" s="25" t="s">
        <v>248</v>
      </c>
      <c r="B57" s="20" t="s">
        <v>1047</v>
      </c>
      <c r="C57" s="40" t="s">
        <v>264</v>
      </c>
      <c r="D57" s="40" t="s">
        <v>264</v>
      </c>
      <c r="E57" s="20" t="s">
        <v>249</v>
      </c>
      <c r="F57" s="40"/>
      <c r="G57" s="6">
        <f>G58</f>
        <v>25</v>
      </c>
    </row>
    <row r="58" spans="1:8" ht="32.25" customHeight="1" x14ac:dyDescent="0.25">
      <c r="A58" s="25" t="s">
        <v>1196</v>
      </c>
      <c r="B58" s="20" t="s">
        <v>1047</v>
      </c>
      <c r="C58" s="40" t="s">
        <v>264</v>
      </c>
      <c r="D58" s="40" t="s">
        <v>264</v>
      </c>
      <c r="E58" s="20" t="s">
        <v>1195</v>
      </c>
      <c r="F58" s="40"/>
      <c r="G58" s="10">
        <f>'Пр.4 ведом.22'!G360</f>
        <v>25</v>
      </c>
    </row>
    <row r="59" spans="1:8" s="203" customFormat="1" ht="47.25" x14ac:dyDescent="0.25">
      <c r="A59" s="45" t="s">
        <v>261</v>
      </c>
      <c r="B59" s="20" t="s">
        <v>1047</v>
      </c>
      <c r="C59" s="40" t="s">
        <v>264</v>
      </c>
      <c r="D59" s="40" t="s">
        <v>264</v>
      </c>
      <c r="E59" s="40" t="s">
        <v>1195</v>
      </c>
      <c r="F59" s="40" t="s">
        <v>627</v>
      </c>
      <c r="G59" s="6">
        <f>G58</f>
        <v>25</v>
      </c>
      <c r="H59" s="204"/>
    </row>
    <row r="60" spans="1:8" ht="31.5" x14ac:dyDescent="0.25">
      <c r="A60" s="58" t="s">
        <v>1396</v>
      </c>
      <c r="B60" s="7" t="s">
        <v>353</v>
      </c>
      <c r="C60" s="7"/>
      <c r="D60" s="7"/>
      <c r="E60" s="7"/>
      <c r="F60" s="7"/>
      <c r="G60" s="59">
        <f>G61</f>
        <v>258.89999999999998</v>
      </c>
    </row>
    <row r="61" spans="1:8" s="203" customFormat="1" ht="31.5" x14ac:dyDescent="0.25">
      <c r="A61" s="23" t="s">
        <v>905</v>
      </c>
      <c r="B61" s="24" t="s">
        <v>904</v>
      </c>
      <c r="C61" s="7"/>
      <c r="D61" s="7"/>
      <c r="E61" s="7"/>
      <c r="F61" s="7"/>
      <c r="G61" s="59">
        <f>G62</f>
        <v>258.89999999999998</v>
      </c>
      <c r="H61" s="204"/>
    </row>
    <row r="62" spans="1:8" ht="15.75" x14ac:dyDescent="0.25">
      <c r="A62" s="45" t="s">
        <v>243</v>
      </c>
      <c r="B62" s="40" t="s">
        <v>904</v>
      </c>
      <c r="C62" s="40" t="s">
        <v>244</v>
      </c>
      <c r="D62" s="40"/>
      <c r="E62" s="40"/>
      <c r="F62" s="40"/>
      <c r="G62" s="10">
        <f t="shared" ref="G62:G65" si="7">G63</f>
        <v>258.89999999999998</v>
      </c>
    </row>
    <row r="63" spans="1:8" ht="15.75" x14ac:dyDescent="0.25">
      <c r="A63" s="45" t="s">
        <v>252</v>
      </c>
      <c r="B63" s="40" t="s">
        <v>904</v>
      </c>
      <c r="C63" s="40" t="s">
        <v>244</v>
      </c>
      <c r="D63" s="40" t="s">
        <v>215</v>
      </c>
      <c r="E63" s="40"/>
      <c r="F63" s="40"/>
      <c r="G63" s="10">
        <f>G64</f>
        <v>258.89999999999998</v>
      </c>
    </row>
    <row r="64" spans="1:8" ht="31.5" x14ac:dyDescent="0.25">
      <c r="A64" s="25" t="s">
        <v>824</v>
      </c>
      <c r="B64" s="20" t="s">
        <v>906</v>
      </c>
      <c r="C64" s="40" t="s">
        <v>244</v>
      </c>
      <c r="D64" s="40" t="s">
        <v>215</v>
      </c>
      <c r="E64" s="40"/>
      <c r="F64" s="40"/>
      <c r="G64" s="10">
        <f t="shared" si="7"/>
        <v>258.89999999999998</v>
      </c>
    </row>
    <row r="65" spans="1:8" ht="15.75" x14ac:dyDescent="0.25">
      <c r="A65" s="29" t="s">
        <v>248</v>
      </c>
      <c r="B65" s="20" t="s">
        <v>906</v>
      </c>
      <c r="C65" s="40" t="s">
        <v>244</v>
      </c>
      <c r="D65" s="40" t="s">
        <v>215</v>
      </c>
      <c r="E65" s="40" t="s">
        <v>249</v>
      </c>
      <c r="F65" s="40"/>
      <c r="G65" s="10">
        <f t="shared" si="7"/>
        <v>258.89999999999998</v>
      </c>
    </row>
    <row r="66" spans="1:8" ht="31.5" x14ac:dyDescent="0.25">
      <c r="A66" s="29" t="s">
        <v>250</v>
      </c>
      <c r="B66" s="20" t="s">
        <v>906</v>
      </c>
      <c r="C66" s="40" t="s">
        <v>244</v>
      </c>
      <c r="D66" s="40" t="s">
        <v>215</v>
      </c>
      <c r="E66" s="40" t="s">
        <v>251</v>
      </c>
      <c r="F66" s="40"/>
      <c r="G66" s="10">
        <f>'Пр.4 ведом.22'!G480</f>
        <v>258.89999999999998</v>
      </c>
    </row>
    <row r="67" spans="1:8" ht="47.25" x14ac:dyDescent="0.25">
      <c r="A67" s="45" t="s">
        <v>261</v>
      </c>
      <c r="B67" s="20" t="s">
        <v>906</v>
      </c>
      <c r="C67" s="40" t="s">
        <v>244</v>
      </c>
      <c r="D67" s="40" t="s">
        <v>215</v>
      </c>
      <c r="E67" s="40" t="s">
        <v>251</v>
      </c>
      <c r="F67" s="40" t="s">
        <v>627</v>
      </c>
      <c r="G67" s="10">
        <f t="shared" ref="G67" si="8">G60</f>
        <v>258.89999999999998</v>
      </c>
    </row>
    <row r="68" spans="1:8" s="203" customFormat="1" ht="54" customHeight="1" x14ac:dyDescent="0.25">
      <c r="A68" s="41" t="s">
        <v>1397</v>
      </c>
      <c r="B68" s="7" t="s">
        <v>356</v>
      </c>
      <c r="C68" s="7"/>
      <c r="D68" s="7"/>
      <c r="E68" s="7"/>
      <c r="F68" s="7"/>
      <c r="G68" s="59">
        <f>G69+G76+G83+G90</f>
        <v>260</v>
      </c>
      <c r="H68" s="204"/>
    </row>
    <row r="69" spans="1:8" s="203" customFormat="1" ht="47.25" hidden="1" x14ac:dyDescent="0.25">
      <c r="A69" s="215" t="s">
        <v>1042</v>
      </c>
      <c r="B69" s="24" t="s">
        <v>907</v>
      </c>
      <c r="C69" s="7"/>
      <c r="D69" s="7"/>
      <c r="E69" s="7"/>
      <c r="F69" s="7"/>
      <c r="G69" s="59">
        <f>G70</f>
        <v>0</v>
      </c>
      <c r="H69" s="204"/>
    </row>
    <row r="70" spans="1:8" s="203" customFormat="1" ht="15.75" hidden="1" x14ac:dyDescent="0.25">
      <c r="A70" s="45" t="s">
        <v>232</v>
      </c>
      <c r="B70" s="40" t="s">
        <v>907</v>
      </c>
      <c r="C70" s="40" t="s">
        <v>150</v>
      </c>
      <c r="D70" s="40"/>
      <c r="E70" s="40"/>
      <c r="F70" s="40"/>
      <c r="G70" s="10">
        <f>G71</f>
        <v>0</v>
      </c>
      <c r="H70" s="204"/>
    </row>
    <row r="71" spans="1:8" s="203" customFormat="1" ht="15.75" hidden="1" x14ac:dyDescent="0.25">
      <c r="A71" s="45" t="s">
        <v>237</v>
      </c>
      <c r="B71" s="40" t="s">
        <v>907</v>
      </c>
      <c r="C71" s="40" t="s">
        <v>150</v>
      </c>
      <c r="D71" s="40" t="s">
        <v>238</v>
      </c>
      <c r="E71" s="40"/>
      <c r="F71" s="40"/>
      <c r="G71" s="10">
        <f>G72</f>
        <v>0</v>
      </c>
      <c r="H71" s="204"/>
    </row>
    <row r="72" spans="1:8" s="203" customFormat="1" ht="47.25" hidden="1" x14ac:dyDescent="0.25">
      <c r="A72" s="25" t="s">
        <v>375</v>
      </c>
      <c r="B72" s="20" t="s">
        <v>1316</v>
      </c>
      <c r="C72" s="40" t="s">
        <v>150</v>
      </c>
      <c r="D72" s="40" t="s">
        <v>238</v>
      </c>
      <c r="E72" s="40"/>
      <c r="F72" s="40"/>
      <c r="G72" s="10">
        <f>G73</f>
        <v>0</v>
      </c>
      <c r="H72" s="204"/>
    </row>
    <row r="73" spans="1:8" s="203" customFormat="1" ht="15.75" hidden="1" x14ac:dyDescent="0.25">
      <c r="A73" s="25" t="s">
        <v>248</v>
      </c>
      <c r="B73" s="20" t="s">
        <v>1316</v>
      </c>
      <c r="C73" s="40" t="s">
        <v>150</v>
      </c>
      <c r="D73" s="40" t="s">
        <v>238</v>
      </c>
      <c r="E73" s="40" t="s">
        <v>249</v>
      </c>
      <c r="F73" s="40"/>
      <c r="G73" s="10">
        <f>G74</f>
        <v>0</v>
      </c>
      <c r="H73" s="204"/>
    </row>
    <row r="74" spans="1:8" s="203" customFormat="1" ht="31.5" hidden="1" x14ac:dyDescent="0.25">
      <c r="A74" s="25" t="s">
        <v>250</v>
      </c>
      <c r="B74" s="20" t="s">
        <v>1316</v>
      </c>
      <c r="C74" s="40" t="s">
        <v>150</v>
      </c>
      <c r="D74" s="40" t="s">
        <v>238</v>
      </c>
      <c r="E74" s="40" t="s">
        <v>251</v>
      </c>
      <c r="F74" s="40"/>
      <c r="G74" s="10">
        <f>'Пр.4 ведом.22'!G284</f>
        <v>0</v>
      </c>
      <c r="H74" s="204"/>
    </row>
    <row r="75" spans="1:8" s="203" customFormat="1" ht="47.25" hidden="1" x14ac:dyDescent="0.25">
      <c r="A75" s="45" t="s">
        <v>261</v>
      </c>
      <c r="B75" s="20" t="s">
        <v>1316</v>
      </c>
      <c r="C75" s="40" t="s">
        <v>150</v>
      </c>
      <c r="D75" s="40" t="s">
        <v>238</v>
      </c>
      <c r="E75" s="40" t="s">
        <v>251</v>
      </c>
      <c r="F75" s="40" t="s">
        <v>627</v>
      </c>
      <c r="G75" s="10">
        <f>G74</f>
        <v>0</v>
      </c>
      <c r="H75" s="204"/>
    </row>
    <row r="76" spans="1:8" s="203" customFormat="1" ht="31.5" x14ac:dyDescent="0.25">
      <c r="A76" s="23" t="s">
        <v>1041</v>
      </c>
      <c r="B76" s="7" t="s">
        <v>1199</v>
      </c>
      <c r="C76" s="7"/>
      <c r="D76" s="7"/>
      <c r="E76" s="7"/>
      <c r="F76" s="7"/>
      <c r="G76" s="59">
        <f>G77</f>
        <v>260</v>
      </c>
      <c r="H76" s="204"/>
    </row>
    <row r="77" spans="1:8" s="203" customFormat="1" ht="15.75" x14ac:dyDescent="0.25">
      <c r="A77" s="45" t="s">
        <v>232</v>
      </c>
      <c r="B77" s="40" t="s">
        <v>1199</v>
      </c>
      <c r="C77" s="40" t="s">
        <v>150</v>
      </c>
      <c r="D77" s="40"/>
      <c r="E77" s="40"/>
      <c r="F77" s="40"/>
      <c r="G77" s="10">
        <f>G78</f>
        <v>260</v>
      </c>
      <c r="H77" s="204"/>
    </row>
    <row r="78" spans="1:8" s="203" customFormat="1" ht="15.75" x14ac:dyDescent="0.25">
      <c r="A78" s="45" t="s">
        <v>237</v>
      </c>
      <c r="B78" s="40" t="s">
        <v>1199</v>
      </c>
      <c r="C78" s="40" t="s">
        <v>150</v>
      </c>
      <c r="D78" s="40" t="s">
        <v>238</v>
      </c>
      <c r="E78" s="40"/>
      <c r="F78" s="40"/>
      <c r="G78" s="10">
        <f>G79</f>
        <v>260</v>
      </c>
      <c r="H78" s="204"/>
    </row>
    <row r="79" spans="1:8" s="203" customFormat="1" ht="101.25" customHeight="1" x14ac:dyDescent="0.25">
      <c r="A79" s="25" t="s">
        <v>1501</v>
      </c>
      <c r="B79" s="20" t="s">
        <v>1200</v>
      </c>
      <c r="C79" s="40" t="s">
        <v>150</v>
      </c>
      <c r="D79" s="40" t="s">
        <v>238</v>
      </c>
      <c r="E79" s="40"/>
      <c r="F79" s="40"/>
      <c r="G79" s="10">
        <f>G80</f>
        <v>260</v>
      </c>
      <c r="H79" s="204"/>
    </row>
    <row r="80" spans="1:8" s="203" customFormat="1" ht="31.5" x14ac:dyDescent="0.25">
      <c r="A80" s="25" t="s">
        <v>272</v>
      </c>
      <c r="B80" s="20" t="s">
        <v>1200</v>
      </c>
      <c r="C80" s="40" t="s">
        <v>150</v>
      </c>
      <c r="D80" s="40" t="s">
        <v>238</v>
      </c>
      <c r="E80" s="40" t="s">
        <v>273</v>
      </c>
      <c r="F80" s="40"/>
      <c r="G80" s="10">
        <f>G81</f>
        <v>260</v>
      </c>
      <c r="H80" s="204"/>
    </row>
    <row r="81" spans="1:8" s="203" customFormat="1" ht="63" x14ac:dyDescent="0.25">
      <c r="A81" s="25" t="s">
        <v>1089</v>
      </c>
      <c r="B81" s="20" t="s">
        <v>1200</v>
      </c>
      <c r="C81" s="40" t="s">
        <v>150</v>
      </c>
      <c r="D81" s="40" t="s">
        <v>238</v>
      </c>
      <c r="E81" s="40" t="s">
        <v>372</v>
      </c>
      <c r="F81" s="40"/>
      <c r="G81" s="10">
        <f>'Пр.4 ведом.22'!G288</f>
        <v>260</v>
      </c>
      <c r="H81" s="204"/>
    </row>
    <row r="82" spans="1:8" s="203" customFormat="1" ht="47.25" x14ac:dyDescent="0.25">
      <c r="A82" s="45" t="s">
        <v>261</v>
      </c>
      <c r="B82" s="20" t="s">
        <v>1200</v>
      </c>
      <c r="C82" s="40" t="s">
        <v>150</v>
      </c>
      <c r="D82" s="40" t="s">
        <v>238</v>
      </c>
      <c r="E82" s="40" t="s">
        <v>372</v>
      </c>
      <c r="F82" s="40" t="s">
        <v>627</v>
      </c>
      <c r="G82" s="10">
        <f>G81</f>
        <v>260</v>
      </c>
      <c r="H82" s="204"/>
    </row>
    <row r="83" spans="1:8" s="203" customFormat="1" ht="31.5" hidden="1" x14ac:dyDescent="0.25">
      <c r="A83" s="23" t="s">
        <v>995</v>
      </c>
      <c r="B83" s="24" t="s">
        <v>1309</v>
      </c>
      <c r="C83" s="7"/>
      <c r="D83" s="7"/>
      <c r="E83" s="7"/>
      <c r="F83" s="7"/>
      <c r="G83" s="59">
        <f>G84</f>
        <v>0</v>
      </c>
      <c r="H83" s="204"/>
    </row>
    <row r="84" spans="1:8" s="203" customFormat="1" ht="15.75" hidden="1" x14ac:dyDescent="0.25">
      <c r="A84" s="45" t="s">
        <v>232</v>
      </c>
      <c r="B84" s="40" t="s">
        <v>1309</v>
      </c>
      <c r="C84" s="40" t="s">
        <v>150</v>
      </c>
      <c r="D84" s="40"/>
      <c r="E84" s="40"/>
      <c r="F84" s="40"/>
      <c r="G84" s="10">
        <f>G85</f>
        <v>0</v>
      </c>
      <c r="H84" s="204"/>
    </row>
    <row r="85" spans="1:8" s="203" customFormat="1" ht="15.75" hidden="1" x14ac:dyDescent="0.25">
      <c r="A85" s="45" t="s">
        <v>237</v>
      </c>
      <c r="B85" s="40" t="s">
        <v>1309</v>
      </c>
      <c r="C85" s="40" t="s">
        <v>150</v>
      </c>
      <c r="D85" s="40" t="s">
        <v>238</v>
      </c>
      <c r="E85" s="40"/>
      <c r="F85" s="40"/>
      <c r="G85" s="10">
        <f>G86</f>
        <v>0</v>
      </c>
      <c r="H85" s="204"/>
    </row>
    <row r="86" spans="1:8" s="203" customFormat="1" ht="31.5" hidden="1" x14ac:dyDescent="0.25">
      <c r="A86" s="252" t="s">
        <v>1043</v>
      </c>
      <c r="B86" s="20" t="s">
        <v>1310</v>
      </c>
      <c r="C86" s="40" t="s">
        <v>150</v>
      </c>
      <c r="D86" s="40" t="s">
        <v>238</v>
      </c>
      <c r="E86" s="40"/>
      <c r="F86" s="40"/>
      <c r="G86" s="10">
        <f>G87</f>
        <v>0</v>
      </c>
      <c r="H86" s="204"/>
    </row>
    <row r="87" spans="1:8" s="203" customFormat="1" ht="31.5" hidden="1" x14ac:dyDescent="0.25">
      <c r="A87" s="25" t="s">
        <v>131</v>
      </c>
      <c r="B87" s="20" t="s">
        <v>1310</v>
      </c>
      <c r="C87" s="40" t="s">
        <v>150</v>
      </c>
      <c r="D87" s="40" t="s">
        <v>238</v>
      </c>
      <c r="E87" s="40" t="s">
        <v>132</v>
      </c>
      <c r="F87" s="40"/>
      <c r="G87" s="10">
        <f>G88</f>
        <v>0</v>
      </c>
      <c r="H87" s="204"/>
    </row>
    <row r="88" spans="1:8" s="203" customFormat="1" ht="31.5" hidden="1" x14ac:dyDescent="0.25">
      <c r="A88" s="25" t="s">
        <v>133</v>
      </c>
      <c r="B88" s="20" t="s">
        <v>1310</v>
      </c>
      <c r="C88" s="40" t="s">
        <v>150</v>
      </c>
      <c r="D88" s="40" t="s">
        <v>238</v>
      </c>
      <c r="E88" s="40" t="s">
        <v>134</v>
      </c>
      <c r="F88" s="40"/>
      <c r="G88" s="10">
        <f>'Пр.4 ведом.22'!G292</f>
        <v>0</v>
      </c>
      <c r="H88" s="204"/>
    </row>
    <row r="89" spans="1:8" s="203" customFormat="1" ht="47.25" hidden="1" x14ac:dyDescent="0.25">
      <c r="A89" s="45" t="s">
        <v>261</v>
      </c>
      <c r="B89" s="20" t="s">
        <v>1310</v>
      </c>
      <c r="C89" s="40" t="s">
        <v>150</v>
      </c>
      <c r="D89" s="40" t="s">
        <v>238</v>
      </c>
      <c r="E89" s="40" t="s">
        <v>134</v>
      </c>
      <c r="F89" s="9" t="s">
        <v>627</v>
      </c>
      <c r="G89" s="10">
        <f>G88</f>
        <v>0</v>
      </c>
      <c r="H89" s="204"/>
    </row>
    <row r="90" spans="1:8" s="203" customFormat="1" ht="31.5" hidden="1" x14ac:dyDescent="0.25">
      <c r="A90" s="212" t="s">
        <v>1102</v>
      </c>
      <c r="B90" s="24" t="s">
        <v>1201</v>
      </c>
      <c r="C90" s="7"/>
      <c r="D90" s="7"/>
      <c r="E90" s="7"/>
      <c r="F90" s="7"/>
      <c r="G90" s="59">
        <f>G91</f>
        <v>0</v>
      </c>
      <c r="H90" s="204"/>
    </row>
    <row r="91" spans="1:8" s="203" customFormat="1" ht="15.75" hidden="1" x14ac:dyDescent="0.25">
      <c r="A91" s="45" t="s">
        <v>232</v>
      </c>
      <c r="B91" s="40" t="s">
        <v>1201</v>
      </c>
      <c r="C91" s="40" t="s">
        <v>150</v>
      </c>
      <c r="D91" s="40"/>
      <c r="E91" s="40"/>
      <c r="F91" s="40"/>
      <c r="G91" s="10">
        <f>G92</f>
        <v>0</v>
      </c>
      <c r="H91" s="204"/>
    </row>
    <row r="92" spans="1:8" s="203" customFormat="1" ht="15.75" hidden="1" x14ac:dyDescent="0.25">
      <c r="A92" s="45" t="s">
        <v>237</v>
      </c>
      <c r="B92" s="40" t="s">
        <v>1201</v>
      </c>
      <c r="C92" s="40" t="s">
        <v>150</v>
      </c>
      <c r="D92" s="40" t="s">
        <v>238</v>
      </c>
      <c r="E92" s="40"/>
      <c r="F92" s="40"/>
      <c r="G92" s="10">
        <f>G93</f>
        <v>0</v>
      </c>
      <c r="H92" s="204"/>
    </row>
    <row r="93" spans="1:8" s="203" customFormat="1" ht="31.5" hidden="1" x14ac:dyDescent="0.25">
      <c r="A93" s="231" t="s">
        <v>1398</v>
      </c>
      <c r="B93" s="20" t="s">
        <v>1202</v>
      </c>
      <c r="C93" s="40" t="s">
        <v>150</v>
      </c>
      <c r="D93" s="40" t="s">
        <v>238</v>
      </c>
      <c r="E93" s="40"/>
      <c r="F93" s="40"/>
      <c r="G93" s="10">
        <f>G94</f>
        <v>0</v>
      </c>
      <c r="H93" s="204"/>
    </row>
    <row r="94" spans="1:8" s="203" customFormat="1" ht="31.5" hidden="1" x14ac:dyDescent="0.25">
      <c r="A94" s="25" t="s">
        <v>131</v>
      </c>
      <c r="B94" s="20" t="s">
        <v>1202</v>
      </c>
      <c r="C94" s="40" t="s">
        <v>150</v>
      </c>
      <c r="D94" s="40" t="s">
        <v>238</v>
      </c>
      <c r="E94" s="40" t="s">
        <v>132</v>
      </c>
      <c r="F94" s="40"/>
      <c r="G94" s="10">
        <f>G95</f>
        <v>0</v>
      </c>
      <c r="H94" s="204"/>
    </row>
    <row r="95" spans="1:8" s="203" customFormat="1" ht="31.5" hidden="1" x14ac:dyDescent="0.25">
      <c r="A95" s="25" t="s">
        <v>133</v>
      </c>
      <c r="B95" s="20" t="s">
        <v>1202</v>
      </c>
      <c r="C95" s="40" t="s">
        <v>150</v>
      </c>
      <c r="D95" s="40" t="s">
        <v>238</v>
      </c>
      <c r="E95" s="40" t="s">
        <v>134</v>
      </c>
      <c r="F95" s="40"/>
      <c r="G95" s="10">
        <f>'Пр.4 ведом.22'!G296</f>
        <v>0</v>
      </c>
      <c r="H95" s="204"/>
    </row>
    <row r="96" spans="1:8" s="203" customFormat="1" ht="47.25" hidden="1" x14ac:dyDescent="0.25">
      <c r="A96" s="45" t="s">
        <v>261</v>
      </c>
      <c r="B96" s="20" t="s">
        <v>1202</v>
      </c>
      <c r="C96" s="40" t="s">
        <v>150</v>
      </c>
      <c r="D96" s="40" t="s">
        <v>238</v>
      </c>
      <c r="E96" s="40" t="s">
        <v>134</v>
      </c>
      <c r="F96" s="9" t="s">
        <v>627</v>
      </c>
      <c r="G96" s="10">
        <f>G95</f>
        <v>0</v>
      </c>
      <c r="H96" s="204"/>
    </row>
    <row r="97" spans="1:8" s="203" customFormat="1" ht="78.75" x14ac:dyDescent="0.25">
      <c r="A97" s="41" t="s">
        <v>1348</v>
      </c>
      <c r="B97" s="7" t="s">
        <v>359</v>
      </c>
      <c r="C97" s="7"/>
      <c r="D97" s="7"/>
      <c r="E97" s="7"/>
      <c r="F97" s="8"/>
      <c r="G97" s="59">
        <f>G98</f>
        <v>764.8</v>
      </c>
      <c r="H97" s="204"/>
    </row>
    <row r="98" spans="1:8" s="203" customFormat="1" ht="47.25" x14ac:dyDescent="0.25">
      <c r="A98" s="250" t="s">
        <v>1044</v>
      </c>
      <c r="B98" s="7" t="s">
        <v>909</v>
      </c>
      <c r="C98" s="7"/>
      <c r="D98" s="7"/>
      <c r="E98" s="7"/>
      <c r="F98" s="8"/>
      <c r="G98" s="59">
        <f>G99</f>
        <v>764.8</v>
      </c>
      <c r="H98" s="204"/>
    </row>
    <row r="99" spans="1:8" s="203" customFormat="1" ht="15.75" x14ac:dyDescent="0.25">
      <c r="A99" s="45" t="s">
        <v>117</v>
      </c>
      <c r="B99" s="40" t="s">
        <v>909</v>
      </c>
      <c r="C99" s="40" t="s">
        <v>118</v>
      </c>
      <c r="D99" s="40"/>
      <c r="E99" s="40"/>
      <c r="F99" s="9"/>
      <c r="G99" s="10">
        <f t="shared" ref="G99:G102" si="9">G100</f>
        <v>764.8</v>
      </c>
      <c r="H99" s="204"/>
    </row>
    <row r="100" spans="1:8" s="203" customFormat="1" ht="15.75" x14ac:dyDescent="0.25">
      <c r="A100" s="45" t="s">
        <v>139</v>
      </c>
      <c r="B100" s="40" t="s">
        <v>909</v>
      </c>
      <c r="C100" s="40" t="s">
        <v>118</v>
      </c>
      <c r="D100" s="40" t="s">
        <v>140</v>
      </c>
      <c r="E100" s="40"/>
      <c r="F100" s="9"/>
      <c r="G100" s="10">
        <f>G101+G105+G109</f>
        <v>764.8</v>
      </c>
      <c r="H100" s="204"/>
    </row>
    <row r="101" spans="1:8" s="203" customFormat="1" ht="31.5" x14ac:dyDescent="0.25">
      <c r="A101" s="98" t="s">
        <v>1095</v>
      </c>
      <c r="B101" s="40" t="s">
        <v>1198</v>
      </c>
      <c r="C101" s="40" t="s">
        <v>118</v>
      </c>
      <c r="D101" s="40" t="s">
        <v>140</v>
      </c>
      <c r="E101" s="40"/>
      <c r="F101" s="9"/>
      <c r="G101" s="10">
        <f t="shared" si="9"/>
        <v>447.3</v>
      </c>
      <c r="H101" s="204"/>
    </row>
    <row r="102" spans="1:8" s="203" customFormat="1" ht="31.5" x14ac:dyDescent="0.25">
      <c r="A102" s="29" t="s">
        <v>131</v>
      </c>
      <c r="B102" s="40" t="s">
        <v>1198</v>
      </c>
      <c r="C102" s="40" t="s">
        <v>118</v>
      </c>
      <c r="D102" s="40" t="s">
        <v>140</v>
      </c>
      <c r="E102" s="40" t="s">
        <v>132</v>
      </c>
      <c r="F102" s="9"/>
      <c r="G102" s="10">
        <f t="shared" si="9"/>
        <v>447.3</v>
      </c>
      <c r="H102" s="204"/>
    </row>
    <row r="103" spans="1:8" s="203" customFormat="1" ht="31.5" x14ac:dyDescent="0.25">
      <c r="A103" s="29" t="s">
        <v>133</v>
      </c>
      <c r="B103" s="40" t="s">
        <v>1198</v>
      </c>
      <c r="C103" s="40" t="s">
        <v>118</v>
      </c>
      <c r="D103" s="40" t="s">
        <v>140</v>
      </c>
      <c r="E103" s="40" t="s">
        <v>134</v>
      </c>
      <c r="F103" s="9"/>
      <c r="G103" s="10">
        <f>'Пр.4 ведом.22'!G248</f>
        <v>447.3</v>
      </c>
      <c r="H103" s="204"/>
    </row>
    <row r="104" spans="1:8" s="203" customFormat="1" ht="47.25" x14ac:dyDescent="0.25">
      <c r="A104" s="45" t="s">
        <v>261</v>
      </c>
      <c r="B104" s="40" t="s">
        <v>1198</v>
      </c>
      <c r="C104" s="40" t="s">
        <v>118</v>
      </c>
      <c r="D104" s="40" t="s">
        <v>140</v>
      </c>
      <c r="E104" s="40" t="s">
        <v>134</v>
      </c>
      <c r="F104" s="9" t="s">
        <v>627</v>
      </c>
      <c r="G104" s="10">
        <f>G103</f>
        <v>447.3</v>
      </c>
      <c r="H104" s="204"/>
    </row>
    <row r="105" spans="1:8" s="462" customFormat="1" ht="31.5" x14ac:dyDescent="0.25">
      <c r="A105" s="45" t="s">
        <v>1622</v>
      </c>
      <c r="B105" s="40" t="s">
        <v>1656</v>
      </c>
      <c r="C105" s="40" t="s">
        <v>118</v>
      </c>
      <c r="D105" s="40" t="s">
        <v>140</v>
      </c>
      <c r="E105" s="40"/>
      <c r="F105" s="9"/>
      <c r="G105" s="10">
        <f>G106</f>
        <v>208.6</v>
      </c>
      <c r="H105" s="204"/>
    </row>
    <row r="106" spans="1:8" s="462" customFormat="1" ht="31.5" x14ac:dyDescent="0.25">
      <c r="A106" s="29" t="s">
        <v>131</v>
      </c>
      <c r="B106" s="499" t="s">
        <v>1656</v>
      </c>
      <c r="C106" s="40" t="s">
        <v>118</v>
      </c>
      <c r="D106" s="40" t="s">
        <v>140</v>
      </c>
      <c r="E106" s="40" t="s">
        <v>132</v>
      </c>
      <c r="F106" s="9"/>
      <c r="G106" s="10">
        <f>G107</f>
        <v>208.6</v>
      </c>
      <c r="H106" s="204"/>
    </row>
    <row r="107" spans="1:8" s="462" customFormat="1" ht="31.5" x14ac:dyDescent="0.25">
      <c r="A107" s="29" t="s">
        <v>133</v>
      </c>
      <c r="B107" s="499" t="s">
        <v>1656</v>
      </c>
      <c r="C107" s="40" t="s">
        <v>118</v>
      </c>
      <c r="D107" s="40" t="s">
        <v>140</v>
      </c>
      <c r="E107" s="40" t="s">
        <v>134</v>
      </c>
      <c r="F107" s="9"/>
      <c r="G107" s="10">
        <f>'Пр.4 ведом.22'!G251</f>
        <v>208.6</v>
      </c>
      <c r="H107" s="204"/>
    </row>
    <row r="108" spans="1:8" s="462" customFormat="1" ht="47.25" x14ac:dyDescent="0.25">
      <c r="A108" s="45" t="s">
        <v>261</v>
      </c>
      <c r="B108" s="499" t="s">
        <v>1656</v>
      </c>
      <c r="C108" s="40" t="s">
        <v>118</v>
      </c>
      <c r="D108" s="40" t="s">
        <v>140</v>
      </c>
      <c r="E108" s="40" t="s">
        <v>134</v>
      </c>
      <c r="F108" s="9" t="s">
        <v>627</v>
      </c>
      <c r="G108" s="10">
        <f>G107</f>
        <v>208.6</v>
      </c>
      <c r="H108" s="204"/>
    </row>
    <row r="109" spans="1:8" s="576" customFormat="1" ht="31.5" x14ac:dyDescent="0.25">
      <c r="A109" s="29" t="s">
        <v>1750</v>
      </c>
      <c r="B109" s="9" t="s">
        <v>1751</v>
      </c>
      <c r="C109" s="573" t="s">
        <v>118</v>
      </c>
      <c r="D109" s="573" t="s">
        <v>140</v>
      </c>
      <c r="E109" s="573"/>
      <c r="F109" s="9"/>
      <c r="G109" s="10">
        <f>G110</f>
        <v>108.9</v>
      </c>
      <c r="H109" s="578"/>
    </row>
    <row r="110" spans="1:8" s="576" customFormat="1" ht="31.5" x14ac:dyDescent="0.25">
      <c r="A110" s="29" t="s">
        <v>131</v>
      </c>
      <c r="B110" s="9" t="s">
        <v>1751</v>
      </c>
      <c r="C110" s="573" t="s">
        <v>118</v>
      </c>
      <c r="D110" s="573" t="s">
        <v>140</v>
      </c>
      <c r="E110" s="573" t="s">
        <v>132</v>
      </c>
      <c r="F110" s="9"/>
      <c r="G110" s="10">
        <f>G111</f>
        <v>108.9</v>
      </c>
      <c r="H110" s="578"/>
    </row>
    <row r="111" spans="1:8" s="576" customFormat="1" ht="31.5" x14ac:dyDescent="0.25">
      <c r="A111" s="29" t="s">
        <v>133</v>
      </c>
      <c r="B111" s="9" t="s">
        <v>1751</v>
      </c>
      <c r="C111" s="573" t="s">
        <v>118</v>
      </c>
      <c r="D111" s="573" t="s">
        <v>140</v>
      </c>
      <c r="E111" s="573" t="s">
        <v>134</v>
      </c>
      <c r="F111" s="9"/>
      <c r="G111" s="10">
        <f>'Пр.4 ведом.22'!G254</f>
        <v>108.9</v>
      </c>
      <c r="H111" s="578"/>
    </row>
    <row r="112" spans="1:8" s="576" customFormat="1" ht="47.25" x14ac:dyDescent="0.25">
      <c r="A112" s="45" t="s">
        <v>261</v>
      </c>
      <c r="B112" s="9" t="s">
        <v>1751</v>
      </c>
      <c r="C112" s="573" t="s">
        <v>118</v>
      </c>
      <c r="D112" s="573" t="s">
        <v>140</v>
      </c>
      <c r="E112" s="573" t="s">
        <v>134</v>
      </c>
      <c r="F112" s="9" t="s">
        <v>627</v>
      </c>
      <c r="G112" s="10">
        <f>G111</f>
        <v>108.9</v>
      </c>
      <c r="H112" s="578"/>
    </row>
    <row r="113" spans="1:8" ht="39.200000000000003" customHeight="1" x14ac:dyDescent="0.25">
      <c r="A113" s="58" t="s">
        <v>629</v>
      </c>
      <c r="B113" s="7" t="s">
        <v>362</v>
      </c>
      <c r="C113" s="7"/>
      <c r="D113" s="7"/>
      <c r="E113" s="7"/>
      <c r="F113" s="7"/>
      <c r="G113" s="59">
        <f>G114+G124+G134</f>
        <v>1567</v>
      </c>
    </row>
    <row r="114" spans="1:8" s="203" customFormat="1" ht="31.5" x14ac:dyDescent="0.25">
      <c r="A114" s="23" t="s">
        <v>1038</v>
      </c>
      <c r="B114" s="24" t="s">
        <v>913</v>
      </c>
      <c r="C114" s="40"/>
      <c r="D114" s="40"/>
      <c r="E114" s="40"/>
      <c r="F114" s="40"/>
      <c r="G114" s="59">
        <f>G115</f>
        <v>630</v>
      </c>
      <c r="H114" s="204"/>
    </row>
    <row r="115" spans="1:8" ht="15.75" x14ac:dyDescent="0.25">
      <c r="A115" s="45" t="s">
        <v>243</v>
      </c>
      <c r="B115" s="40" t="s">
        <v>913</v>
      </c>
      <c r="C115" s="40" t="s">
        <v>244</v>
      </c>
      <c r="D115" s="40"/>
      <c r="E115" s="40"/>
      <c r="F115" s="40"/>
      <c r="G115" s="10">
        <f t="shared" ref="G115:G121" si="10">G116</f>
        <v>630</v>
      </c>
    </row>
    <row r="116" spans="1:8" ht="15.75" x14ac:dyDescent="0.25">
      <c r="A116" s="45" t="s">
        <v>252</v>
      </c>
      <c r="B116" s="40" t="s">
        <v>913</v>
      </c>
      <c r="C116" s="40" t="s">
        <v>244</v>
      </c>
      <c r="D116" s="40" t="s">
        <v>215</v>
      </c>
      <c r="E116" s="40"/>
      <c r="F116" s="40"/>
      <c r="G116" s="10">
        <f>G117</f>
        <v>630</v>
      </c>
    </row>
    <row r="117" spans="1:8" ht="47.25" x14ac:dyDescent="0.25">
      <c r="A117" s="98" t="s">
        <v>1039</v>
      </c>
      <c r="B117" s="20" t="s">
        <v>1224</v>
      </c>
      <c r="C117" s="40" t="s">
        <v>244</v>
      </c>
      <c r="D117" s="40" t="s">
        <v>215</v>
      </c>
      <c r="E117" s="40"/>
      <c r="F117" s="40"/>
      <c r="G117" s="10">
        <f>G121+G118</f>
        <v>630</v>
      </c>
    </row>
    <row r="118" spans="1:8" s="203" customFormat="1" ht="31.5" hidden="1" x14ac:dyDescent="0.25">
      <c r="A118" s="29" t="s">
        <v>131</v>
      </c>
      <c r="B118" s="20" t="s">
        <v>1224</v>
      </c>
      <c r="C118" s="40" t="s">
        <v>244</v>
      </c>
      <c r="D118" s="40" t="s">
        <v>215</v>
      </c>
      <c r="E118" s="40" t="s">
        <v>132</v>
      </c>
      <c r="F118" s="40"/>
      <c r="G118" s="10">
        <f>G119</f>
        <v>0</v>
      </c>
      <c r="H118" s="204"/>
    </row>
    <row r="119" spans="1:8" s="203" customFormat="1" ht="31.5" hidden="1" x14ac:dyDescent="0.25">
      <c r="A119" s="29" t="s">
        <v>133</v>
      </c>
      <c r="B119" s="20" t="s">
        <v>1224</v>
      </c>
      <c r="C119" s="40" t="s">
        <v>244</v>
      </c>
      <c r="D119" s="40" t="s">
        <v>215</v>
      </c>
      <c r="E119" s="40" t="s">
        <v>134</v>
      </c>
      <c r="F119" s="40"/>
      <c r="G119" s="10">
        <f>'Пр.4 ведом.22'!G485</f>
        <v>0</v>
      </c>
      <c r="H119" s="204"/>
    </row>
    <row r="120" spans="1:8" s="203" customFormat="1" ht="47.25" hidden="1" x14ac:dyDescent="0.25">
      <c r="A120" s="45" t="s">
        <v>261</v>
      </c>
      <c r="B120" s="20" t="s">
        <v>1224</v>
      </c>
      <c r="C120" s="40" t="s">
        <v>244</v>
      </c>
      <c r="D120" s="40" t="s">
        <v>215</v>
      </c>
      <c r="E120" s="40" t="s">
        <v>134</v>
      </c>
      <c r="F120" s="40" t="s">
        <v>627</v>
      </c>
      <c r="G120" s="10">
        <f>G119</f>
        <v>0</v>
      </c>
      <c r="H120" s="204"/>
    </row>
    <row r="121" spans="1:8" ht="15.75" x14ac:dyDescent="0.25">
      <c r="A121" s="25" t="s">
        <v>248</v>
      </c>
      <c r="B121" s="20" t="s">
        <v>1224</v>
      </c>
      <c r="C121" s="40" t="s">
        <v>244</v>
      </c>
      <c r="D121" s="40" t="s">
        <v>215</v>
      </c>
      <c r="E121" s="40" t="s">
        <v>249</v>
      </c>
      <c r="F121" s="40"/>
      <c r="G121" s="10">
        <f t="shared" si="10"/>
        <v>630</v>
      </c>
    </row>
    <row r="122" spans="1:8" ht="31.5" x14ac:dyDescent="0.25">
      <c r="A122" s="25" t="s">
        <v>348</v>
      </c>
      <c r="B122" s="20" t="s">
        <v>1224</v>
      </c>
      <c r="C122" s="40" t="s">
        <v>244</v>
      </c>
      <c r="D122" s="40" t="s">
        <v>215</v>
      </c>
      <c r="E122" s="40" t="s">
        <v>349</v>
      </c>
      <c r="F122" s="40"/>
      <c r="G122" s="10">
        <f>'Пр.4 ведом.22'!G487</f>
        <v>630</v>
      </c>
    </row>
    <row r="123" spans="1:8" ht="47.25" x14ac:dyDescent="0.25">
      <c r="A123" s="45" t="s">
        <v>261</v>
      </c>
      <c r="B123" s="20" t="s">
        <v>1224</v>
      </c>
      <c r="C123" s="40" t="s">
        <v>244</v>
      </c>
      <c r="D123" s="40" t="s">
        <v>215</v>
      </c>
      <c r="E123" s="40" t="s">
        <v>349</v>
      </c>
      <c r="F123" s="40" t="s">
        <v>627</v>
      </c>
      <c r="G123" s="10">
        <f>G122</f>
        <v>630</v>
      </c>
    </row>
    <row r="124" spans="1:8" s="203" customFormat="1" ht="31.5" x14ac:dyDescent="0.25">
      <c r="A124" s="23" t="s">
        <v>1399</v>
      </c>
      <c r="B124" s="24" t="s">
        <v>1226</v>
      </c>
      <c r="C124" s="7"/>
      <c r="D124" s="7"/>
      <c r="E124" s="7"/>
      <c r="F124" s="7"/>
      <c r="G124" s="59">
        <f>G125</f>
        <v>257</v>
      </c>
      <c r="H124" s="204"/>
    </row>
    <row r="125" spans="1:8" s="203" customFormat="1" ht="15.75" x14ac:dyDescent="0.25">
      <c r="A125" s="45" t="s">
        <v>243</v>
      </c>
      <c r="B125" s="40" t="s">
        <v>1226</v>
      </c>
      <c r="C125" s="40" t="s">
        <v>244</v>
      </c>
      <c r="D125" s="40"/>
      <c r="E125" s="40"/>
      <c r="F125" s="40"/>
      <c r="G125" s="10">
        <f t="shared" ref="G125" si="11">G126</f>
        <v>257</v>
      </c>
      <c r="H125" s="204"/>
    </row>
    <row r="126" spans="1:8" s="203" customFormat="1" ht="15.75" x14ac:dyDescent="0.25">
      <c r="A126" s="45" t="s">
        <v>252</v>
      </c>
      <c r="B126" s="40" t="s">
        <v>1226</v>
      </c>
      <c r="C126" s="40" t="s">
        <v>244</v>
      </c>
      <c r="D126" s="40" t="s">
        <v>215</v>
      </c>
      <c r="E126" s="40"/>
      <c r="F126" s="40"/>
      <c r="G126" s="10">
        <f>G127</f>
        <v>257</v>
      </c>
      <c r="H126" s="204"/>
    </row>
    <row r="127" spans="1:8" s="203" customFormat="1" ht="31.5" x14ac:dyDescent="0.25">
      <c r="A127" s="25" t="s">
        <v>1225</v>
      </c>
      <c r="B127" s="20" t="s">
        <v>1227</v>
      </c>
      <c r="C127" s="40" t="s">
        <v>244</v>
      </c>
      <c r="D127" s="40" t="s">
        <v>215</v>
      </c>
      <c r="E127" s="40"/>
      <c r="F127" s="40"/>
      <c r="G127" s="10">
        <f>G128+G131</f>
        <v>257</v>
      </c>
      <c r="H127" s="204"/>
    </row>
    <row r="128" spans="1:8" s="203" customFormat="1" ht="31.5" hidden="1" x14ac:dyDescent="0.25">
      <c r="A128" s="25" t="s">
        <v>131</v>
      </c>
      <c r="B128" s="20" t="s">
        <v>1227</v>
      </c>
      <c r="C128" s="40" t="s">
        <v>244</v>
      </c>
      <c r="D128" s="40" t="s">
        <v>215</v>
      </c>
      <c r="E128" s="40" t="s">
        <v>132</v>
      </c>
      <c r="F128" s="40"/>
      <c r="G128" s="10">
        <f>G129</f>
        <v>0</v>
      </c>
      <c r="H128" s="204"/>
    </row>
    <row r="129" spans="1:8" s="203" customFormat="1" ht="31.5" hidden="1" x14ac:dyDescent="0.25">
      <c r="A129" s="25" t="s">
        <v>133</v>
      </c>
      <c r="B129" s="20" t="s">
        <v>1227</v>
      </c>
      <c r="C129" s="40" t="s">
        <v>244</v>
      </c>
      <c r="D129" s="40" t="s">
        <v>215</v>
      </c>
      <c r="E129" s="40" t="s">
        <v>134</v>
      </c>
      <c r="F129" s="40"/>
      <c r="G129" s="10">
        <f>'Пр.4 ведом.22'!G491</f>
        <v>0</v>
      </c>
      <c r="H129" s="204"/>
    </row>
    <row r="130" spans="1:8" s="203" customFormat="1" ht="47.25" hidden="1" x14ac:dyDescent="0.25">
      <c r="A130" s="45" t="s">
        <v>261</v>
      </c>
      <c r="B130" s="20" t="s">
        <v>1227</v>
      </c>
      <c r="C130" s="40" t="s">
        <v>244</v>
      </c>
      <c r="D130" s="40" t="s">
        <v>215</v>
      </c>
      <c r="E130" s="40" t="s">
        <v>134</v>
      </c>
      <c r="F130" s="40" t="s">
        <v>627</v>
      </c>
      <c r="G130" s="10">
        <f>G129</f>
        <v>0</v>
      </c>
      <c r="H130" s="204"/>
    </row>
    <row r="131" spans="1:8" s="203" customFormat="1" ht="15.75" x14ac:dyDescent="0.25">
      <c r="A131" s="25" t="s">
        <v>248</v>
      </c>
      <c r="B131" s="20" t="s">
        <v>1227</v>
      </c>
      <c r="C131" s="40" t="s">
        <v>244</v>
      </c>
      <c r="D131" s="40" t="s">
        <v>215</v>
      </c>
      <c r="E131" s="40" t="s">
        <v>249</v>
      </c>
      <c r="F131" s="40"/>
      <c r="G131" s="10">
        <f>G132</f>
        <v>257</v>
      </c>
      <c r="H131" s="204"/>
    </row>
    <row r="132" spans="1:8" s="203" customFormat="1" ht="31.5" x14ac:dyDescent="0.25">
      <c r="A132" s="25" t="s">
        <v>348</v>
      </c>
      <c r="B132" s="20" t="s">
        <v>1227</v>
      </c>
      <c r="C132" s="40" t="s">
        <v>244</v>
      </c>
      <c r="D132" s="40" t="s">
        <v>215</v>
      </c>
      <c r="E132" s="40" t="s">
        <v>349</v>
      </c>
      <c r="F132" s="40"/>
      <c r="G132" s="10">
        <f>'Пр.4 ведом.22'!G493</f>
        <v>257</v>
      </c>
      <c r="H132" s="204"/>
    </row>
    <row r="133" spans="1:8" s="203" customFormat="1" ht="47.25" x14ac:dyDescent="0.25">
      <c r="A133" s="45" t="s">
        <v>261</v>
      </c>
      <c r="B133" s="20" t="s">
        <v>1227</v>
      </c>
      <c r="C133" s="40" t="s">
        <v>244</v>
      </c>
      <c r="D133" s="40" t="s">
        <v>215</v>
      </c>
      <c r="E133" s="40" t="s">
        <v>349</v>
      </c>
      <c r="F133" s="40" t="s">
        <v>627</v>
      </c>
      <c r="G133" s="10">
        <f>G132</f>
        <v>257</v>
      </c>
      <c r="H133" s="204"/>
    </row>
    <row r="134" spans="1:8" s="203" customFormat="1" ht="31.5" x14ac:dyDescent="0.25">
      <c r="A134" s="23" t="s">
        <v>997</v>
      </c>
      <c r="B134" s="24" t="s">
        <v>1221</v>
      </c>
      <c r="C134" s="7"/>
      <c r="D134" s="7"/>
      <c r="E134" s="7"/>
      <c r="F134" s="7"/>
      <c r="G134" s="59">
        <f>G141+G135</f>
        <v>680</v>
      </c>
      <c r="H134" s="204"/>
    </row>
    <row r="135" spans="1:8" s="203" customFormat="1" ht="15.75" x14ac:dyDescent="0.25">
      <c r="A135" s="25" t="s">
        <v>298</v>
      </c>
      <c r="B135" s="20" t="s">
        <v>1221</v>
      </c>
      <c r="C135" s="40" t="s">
        <v>299</v>
      </c>
      <c r="D135" s="40"/>
      <c r="E135" s="7"/>
      <c r="F135" s="7"/>
      <c r="G135" s="10">
        <f>G136</f>
        <v>260</v>
      </c>
      <c r="H135" s="204"/>
    </row>
    <row r="136" spans="1:8" s="203" customFormat="1" ht="15.75" x14ac:dyDescent="0.25">
      <c r="A136" s="579" t="s">
        <v>333</v>
      </c>
      <c r="B136" s="20" t="s">
        <v>1221</v>
      </c>
      <c r="C136" s="40" t="s">
        <v>299</v>
      </c>
      <c r="D136" s="40" t="s">
        <v>150</v>
      </c>
      <c r="E136" s="7"/>
      <c r="F136" s="7"/>
      <c r="G136" s="10">
        <f>G137</f>
        <v>260</v>
      </c>
      <c r="H136" s="204"/>
    </row>
    <row r="137" spans="1:8" s="203" customFormat="1" ht="31.5" x14ac:dyDescent="0.25">
      <c r="A137" s="25" t="s">
        <v>996</v>
      </c>
      <c r="B137" s="20" t="s">
        <v>1222</v>
      </c>
      <c r="C137" s="40" t="s">
        <v>299</v>
      </c>
      <c r="D137" s="40" t="s">
        <v>150</v>
      </c>
      <c r="E137" s="7"/>
      <c r="F137" s="7"/>
      <c r="G137" s="10">
        <f>G138</f>
        <v>260</v>
      </c>
      <c r="H137" s="204"/>
    </row>
    <row r="138" spans="1:8" s="203" customFormat="1" ht="31.5" x14ac:dyDescent="0.25">
      <c r="A138" s="25" t="s">
        <v>131</v>
      </c>
      <c r="B138" s="20" t="s">
        <v>1222</v>
      </c>
      <c r="C138" s="40" t="s">
        <v>299</v>
      </c>
      <c r="D138" s="40" t="s">
        <v>150</v>
      </c>
      <c r="E138" s="40" t="s">
        <v>132</v>
      </c>
      <c r="F138" s="40"/>
      <c r="G138" s="10">
        <f>G139</f>
        <v>260</v>
      </c>
      <c r="H138" s="204"/>
    </row>
    <row r="139" spans="1:8" s="203" customFormat="1" ht="31.5" x14ac:dyDescent="0.25">
      <c r="A139" s="25" t="s">
        <v>133</v>
      </c>
      <c r="B139" s="20" t="s">
        <v>1222</v>
      </c>
      <c r="C139" s="40" t="s">
        <v>299</v>
      </c>
      <c r="D139" s="40" t="s">
        <v>150</v>
      </c>
      <c r="E139" s="40" t="s">
        <v>134</v>
      </c>
      <c r="F139" s="40"/>
      <c r="G139" s="10">
        <f>'Пр.4 ведом.22'!G467</f>
        <v>260</v>
      </c>
      <c r="H139" s="204"/>
    </row>
    <row r="140" spans="1:8" s="203" customFormat="1" ht="47.25" x14ac:dyDescent="0.25">
      <c r="A140" s="45" t="s">
        <v>261</v>
      </c>
      <c r="B140" s="20" t="s">
        <v>1222</v>
      </c>
      <c r="C140" s="40" t="s">
        <v>299</v>
      </c>
      <c r="D140" s="40" t="s">
        <v>150</v>
      </c>
      <c r="E140" s="40" t="s">
        <v>134</v>
      </c>
      <c r="F140" s="40" t="s">
        <v>627</v>
      </c>
      <c r="G140" s="10">
        <f>G139</f>
        <v>260</v>
      </c>
      <c r="H140" s="204"/>
    </row>
    <row r="141" spans="1:8" s="203" customFormat="1" ht="15.75" x14ac:dyDescent="0.25">
      <c r="A141" s="45" t="s">
        <v>243</v>
      </c>
      <c r="B141" s="20" t="s">
        <v>1221</v>
      </c>
      <c r="C141" s="40" t="s">
        <v>244</v>
      </c>
      <c r="D141" s="40"/>
      <c r="E141" s="40"/>
      <c r="F141" s="40"/>
      <c r="G141" s="10">
        <f>G142</f>
        <v>420</v>
      </c>
      <c r="H141" s="204"/>
    </row>
    <row r="142" spans="1:8" s="203" customFormat="1" ht="15.75" x14ac:dyDescent="0.25">
      <c r="A142" s="45" t="s">
        <v>252</v>
      </c>
      <c r="B142" s="20" t="s">
        <v>1221</v>
      </c>
      <c r="C142" s="40" t="s">
        <v>244</v>
      </c>
      <c r="D142" s="40" t="s">
        <v>215</v>
      </c>
      <c r="E142" s="40"/>
      <c r="F142" s="40"/>
      <c r="G142" s="10">
        <f>G143</f>
        <v>420</v>
      </c>
      <c r="H142" s="204"/>
    </row>
    <row r="143" spans="1:8" s="203" customFormat="1" ht="15.75" x14ac:dyDescent="0.25">
      <c r="A143" s="25" t="s">
        <v>1036</v>
      </c>
      <c r="B143" s="20" t="s">
        <v>1223</v>
      </c>
      <c r="C143" s="40" t="s">
        <v>244</v>
      </c>
      <c r="D143" s="40" t="s">
        <v>215</v>
      </c>
      <c r="E143" s="40"/>
      <c r="F143" s="40"/>
      <c r="G143" s="10">
        <f>G144</f>
        <v>420</v>
      </c>
      <c r="H143" s="204"/>
    </row>
    <row r="144" spans="1:8" s="203" customFormat="1" ht="15.75" x14ac:dyDescent="0.25">
      <c r="A144" s="25" t="s">
        <v>248</v>
      </c>
      <c r="B144" s="20" t="s">
        <v>1223</v>
      </c>
      <c r="C144" s="40" t="s">
        <v>244</v>
      </c>
      <c r="D144" s="40" t="s">
        <v>215</v>
      </c>
      <c r="E144" s="40" t="s">
        <v>249</v>
      </c>
      <c r="F144" s="40"/>
      <c r="G144" s="10">
        <f>G145</f>
        <v>420</v>
      </c>
      <c r="H144" s="204"/>
    </row>
    <row r="145" spans="1:11" s="203" customFormat="1" ht="31.5" x14ac:dyDescent="0.25">
      <c r="A145" s="25" t="s">
        <v>348</v>
      </c>
      <c r="B145" s="20" t="s">
        <v>1223</v>
      </c>
      <c r="C145" s="40" t="s">
        <v>244</v>
      </c>
      <c r="D145" s="40" t="s">
        <v>215</v>
      </c>
      <c r="E145" s="40" t="s">
        <v>349</v>
      </c>
      <c r="F145" s="40"/>
      <c r="G145" s="10">
        <f>'Пр.4 ведом.22'!G497</f>
        <v>420</v>
      </c>
      <c r="H145" s="204"/>
    </row>
    <row r="146" spans="1:11" s="203" customFormat="1" ht="47.25" x14ac:dyDescent="0.25">
      <c r="A146" s="45" t="s">
        <v>261</v>
      </c>
      <c r="B146" s="20" t="s">
        <v>1223</v>
      </c>
      <c r="C146" s="40" t="s">
        <v>244</v>
      </c>
      <c r="D146" s="40" t="s">
        <v>215</v>
      </c>
      <c r="E146" s="40" t="s">
        <v>349</v>
      </c>
      <c r="F146" s="40" t="s">
        <v>627</v>
      </c>
      <c r="G146" s="10">
        <f>G145</f>
        <v>420</v>
      </c>
      <c r="H146" s="204"/>
    </row>
    <row r="147" spans="1:11" ht="31.5" x14ac:dyDescent="0.25">
      <c r="A147" s="58" t="s">
        <v>1358</v>
      </c>
      <c r="B147" s="7" t="s">
        <v>406</v>
      </c>
      <c r="C147" s="7"/>
      <c r="D147" s="7"/>
      <c r="E147" s="7"/>
      <c r="F147" s="7"/>
      <c r="G147" s="59">
        <f>G148+G169+G206+G239+G246+G275+G287+G294+G355+G301+G308+G315+G327+G341+G348+G334</f>
        <v>339511.29000000004</v>
      </c>
      <c r="H147" s="204">
        <v>269740.2</v>
      </c>
      <c r="I147" s="22">
        <f>H147-G147</f>
        <v>-69771.090000000026</v>
      </c>
      <c r="K147" s="232"/>
    </row>
    <row r="148" spans="1:11" s="203" customFormat="1" ht="31.5" x14ac:dyDescent="0.25">
      <c r="A148" s="23" t="s">
        <v>937</v>
      </c>
      <c r="B148" s="24" t="s">
        <v>1230</v>
      </c>
      <c r="C148" s="7"/>
      <c r="D148" s="7"/>
      <c r="E148" s="7"/>
      <c r="F148" s="7"/>
      <c r="G148" s="59">
        <f>G149+G156+G161+G165</f>
        <v>84413.68</v>
      </c>
      <c r="H148" s="204"/>
    </row>
    <row r="149" spans="1:11" ht="15.75" x14ac:dyDescent="0.25">
      <c r="A149" s="29" t="s">
        <v>263</v>
      </c>
      <c r="B149" s="40" t="s">
        <v>1230</v>
      </c>
      <c r="C149" s="40" t="s">
        <v>264</v>
      </c>
      <c r="D149" s="40"/>
      <c r="E149" s="40"/>
      <c r="F149" s="40"/>
      <c r="G149" s="10">
        <f>G150</f>
        <v>16777.189999999999</v>
      </c>
    </row>
    <row r="150" spans="1:11" ht="15.75" x14ac:dyDescent="0.25">
      <c r="A150" s="45" t="s">
        <v>404</v>
      </c>
      <c r="B150" s="40" t="s">
        <v>1230</v>
      </c>
      <c r="C150" s="40" t="s">
        <v>264</v>
      </c>
      <c r="D150" s="40" t="s">
        <v>118</v>
      </c>
      <c r="E150" s="40"/>
      <c r="F150" s="40"/>
      <c r="G150" s="10">
        <f>G151</f>
        <v>16777.189999999999</v>
      </c>
    </row>
    <row r="151" spans="1:11" ht="31.5" x14ac:dyDescent="0.25">
      <c r="A151" s="25" t="s">
        <v>1229</v>
      </c>
      <c r="B151" s="20" t="s">
        <v>1231</v>
      </c>
      <c r="C151" s="40" t="s">
        <v>264</v>
      </c>
      <c r="D151" s="40" t="s">
        <v>118</v>
      </c>
      <c r="E151" s="40"/>
      <c r="F151" s="40"/>
      <c r="G151" s="10">
        <f t="shared" ref="G151:G152" si="12">G152</f>
        <v>16777.189999999999</v>
      </c>
    </row>
    <row r="152" spans="1:11" ht="31.5" x14ac:dyDescent="0.25">
      <c r="A152" s="25" t="s">
        <v>272</v>
      </c>
      <c r="B152" s="20" t="s">
        <v>1231</v>
      </c>
      <c r="C152" s="40" t="s">
        <v>264</v>
      </c>
      <c r="D152" s="40" t="s">
        <v>118</v>
      </c>
      <c r="E152" s="40" t="s">
        <v>273</v>
      </c>
      <c r="F152" s="40"/>
      <c r="G152" s="10">
        <f t="shared" si="12"/>
        <v>16777.189999999999</v>
      </c>
    </row>
    <row r="153" spans="1:11" ht="15.75" x14ac:dyDescent="0.25">
      <c r="A153" s="25" t="s">
        <v>274</v>
      </c>
      <c r="B153" s="20" t="s">
        <v>1231</v>
      </c>
      <c r="C153" s="40" t="s">
        <v>264</v>
      </c>
      <c r="D153" s="40" t="s">
        <v>118</v>
      </c>
      <c r="E153" s="40" t="s">
        <v>275</v>
      </c>
      <c r="F153" s="40"/>
      <c r="G153" s="6">
        <f>'Пр.4 ведом.22'!G599</f>
        <v>16777.189999999999</v>
      </c>
    </row>
    <row r="154" spans="1:11" s="203" customFormat="1" ht="31.5" x14ac:dyDescent="0.25">
      <c r="A154" s="29" t="s">
        <v>403</v>
      </c>
      <c r="B154" s="20" t="s">
        <v>1231</v>
      </c>
      <c r="C154" s="40" t="s">
        <v>264</v>
      </c>
      <c r="D154" s="40" t="s">
        <v>118</v>
      </c>
      <c r="E154" s="40" t="s">
        <v>275</v>
      </c>
      <c r="F154" s="40" t="s">
        <v>636</v>
      </c>
      <c r="G154" s="10">
        <f>G153</f>
        <v>16777.189999999999</v>
      </c>
      <c r="H154" s="204"/>
    </row>
    <row r="155" spans="1:11" s="203" customFormat="1" ht="15.75" x14ac:dyDescent="0.25">
      <c r="A155" s="29" t="s">
        <v>425</v>
      </c>
      <c r="B155" s="40" t="s">
        <v>1230</v>
      </c>
      <c r="C155" s="40" t="s">
        <v>264</v>
      </c>
      <c r="D155" s="40" t="s">
        <v>213</v>
      </c>
      <c r="E155" s="40"/>
      <c r="F155" s="40"/>
      <c r="G155" s="10">
        <f>G156</f>
        <v>30618.41</v>
      </c>
      <c r="H155" s="204"/>
    </row>
    <row r="156" spans="1:11" s="203" customFormat="1" ht="31.5" x14ac:dyDescent="0.25">
      <c r="A156" s="25" t="s">
        <v>427</v>
      </c>
      <c r="B156" s="20" t="s">
        <v>1249</v>
      </c>
      <c r="C156" s="40" t="s">
        <v>264</v>
      </c>
      <c r="D156" s="40" t="s">
        <v>213</v>
      </c>
      <c r="E156" s="40"/>
      <c r="F156" s="40"/>
      <c r="G156" s="6">
        <f>G157</f>
        <v>30618.41</v>
      </c>
      <c r="H156" s="204"/>
    </row>
    <row r="157" spans="1:11" s="203" customFormat="1" ht="31.5" x14ac:dyDescent="0.25">
      <c r="A157" s="25" t="s">
        <v>272</v>
      </c>
      <c r="B157" s="20" t="s">
        <v>1249</v>
      </c>
      <c r="C157" s="40" t="s">
        <v>264</v>
      </c>
      <c r="D157" s="40" t="s">
        <v>213</v>
      </c>
      <c r="E157" s="40" t="s">
        <v>273</v>
      </c>
      <c r="F157" s="40"/>
      <c r="G157" s="6">
        <f>G158</f>
        <v>30618.41</v>
      </c>
      <c r="H157" s="204"/>
    </row>
    <row r="158" spans="1:11" s="203" customFormat="1" ht="15.75" x14ac:dyDescent="0.25">
      <c r="A158" s="25" t="s">
        <v>274</v>
      </c>
      <c r="B158" s="20" t="s">
        <v>1249</v>
      </c>
      <c r="C158" s="40" t="s">
        <v>264</v>
      </c>
      <c r="D158" s="40" t="s">
        <v>213</v>
      </c>
      <c r="E158" s="40" t="s">
        <v>275</v>
      </c>
      <c r="F158" s="40"/>
      <c r="G158" s="6">
        <f>'Пр.4 ведом.22'!G661</f>
        <v>30618.41</v>
      </c>
      <c r="H158" s="204"/>
    </row>
    <row r="159" spans="1:11" s="203" customFormat="1" ht="31.5" x14ac:dyDescent="0.25">
      <c r="A159" s="29" t="s">
        <v>403</v>
      </c>
      <c r="B159" s="20" t="s">
        <v>1249</v>
      </c>
      <c r="C159" s="40" t="s">
        <v>264</v>
      </c>
      <c r="D159" s="40" t="s">
        <v>213</v>
      </c>
      <c r="E159" s="40" t="s">
        <v>275</v>
      </c>
      <c r="F159" s="40" t="s">
        <v>636</v>
      </c>
      <c r="G159" s="10">
        <f>G158</f>
        <v>30618.41</v>
      </c>
      <c r="H159" s="204"/>
    </row>
    <row r="160" spans="1:11" s="203" customFormat="1" ht="15.75" x14ac:dyDescent="0.25">
      <c r="A160" s="29" t="s">
        <v>265</v>
      </c>
      <c r="B160" s="40" t="s">
        <v>1230</v>
      </c>
      <c r="C160" s="40" t="s">
        <v>264</v>
      </c>
      <c r="D160" s="40" t="s">
        <v>215</v>
      </c>
      <c r="E160" s="40"/>
      <c r="F160" s="40"/>
      <c r="G160" s="6">
        <f>G161+G165</f>
        <v>37018.080000000002</v>
      </c>
      <c r="H160" s="204"/>
    </row>
    <row r="161" spans="1:10" s="203" customFormat="1" ht="47.25" x14ac:dyDescent="0.25">
      <c r="A161" s="29" t="s">
        <v>270</v>
      </c>
      <c r="B161" s="20" t="s">
        <v>1260</v>
      </c>
      <c r="C161" s="40" t="s">
        <v>264</v>
      </c>
      <c r="D161" s="40" t="s">
        <v>215</v>
      </c>
      <c r="E161" s="7"/>
      <c r="F161" s="7"/>
      <c r="G161" s="10">
        <f t="shared" ref="G161:G162" si="13">G162</f>
        <v>37018.080000000002</v>
      </c>
      <c r="H161" s="204"/>
    </row>
    <row r="162" spans="1:10" s="203" customFormat="1" ht="31.5" x14ac:dyDescent="0.25">
      <c r="A162" s="29" t="s">
        <v>272</v>
      </c>
      <c r="B162" s="20" t="s">
        <v>1260</v>
      </c>
      <c r="C162" s="40" t="s">
        <v>264</v>
      </c>
      <c r="D162" s="40" t="s">
        <v>215</v>
      </c>
      <c r="E162" s="40" t="s">
        <v>273</v>
      </c>
      <c r="F162" s="40"/>
      <c r="G162" s="10">
        <f t="shared" si="13"/>
        <v>37018.080000000002</v>
      </c>
      <c r="H162" s="204"/>
    </row>
    <row r="163" spans="1:10" s="203" customFormat="1" ht="15.75" x14ac:dyDescent="0.25">
      <c r="A163" s="29" t="s">
        <v>274</v>
      </c>
      <c r="B163" s="20" t="s">
        <v>1260</v>
      </c>
      <c r="C163" s="40" t="s">
        <v>264</v>
      </c>
      <c r="D163" s="40" t="s">
        <v>215</v>
      </c>
      <c r="E163" s="40" t="s">
        <v>275</v>
      </c>
      <c r="F163" s="40"/>
      <c r="G163" s="6">
        <f>'Пр.4 ведом.22'!G750</f>
        <v>37018.080000000002</v>
      </c>
      <c r="H163" s="204"/>
    </row>
    <row r="164" spans="1:10" s="203" customFormat="1" ht="31.5" x14ac:dyDescent="0.25">
      <c r="A164" s="29" t="s">
        <v>403</v>
      </c>
      <c r="B164" s="20" t="s">
        <v>1260</v>
      </c>
      <c r="C164" s="40" t="s">
        <v>264</v>
      </c>
      <c r="D164" s="40" t="s">
        <v>215</v>
      </c>
      <c r="E164" s="40" t="s">
        <v>275</v>
      </c>
      <c r="F164" s="40" t="s">
        <v>636</v>
      </c>
      <c r="G164" s="10">
        <f>G163</f>
        <v>37018.080000000002</v>
      </c>
      <c r="H164" s="204"/>
    </row>
    <row r="165" spans="1:10" s="203" customFormat="1" ht="31.5" hidden="1" x14ac:dyDescent="0.25">
      <c r="A165" s="31" t="s">
        <v>1505</v>
      </c>
      <c r="B165" s="20" t="s">
        <v>1504</v>
      </c>
      <c r="C165" s="20" t="s">
        <v>264</v>
      </c>
      <c r="D165" s="20" t="s">
        <v>215</v>
      </c>
      <c r="E165" s="20"/>
      <c r="F165" s="40"/>
      <c r="G165" s="10">
        <f>G166</f>
        <v>0</v>
      </c>
      <c r="H165" s="204"/>
    </row>
    <row r="166" spans="1:10" s="203" customFormat="1" ht="31.5" hidden="1" x14ac:dyDescent="0.25">
      <c r="A166" s="25" t="s">
        <v>272</v>
      </c>
      <c r="B166" s="20" t="s">
        <v>1504</v>
      </c>
      <c r="C166" s="20" t="s">
        <v>264</v>
      </c>
      <c r="D166" s="20" t="s">
        <v>215</v>
      </c>
      <c r="E166" s="20" t="s">
        <v>273</v>
      </c>
      <c r="F166" s="40"/>
      <c r="G166" s="10">
        <f>G167</f>
        <v>0</v>
      </c>
      <c r="H166" s="204"/>
    </row>
    <row r="167" spans="1:10" s="203" customFormat="1" ht="15.75" hidden="1" x14ac:dyDescent="0.25">
      <c r="A167" s="31" t="s">
        <v>274</v>
      </c>
      <c r="B167" s="20" t="s">
        <v>1504</v>
      </c>
      <c r="C167" s="20" t="s">
        <v>264</v>
      </c>
      <c r="D167" s="20" t="s">
        <v>215</v>
      </c>
      <c r="E167" s="20" t="s">
        <v>275</v>
      </c>
      <c r="F167" s="40"/>
      <c r="G167" s="10">
        <f>'Пр.4 ведом.22'!G753</f>
        <v>0</v>
      </c>
      <c r="H167" s="204"/>
    </row>
    <row r="168" spans="1:10" s="203" customFormat="1" ht="31.5" hidden="1" x14ac:dyDescent="0.25">
      <c r="A168" s="182" t="s">
        <v>403</v>
      </c>
      <c r="B168" s="20" t="s">
        <v>1504</v>
      </c>
      <c r="C168" s="20" t="s">
        <v>264</v>
      </c>
      <c r="D168" s="20" t="s">
        <v>215</v>
      </c>
      <c r="E168" s="20" t="s">
        <v>275</v>
      </c>
      <c r="F168" s="40" t="s">
        <v>636</v>
      </c>
      <c r="G168" s="10">
        <f>G165</f>
        <v>0</v>
      </c>
      <c r="H168" s="204"/>
    </row>
    <row r="169" spans="1:10" s="203" customFormat="1" ht="47.25" x14ac:dyDescent="0.25">
      <c r="A169" s="23" t="s">
        <v>900</v>
      </c>
      <c r="B169" s="24" t="s">
        <v>1232</v>
      </c>
      <c r="C169" s="7"/>
      <c r="D169" s="7"/>
      <c r="E169" s="7"/>
      <c r="F169" s="7"/>
      <c r="G169" s="4">
        <f>G170</f>
        <v>219730.7</v>
      </c>
      <c r="H169" s="204"/>
    </row>
    <row r="170" spans="1:10" s="203" customFormat="1" ht="15.75" x14ac:dyDescent="0.25">
      <c r="A170" s="29" t="s">
        <v>263</v>
      </c>
      <c r="B170" s="40" t="s">
        <v>1232</v>
      </c>
      <c r="C170" s="40" t="s">
        <v>264</v>
      </c>
      <c r="D170" s="40"/>
      <c r="E170" s="40"/>
      <c r="F170" s="40"/>
      <c r="G170" s="10">
        <f>G171+G180+G197</f>
        <v>219730.7</v>
      </c>
      <c r="H170" s="204"/>
    </row>
    <row r="171" spans="1:10" s="203" customFormat="1" ht="15.75" x14ac:dyDescent="0.25">
      <c r="A171" s="45" t="s">
        <v>404</v>
      </c>
      <c r="B171" s="40" t="s">
        <v>1232</v>
      </c>
      <c r="C171" s="40" t="s">
        <v>264</v>
      </c>
      <c r="D171" s="40" t="s">
        <v>118</v>
      </c>
      <c r="E171" s="40"/>
      <c r="F171" s="40"/>
      <c r="G171" s="10">
        <f>G172+G176</f>
        <v>62825.8</v>
      </c>
      <c r="H171" s="204"/>
    </row>
    <row r="172" spans="1:10" s="203" customFormat="1" ht="94.5" x14ac:dyDescent="0.25">
      <c r="A172" s="31" t="s">
        <v>293</v>
      </c>
      <c r="B172" s="20" t="s">
        <v>1390</v>
      </c>
      <c r="C172" s="40" t="s">
        <v>264</v>
      </c>
      <c r="D172" s="40" t="s">
        <v>118</v>
      </c>
      <c r="E172" s="40"/>
      <c r="F172" s="40"/>
      <c r="G172" s="6">
        <f>G173</f>
        <v>3230</v>
      </c>
      <c r="H172" s="204"/>
      <c r="J172" s="232"/>
    </row>
    <row r="173" spans="1:10" s="203" customFormat="1" ht="31.5" x14ac:dyDescent="0.25">
      <c r="A173" s="25" t="s">
        <v>272</v>
      </c>
      <c r="B173" s="20" t="s">
        <v>1390</v>
      </c>
      <c r="C173" s="40" t="s">
        <v>264</v>
      </c>
      <c r="D173" s="40" t="s">
        <v>118</v>
      </c>
      <c r="E173" s="40" t="s">
        <v>273</v>
      </c>
      <c r="F173" s="40"/>
      <c r="G173" s="6">
        <f>G174</f>
        <v>3230</v>
      </c>
      <c r="H173" s="204"/>
    </row>
    <row r="174" spans="1:10" s="203" customFormat="1" ht="15.75" x14ac:dyDescent="0.25">
      <c r="A174" s="25" t="s">
        <v>274</v>
      </c>
      <c r="B174" s="20" t="s">
        <v>1390</v>
      </c>
      <c r="C174" s="40" t="s">
        <v>264</v>
      </c>
      <c r="D174" s="40" t="s">
        <v>118</v>
      </c>
      <c r="E174" s="40" t="s">
        <v>275</v>
      </c>
      <c r="F174" s="40"/>
      <c r="G174" s="6">
        <f>'Пр.3 Рд,пр, ЦС,ВР 22'!F526</f>
        <v>3230</v>
      </c>
      <c r="H174" s="204"/>
    </row>
    <row r="175" spans="1:10" s="203" customFormat="1" ht="31.5" x14ac:dyDescent="0.25">
      <c r="A175" s="29" t="s">
        <v>403</v>
      </c>
      <c r="B175" s="20" t="s">
        <v>1390</v>
      </c>
      <c r="C175" s="40" t="s">
        <v>264</v>
      </c>
      <c r="D175" s="40" t="s">
        <v>118</v>
      </c>
      <c r="E175" s="40" t="s">
        <v>275</v>
      </c>
      <c r="F175" s="40" t="s">
        <v>636</v>
      </c>
      <c r="G175" s="10">
        <f>G174</f>
        <v>3230</v>
      </c>
      <c r="H175" s="204"/>
    </row>
    <row r="176" spans="1:10" s="203" customFormat="1" ht="47.25" x14ac:dyDescent="0.25">
      <c r="A176" s="650" t="s">
        <v>1766</v>
      </c>
      <c r="B176" s="20" t="s">
        <v>1767</v>
      </c>
      <c r="C176" s="40" t="s">
        <v>264</v>
      </c>
      <c r="D176" s="40" t="s">
        <v>118</v>
      </c>
      <c r="E176" s="40"/>
      <c r="F176" s="40"/>
      <c r="G176" s="6">
        <f>G177</f>
        <v>59595.8</v>
      </c>
      <c r="H176" s="204"/>
      <c r="J176" s="232"/>
    </row>
    <row r="177" spans="1:10" s="203" customFormat="1" ht="31.5" x14ac:dyDescent="0.25">
      <c r="A177" s="25" t="s">
        <v>272</v>
      </c>
      <c r="B177" s="580" t="s">
        <v>1767</v>
      </c>
      <c r="C177" s="40" t="s">
        <v>264</v>
      </c>
      <c r="D177" s="40" t="s">
        <v>118</v>
      </c>
      <c r="E177" s="40" t="s">
        <v>273</v>
      </c>
      <c r="F177" s="40"/>
      <c r="G177" s="6">
        <f>G178</f>
        <v>59595.8</v>
      </c>
      <c r="H177" s="204"/>
      <c r="J177" s="232"/>
    </row>
    <row r="178" spans="1:10" s="203" customFormat="1" ht="15.75" x14ac:dyDescent="0.25">
      <c r="A178" s="25" t="s">
        <v>274</v>
      </c>
      <c r="B178" s="580" t="s">
        <v>1767</v>
      </c>
      <c r="C178" s="40" t="s">
        <v>264</v>
      </c>
      <c r="D178" s="40" t="s">
        <v>118</v>
      </c>
      <c r="E178" s="40" t="s">
        <v>275</v>
      </c>
      <c r="F178" s="40"/>
      <c r="G178" s="6">
        <f>'Пр.3 Рд,пр, ЦС,ВР 22'!F529</f>
        <v>59595.8</v>
      </c>
      <c r="H178" s="204"/>
    </row>
    <row r="179" spans="1:10" s="203" customFormat="1" ht="31.5" x14ac:dyDescent="0.25">
      <c r="A179" s="29" t="s">
        <v>403</v>
      </c>
      <c r="B179" s="580" t="s">
        <v>1767</v>
      </c>
      <c r="C179" s="40" t="s">
        <v>264</v>
      </c>
      <c r="D179" s="40" t="s">
        <v>118</v>
      </c>
      <c r="E179" s="40" t="s">
        <v>275</v>
      </c>
      <c r="F179" s="40" t="s">
        <v>636</v>
      </c>
      <c r="G179" s="10">
        <f>G178</f>
        <v>59595.8</v>
      </c>
      <c r="H179" s="204"/>
    </row>
    <row r="180" spans="1:10" ht="15.75" x14ac:dyDescent="0.25">
      <c r="A180" s="29" t="s">
        <v>425</v>
      </c>
      <c r="B180" s="40" t="s">
        <v>1232</v>
      </c>
      <c r="C180" s="40" t="s">
        <v>264</v>
      </c>
      <c r="D180" s="40" t="s">
        <v>213</v>
      </c>
      <c r="E180" s="40"/>
      <c r="F180" s="40"/>
      <c r="G180" s="10">
        <f>G181+G185+G189+G193</f>
        <v>154661.90000000002</v>
      </c>
    </row>
    <row r="181" spans="1:10" s="203" customFormat="1" ht="63" x14ac:dyDescent="0.25">
      <c r="A181" s="25" t="s">
        <v>1392</v>
      </c>
      <c r="B181" s="20" t="s">
        <v>1393</v>
      </c>
      <c r="C181" s="40" t="s">
        <v>264</v>
      </c>
      <c r="D181" s="40" t="s">
        <v>213</v>
      </c>
      <c r="E181" s="40"/>
      <c r="F181" s="40"/>
      <c r="G181" s="10">
        <f>G182</f>
        <v>7421.4</v>
      </c>
      <c r="H181" s="204"/>
    </row>
    <row r="182" spans="1:10" s="203" customFormat="1" ht="31.5" x14ac:dyDescent="0.25">
      <c r="A182" s="25" t="s">
        <v>272</v>
      </c>
      <c r="B182" s="20" t="s">
        <v>1393</v>
      </c>
      <c r="C182" s="40" t="s">
        <v>264</v>
      </c>
      <c r="D182" s="40" t="s">
        <v>213</v>
      </c>
      <c r="E182" s="40" t="s">
        <v>273</v>
      </c>
      <c r="F182" s="40"/>
      <c r="G182" s="10">
        <f>G183</f>
        <v>7421.4</v>
      </c>
      <c r="H182" s="204"/>
    </row>
    <row r="183" spans="1:10" s="203" customFormat="1" ht="15.75" x14ac:dyDescent="0.25">
      <c r="A183" s="25" t="s">
        <v>274</v>
      </c>
      <c r="B183" s="20" t="s">
        <v>1393</v>
      </c>
      <c r="C183" s="40" t="s">
        <v>264</v>
      </c>
      <c r="D183" s="40" t="s">
        <v>213</v>
      </c>
      <c r="E183" s="40" t="s">
        <v>275</v>
      </c>
      <c r="F183" s="40"/>
      <c r="G183" s="10">
        <f>'Пр.4 ведом.22'!G665</f>
        <v>7421.4</v>
      </c>
      <c r="H183" s="204"/>
    </row>
    <row r="184" spans="1:10" s="203" customFormat="1" ht="31.5" x14ac:dyDescent="0.25">
      <c r="A184" s="45" t="s">
        <v>403</v>
      </c>
      <c r="B184" s="20" t="s">
        <v>1393</v>
      </c>
      <c r="C184" s="40" t="s">
        <v>264</v>
      </c>
      <c r="D184" s="40" t="s">
        <v>213</v>
      </c>
      <c r="E184" s="40" t="s">
        <v>275</v>
      </c>
      <c r="F184" s="40" t="s">
        <v>636</v>
      </c>
      <c r="G184" s="10">
        <f>G181</f>
        <v>7421.4</v>
      </c>
      <c r="H184" s="204"/>
    </row>
    <row r="185" spans="1:10" s="203" customFormat="1" ht="94.5" x14ac:dyDescent="0.25">
      <c r="A185" s="31" t="s">
        <v>464</v>
      </c>
      <c r="B185" s="20" t="s">
        <v>1390</v>
      </c>
      <c r="C185" s="40" t="s">
        <v>264</v>
      </c>
      <c r="D185" s="40" t="s">
        <v>213</v>
      </c>
      <c r="E185" s="40"/>
      <c r="F185" s="40"/>
      <c r="G185" s="6">
        <f>G186</f>
        <v>4520</v>
      </c>
      <c r="H185" s="204"/>
    </row>
    <row r="186" spans="1:10" s="203" customFormat="1" ht="31.5" x14ac:dyDescent="0.25">
      <c r="A186" s="25" t="s">
        <v>272</v>
      </c>
      <c r="B186" s="20" t="s">
        <v>1390</v>
      </c>
      <c r="C186" s="40" t="s">
        <v>264</v>
      </c>
      <c r="D186" s="40" t="s">
        <v>213</v>
      </c>
      <c r="E186" s="40" t="s">
        <v>273</v>
      </c>
      <c r="F186" s="40"/>
      <c r="G186" s="6">
        <f>G187</f>
        <v>4520</v>
      </c>
      <c r="H186" s="204"/>
    </row>
    <row r="187" spans="1:10" s="203" customFormat="1" ht="15.75" x14ac:dyDescent="0.25">
      <c r="A187" s="25" t="s">
        <v>274</v>
      </c>
      <c r="B187" s="20" t="s">
        <v>1390</v>
      </c>
      <c r="C187" s="40" t="s">
        <v>264</v>
      </c>
      <c r="D187" s="40" t="s">
        <v>213</v>
      </c>
      <c r="E187" s="40" t="s">
        <v>275</v>
      </c>
      <c r="F187" s="40"/>
      <c r="G187" s="6">
        <f>'Пр.3 Рд,пр, ЦС,ВР 22'!F588</f>
        <v>4520</v>
      </c>
      <c r="H187" s="204"/>
    </row>
    <row r="188" spans="1:10" s="203" customFormat="1" ht="31.5" x14ac:dyDescent="0.25">
      <c r="A188" s="29" t="s">
        <v>403</v>
      </c>
      <c r="B188" s="20" t="s">
        <v>1390</v>
      </c>
      <c r="C188" s="40" t="s">
        <v>264</v>
      </c>
      <c r="D188" s="40" t="s">
        <v>213</v>
      </c>
      <c r="E188" s="40" t="s">
        <v>275</v>
      </c>
      <c r="F188" s="40" t="s">
        <v>636</v>
      </c>
      <c r="G188" s="10">
        <f>G187</f>
        <v>4520</v>
      </c>
      <c r="H188" s="204"/>
    </row>
    <row r="189" spans="1:10" s="203" customFormat="1" ht="47.25" x14ac:dyDescent="0.25">
      <c r="A189" s="31" t="s">
        <v>462</v>
      </c>
      <c r="B189" s="20" t="s">
        <v>1251</v>
      </c>
      <c r="C189" s="40" t="s">
        <v>264</v>
      </c>
      <c r="D189" s="40" t="s">
        <v>213</v>
      </c>
      <c r="E189" s="40"/>
      <c r="F189" s="40"/>
      <c r="G189" s="6">
        <f>G190</f>
        <v>909.3</v>
      </c>
      <c r="H189" s="204"/>
    </row>
    <row r="190" spans="1:10" s="203" customFormat="1" ht="31.5" x14ac:dyDescent="0.25">
      <c r="A190" s="25" t="s">
        <v>272</v>
      </c>
      <c r="B190" s="20" t="s">
        <v>1251</v>
      </c>
      <c r="C190" s="40" t="s">
        <v>264</v>
      </c>
      <c r="D190" s="40" t="s">
        <v>213</v>
      </c>
      <c r="E190" s="40" t="s">
        <v>273</v>
      </c>
      <c r="F190" s="40"/>
      <c r="G190" s="6">
        <f>G191</f>
        <v>909.3</v>
      </c>
      <c r="H190" s="204"/>
    </row>
    <row r="191" spans="1:10" s="203" customFormat="1" ht="15.75" x14ac:dyDescent="0.25">
      <c r="A191" s="25" t="s">
        <v>274</v>
      </c>
      <c r="B191" s="20" t="s">
        <v>1251</v>
      </c>
      <c r="C191" s="40" t="s">
        <v>264</v>
      </c>
      <c r="D191" s="40" t="s">
        <v>213</v>
      </c>
      <c r="E191" s="40" t="s">
        <v>275</v>
      </c>
      <c r="F191" s="40"/>
      <c r="G191" s="6">
        <f>'Пр.3 Рд,пр, ЦС,ВР 22'!F591</f>
        <v>909.3</v>
      </c>
      <c r="H191" s="204"/>
    </row>
    <row r="192" spans="1:10" s="203" customFormat="1" ht="31.5" x14ac:dyDescent="0.25">
      <c r="A192" s="29" t="s">
        <v>403</v>
      </c>
      <c r="B192" s="20" t="s">
        <v>1251</v>
      </c>
      <c r="C192" s="40" t="s">
        <v>264</v>
      </c>
      <c r="D192" s="40" t="s">
        <v>213</v>
      </c>
      <c r="E192" s="40" t="s">
        <v>275</v>
      </c>
      <c r="F192" s="40" t="s">
        <v>636</v>
      </c>
      <c r="G192" s="10">
        <f>G191</f>
        <v>909.3</v>
      </c>
      <c r="H192" s="204"/>
    </row>
    <row r="193" spans="1:8" s="576" customFormat="1" ht="47.25" x14ac:dyDescent="0.25">
      <c r="A193" s="650" t="s">
        <v>1766</v>
      </c>
      <c r="B193" s="580" t="s">
        <v>1767</v>
      </c>
      <c r="C193" s="573" t="s">
        <v>264</v>
      </c>
      <c r="D193" s="573" t="s">
        <v>213</v>
      </c>
      <c r="E193" s="573"/>
      <c r="F193" s="573"/>
      <c r="G193" s="489">
        <f>G194</f>
        <v>141811.20000000001</v>
      </c>
      <c r="H193" s="578"/>
    </row>
    <row r="194" spans="1:8" s="576" customFormat="1" ht="31.5" x14ac:dyDescent="0.25">
      <c r="A194" s="579" t="s">
        <v>272</v>
      </c>
      <c r="B194" s="580" t="s">
        <v>1767</v>
      </c>
      <c r="C194" s="573" t="s">
        <v>264</v>
      </c>
      <c r="D194" s="573" t="s">
        <v>213</v>
      </c>
      <c r="E194" s="573" t="s">
        <v>273</v>
      </c>
      <c r="F194" s="573"/>
      <c r="G194" s="489">
        <f>G195</f>
        <v>141811.20000000001</v>
      </c>
      <c r="H194" s="578"/>
    </row>
    <row r="195" spans="1:8" s="576" customFormat="1" ht="15.75" x14ac:dyDescent="0.25">
      <c r="A195" s="579" t="s">
        <v>274</v>
      </c>
      <c r="B195" s="580" t="s">
        <v>1767</v>
      </c>
      <c r="C195" s="573" t="s">
        <v>264</v>
      </c>
      <c r="D195" s="573" t="s">
        <v>213</v>
      </c>
      <c r="E195" s="573" t="s">
        <v>275</v>
      </c>
      <c r="F195" s="573"/>
      <c r="G195" s="489">
        <f>'Пр.4 ведом.22'!G674</f>
        <v>141811.20000000001</v>
      </c>
      <c r="H195" s="578"/>
    </row>
    <row r="196" spans="1:8" s="576" customFormat="1" ht="31.5" x14ac:dyDescent="0.25">
      <c r="A196" s="29" t="s">
        <v>403</v>
      </c>
      <c r="B196" s="580" t="s">
        <v>1767</v>
      </c>
      <c r="C196" s="573" t="s">
        <v>264</v>
      </c>
      <c r="D196" s="573" t="s">
        <v>213</v>
      </c>
      <c r="E196" s="573" t="s">
        <v>275</v>
      </c>
      <c r="F196" s="573" t="s">
        <v>636</v>
      </c>
      <c r="G196" s="10">
        <f>G195</f>
        <v>141811.20000000001</v>
      </c>
      <c r="H196" s="578"/>
    </row>
    <row r="197" spans="1:8" ht="15.75" x14ac:dyDescent="0.25">
      <c r="A197" s="29" t="s">
        <v>265</v>
      </c>
      <c r="B197" s="40" t="s">
        <v>1232</v>
      </c>
      <c r="C197" s="40" t="s">
        <v>264</v>
      </c>
      <c r="D197" s="40" t="s">
        <v>215</v>
      </c>
      <c r="E197" s="40"/>
      <c r="F197" s="40"/>
      <c r="G197" s="6">
        <f>G198+G202</f>
        <v>2243</v>
      </c>
    </row>
    <row r="198" spans="1:8" s="203" customFormat="1" ht="94.5" x14ac:dyDescent="0.25">
      <c r="A198" s="31" t="s">
        <v>293</v>
      </c>
      <c r="B198" s="20" t="s">
        <v>1390</v>
      </c>
      <c r="C198" s="40" t="s">
        <v>264</v>
      </c>
      <c r="D198" s="40" t="s">
        <v>215</v>
      </c>
      <c r="E198" s="40"/>
      <c r="F198" s="40"/>
      <c r="G198" s="6">
        <f>G199</f>
        <v>1400</v>
      </c>
      <c r="H198" s="204"/>
    </row>
    <row r="199" spans="1:8" s="203" customFormat="1" ht="31.5" x14ac:dyDescent="0.25">
      <c r="A199" s="25" t="s">
        <v>272</v>
      </c>
      <c r="B199" s="20" t="s">
        <v>1390</v>
      </c>
      <c r="C199" s="40" t="s">
        <v>264</v>
      </c>
      <c r="D199" s="40" t="s">
        <v>215</v>
      </c>
      <c r="E199" s="40" t="s">
        <v>273</v>
      </c>
      <c r="F199" s="40"/>
      <c r="G199" s="6">
        <f>G200</f>
        <v>1400</v>
      </c>
      <c r="H199" s="204"/>
    </row>
    <row r="200" spans="1:8" s="203" customFormat="1" ht="15.75" x14ac:dyDescent="0.25">
      <c r="A200" s="25" t="s">
        <v>274</v>
      </c>
      <c r="B200" s="20" t="s">
        <v>1390</v>
      </c>
      <c r="C200" s="40" t="s">
        <v>264</v>
      </c>
      <c r="D200" s="40" t="s">
        <v>215</v>
      </c>
      <c r="E200" s="40" t="s">
        <v>275</v>
      </c>
      <c r="F200" s="40"/>
      <c r="G200" s="6">
        <f>'Пр.4 ведом.22'!G756</f>
        <v>1400</v>
      </c>
      <c r="H200" s="204"/>
    </row>
    <row r="201" spans="1:8" s="203" customFormat="1" ht="31.5" x14ac:dyDescent="0.25">
      <c r="A201" s="29" t="s">
        <v>403</v>
      </c>
      <c r="B201" s="20" t="s">
        <v>1390</v>
      </c>
      <c r="C201" s="40" t="s">
        <v>264</v>
      </c>
      <c r="D201" s="40" t="s">
        <v>215</v>
      </c>
      <c r="E201" s="40" t="s">
        <v>275</v>
      </c>
      <c r="F201" s="40" t="s">
        <v>636</v>
      </c>
      <c r="G201" s="10">
        <f>G200</f>
        <v>1400</v>
      </c>
      <c r="H201" s="204"/>
    </row>
    <row r="202" spans="1:8" s="203" customFormat="1" ht="47.25" x14ac:dyDescent="0.25">
      <c r="A202" s="650" t="s">
        <v>1766</v>
      </c>
      <c r="B202" s="20" t="s">
        <v>1767</v>
      </c>
      <c r="C202" s="40" t="s">
        <v>264</v>
      </c>
      <c r="D202" s="40" t="s">
        <v>215</v>
      </c>
      <c r="E202" s="40"/>
      <c r="F202" s="40"/>
      <c r="G202" s="6">
        <f>G203</f>
        <v>843</v>
      </c>
      <c r="H202" s="204"/>
    </row>
    <row r="203" spans="1:8" s="203" customFormat="1" ht="31.5" x14ac:dyDescent="0.25">
      <c r="A203" s="25" t="s">
        <v>272</v>
      </c>
      <c r="B203" s="580" t="s">
        <v>1767</v>
      </c>
      <c r="C203" s="40" t="s">
        <v>264</v>
      </c>
      <c r="D203" s="40" t="s">
        <v>215</v>
      </c>
      <c r="E203" s="40" t="s">
        <v>273</v>
      </c>
      <c r="F203" s="40"/>
      <c r="G203" s="6">
        <f>G204</f>
        <v>843</v>
      </c>
      <c r="H203" s="204"/>
    </row>
    <row r="204" spans="1:8" s="203" customFormat="1" ht="15.75" x14ac:dyDescent="0.25">
      <c r="A204" s="25" t="s">
        <v>274</v>
      </c>
      <c r="B204" s="580" t="s">
        <v>1767</v>
      </c>
      <c r="C204" s="40" t="s">
        <v>264</v>
      </c>
      <c r="D204" s="40" t="s">
        <v>215</v>
      </c>
      <c r="E204" s="40" t="s">
        <v>275</v>
      </c>
      <c r="F204" s="40"/>
      <c r="G204" s="6">
        <f>'Пр.4 ведом.22'!G760</f>
        <v>843</v>
      </c>
      <c r="H204" s="204"/>
    </row>
    <row r="205" spans="1:8" s="203" customFormat="1" ht="31.5" x14ac:dyDescent="0.25">
      <c r="A205" s="29" t="s">
        <v>403</v>
      </c>
      <c r="B205" s="580" t="s">
        <v>1767</v>
      </c>
      <c r="C205" s="40" t="s">
        <v>264</v>
      </c>
      <c r="D205" s="40" t="s">
        <v>215</v>
      </c>
      <c r="E205" s="40" t="s">
        <v>275</v>
      </c>
      <c r="F205" s="40" t="s">
        <v>636</v>
      </c>
      <c r="G205" s="10">
        <f>G204</f>
        <v>843</v>
      </c>
      <c r="H205" s="204"/>
    </row>
    <row r="206" spans="1:8" s="203" customFormat="1" ht="31.5" x14ac:dyDescent="0.25">
      <c r="A206" s="23" t="s">
        <v>1292</v>
      </c>
      <c r="B206" s="24" t="s">
        <v>1237</v>
      </c>
      <c r="C206" s="7"/>
      <c r="D206" s="7"/>
      <c r="E206" s="7"/>
      <c r="F206" s="7"/>
      <c r="G206" s="59">
        <f>G207+G221</f>
        <v>4765.2000000000007</v>
      </c>
      <c r="H206" s="204"/>
    </row>
    <row r="207" spans="1:8" ht="15.75" x14ac:dyDescent="0.25">
      <c r="A207" s="29" t="s">
        <v>263</v>
      </c>
      <c r="B207" s="20" t="s">
        <v>1237</v>
      </c>
      <c r="C207" s="40" t="s">
        <v>264</v>
      </c>
      <c r="D207" s="40"/>
      <c r="E207" s="40"/>
      <c r="F207" s="40"/>
      <c r="G207" s="10">
        <f t="shared" ref="G207" si="14">G208</f>
        <v>4556.6000000000004</v>
      </c>
    </row>
    <row r="208" spans="1:8" ht="15.75" x14ac:dyDescent="0.25">
      <c r="A208" s="45" t="s">
        <v>404</v>
      </c>
      <c r="B208" s="20" t="s">
        <v>1237</v>
      </c>
      <c r="C208" s="40" t="s">
        <v>264</v>
      </c>
      <c r="D208" s="40" t="s">
        <v>118</v>
      </c>
      <c r="E208" s="40"/>
      <c r="F208" s="40"/>
      <c r="G208" s="10">
        <f>G209+G213+G217</f>
        <v>4556.6000000000004</v>
      </c>
    </row>
    <row r="209" spans="1:8" ht="31.5" hidden="1" x14ac:dyDescent="0.25">
      <c r="A209" s="29" t="s">
        <v>278</v>
      </c>
      <c r="B209" s="20" t="s">
        <v>1318</v>
      </c>
      <c r="C209" s="40" t="s">
        <v>264</v>
      </c>
      <c r="D209" s="40" t="s">
        <v>118</v>
      </c>
      <c r="E209" s="40"/>
      <c r="F209" s="40"/>
      <c r="G209" s="10">
        <f t="shared" ref="G209:G210" si="15">G210</f>
        <v>0</v>
      </c>
    </row>
    <row r="210" spans="1:8" ht="31.5" hidden="1" x14ac:dyDescent="0.25">
      <c r="A210" s="29" t="s">
        <v>272</v>
      </c>
      <c r="B210" s="20" t="s">
        <v>1318</v>
      </c>
      <c r="C210" s="40" t="s">
        <v>264</v>
      </c>
      <c r="D210" s="40" t="s">
        <v>118</v>
      </c>
      <c r="E210" s="40" t="s">
        <v>273</v>
      </c>
      <c r="F210" s="40"/>
      <c r="G210" s="10">
        <f t="shared" si="15"/>
        <v>0</v>
      </c>
    </row>
    <row r="211" spans="1:8" ht="15.75" hidden="1" x14ac:dyDescent="0.25">
      <c r="A211" s="29" t="s">
        <v>274</v>
      </c>
      <c r="B211" s="20" t="s">
        <v>1318</v>
      </c>
      <c r="C211" s="40" t="s">
        <v>264</v>
      </c>
      <c r="D211" s="40" t="s">
        <v>118</v>
      </c>
      <c r="E211" s="40" t="s">
        <v>275</v>
      </c>
      <c r="F211" s="40"/>
      <c r="G211" s="10">
        <f>'Пр.4 ведом.22'!G610</f>
        <v>0</v>
      </c>
    </row>
    <row r="212" spans="1:8" s="203" customFormat="1" ht="31.5" hidden="1" x14ac:dyDescent="0.25">
      <c r="A212" s="29" t="s">
        <v>403</v>
      </c>
      <c r="B212" s="20" t="s">
        <v>1318</v>
      </c>
      <c r="C212" s="40" t="s">
        <v>264</v>
      </c>
      <c r="D212" s="40" t="s">
        <v>118</v>
      </c>
      <c r="E212" s="40" t="s">
        <v>275</v>
      </c>
      <c r="F212" s="40" t="s">
        <v>636</v>
      </c>
      <c r="G212" s="10">
        <f>G211</f>
        <v>0</v>
      </c>
      <c r="H212" s="204"/>
    </row>
    <row r="213" spans="1:8" ht="31.7" hidden="1" customHeight="1" x14ac:dyDescent="0.25">
      <c r="A213" s="29" t="s">
        <v>280</v>
      </c>
      <c r="B213" s="20" t="s">
        <v>1319</v>
      </c>
      <c r="C213" s="40" t="s">
        <v>264</v>
      </c>
      <c r="D213" s="40" t="s">
        <v>118</v>
      </c>
      <c r="E213" s="40"/>
      <c r="F213" s="40"/>
      <c r="G213" s="10">
        <f t="shared" ref="G213:G214" si="16">G214</f>
        <v>0</v>
      </c>
    </row>
    <row r="214" spans="1:8" ht="31.7" hidden="1" customHeight="1" x14ac:dyDescent="0.25">
      <c r="A214" s="29" t="s">
        <v>272</v>
      </c>
      <c r="B214" s="20" t="s">
        <v>1319</v>
      </c>
      <c r="C214" s="40" t="s">
        <v>264</v>
      </c>
      <c r="D214" s="40" t="s">
        <v>118</v>
      </c>
      <c r="E214" s="40" t="s">
        <v>273</v>
      </c>
      <c r="F214" s="40"/>
      <c r="G214" s="10">
        <f t="shared" si="16"/>
        <v>0</v>
      </c>
    </row>
    <row r="215" spans="1:8" ht="15.75" hidden="1" customHeight="1" x14ac:dyDescent="0.25">
      <c r="A215" s="29" t="s">
        <v>274</v>
      </c>
      <c r="B215" s="20" t="s">
        <v>1319</v>
      </c>
      <c r="C215" s="40" t="s">
        <v>264</v>
      </c>
      <c r="D215" s="40" t="s">
        <v>118</v>
      </c>
      <c r="E215" s="40" t="s">
        <v>275</v>
      </c>
      <c r="F215" s="40"/>
      <c r="G215" s="10">
        <f>'Пр.4 ведом.22'!G613</f>
        <v>0</v>
      </c>
    </row>
    <row r="216" spans="1:8" s="203" customFormat="1" ht="35.450000000000003" hidden="1" customHeight="1" x14ac:dyDescent="0.25">
      <c r="A216" s="29" t="s">
        <v>403</v>
      </c>
      <c r="B216" s="20" t="s">
        <v>1319</v>
      </c>
      <c r="C216" s="40" t="s">
        <v>264</v>
      </c>
      <c r="D216" s="40" t="s">
        <v>118</v>
      </c>
      <c r="E216" s="40" t="s">
        <v>275</v>
      </c>
      <c r="F216" s="40" t="s">
        <v>636</v>
      </c>
      <c r="G216" s="10">
        <f>G215</f>
        <v>0</v>
      </c>
      <c r="H216" s="204"/>
    </row>
    <row r="217" spans="1:8" ht="31.5" x14ac:dyDescent="0.25">
      <c r="A217" s="29" t="s">
        <v>415</v>
      </c>
      <c r="B217" s="20" t="s">
        <v>1238</v>
      </c>
      <c r="C217" s="40" t="s">
        <v>264</v>
      </c>
      <c r="D217" s="40" t="s">
        <v>118</v>
      </c>
      <c r="E217" s="40"/>
      <c r="F217" s="40"/>
      <c r="G217" s="10">
        <f t="shared" ref="G217:G218" si="17">G218</f>
        <v>4556.6000000000004</v>
      </c>
    </row>
    <row r="218" spans="1:8" ht="33.75" customHeight="1" x14ac:dyDescent="0.25">
      <c r="A218" s="29" t="s">
        <v>272</v>
      </c>
      <c r="B218" s="20" t="s">
        <v>1238</v>
      </c>
      <c r="C218" s="40" t="s">
        <v>264</v>
      </c>
      <c r="D218" s="40" t="s">
        <v>118</v>
      </c>
      <c r="E218" s="40" t="s">
        <v>273</v>
      </c>
      <c r="F218" s="40"/>
      <c r="G218" s="10">
        <f t="shared" si="17"/>
        <v>4556.6000000000004</v>
      </c>
    </row>
    <row r="219" spans="1:8" ht="15.75" x14ac:dyDescent="0.25">
      <c r="A219" s="29" t="s">
        <v>274</v>
      </c>
      <c r="B219" s="20" t="s">
        <v>1238</v>
      </c>
      <c r="C219" s="40" t="s">
        <v>264</v>
      </c>
      <c r="D219" s="40" t="s">
        <v>118</v>
      </c>
      <c r="E219" s="40" t="s">
        <v>275</v>
      </c>
      <c r="F219" s="40"/>
      <c r="G219" s="6">
        <f>'Пр.4 ведом.22'!G616</f>
        <v>4556.6000000000004</v>
      </c>
    </row>
    <row r="220" spans="1:8" s="203" customFormat="1" ht="31.5" x14ac:dyDescent="0.25">
      <c r="A220" s="29" t="s">
        <v>403</v>
      </c>
      <c r="B220" s="20" t="s">
        <v>1238</v>
      </c>
      <c r="C220" s="40" t="s">
        <v>264</v>
      </c>
      <c r="D220" s="40" t="s">
        <v>118</v>
      </c>
      <c r="E220" s="40" t="s">
        <v>275</v>
      </c>
      <c r="F220" s="40" t="s">
        <v>636</v>
      </c>
      <c r="G220" s="10">
        <f>G219</f>
        <v>4556.6000000000004</v>
      </c>
      <c r="H220" s="204"/>
    </row>
    <row r="221" spans="1:8" s="203" customFormat="1" ht="15.75" x14ac:dyDescent="0.25">
      <c r="A221" s="29" t="s">
        <v>263</v>
      </c>
      <c r="B221" s="40" t="s">
        <v>1237</v>
      </c>
      <c r="C221" s="40" t="s">
        <v>264</v>
      </c>
      <c r="D221" s="40"/>
      <c r="E221" s="40"/>
      <c r="F221" s="40"/>
      <c r="G221" s="10">
        <f t="shared" ref="G221" si="18">G222</f>
        <v>208.6</v>
      </c>
      <c r="H221" s="204"/>
    </row>
    <row r="222" spans="1:8" s="203" customFormat="1" ht="15.75" x14ac:dyDescent="0.25">
      <c r="A222" s="29" t="s">
        <v>425</v>
      </c>
      <c r="B222" s="40" t="s">
        <v>1237</v>
      </c>
      <c r="C222" s="40" t="s">
        <v>264</v>
      </c>
      <c r="D222" s="40" t="s">
        <v>213</v>
      </c>
      <c r="E222" s="40"/>
      <c r="F222" s="40"/>
      <c r="G222" s="10">
        <f>G223+G227+G231+G235</f>
        <v>208.6</v>
      </c>
      <c r="H222" s="204"/>
    </row>
    <row r="223" spans="1:8" s="203" customFormat="1" ht="47.25" hidden="1" x14ac:dyDescent="0.25">
      <c r="A223" s="25" t="s">
        <v>789</v>
      </c>
      <c r="B223" s="20" t="s">
        <v>1317</v>
      </c>
      <c r="C223" s="40" t="s">
        <v>264</v>
      </c>
      <c r="D223" s="40" t="s">
        <v>213</v>
      </c>
      <c r="E223" s="40"/>
      <c r="F223" s="40"/>
      <c r="G223" s="6">
        <f>G224</f>
        <v>0</v>
      </c>
      <c r="H223" s="204"/>
    </row>
    <row r="224" spans="1:8" s="203" customFormat="1" ht="31.5" hidden="1" x14ac:dyDescent="0.25">
      <c r="A224" s="25" t="s">
        <v>272</v>
      </c>
      <c r="B224" s="20" t="s">
        <v>1317</v>
      </c>
      <c r="C224" s="40" t="s">
        <v>264</v>
      </c>
      <c r="D224" s="40" t="s">
        <v>213</v>
      </c>
      <c r="E224" s="40" t="s">
        <v>273</v>
      </c>
      <c r="F224" s="40"/>
      <c r="G224" s="6">
        <f>G225</f>
        <v>0</v>
      </c>
      <c r="H224" s="204"/>
    </row>
    <row r="225" spans="1:8" s="203" customFormat="1" ht="15.75" hidden="1" x14ac:dyDescent="0.25">
      <c r="A225" s="25" t="s">
        <v>274</v>
      </c>
      <c r="B225" s="20" t="s">
        <v>1317</v>
      </c>
      <c r="C225" s="40" t="s">
        <v>264</v>
      </c>
      <c r="D225" s="40" t="s">
        <v>213</v>
      </c>
      <c r="E225" s="40" t="s">
        <v>275</v>
      </c>
      <c r="F225" s="40"/>
      <c r="G225" s="6">
        <f>'Пр.4 ведом.22'!G678</f>
        <v>0</v>
      </c>
      <c r="H225" s="204"/>
    </row>
    <row r="226" spans="1:8" s="203" customFormat="1" ht="31.5" hidden="1" x14ac:dyDescent="0.25">
      <c r="A226" s="29" t="s">
        <v>403</v>
      </c>
      <c r="B226" s="20" t="s">
        <v>1317</v>
      </c>
      <c r="C226" s="40" t="s">
        <v>264</v>
      </c>
      <c r="D226" s="40" t="s">
        <v>213</v>
      </c>
      <c r="E226" s="40" t="s">
        <v>275</v>
      </c>
      <c r="F226" s="40" t="s">
        <v>636</v>
      </c>
      <c r="G226" s="10">
        <f>G225</f>
        <v>0</v>
      </c>
      <c r="H226" s="204"/>
    </row>
    <row r="227" spans="1:8" s="203" customFormat="1" ht="31.5" hidden="1" x14ac:dyDescent="0.25">
      <c r="A227" s="25" t="s">
        <v>278</v>
      </c>
      <c r="B227" s="20" t="s">
        <v>1318</v>
      </c>
      <c r="C227" s="40" t="s">
        <v>264</v>
      </c>
      <c r="D227" s="40" t="s">
        <v>213</v>
      </c>
      <c r="E227" s="40"/>
      <c r="F227" s="40"/>
      <c r="G227" s="6">
        <f t="shared" ref="G227:G228" si="19">G228</f>
        <v>0</v>
      </c>
      <c r="H227" s="204"/>
    </row>
    <row r="228" spans="1:8" s="203" customFormat="1" ht="31.5" hidden="1" x14ac:dyDescent="0.25">
      <c r="A228" s="25" t="s">
        <v>272</v>
      </c>
      <c r="B228" s="20" t="s">
        <v>1318</v>
      </c>
      <c r="C228" s="40" t="s">
        <v>264</v>
      </c>
      <c r="D228" s="40" t="s">
        <v>213</v>
      </c>
      <c r="E228" s="40" t="s">
        <v>273</v>
      </c>
      <c r="F228" s="40"/>
      <c r="G228" s="6">
        <f t="shared" si="19"/>
        <v>0</v>
      </c>
      <c r="H228" s="204"/>
    </row>
    <row r="229" spans="1:8" s="203" customFormat="1" ht="15.75" hidden="1" x14ac:dyDescent="0.25">
      <c r="A229" s="25" t="s">
        <v>274</v>
      </c>
      <c r="B229" s="20" t="s">
        <v>1318</v>
      </c>
      <c r="C229" s="40" t="s">
        <v>264</v>
      </c>
      <c r="D229" s="40" t="s">
        <v>213</v>
      </c>
      <c r="E229" s="40" t="s">
        <v>275</v>
      </c>
      <c r="F229" s="40"/>
      <c r="G229" s="6">
        <f>'Пр.4 ведом.22'!G681</f>
        <v>0</v>
      </c>
      <c r="H229" s="204"/>
    </row>
    <row r="230" spans="1:8" s="203" customFormat="1" ht="31.5" hidden="1" x14ac:dyDescent="0.25">
      <c r="A230" s="29" t="s">
        <v>403</v>
      </c>
      <c r="B230" s="20" t="s">
        <v>1318</v>
      </c>
      <c r="C230" s="40" t="s">
        <v>264</v>
      </c>
      <c r="D230" s="40" t="s">
        <v>213</v>
      </c>
      <c r="E230" s="40" t="s">
        <v>275</v>
      </c>
      <c r="F230" s="40" t="s">
        <v>636</v>
      </c>
      <c r="G230" s="10">
        <f>G229</f>
        <v>0</v>
      </c>
      <c r="H230" s="204"/>
    </row>
    <row r="231" spans="1:8" s="203" customFormat="1" ht="31.5" hidden="1" x14ac:dyDescent="0.25">
      <c r="A231" s="25" t="s">
        <v>280</v>
      </c>
      <c r="B231" s="20" t="s">
        <v>1319</v>
      </c>
      <c r="C231" s="40" t="s">
        <v>264</v>
      </c>
      <c r="D231" s="40" t="s">
        <v>213</v>
      </c>
      <c r="E231" s="40"/>
      <c r="F231" s="40"/>
      <c r="G231" s="6">
        <f t="shared" ref="G231:G232" si="20">G232</f>
        <v>0</v>
      </c>
      <c r="H231" s="204"/>
    </row>
    <row r="232" spans="1:8" s="203" customFormat="1" ht="31.5" hidden="1" x14ac:dyDescent="0.25">
      <c r="A232" s="25" t="s">
        <v>272</v>
      </c>
      <c r="B232" s="20" t="s">
        <v>1319</v>
      </c>
      <c r="C232" s="40" t="s">
        <v>264</v>
      </c>
      <c r="D232" s="40" t="s">
        <v>213</v>
      </c>
      <c r="E232" s="40" t="s">
        <v>273</v>
      </c>
      <c r="F232" s="40"/>
      <c r="G232" s="6">
        <f t="shared" si="20"/>
        <v>0</v>
      </c>
      <c r="H232" s="204"/>
    </row>
    <row r="233" spans="1:8" s="203" customFormat="1" ht="15.75" hidden="1" x14ac:dyDescent="0.25">
      <c r="A233" s="25" t="s">
        <v>274</v>
      </c>
      <c r="B233" s="20" t="s">
        <v>1319</v>
      </c>
      <c r="C233" s="40" t="s">
        <v>264</v>
      </c>
      <c r="D233" s="40" t="s">
        <v>213</v>
      </c>
      <c r="E233" s="40" t="s">
        <v>275</v>
      </c>
      <c r="F233" s="40"/>
      <c r="G233" s="6">
        <f>'Пр.4 ведом.22'!G684</f>
        <v>0</v>
      </c>
      <c r="H233" s="204"/>
    </row>
    <row r="234" spans="1:8" s="203" customFormat="1" ht="31.5" hidden="1" x14ac:dyDescent="0.25">
      <c r="A234" s="29" t="s">
        <v>403</v>
      </c>
      <c r="B234" s="20" t="s">
        <v>1319</v>
      </c>
      <c r="C234" s="40" t="s">
        <v>264</v>
      </c>
      <c r="D234" s="40" t="s">
        <v>213</v>
      </c>
      <c r="E234" s="40" t="s">
        <v>275</v>
      </c>
      <c r="F234" s="40" t="s">
        <v>636</v>
      </c>
      <c r="G234" s="10">
        <f>G233</f>
        <v>0</v>
      </c>
      <c r="H234" s="204"/>
    </row>
    <row r="235" spans="1:8" s="203" customFormat="1" ht="31.5" x14ac:dyDescent="0.25">
      <c r="A235" s="29" t="s">
        <v>282</v>
      </c>
      <c r="B235" s="20" t="s">
        <v>1253</v>
      </c>
      <c r="C235" s="40" t="s">
        <v>264</v>
      </c>
      <c r="D235" s="40" t="s">
        <v>213</v>
      </c>
      <c r="E235" s="40"/>
      <c r="F235" s="40"/>
      <c r="G235" s="10">
        <f t="shared" ref="G235:G236" si="21">G236</f>
        <v>208.6</v>
      </c>
      <c r="H235" s="204"/>
    </row>
    <row r="236" spans="1:8" s="203" customFormat="1" ht="31.5" x14ac:dyDescent="0.25">
      <c r="A236" s="29" t="s">
        <v>272</v>
      </c>
      <c r="B236" s="20" t="s">
        <v>1253</v>
      </c>
      <c r="C236" s="40" t="s">
        <v>264</v>
      </c>
      <c r="D236" s="40" t="s">
        <v>213</v>
      </c>
      <c r="E236" s="40" t="s">
        <v>273</v>
      </c>
      <c r="F236" s="40"/>
      <c r="G236" s="10">
        <f t="shared" si="21"/>
        <v>208.6</v>
      </c>
      <c r="H236" s="204"/>
    </row>
    <row r="237" spans="1:8" s="203" customFormat="1" ht="15.75" x14ac:dyDescent="0.25">
      <c r="A237" s="29" t="s">
        <v>274</v>
      </c>
      <c r="B237" s="20" t="s">
        <v>1253</v>
      </c>
      <c r="C237" s="40" t="s">
        <v>264</v>
      </c>
      <c r="D237" s="40" t="s">
        <v>213</v>
      </c>
      <c r="E237" s="40" t="s">
        <v>275</v>
      </c>
      <c r="F237" s="40"/>
      <c r="G237" s="10">
        <f>'Пр.4 ведом.22'!G687</f>
        <v>208.6</v>
      </c>
      <c r="H237" s="204"/>
    </row>
    <row r="238" spans="1:8" s="203" customFormat="1" ht="31.5" x14ac:dyDescent="0.25">
      <c r="A238" s="29" t="s">
        <v>403</v>
      </c>
      <c r="B238" s="20" t="s">
        <v>1253</v>
      </c>
      <c r="C238" s="40" t="s">
        <v>264</v>
      </c>
      <c r="D238" s="40" t="s">
        <v>213</v>
      </c>
      <c r="E238" s="40" t="s">
        <v>275</v>
      </c>
      <c r="F238" s="40" t="s">
        <v>636</v>
      </c>
      <c r="G238" s="10">
        <f>G237</f>
        <v>208.6</v>
      </c>
      <c r="H238" s="204"/>
    </row>
    <row r="239" spans="1:8" s="203" customFormat="1" ht="31.5" x14ac:dyDescent="0.25">
      <c r="A239" s="23" t="s">
        <v>943</v>
      </c>
      <c r="B239" s="24" t="s">
        <v>1239</v>
      </c>
      <c r="C239" s="7"/>
      <c r="D239" s="7"/>
      <c r="E239" s="7"/>
      <c r="F239" s="7"/>
      <c r="G239" s="59">
        <f>G240</f>
        <v>7513.9</v>
      </c>
      <c r="H239" s="204"/>
    </row>
    <row r="240" spans="1:8" s="203" customFormat="1" ht="15.75" x14ac:dyDescent="0.25">
      <c r="A240" s="29" t="s">
        <v>263</v>
      </c>
      <c r="B240" s="20" t="s">
        <v>1239</v>
      </c>
      <c r="C240" s="40" t="s">
        <v>264</v>
      </c>
      <c r="D240" s="40"/>
      <c r="E240" s="40"/>
      <c r="F240" s="40"/>
      <c r="G240" s="10">
        <f t="shared" ref="G240:G243" si="22">G241</f>
        <v>7513.9</v>
      </c>
      <c r="H240" s="204"/>
    </row>
    <row r="241" spans="1:8" s="203" customFormat="1" ht="15.75" x14ac:dyDescent="0.25">
      <c r="A241" s="29" t="s">
        <v>466</v>
      </c>
      <c r="B241" s="20" t="s">
        <v>1239</v>
      </c>
      <c r="C241" s="40" t="s">
        <v>264</v>
      </c>
      <c r="D241" s="40" t="s">
        <v>264</v>
      </c>
      <c r="E241" s="40"/>
      <c r="F241" s="40"/>
      <c r="G241" s="10">
        <f>G242</f>
        <v>7513.9</v>
      </c>
      <c r="H241" s="204"/>
    </row>
    <row r="242" spans="1:8" s="203" customFormat="1" ht="31.5" x14ac:dyDescent="0.25">
      <c r="A242" s="31" t="s">
        <v>1059</v>
      </c>
      <c r="B242" s="20" t="s">
        <v>1261</v>
      </c>
      <c r="C242" s="40" t="s">
        <v>264</v>
      </c>
      <c r="D242" s="40" t="s">
        <v>264</v>
      </c>
      <c r="E242" s="40"/>
      <c r="F242" s="40"/>
      <c r="G242" s="10">
        <f t="shared" si="22"/>
        <v>7513.9</v>
      </c>
      <c r="H242" s="204"/>
    </row>
    <row r="243" spans="1:8" s="203" customFormat="1" ht="31.5" x14ac:dyDescent="0.25">
      <c r="A243" s="25" t="s">
        <v>272</v>
      </c>
      <c r="B243" s="20" t="s">
        <v>1261</v>
      </c>
      <c r="C243" s="40" t="s">
        <v>264</v>
      </c>
      <c r="D243" s="40" t="s">
        <v>264</v>
      </c>
      <c r="E243" s="40" t="s">
        <v>273</v>
      </c>
      <c r="F243" s="40"/>
      <c r="G243" s="10">
        <f t="shared" si="22"/>
        <v>7513.9</v>
      </c>
      <c r="H243" s="204"/>
    </row>
    <row r="244" spans="1:8" s="203" customFormat="1" ht="15.75" x14ac:dyDescent="0.25">
      <c r="A244" s="25" t="s">
        <v>274</v>
      </c>
      <c r="B244" s="20" t="s">
        <v>1261</v>
      </c>
      <c r="C244" s="40" t="s">
        <v>264</v>
      </c>
      <c r="D244" s="40" t="s">
        <v>264</v>
      </c>
      <c r="E244" s="40" t="s">
        <v>275</v>
      </c>
      <c r="F244" s="40"/>
      <c r="G244" s="10">
        <f>'Пр.4 ведом.22'!G783</f>
        <v>7513.9</v>
      </c>
      <c r="H244" s="204"/>
    </row>
    <row r="245" spans="1:8" s="203" customFormat="1" ht="31.5" x14ac:dyDescent="0.25">
      <c r="A245" s="29" t="s">
        <v>403</v>
      </c>
      <c r="B245" s="20" t="s">
        <v>1261</v>
      </c>
      <c r="C245" s="40" t="s">
        <v>264</v>
      </c>
      <c r="D245" s="40" t="s">
        <v>264</v>
      </c>
      <c r="E245" s="40" t="s">
        <v>275</v>
      </c>
      <c r="F245" s="40" t="s">
        <v>636</v>
      </c>
      <c r="G245" s="651">
        <f>G244</f>
        <v>7513.9</v>
      </c>
      <c r="H245" s="204"/>
    </row>
    <row r="246" spans="1:8" s="203" customFormat="1" ht="31.5" x14ac:dyDescent="0.25">
      <c r="A246" s="219" t="s">
        <v>948</v>
      </c>
      <c r="B246" s="24" t="s">
        <v>1240</v>
      </c>
      <c r="C246" s="7"/>
      <c r="D246" s="7"/>
      <c r="E246" s="7"/>
      <c r="F246" s="7"/>
      <c r="G246" s="4">
        <f>G247</f>
        <v>8313</v>
      </c>
      <c r="H246" s="204"/>
    </row>
    <row r="247" spans="1:8" s="203" customFormat="1" ht="15.75" x14ac:dyDescent="0.25">
      <c r="A247" s="29" t="s">
        <v>263</v>
      </c>
      <c r="B247" s="20" t="s">
        <v>1240</v>
      </c>
      <c r="C247" s="40" t="s">
        <v>264</v>
      </c>
      <c r="D247" s="40"/>
      <c r="E247" s="40"/>
      <c r="F247" s="40"/>
      <c r="G247" s="10">
        <f>G248+G261+G270</f>
        <v>8313</v>
      </c>
      <c r="H247" s="204"/>
    </row>
    <row r="248" spans="1:8" s="203" customFormat="1" ht="15.75" x14ac:dyDescent="0.25">
      <c r="A248" s="45" t="s">
        <v>404</v>
      </c>
      <c r="B248" s="20" t="s">
        <v>1240</v>
      </c>
      <c r="C248" s="40" t="s">
        <v>264</v>
      </c>
      <c r="D248" s="40" t="s">
        <v>118</v>
      </c>
      <c r="E248" s="40"/>
      <c r="F248" s="40"/>
      <c r="G248" s="10">
        <f>G249+G253+G257</f>
        <v>4142</v>
      </c>
      <c r="H248" s="204"/>
    </row>
    <row r="249" spans="1:8" ht="31.7" hidden="1" customHeight="1" x14ac:dyDescent="0.25">
      <c r="A249" s="29" t="s">
        <v>284</v>
      </c>
      <c r="B249" s="20" t="s">
        <v>1258</v>
      </c>
      <c r="C249" s="40" t="s">
        <v>264</v>
      </c>
      <c r="D249" s="40" t="s">
        <v>118</v>
      </c>
      <c r="E249" s="40"/>
      <c r="F249" s="40"/>
      <c r="G249" s="10">
        <f t="shared" ref="G249:G250" si="23">G250</f>
        <v>0</v>
      </c>
    </row>
    <row r="250" spans="1:8" ht="31.7" hidden="1" customHeight="1" x14ac:dyDescent="0.25">
      <c r="A250" s="29" t="s">
        <v>272</v>
      </c>
      <c r="B250" s="20" t="s">
        <v>1258</v>
      </c>
      <c r="C250" s="40" t="s">
        <v>264</v>
      </c>
      <c r="D250" s="40" t="s">
        <v>118</v>
      </c>
      <c r="E250" s="40" t="s">
        <v>273</v>
      </c>
      <c r="F250" s="40"/>
      <c r="G250" s="10">
        <f t="shared" si="23"/>
        <v>0</v>
      </c>
    </row>
    <row r="251" spans="1:8" ht="15.75" hidden="1" customHeight="1" x14ac:dyDescent="0.25">
      <c r="A251" s="29" t="s">
        <v>274</v>
      </c>
      <c r="B251" s="20" t="s">
        <v>1258</v>
      </c>
      <c r="C251" s="40" t="s">
        <v>264</v>
      </c>
      <c r="D251" s="40" t="s">
        <v>118</v>
      </c>
      <c r="E251" s="40" t="s">
        <v>275</v>
      </c>
      <c r="F251" s="40"/>
      <c r="G251" s="10">
        <f>'Пр.4 ведом.22'!G620</f>
        <v>0</v>
      </c>
    </row>
    <row r="252" spans="1:8" s="203" customFormat="1" ht="30.6" hidden="1" customHeight="1" x14ac:dyDescent="0.25">
      <c r="A252" s="29" t="s">
        <v>403</v>
      </c>
      <c r="B252" s="20" t="s">
        <v>1258</v>
      </c>
      <c r="C252" s="40" t="s">
        <v>264</v>
      </c>
      <c r="D252" s="40" t="s">
        <v>118</v>
      </c>
      <c r="E252" s="40" t="s">
        <v>275</v>
      </c>
      <c r="F252" s="40" t="s">
        <v>636</v>
      </c>
      <c r="G252" s="10">
        <f>G251</f>
        <v>0</v>
      </c>
      <c r="H252" s="204"/>
    </row>
    <row r="253" spans="1:8" ht="31.5" x14ac:dyDescent="0.25">
      <c r="A253" s="60" t="s">
        <v>764</v>
      </c>
      <c r="B253" s="20" t="s">
        <v>1241</v>
      </c>
      <c r="C253" s="20" t="s">
        <v>264</v>
      </c>
      <c r="D253" s="20" t="s">
        <v>118</v>
      </c>
      <c r="E253" s="20"/>
      <c r="F253" s="20"/>
      <c r="G253" s="10">
        <f t="shared" ref="G253:G254" si="24">G254</f>
        <v>2882</v>
      </c>
    </row>
    <row r="254" spans="1:8" ht="31.5" x14ac:dyDescent="0.25">
      <c r="A254" s="29" t="s">
        <v>272</v>
      </c>
      <c r="B254" s="20" t="s">
        <v>1241</v>
      </c>
      <c r="C254" s="20" t="s">
        <v>264</v>
      </c>
      <c r="D254" s="20" t="s">
        <v>118</v>
      </c>
      <c r="E254" s="20" t="s">
        <v>273</v>
      </c>
      <c r="F254" s="20"/>
      <c r="G254" s="10">
        <f t="shared" si="24"/>
        <v>2882</v>
      </c>
    </row>
    <row r="255" spans="1:8" ht="15.75" x14ac:dyDescent="0.25">
      <c r="A255" s="182" t="s">
        <v>274</v>
      </c>
      <c r="B255" s="20" t="s">
        <v>1241</v>
      </c>
      <c r="C255" s="20" t="s">
        <v>264</v>
      </c>
      <c r="D255" s="20" t="s">
        <v>118</v>
      </c>
      <c r="E255" s="20" t="s">
        <v>275</v>
      </c>
      <c r="F255" s="20"/>
      <c r="G255" s="10">
        <f>'Пр.4 ведом.22'!G623</f>
        <v>2882</v>
      </c>
    </row>
    <row r="256" spans="1:8" s="203" customFormat="1" ht="31.5" x14ac:dyDescent="0.25">
      <c r="A256" s="29" t="s">
        <v>403</v>
      </c>
      <c r="B256" s="20" t="s">
        <v>1241</v>
      </c>
      <c r="C256" s="40" t="s">
        <v>264</v>
      </c>
      <c r="D256" s="40" t="s">
        <v>118</v>
      </c>
      <c r="E256" s="40" t="s">
        <v>275</v>
      </c>
      <c r="F256" s="40" t="s">
        <v>636</v>
      </c>
      <c r="G256" s="10">
        <f>G255</f>
        <v>2882</v>
      </c>
      <c r="H256" s="204"/>
    </row>
    <row r="257" spans="1:8" ht="47.25" x14ac:dyDescent="0.25">
      <c r="A257" s="60" t="s">
        <v>765</v>
      </c>
      <c r="B257" s="20" t="s">
        <v>1242</v>
      </c>
      <c r="C257" s="20" t="s">
        <v>264</v>
      </c>
      <c r="D257" s="20" t="s">
        <v>118</v>
      </c>
      <c r="E257" s="20"/>
      <c r="F257" s="20"/>
      <c r="G257" s="10">
        <f t="shared" ref="G257:G258" si="25">G258</f>
        <v>1260</v>
      </c>
    </row>
    <row r="258" spans="1:8" ht="31.5" x14ac:dyDescent="0.25">
      <c r="A258" s="29" t="s">
        <v>272</v>
      </c>
      <c r="B258" s="20" t="s">
        <v>1242</v>
      </c>
      <c r="C258" s="20" t="s">
        <v>264</v>
      </c>
      <c r="D258" s="20" t="s">
        <v>118</v>
      </c>
      <c r="E258" s="20" t="s">
        <v>273</v>
      </c>
      <c r="F258" s="20"/>
      <c r="G258" s="10">
        <f t="shared" si="25"/>
        <v>1260</v>
      </c>
    </row>
    <row r="259" spans="1:8" ht="15.75" x14ac:dyDescent="0.25">
      <c r="A259" s="182" t="s">
        <v>274</v>
      </c>
      <c r="B259" s="20" t="s">
        <v>1242</v>
      </c>
      <c r="C259" s="20" t="s">
        <v>264</v>
      </c>
      <c r="D259" s="20" t="s">
        <v>118</v>
      </c>
      <c r="E259" s="20" t="s">
        <v>275</v>
      </c>
      <c r="F259" s="20"/>
      <c r="G259" s="10">
        <f>'Пр.4 ведом.22'!G626</f>
        <v>1260</v>
      </c>
    </row>
    <row r="260" spans="1:8" s="203" customFormat="1" ht="31.5" x14ac:dyDescent="0.25">
      <c r="A260" s="29" t="s">
        <v>403</v>
      </c>
      <c r="B260" s="20" t="s">
        <v>1242</v>
      </c>
      <c r="C260" s="40" t="s">
        <v>264</v>
      </c>
      <c r="D260" s="40" t="s">
        <v>118</v>
      </c>
      <c r="E260" s="40" t="s">
        <v>275</v>
      </c>
      <c r="F260" s="40" t="s">
        <v>636</v>
      </c>
      <c r="G260" s="10">
        <f>G259</f>
        <v>1260</v>
      </c>
      <c r="H260" s="204"/>
    </row>
    <row r="261" spans="1:8" s="203" customFormat="1" ht="15.75" x14ac:dyDescent="0.25">
      <c r="A261" s="29" t="s">
        <v>425</v>
      </c>
      <c r="B261" s="40" t="s">
        <v>1240</v>
      </c>
      <c r="C261" s="40" t="s">
        <v>264</v>
      </c>
      <c r="D261" s="40" t="s">
        <v>213</v>
      </c>
      <c r="E261" s="40"/>
      <c r="F261" s="40"/>
      <c r="G261" s="10">
        <f>G262+G266</f>
        <v>2967</v>
      </c>
      <c r="H261" s="204"/>
    </row>
    <row r="262" spans="1:8" s="203" customFormat="1" ht="31.5" hidden="1" x14ac:dyDescent="0.25">
      <c r="A262" s="29" t="s">
        <v>284</v>
      </c>
      <c r="B262" s="20" t="s">
        <v>1258</v>
      </c>
      <c r="C262" s="40" t="s">
        <v>264</v>
      </c>
      <c r="D262" s="40" t="s">
        <v>213</v>
      </c>
      <c r="E262" s="40"/>
      <c r="F262" s="40"/>
      <c r="G262" s="10">
        <f t="shared" ref="G262:G263" si="26">G263</f>
        <v>0</v>
      </c>
      <c r="H262" s="204"/>
    </row>
    <row r="263" spans="1:8" s="203" customFormat="1" ht="31.5" hidden="1" x14ac:dyDescent="0.25">
      <c r="A263" s="29" t="s">
        <v>272</v>
      </c>
      <c r="B263" s="20" t="s">
        <v>1258</v>
      </c>
      <c r="C263" s="40" t="s">
        <v>264</v>
      </c>
      <c r="D263" s="40" t="s">
        <v>213</v>
      </c>
      <c r="E263" s="40" t="s">
        <v>273</v>
      </c>
      <c r="F263" s="40"/>
      <c r="G263" s="10">
        <f t="shared" si="26"/>
        <v>0</v>
      </c>
      <c r="H263" s="204"/>
    </row>
    <row r="264" spans="1:8" s="203" customFormat="1" ht="15.75" hidden="1" x14ac:dyDescent="0.25">
      <c r="A264" s="29" t="s">
        <v>274</v>
      </c>
      <c r="B264" s="20" t="s">
        <v>1258</v>
      </c>
      <c r="C264" s="40" t="s">
        <v>264</v>
      </c>
      <c r="D264" s="40" t="s">
        <v>213</v>
      </c>
      <c r="E264" s="40" t="s">
        <v>275</v>
      </c>
      <c r="F264" s="40"/>
      <c r="G264" s="10">
        <f>'Пр.4 ведом.22'!G691</f>
        <v>0</v>
      </c>
      <c r="H264" s="204"/>
    </row>
    <row r="265" spans="1:8" s="203" customFormat="1" ht="31.5" hidden="1" x14ac:dyDescent="0.25">
      <c r="A265" s="29" t="s">
        <v>403</v>
      </c>
      <c r="B265" s="20" t="s">
        <v>1258</v>
      </c>
      <c r="C265" s="40" t="s">
        <v>264</v>
      </c>
      <c r="D265" s="40" t="s">
        <v>213</v>
      </c>
      <c r="E265" s="40" t="s">
        <v>275</v>
      </c>
      <c r="F265" s="40" t="s">
        <v>636</v>
      </c>
      <c r="G265" s="10">
        <f>G264</f>
        <v>0</v>
      </c>
      <c r="H265" s="204"/>
    </row>
    <row r="266" spans="1:8" s="203" customFormat="1" ht="31.5" x14ac:dyDescent="0.25">
      <c r="A266" s="60" t="s">
        <v>764</v>
      </c>
      <c r="B266" s="20" t="s">
        <v>1241</v>
      </c>
      <c r="C266" s="40" t="s">
        <v>264</v>
      </c>
      <c r="D266" s="40" t="s">
        <v>213</v>
      </c>
      <c r="E266" s="40"/>
      <c r="F266" s="40"/>
      <c r="G266" s="10">
        <f t="shared" ref="G266:G267" si="27">G267</f>
        <v>2967</v>
      </c>
      <c r="H266" s="204"/>
    </row>
    <row r="267" spans="1:8" s="203" customFormat="1" ht="31.5" x14ac:dyDescent="0.25">
      <c r="A267" s="29" t="s">
        <v>272</v>
      </c>
      <c r="B267" s="20" t="s">
        <v>1241</v>
      </c>
      <c r="C267" s="40" t="s">
        <v>264</v>
      </c>
      <c r="D267" s="40" t="s">
        <v>213</v>
      </c>
      <c r="E267" s="40" t="s">
        <v>273</v>
      </c>
      <c r="F267" s="40"/>
      <c r="G267" s="10">
        <f t="shared" si="27"/>
        <v>2967</v>
      </c>
      <c r="H267" s="204"/>
    </row>
    <row r="268" spans="1:8" s="203" customFormat="1" ht="15.75" x14ac:dyDescent="0.25">
      <c r="A268" s="182" t="s">
        <v>274</v>
      </c>
      <c r="B268" s="20" t="s">
        <v>1241</v>
      </c>
      <c r="C268" s="40" t="s">
        <v>264</v>
      </c>
      <c r="D268" s="40" t="s">
        <v>213</v>
      </c>
      <c r="E268" s="40" t="s">
        <v>275</v>
      </c>
      <c r="F268" s="40"/>
      <c r="G268" s="10">
        <f>'Пр.4 ведом.22'!G694</f>
        <v>2967</v>
      </c>
      <c r="H268" s="204"/>
    </row>
    <row r="269" spans="1:8" s="203" customFormat="1" ht="31.5" x14ac:dyDescent="0.25">
      <c r="A269" s="29" t="s">
        <v>403</v>
      </c>
      <c r="B269" s="20" t="s">
        <v>1241</v>
      </c>
      <c r="C269" s="40" t="s">
        <v>264</v>
      </c>
      <c r="D269" s="40" t="s">
        <v>213</v>
      </c>
      <c r="E269" s="40" t="s">
        <v>275</v>
      </c>
      <c r="F269" s="40" t="s">
        <v>636</v>
      </c>
      <c r="G269" s="10">
        <f>G268</f>
        <v>2967</v>
      </c>
      <c r="H269" s="204"/>
    </row>
    <row r="270" spans="1:8" s="203" customFormat="1" ht="15.75" x14ac:dyDescent="0.25">
      <c r="A270" s="29" t="s">
        <v>265</v>
      </c>
      <c r="B270" s="40" t="s">
        <v>1240</v>
      </c>
      <c r="C270" s="40" t="s">
        <v>264</v>
      </c>
      <c r="D270" s="40" t="s">
        <v>215</v>
      </c>
      <c r="E270" s="40"/>
      <c r="F270" s="40"/>
      <c r="G270" s="10">
        <f>G271</f>
        <v>1204</v>
      </c>
      <c r="H270" s="204"/>
    </row>
    <row r="271" spans="1:8" s="203" customFormat="1" ht="31.5" x14ac:dyDescent="0.25">
      <c r="A271" s="45" t="s">
        <v>764</v>
      </c>
      <c r="B271" s="20" t="s">
        <v>1241</v>
      </c>
      <c r="C271" s="20" t="s">
        <v>264</v>
      </c>
      <c r="D271" s="20" t="s">
        <v>215</v>
      </c>
      <c r="E271" s="20"/>
      <c r="F271" s="20"/>
      <c r="G271" s="10">
        <f t="shared" ref="G271:G272" si="28">G272</f>
        <v>1204</v>
      </c>
      <c r="H271" s="204"/>
    </row>
    <row r="272" spans="1:8" s="203" customFormat="1" ht="31.5" x14ac:dyDescent="0.25">
      <c r="A272" s="29" t="s">
        <v>272</v>
      </c>
      <c r="B272" s="20" t="s">
        <v>1241</v>
      </c>
      <c r="C272" s="20" t="s">
        <v>264</v>
      </c>
      <c r="D272" s="20" t="s">
        <v>215</v>
      </c>
      <c r="E272" s="20" t="s">
        <v>273</v>
      </c>
      <c r="F272" s="20"/>
      <c r="G272" s="10">
        <f t="shared" si="28"/>
        <v>1204</v>
      </c>
      <c r="H272" s="204"/>
    </row>
    <row r="273" spans="1:8" s="203" customFormat="1" ht="15.75" x14ac:dyDescent="0.25">
      <c r="A273" s="31" t="s">
        <v>274</v>
      </c>
      <c r="B273" s="20" t="s">
        <v>1241</v>
      </c>
      <c r="C273" s="20" t="s">
        <v>264</v>
      </c>
      <c r="D273" s="20" t="s">
        <v>215</v>
      </c>
      <c r="E273" s="20" t="s">
        <v>275</v>
      </c>
      <c r="F273" s="20"/>
      <c r="G273" s="10">
        <f>'Пр.4 ведом.22'!G768</f>
        <v>1204</v>
      </c>
      <c r="H273" s="204"/>
    </row>
    <row r="274" spans="1:8" s="203" customFormat="1" ht="31.5" x14ac:dyDescent="0.25">
      <c r="A274" s="29" t="s">
        <v>403</v>
      </c>
      <c r="B274" s="20" t="s">
        <v>1241</v>
      </c>
      <c r="C274" s="40" t="s">
        <v>264</v>
      </c>
      <c r="D274" s="40" t="s">
        <v>215</v>
      </c>
      <c r="E274" s="40" t="s">
        <v>275</v>
      </c>
      <c r="F274" s="40" t="s">
        <v>636</v>
      </c>
      <c r="G274" s="10">
        <f>G273</f>
        <v>1204</v>
      </c>
      <c r="H274" s="204"/>
    </row>
    <row r="275" spans="1:8" s="203" customFormat="1" ht="31.5" x14ac:dyDescent="0.25">
      <c r="A275" s="494" t="s">
        <v>1715</v>
      </c>
      <c r="B275" s="24" t="s">
        <v>1243</v>
      </c>
      <c r="C275" s="24"/>
      <c r="D275" s="24"/>
      <c r="E275" s="24"/>
      <c r="F275" s="24"/>
      <c r="G275" s="59">
        <f>G276+G282</f>
        <v>5534.61</v>
      </c>
      <c r="H275" s="204"/>
    </row>
    <row r="276" spans="1:8" s="203" customFormat="1" ht="15.75" x14ac:dyDescent="0.25">
      <c r="A276" s="29" t="s">
        <v>263</v>
      </c>
      <c r="B276" s="20" t="s">
        <v>1243</v>
      </c>
      <c r="C276" s="40" t="s">
        <v>264</v>
      </c>
      <c r="D276" s="40"/>
      <c r="E276" s="40"/>
      <c r="F276" s="40"/>
      <c r="G276" s="10">
        <f t="shared" ref="G276" si="29">G277</f>
        <v>133.80000000000001</v>
      </c>
      <c r="H276" s="204"/>
    </row>
    <row r="277" spans="1:8" s="203" customFormat="1" ht="15.75" x14ac:dyDescent="0.25">
      <c r="A277" s="45" t="s">
        <v>404</v>
      </c>
      <c r="B277" s="20" t="s">
        <v>1243</v>
      </c>
      <c r="C277" s="40" t="s">
        <v>264</v>
      </c>
      <c r="D277" s="40" t="s">
        <v>118</v>
      </c>
      <c r="E277" s="40"/>
      <c r="F277" s="40"/>
      <c r="G277" s="10">
        <f>G278</f>
        <v>133.80000000000001</v>
      </c>
      <c r="H277" s="204"/>
    </row>
    <row r="278" spans="1:8" ht="31.5" x14ac:dyDescent="0.25">
      <c r="A278" s="579" t="s">
        <v>1716</v>
      </c>
      <c r="B278" s="20" t="s">
        <v>1717</v>
      </c>
      <c r="C278" s="20" t="s">
        <v>264</v>
      </c>
      <c r="D278" s="20" t="s">
        <v>118</v>
      </c>
      <c r="E278" s="20"/>
      <c r="F278" s="20"/>
      <c r="G278" s="10">
        <f>G279</f>
        <v>133.80000000000001</v>
      </c>
    </row>
    <row r="279" spans="1:8" ht="31.5" x14ac:dyDescent="0.25">
      <c r="A279" s="25" t="s">
        <v>272</v>
      </c>
      <c r="B279" s="580" t="s">
        <v>1717</v>
      </c>
      <c r="C279" s="20" t="s">
        <v>264</v>
      </c>
      <c r="D279" s="20" t="s">
        <v>118</v>
      </c>
      <c r="E279" s="20" t="s">
        <v>273</v>
      </c>
      <c r="F279" s="20"/>
      <c r="G279" s="10">
        <f>G280</f>
        <v>133.80000000000001</v>
      </c>
    </row>
    <row r="280" spans="1:8" ht="15.75" x14ac:dyDescent="0.25">
      <c r="A280" s="25" t="s">
        <v>274</v>
      </c>
      <c r="B280" s="580" t="s">
        <v>1717</v>
      </c>
      <c r="C280" s="20" t="s">
        <v>264</v>
      </c>
      <c r="D280" s="20" t="s">
        <v>118</v>
      </c>
      <c r="E280" s="20" t="s">
        <v>275</v>
      </c>
      <c r="F280" s="20"/>
      <c r="G280" s="10">
        <f>'Пр.4 ведом.22'!G630</f>
        <v>133.80000000000001</v>
      </c>
    </row>
    <row r="281" spans="1:8" s="203" customFormat="1" ht="31.5" x14ac:dyDescent="0.25">
      <c r="A281" s="29" t="s">
        <v>403</v>
      </c>
      <c r="B281" s="580" t="s">
        <v>1717</v>
      </c>
      <c r="C281" s="40" t="s">
        <v>264</v>
      </c>
      <c r="D281" s="40" t="s">
        <v>118</v>
      </c>
      <c r="E281" s="40" t="s">
        <v>275</v>
      </c>
      <c r="F281" s="40" t="s">
        <v>636</v>
      </c>
      <c r="G281" s="10">
        <f>G280</f>
        <v>133.80000000000001</v>
      </c>
      <c r="H281" s="204"/>
    </row>
    <row r="282" spans="1:8" s="203" customFormat="1" ht="15.75" x14ac:dyDescent="0.25">
      <c r="A282" s="29" t="s">
        <v>425</v>
      </c>
      <c r="B282" s="20" t="s">
        <v>1243</v>
      </c>
      <c r="C282" s="40" t="s">
        <v>264</v>
      </c>
      <c r="D282" s="40" t="s">
        <v>213</v>
      </c>
      <c r="E282" s="40"/>
      <c r="F282" s="40"/>
      <c r="G282" s="10">
        <f>G283</f>
        <v>5400.8099999999995</v>
      </c>
      <c r="H282" s="204"/>
    </row>
    <row r="283" spans="1:8" s="203" customFormat="1" ht="31.5" x14ac:dyDescent="0.25">
      <c r="A283" s="579" t="s">
        <v>1716</v>
      </c>
      <c r="B283" s="580" t="s">
        <v>1717</v>
      </c>
      <c r="C283" s="40" t="s">
        <v>264</v>
      </c>
      <c r="D283" s="40" t="s">
        <v>213</v>
      </c>
      <c r="E283" s="40"/>
      <c r="F283" s="40"/>
      <c r="G283" s="10">
        <f t="shared" ref="G283:G284" si="30">G284</f>
        <v>5400.8099999999995</v>
      </c>
      <c r="H283" s="204"/>
    </row>
    <row r="284" spans="1:8" s="203" customFormat="1" ht="31.5" x14ac:dyDescent="0.25">
      <c r="A284" s="29" t="s">
        <v>272</v>
      </c>
      <c r="B284" s="580" t="s">
        <v>1717</v>
      </c>
      <c r="C284" s="40" t="s">
        <v>264</v>
      </c>
      <c r="D284" s="40" t="s">
        <v>213</v>
      </c>
      <c r="E284" s="40" t="s">
        <v>273</v>
      </c>
      <c r="F284" s="40"/>
      <c r="G284" s="10">
        <f t="shared" si="30"/>
        <v>5400.8099999999995</v>
      </c>
      <c r="H284" s="204"/>
    </row>
    <row r="285" spans="1:8" s="203" customFormat="1" ht="15.75" x14ac:dyDescent="0.25">
      <c r="A285" s="29" t="s">
        <v>274</v>
      </c>
      <c r="B285" s="580" t="s">
        <v>1717</v>
      </c>
      <c r="C285" s="40" t="s">
        <v>264</v>
      </c>
      <c r="D285" s="40" t="s">
        <v>213</v>
      </c>
      <c r="E285" s="40" t="s">
        <v>275</v>
      </c>
      <c r="F285" s="40"/>
      <c r="G285" s="6">
        <f>'Пр.4 ведом.22'!G698</f>
        <v>5400.8099999999995</v>
      </c>
      <c r="H285" s="204"/>
    </row>
    <row r="286" spans="1:8" s="203" customFormat="1" ht="31.5" x14ac:dyDescent="0.25">
      <c r="A286" s="29" t="s">
        <v>403</v>
      </c>
      <c r="B286" s="580" t="s">
        <v>1717</v>
      </c>
      <c r="C286" s="40" t="s">
        <v>264</v>
      </c>
      <c r="D286" s="40" t="s">
        <v>213</v>
      </c>
      <c r="E286" s="40" t="s">
        <v>275</v>
      </c>
      <c r="F286" s="40" t="s">
        <v>636</v>
      </c>
      <c r="G286" s="10">
        <f>G285</f>
        <v>5400.8099999999995</v>
      </c>
      <c r="H286" s="204"/>
    </row>
    <row r="287" spans="1:8" s="203" customFormat="1" ht="94.5" x14ac:dyDescent="0.25">
      <c r="A287" s="23" t="s">
        <v>1410</v>
      </c>
      <c r="B287" s="24" t="s">
        <v>1246</v>
      </c>
      <c r="C287" s="24"/>
      <c r="D287" s="24"/>
      <c r="E287" s="40"/>
      <c r="F287" s="40"/>
      <c r="G287" s="59">
        <f>G288</f>
        <v>679.9</v>
      </c>
      <c r="H287" s="204"/>
    </row>
    <row r="288" spans="1:8" s="203" customFormat="1" ht="15.75" x14ac:dyDescent="0.25">
      <c r="A288" s="29" t="s">
        <v>263</v>
      </c>
      <c r="B288" s="20" t="s">
        <v>1246</v>
      </c>
      <c r="C288" s="20" t="s">
        <v>264</v>
      </c>
      <c r="D288" s="20"/>
      <c r="E288" s="40"/>
      <c r="F288" s="40"/>
      <c r="G288" s="10">
        <f>G289</f>
        <v>679.9</v>
      </c>
      <c r="H288" s="204"/>
    </row>
    <row r="289" spans="1:8" s="203" customFormat="1" ht="15.75" x14ac:dyDescent="0.25">
      <c r="A289" s="45" t="s">
        <v>404</v>
      </c>
      <c r="B289" s="20" t="s">
        <v>1246</v>
      </c>
      <c r="C289" s="20" t="s">
        <v>264</v>
      </c>
      <c r="D289" s="20" t="s">
        <v>118</v>
      </c>
      <c r="E289" s="40"/>
      <c r="F289" s="40"/>
      <c r="G289" s="10">
        <f>G290</f>
        <v>679.9</v>
      </c>
      <c r="H289" s="204"/>
    </row>
    <row r="290" spans="1:8" s="203" customFormat="1" ht="102.2" customHeight="1" x14ac:dyDescent="0.25">
      <c r="A290" s="149" t="s">
        <v>1493</v>
      </c>
      <c r="B290" s="20" t="s">
        <v>1247</v>
      </c>
      <c r="C290" s="20" t="s">
        <v>264</v>
      </c>
      <c r="D290" s="20" t="s">
        <v>118</v>
      </c>
      <c r="E290" s="40"/>
      <c r="F290" s="40"/>
      <c r="G290" s="10">
        <f>G291</f>
        <v>679.9</v>
      </c>
      <c r="H290" s="204"/>
    </row>
    <row r="291" spans="1:8" s="203" customFormat="1" ht="31.5" x14ac:dyDescent="0.25">
      <c r="A291" s="25" t="s">
        <v>272</v>
      </c>
      <c r="B291" s="20" t="s">
        <v>1247</v>
      </c>
      <c r="C291" s="20" t="s">
        <v>264</v>
      </c>
      <c r="D291" s="20" t="s">
        <v>118</v>
      </c>
      <c r="E291" s="20" t="s">
        <v>273</v>
      </c>
      <c r="F291" s="40"/>
      <c r="G291" s="10">
        <f>G292</f>
        <v>679.9</v>
      </c>
      <c r="H291" s="204"/>
    </row>
    <row r="292" spans="1:8" s="203" customFormat="1" ht="15.75" x14ac:dyDescent="0.25">
      <c r="A292" s="25" t="s">
        <v>274</v>
      </c>
      <c r="B292" s="20" t="s">
        <v>1247</v>
      </c>
      <c r="C292" s="20" t="s">
        <v>264</v>
      </c>
      <c r="D292" s="20" t="s">
        <v>118</v>
      </c>
      <c r="E292" s="20" t="s">
        <v>275</v>
      </c>
      <c r="F292" s="40"/>
      <c r="G292" s="10">
        <f>'Пр.4 ведом.22'!G634</f>
        <v>679.9</v>
      </c>
      <c r="H292" s="204"/>
    </row>
    <row r="293" spans="1:8" s="203" customFormat="1" ht="31.5" x14ac:dyDescent="0.25">
      <c r="A293" s="29" t="s">
        <v>403</v>
      </c>
      <c r="B293" s="20" t="s">
        <v>1247</v>
      </c>
      <c r="C293" s="20" t="s">
        <v>264</v>
      </c>
      <c r="D293" s="20" t="s">
        <v>118</v>
      </c>
      <c r="E293" s="20" t="s">
        <v>275</v>
      </c>
      <c r="F293" s="40" t="s">
        <v>636</v>
      </c>
      <c r="G293" s="10">
        <f>G288</f>
        <v>679.9</v>
      </c>
      <c r="H293" s="204"/>
    </row>
    <row r="294" spans="1:8" s="203" customFormat="1" ht="31.5" x14ac:dyDescent="0.25">
      <c r="A294" s="304" t="s">
        <v>1405</v>
      </c>
      <c r="B294" s="24" t="s">
        <v>1404</v>
      </c>
      <c r="C294" s="24"/>
      <c r="D294" s="24"/>
      <c r="E294" s="24"/>
      <c r="F294" s="7"/>
      <c r="G294" s="59">
        <f>G295</f>
        <v>5713.5999999999995</v>
      </c>
      <c r="H294" s="204"/>
    </row>
    <row r="295" spans="1:8" s="203" customFormat="1" ht="15.75" x14ac:dyDescent="0.25">
      <c r="A295" s="182" t="s">
        <v>263</v>
      </c>
      <c r="B295" s="20" t="s">
        <v>1404</v>
      </c>
      <c r="C295" s="20" t="s">
        <v>264</v>
      </c>
      <c r="D295" s="20"/>
      <c r="E295" s="20"/>
      <c r="F295" s="40"/>
      <c r="G295" s="10">
        <f>G296</f>
        <v>5713.5999999999995</v>
      </c>
      <c r="H295" s="204"/>
    </row>
    <row r="296" spans="1:8" s="203" customFormat="1" ht="15.75" x14ac:dyDescent="0.25">
      <c r="A296" s="182" t="s">
        <v>425</v>
      </c>
      <c r="B296" s="20" t="s">
        <v>1404</v>
      </c>
      <c r="C296" s="20" t="s">
        <v>264</v>
      </c>
      <c r="D296" s="20" t="s">
        <v>213</v>
      </c>
      <c r="E296" s="20"/>
      <c r="F296" s="40"/>
      <c r="G296" s="10">
        <f>G297</f>
        <v>5713.5999999999995</v>
      </c>
      <c r="H296" s="204"/>
    </row>
    <row r="297" spans="1:8" s="203" customFormat="1" ht="63" x14ac:dyDescent="0.25">
      <c r="A297" s="303" t="s">
        <v>1391</v>
      </c>
      <c r="B297" s="20" t="s">
        <v>1449</v>
      </c>
      <c r="C297" s="20" t="s">
        <v>264</v>
      </c>
      <c r="D297" s="20" t="s">
        <v>213</v>
      </c>
      <c r="E297" s="20"/>
      <c r="F297" s="40"/>
      <c r="G297" s="10">
        <f>G298</f>
        <v>5713.5999999999995</v>
      </c>
      <c r="H297" s="204"/>
    </row>
    <row r="298" spans="1:8" s="203" customFormat="1" ht="31.5" x14ac:dyDescent="0.25">
      <c r="A298" s="31" t="s">
        <v>272</v>
      </c>
      <c r="B298" s="20" t="s">
        <v>1449</v>
      </c>
      <c r="C298" s="20" t="s">
        <v>264</v>
      </c>
      <c r="D298" s="20" t="s">
        <v>213</v>
      </c>
      <c r="E298" s="20" t="s">
        <v>273</v>
      </c>
      <c r="F298" s="40"/>
      <c r="G298" s="10">
        <f>G299</f>
        <v>5713.5999999999995</v>
      </c>
      <c r="H298" s="204"/>
    </row>
    <row r="299" spans="1:8" s="203" customFormat="1" ht="15.75" x14ac:dyDescent="0.25">
      <c r="A299" s="31" t="s">
        <v>274</v>
      </c>
      <c r="B299" s="20" t="s">
        <v>1449</v>
      </c>
      <c r="C299" s="20" t="s">
        <v>264</v>
      </c>
      <c r="D299" s="20" t="s">
        <v>213</v>
      </c>
      <c r="E299" s="20" t="s">
        <v>275</v>
      </c>
      <c r="F299" s="40"/>
      <c r="G299" s="10">
        <f>'Пр.4 ведом.22'!G710</f>
        <v>5713.5999999999995</v>
      </c>
      <c r="H299" s="204"/>
    </row>
    <row r="300" spans="1:8" s="203" customFormat="1" ht="31.5" x14ac:dyDescent="0.25">
      <c r="A300" s="182" t="s">
        <v>403</v>
      </c>
      <c r="B300" s="20" t="s">
        <v>1449</v>
      </c>
      <c r="C300" s="20" t="s">
        <v>264</v>
      </c>
      <c r="D300" s="20" t="s">
        <v>213</v>
      </c>
      <c r="E300" s="20" t="s">
        <v>275</v>
      </c>
      <c r="F300" s="40" t="s">
        <v>636</v>
      </c>
      <c r="G300" s="10">
        <f>G294</f>
        <v>5713.5999999999995</v>
      </c>
      <c r="H300" s="204"/>
    </row>
    <row r="301" spans="1:8" s="203" customFormat="1" ht="31.5" hidden="1" x14ac:dyDescent="0.25">
      <c r="A301" s="304" t="s">
        <v>1428</v>
      </c>
      <c r="B301" s="24" t="s">
        <v>1414</v>
      </c>
      <c r="C301" s="20"/>
      <c r="D301" s="20"/>
      <c r="E301" s="20"/>
      <c r="F301" s="40"/>
      <c r="G301" s="59">
        <f>G302</f>
        <v>0</v>
      </c>
      <c r="H301" s="204"/>
    </row>
    <row r="302" spans="1:8" s="203" customFormat="1" ht="15.75" hidden="1" x14ac:dyDescent="0.25">
      <c r="A302" s="182" t="s">
        <v>263</v>
      </c>
      <c r="B302" s="20" t="s">
        <v>1414</v>
      </c>
      <c r="C302" s="20" t="s">
        <v>264</v>
      </c>
      <c r="D302" s="20"/>
      <c r="E302" s="20"/>
      <c r="F302" s="40"/>
      <c r="G302" s="10">
        <f>G303</f>
        <v>0</v>
      </c>
      <c r="H302" s="204"/>
    </row>
    <row r="303" spans="1:8" s="203" customFormat="1" ht="15.75" hidden="1" x14ac:dyDescent="0.25">
      <c r="A303" s="182" t="s">
        <v>425</v>
      </c>
      <c r="B303" s="20" t="s">
        <v>1414</v>
      </c>
      <c r="C303" s="20" t="s">
        <v>264</v>
      </c>
      <c r="D303" s="20" t="s">
        <v>213</v>
      </c>
      <c r="E303" s="20"/>
      <c r="F303" s="40"/>
      <c r="G303" s="10">
        <f>G304</f>
        <v>0</v>
      </c>
      <c r="H303" s="204"/>
    </row>
    <row r="304" spans="1:8" s="203" customFormat="1" ht="21.2" hidden="1" customHeight="1" x14ac:dyDescent="0.25">
      <c r="A304" s="303" t="s">
        <v>1415</v>
      </c>
      <c r="B304" s="20" t="s">
        <v>1417</v>
      </c>
      <c r="C304" s="20" t="s">
        <v>264</v>
      </c>
      <c r="D304" s="20" t="s">
        <v>213</v>
      </c>
      <c r="E304" s="20"/>
      <c r="F304" s="40"/>
      <c r="G304" s="10">
        <f>G305</f>
        <v>0</v>
      </c>
      <c r="H304" s="204"/>
    </row>
    <row r="305" spans="1:8" s="203" customFormat="1" ht="31.5" hidden="1" x14ac:dyDescent="0.25">
      <c r="A305" s="31" t="s">
        <v>272</v>
      </c>
      <c r="B305" s="20" t="s">
        <v>1417</v>
      </c>
      <c r="C305" s="20" t="s">
        <v>264</v>
      </c>
      <c r="D305" s="20" t="s">
        <v>213</v>
      </c>
      <c r="E305" s="20" t="s">
        <v>273</v>
      </c>
      <c r="F305" s="40"/>
      <c r="G305" s="10">
        <f>G306</f>
        <v>0</v>
      </c>
      <c r="H305" s="204"/>
    </row>
    <row r="306" spans="1:8" s="203" customFormat="1" ht="15.75" hidden="1" x14ac:dyDescent="0.25">
      <c r="A306" s="31" t="s">
        <v>274</v>
      </c>
      <c r="B306" s="20" t="s">
        <v>1417</v>
      </c>
      <c r="C306" s="20" t="s">
        <v>264</v>
      </c>
      <c r="D306" s="20" t="s">
        <v>213</v>
      </c>
      <c r="E306" s="20" t="s">
        <v>275</v>
      </c>
      <c r="F306" s="40"/>
      <c r="G306" s="10">
        <f>'Пр.4 ведом.22'!G714</f>
        <v>0</v>
      </c>
      <c r="H306" s="204"/>
    </row>
    <row r="307" spans="1:8" s="203" customFormat="1" ht="31.5" hidden="1" x14ac:dyDescent="0.25">
      <c r="A307" s="182" t="s">
        <v>403</v>
      </c>
      <c r="B307" s="20" t="s">
        <v>1417</v>
      </c>
      <c r="C307" s="20" t="s">
        <v>264</v>
      </c>
      <c r="D307" s="20" t="s">
        <v>213</v>
      </c>
      <c r="E307" s="20" t="s">
        <v>275</v>
      </c>
      <c r="F307" s="40" t="s">
        <v>636</v>
      </c>
      <c r="G307" s="10">
        <f>G304</f>
        <v>0</v>
      </c>
      <c r="H307" s="204"/>
    </row>
    <row r="308" spans="1:8" s="462" customFormat="1" ht="47.25" hidden="1" x14ac:dyDescent="0.25">
      <c r="A308" s="304" t="s">
        <v>1619</v>
      </c>
      <c r="B308" s="24" t="s">
        <v>1620</v>
      </c>
      <c r="C308" s="464"/>
      <c r="D308" s="464"/>
      <c r="E308" s="464"/>
      <c r="F308" s="40"/>
      <c r="G308" s="59">
        <f>G309</f>
        <v>0</v>
      </c>
      <c r="H308" s="204"/>
    </row>
    <row r="309" spans="1:8" s="462" customFormat="1" ht="15.75" hidden="1" x14ac:dyDescent="0.25">
      <c r="A309" s="182" t="s">
        <v>263</v>
      </c>
      <c r="B309" s="464" t="s">
        <v>1620</v>
      </c>
      <c r="C309" s="464" t="s">
        <v>264</v>
      </c>
      <c r="D309" s="464"/>
      <c r="E309" s="464"/>
      <c r="F309" s="40"/>
      <c r="G309" s="10">
        <f>G310</f>
        <v>0</v>
      </c>
      <c r="H309" s="204"/>
    </row>
    <row r="310" spans="1:8" s="462" customFormat="1" ht="15.75" hidden="1" x14ac:dyDescent="0.25">
      <c r="A310" s="182" t="s">
        <v>425</v>
      </c>
      <c r="B310" s="464" t="s">
        <v>1620</v>
      </c>
      <c r="C310" s="464" t="s">
        <v>264</v>
      </c>
      <c r="D310" s="464" t="s">
        <v>213</v>
      </c>
      <c r="E310" s="464"/>
      <c r="F310" s="40"/>
      <c r="G310" s="10">
        <f>G311</f>
        <v>0</v>
      </c>
      <c r="H310" s="204"/>
    </row>
    <row r="311" spans="1:8" s="462" customFormat="1" ht="47.25" hidden="1" x14ac:dyDescent="0.25">
      <c r="A311" s="303" t="s">
        <v>450</v>
      </c>
      <c r="B311" s="464" t="s">
        <v>1621</v>
      </c>
      <c r="C311" s="464" t="s">
        <v>264</v>
      </c>
      <c r="D311" s="464" t="s">
        <v>213</v>
      </c>
      <c r="E311" s="464"/>
      <c r="F311" s="40"/>
      <c r="G311" s="10">
        <f>G312</f>
        <v>0</v>
      </c>
      <c r="H311" s="204"/>
    </row>
    <row r="312" spans="1:8" s="462" customFormat="1" ht="31.5" hidden="1" x14ac:dyDescent="0.25">
      <c r="A312" s="31" t="s">
        <v>272</v>
      </c>
      <c r="B312" s="464" t="s">
        <v>1621</v>
      </c>
      <c r="C312" s="464" t="s">
        <v>264</v>
      </c>
      <c r="D312" s="464" t="s">
        <v>213</v>
      </c>
      <c r="E312" s="464"/>
      <c r="F312" s="40"/>
      <c r="G312" s="10">
        <f>G313</f>
        <v>0</v>
      </c>
      <c r="H312" s="204"/>
    </row>
    <row r="313" spans="1:8" s="462" customFormat="1" ht="15.75" hidden="1" x14ac:dyDescent="0.25">
      <c r="A313" s="31" t="s">
        <v>274</v>
      </c>
      <c r="B313" s="464" t="s">
        <v>1621</v>
      </c>
      <c r="C313" s="464" t="s">
        <v>264</v>
      </c>
      <c r="D313" s="464" t="s">
        <v>213</v>
      </c>
      <c r="E313" s="464" t="s">
        <v>273</v>
      </c>
      <c r="F313" s="40"/>
      <c r="G313" s="10">
        <f>'Пр.4 ведом.22'!G718</f>
        <v>0</v>
      </c>
      <c r="H313" s="204"/>
    </row>
    <row r="314" spans="1:8" s="462" customFormat="1" ht="31.5" hidden="1" x14ac:dyDescent="0.25">
      <c r="A314" s="29" t="s">
        <v>403</v>
      </c>
      <c r="B314" s="464" t="s">
        <v>1621</v>
      </c>
      <c r="C314" s="464" t="s">
        <v>264</v>
      </c>
      <c r="D314" s="464" t="s">
        <v>213</v>
      </c>
      <c r="E314" s="464" t="s">
        <v>275</v>
      </c>
      <c r="F314" s="40" t="s">
        <v>636</v>
      </c>
      <c r="G314" s="10">
        <f>G308</f>
        <v>0</v>
      </c>
      <c r="H314" s="204"/>
    </row>
    <row r="315" spans="1:8" s="462" customFormat="1" ht="31.5" hidden="1" x14ac:dyDescent="0.25">
      <c r="A315" s="304" t="s">
        <v>1631</v>
      </c>
      <c r="B315" s="24" t="s">
        <v>1633</v>
      </c>
      <c r="C315" s="24"/>
      <c r="D315" s="24"/>
      <c r="E315" s="24"/>
      <c r="F315" s="7"/>
      <c r="G315" s="59">
        <f>G316</f>
        <v>0</v>
      </c>
      <c r="H315" s="204"/>
    </row>
    <row r="316" spans="1:8" s="462" customFormat="1" ht="15.75" hidden="1" x14ac:dyDescent="0.25">
      <c r="A316" s="182" t="s">
        <v>263</v>
      </c>
      <c r="B316" s="464" t="s">
        <v>1633</v>
      </c>
      <c r="C316" s="464" t="s">
        <v>264</v>
      </c>
      <c r="D316" s="464"/>
      <c r="E316" s="464"/>
      <c r="F316" s="40"/>
      <c r="G316" s="10">
        <f>G317+G322</f>
        <v>0</v>
      </c>
      <c r="H316" s="204"/>
    </row>
    <row r="317" spans="1:8" s="462" customFormat="1" ht="15.75" hidden="1" x14ac:dyDescent="0.25">
      <c r="A317" s="45" t="s">
        <v>404</v>
      </c>
      <c r="B317" s="464" t="s">
        <v>1633</v>
      </c>
      <c r="C317" s="464" t="s">
        <v>264</v>
      </c>
      <c r="D317" s="464" t="s">
        <v>118</v>
      </c>
      <c r="E317" s="464"/>
      <c r="F317" s="40"/>
      <c r="G317" s="10">
        <f>G318</f>
        <v>0</v>
      </c>
      <c r="H317" s="204"/>
    </row>
    <row r="318" spans="1:8" s="462" customFormat="1" ht="31.5" hidden="1" x14ac:dyDescent="0.25">
      <c r="A318" s="303" t="s">
        <v>1632</v>
      </c>
      <c r="B318" s="464" t="s">
        <v>1634</v>
      </c>
      <c r="C318" s="464" t="s">
        <v>264</v>
      </c>
      <c r="D318" s="464" t="s">
        <v>118</v>
      </c>
      <c r="E318" s="464"/>
      <c r="F318" s="40"/>
      <c r="G318" s="10">
        <f>G319</f>
        <v>0</v>
      </c>
      <c r="H318" s="204"/>
    </row>
    <row r="319" spans="1:8" s="462" customFormat="1" ht="31.5" hidden="1" x14ac:dyDescent="0.25">
      <c r="A319" s="31" t="s">
        <v>272</v>
      </c>
      <c r="B319" s="464" t="s">
        <v>1634</v>
      </c>
      <c r="C319" s="464" t="s">
        <v>264</v>
      </c>
      <c r="D319" s="464" t="s">
        <v>118</v>
      </c>
      <c r="E319" s="464" t="s">
        <v>273</v>
      </c>
      <c r="F319" s="40"/>
      <c r="G319" s="10">
        <f>G320</f>
        <v>0</v>
      </c>
      <c r="H319" s="204"/>
    </row>
    <row r="320" spans="1:8" s="462" customFormat="1" ht="15.75" hidden="1" x14ac:dyDescent="0.25">
      <c r="A320" s="31" t="s">
        <v>274</v>
      </c>
      <c r="B320" s="464" t="s">
        <v>1634</v>
      </c>
      <c r="C320" s="464" t="s">
        <v>264</v>
      </c>
      <c r="D320" s="464" t="s">
        <v>118</v>
      </c>
      <c r="E320" s="464" t="s">
        <v>275</v>
      </c>
      <c r="F320" s="40"/>
      <c r="G320" s="10">
        <f>'Пр.4 ведом.22'!G641</f>
        <v>0</v>
      </c>
      <c r="H320" s="204"/>
    </row>
    <row r="321" spans="1:8" s="462" customFormat="1" ht="31.5" hidden="1" x14ac:dyDescent="0.25">
      <c r="A321" s="29" t="s">
        <v>403</v>
      </c>
      <c r="B321" s="464" t="s">
        <v>1634</v>
      </c>
      <c r="C321" s="464" t="s">
        <v>264</v>
      </c>
      <c r="D321" s="464" t="s">
        <v>118</v>
      </c>
      <c r="E321" s="464" t="s">
        <v>275</v>
      </c>
      <c r="F321" s="40" t="s">
        <v>636</v>
      </c>
      <c r="G321" s="10">
        <f>G320</f>
        <v>0</v>
      </c>
      <c r="H321" s="204"/>
    </row>
    <row r="322" spans="1:8" s="462" customFormat="1" ht="15.75" hidden="1" x14ac:dyDescent="0.25">
      <c r="A322" s="182" t="s">
        <v>425</v>
      </c>
      <c r="B322" s="464" t="s">
        <v>1634</v>
      </c>
      <c r="C322" s="464" t="s">
        <v>264</v>
      </c>
      <c r="D322" s="464" t="s">
        <v>213</v>
      </c>
      <c r="E322" s="464"/>
      <c r="F322" s="40"/>
      <c r="G322" s="10">
        <f>G323</f>
        <v>0</v>
      </c>
      <c r="H322" s="204"/>
    </row>
    <row r="323" spans="1:8" s="462" customFormat="1" ht="31.5" hidden="1" x14ac:dyDescent="0.25">
      <c r="A323" s="303" t="s">
        <v>1632</v>
      </c>
      <c r="B323" s="464" t="s">
        <v>1634</v>
      </c>
      <c r="C323" s="464" t="s">
        <v>264</v>
      </c>
      <c r="D323" s="464" t="s">
        <v>213</v>
      </c>
      <c r="E323" s="464"/>
      <c r="F323" s="40"/>
      <c r="G323" s="10">
        <f>G324</f>
        <v>0</v>
      </c>
      <c r="H323" s="204"/>
    </row>
    <row r="324" spans="1:8" s="462" customFormat="1" ht="31.5" hidden="1" x14ac:dyDescent="0.25">
      <c r="A324" s="31" t="s">
        <v>272</v>
      </c>
      <c r="B324" s="464" t="s">
        <v>1634</v>
      </c>
      <c r="C324" s="464" t="s">
        <v>264</v>
      </c>
      <c r="D324" s="464" t="s">
        <v>213</v>
      </c>
      <c r="E324" s="464" t="s">
        <v>273</v>
      </c>
      <c r="F324" s="40"/>
      <c r="G324" s="10">
        <f>G325</f>
        <v>0</v>
      </c>
      <c r="H324" s="204"/>
    </row>
    <row r="325" spans="1:8" s="462" customFormat="1" ht="15.75" hidden="1" x14ac:dyDescent="0.25">
      <c r="A325" s="31" t="s">
        <v>274</v>
      </c>
      <c r="B325" s="464" t="s">
        <v>1634</v>
      </c>
      <c r="C325" s="464" t="s">
        <v>264</v>
      </c>
      <c r="D325" s="464" t="s">
        <v>213</v>
      </c>
      <c r="E325" s="464" t="s">
        <v>275</v>
      </c>
      <c r="F325" s="40"/>
      <c r="G325" s="10">
        <f>'Пр.4 ведом.22'!G722</f>
        <v>0</v>
      </c>
      <c r="H325" s="204"/>
    </row>
    <row r="326" spans="1:8" s="462" customFormat="1" ht="31.5" hidden="1" x14ac:dyDescent="0.25">
      <c r="A326" s="29" t="s">
        <v>403</v>
      </c>
      <c r="B326" s="464" t="s">
        <v>1634</v>
      </c>
      <c r="C326" s="464" t="s">
        <v>264</v>
      </c>
      <c r="D326" s="464" t="s">
        <v>213</v>
      </c>
      <c r="E326" s="464" t="s">
        <v>275</v>
      </c>
      <c r="F326" s="40" t="s">
        <v>636</v>
      </c>
      <c r="G326" s="10">
        <f>G325</f>
        <v>0</v>
      </c>
      <c r="H326" s="204"/>
    </row>
    <row r="327" spans="1:8" s="487" customFormat="1" ht="47.25" hidden="1" x14ac:dyDescent="0.25">
      <c r="A327" s="304" t="s">
        <v>1635</v>
      </c>
      <c r="B327" s="495" t="s">
        <v>1638</v>
      </c>
      <c r="C327" s="495"/>
      <c r="D327" s="495"/>
      <c r="E327" s="495"/>
      <c r="F327" s="7"/>
      <c r="G327" s="59">
        <f t="shared" ref="G327:G331" si="31">G328</f>
        <v>0</v>
      </c>
      <c r="H327" s="204"/>
    </row>
    <row r="328" spans="1:8" s="487" customFormat="1" ht="15.75" hidden="1" x14ac:dyDescent="0.25">
      <c r="A328" s="182" t="s">
        <v>263</v>
      </c>
      <c r="B328" s="492" t="s">
        <v>1638</v>
      </c>
      <c r="C328" s="492" t="s">
        <v>264</v>
      </c>
      <c r="D328" s="492"/>
      <c r="E328" s="492"/>
      <c r="F328" s="499"/>
      <c r="G328" s="10">
        <f t="shared" si="31"/>
        <v>0</v>
      </c>
      <c r="H328" s="204"/>
    </row>
    <row r="329" spans="1:8" s="487" customFormat="1" ht="15.75" hidden="1" x14ac:dyDescent="0.25">
      <c r="A329" s="45" t="s">
        <v>404</v>
      </c>
      <c r="B329" s="492" t="s">
        <v>1638</v>
      </c>
      <c r="C329" s="492" t="s">
        <v>264</v>
      </c>
      <c r="D329" s="492" t="s">
        <v>118</v>
      </c>
      <c r="E329" s="492"/>
      <c r="F329" s="499"/>
      <c r="G329" s="10">
        <f t="shared" si="31"/>
        <v>0</v>
      </c>
      <c r="H329" s="204"/>
    </row>
    <row r="330" spans="1:8" s="487" customFormat="1" ht="47.25" hidden="1" x14ac:dyDescent="0.25">
      <c r="A330" s="303" t="s">
        <v>1636</v>
      </c>
      <c r="B330" s="492" t="s">
        <v>1637</v>
      </c>
      <c r="C330" s="492" t="s">
        <v>264</v>
      </c>
      <c r="D330" s="492" t="s">
        <v>118</v>
      </c>
      <c r="E330" s="492"/>
      <c r="F330" s="499"/>
      <c r="G330" s="10">
        <f>G331</f>
        <v>0</v>
      </c>
      <c r="H330" s="204"/>
    </row>
    <row r="331" spans="1:8" s="487" customFormat="1" ht="31.5" hidden="1" x14ac:dyDescent="0.25">
      <c r="A331" s="31" t="s">
        <v>272</v>
      </c>
      <c r="B331" s="492" t="s">
        <v>1637</v>
      </c>
      <c r="C331" s="492" t="s">
        <v>264</v>
      </c>
      <c r="D331" s="492" t="s">
        <v>118</v>
      </c>
      <c r="E331" s="492" t="s">
        <v>273</v>
      </c>
      <c r="F331" s="499"/>
      <c r="G331" s="10">
        <f t="shared" si="31"/>
        <v>0</v>
      </c>
      <c r="H331" s="204"/>
    </row>
    <row r="332" spans="1:8" s="487" customFormat="1" ht="15.75" hidden="1" x14ac:dyDescent="0.25">
      <c r="A332" s="31" t="s">
        <v>274</v>
      </c>
      <c r="B332" s="492" t="s">
        <v>1637</v>
      </c>
      <c r="C332" s="492" t="s">
        <v>264</v>
      </c>
      <c r="D332" s="492" t="s">
        <v>118</v>
      </c>
      <c r="E332" s="492" t="s">
        <v>275</v>
      </c>
      <c r="F332" s="499"/>
      <c r="G332" s="10">
        <f>'Пр.4 ведом.22'!G645</f>
        <v>0</v>
      </c>
      <c r="H332" s="204"/>
    </row>
    <row r="333" spans="1:8" s="487" customFormat="1" ht="31.5" hidden="1" x14ac:dyDescent="0.25">
      <c r="A333" s="29" t="s">
        <v>403</v>
      </c>
      <c r="B333" s="492" t="s">
        <v>1637</v>
      </c>
      <c r="C333" s="492" t="s">
        <v>264</v>
      </c>
      <c r="D333" s="492" t="s">
        <v>118</v>
      </c>
      <c r="E333" s="492" t="s">
        <v>275</v>
      </c>
      <c r="F333" s="499" t="s">
        <v>636</v>
      </c>
      <c r="G333" s="10">
        <f>G332</f>
        <v>0</v>
      </c>
      <c r="H333" s="204"/>
    </row>
    <row r="334" spans="1:8" s="576" customFormat="1" ht="47.25" x14ac:dyDescent="0.25">
      <c r="A334" s="34" t="s">
        <v>1700</v>
      </c>
      <c r="B334" s="495" t="s">
        <v>1701</v>
      </c>
      <c r="C334" s="495"/>
      <c r="D334" s="495"/>
      <c r="E334" s="495"/>
      <c r="F334" s="7"/>
      <c r="G334" s="59">
        <f>G335</f>
        <v>1000.9</v>
      </c>
      <c r="H334" s="578"/>
    </row>
    <row r="335" spans="1:8" s="576" customFormat="1" ht="15.75" x14ac:dyDescent="0.25">
      <c r="A335" s="182" t="s">
        <v>263</v>
      </c>
      <c r="B335" s="580" t="s">
        <v>1701</v>
      </c>
      <c r="C335" s="580" t="s">
        <v>264</v>
      </c>
      <c r="D335" s="580"/>
      <c r="E335" s="580"/>
      <c r="F335" s="573"/>
      <c r="G335" s="10">
        <f>G336</f>
        <v>1000.9</v>
      </c>
      <c r="H335" s="578"/>
    </row>
    <row r="336" spans="1:8" s="576" customFormat="1" ht="15.75" x14ac:dyDescent="0.25">
      <c r="A336" s="182" t="s">
        <v>265</v>
      </c>
      <c r="B336" s="580" t="s">
        <v>1701</v>
      </c>
      <c r="C336" s="580" t="s">
        <v>264</v>
      </c>
      <c r="D336" s="580" t="s">
        <v>215</v>
      </c>
      <c r="E336" s="580"/>
      <c r="F336" s="573"/>
      <c r="G336" s="10">
        <f>G337</f>
        <v>1000.9</v>
      </c>
      <c r="H336" s="578"/>
    </row>
    <row r="337" spans="1:8" s="576" customFormat="1" ht="31.5" x14ac:dyDescent="0.25">
      <c r="A337" s="31" t="s">
        <v>1720</v>
      </c>
      <c r="B337" s="580" t="s">
        <v>1721</v>
      </c>
      <c r="C337" s="580" t="s">
        <v>264</v>
      </c>
      <c r="D337" s="580" t="s">
        <v>215</v>
      </c>
      <c r="E337" s="580"/>
      <c r="F337" s="573"/>
      <c r="G337" s="10">
        <f>G338</f>
        <v>1000.9</v>
      </c>
      <c r="H337" s="578"/>
    </row>
    <row r="338" spans="1:8" s="576" customFormat="1" ht="31.5" x14ac:dyDescent="0.25">
      <c r="A338" s="579" t="s">
        <v>272</v>
      </c>
      <c r="B338" s="580" t="s">
        <v>1721</v>
      </c>
      <c r="C338" s="580" t="s">
        <v>264</v>
      </c>
      <c r="D338" s="580" t="s">
        <v>215</v>
      </c>
      <c r="E338" s="580" t="s">
        <v>273</v>
      </c>
      <c r="F338" s="573"/>
      <c r="G338" s="10">
        <f>G339</f>
        <v>1000.9</v>
      </c>
      <c r="H338" s="578"/>
    </row>
    <row r="339" spans="1:8" s="576" customFormat="1" ht="17.45" customHeight="1" x14ac:dyDescent="0.25">
      <c r="A339" s="188" t="s">
        <v>1702</v>
      </c>
      <c r="B339" s="580" t="s">
        <v>1721</v>
      </c>
      <c r="C339" s="580" t="s">
        <v>264</v>
      </c>
      <c r="D339" s="580" t="s">
        <v>215</v>
      </c>
      <c r="E339" s="580" t="s">
        <v>275</v>
      </c>
      <c r="F339" s="573"/>
      <c r="G339" s="10">
        <f>'Пр.4 ведом.22'!G772</f>
        <v>1000.9</v>
      </c>
      <c r="H339" s="578"/>
    </row>
    <row r="340" spans="1:8" s="576" customFormat="1" ht="31.5" x14ac:dyDescent="0.25">
      <c r="A340" s="29" t="s">
        <v>403</v>
      </c>
      <c r="B340" s="580" t="s">
        <v>1721</v>
      </c>
      <c r="C340" s="580" t="s">
        <v>264</v>
      </c>
      <c r="D340" s="580" t="s">
        <v>215</v>
      </c>
      <c r="E340" s="580" t="s">
        <v>275</v>
      </c>
      <c r="F340" s="573" t="s">
        <v>627</v>
      </c>
      <c r="G340" s="10">
        <f>G339</f>
        <v>1000.9</v>
      </c>
      <c r="H340" s="578"/>
    </row>
    <row r="341" spans="1:8" s="203" customFormat="1" ht="48.2" hidden="1" customHeight="1" x14ac:dyDescent="0.25">
      <c r="A341" s="217" t="s">
        <v>1172</v>
      </c>
      <c r="B341" s="24" t="s">
        <v>1320</v>
      </c>
      <c r="C341" s="40"/>
      <c r="D341" s="40"/>
      <c r="E341" s="40"/>
      <c r="F341" s="40"/>
      <c r="G341" s="59">
        <f>G342</f>
        <v>0</v>
      </c>
      <c r="H341" s="204"/>
    </row>
    <row r="342" spans="1:8" s="203" customFormat="1" ht="15" hidden="1" customHeight="1" x14ac:dyDescent="0.25">
      <c r="A342" s="29" t="s">
        <v>263</v>
      </c>
      <c r="B342" s="20" t="s">
        <v>1320</v>
      </c>
      <c r="C342" s="40" t="s">
        <v>264</v>
      </c>
      <c r="D342" s="40"/>
      <c r="E342" s="40"/>
      <c r="F342" s="40"/>
      <c r="G342" s="10">
        <f>G343</f>
        <v>0</v>
      </c>
      <c r="H342" s="204"/>
    </row>
    <row r="343" spans="1:8" s="203" customFormat="1" ht="19.5" hidden="1" customHeight="1" x14ac:dyDescent="0.25">
      <c r="A343" s="29" t="s">
        <v>425</v>
      </c>
      <c r="B343" s="20" t="s">
        <v>1320</v>
      </c>
      <c r="C343" s="40" t="s">
        <v>264</v>
      </c>
      <c r="D343" s="40" t="s">
        <v>213</v>
      </c>
      <c r="E343" s="40"/>
      <c r="F343" s="40"/>
      <c r="G343" s="10">
        <f>G344</f>
        <v>0</v>
      </c>
      <c r="H343" s="204"/>
    </row>
    <row r="344" spans="1:8" s="203" customFormat="1" ht="62.45" hidden="1" customHeight="1" x14ac:dyDescent="0.25">
      <c r="A344" s="182" t="s">
        <v>1522</v>
      </c>
      <c r="B344" s="20" t="s">
        <v>1321</v>
      </c>
      <c r="C344" s="40" t="s">
        <v>264</v>
      </c>
      <c r="D344" s="40" t="s">
        <v>213</v>
      </c>
      <c r="E344" s="40"/>
      <c r="F344" s="40"/>
      <c r="G344" s="10">
        <f>G345</f>
        <v>0</v>
      </c>
      <c r="H344" s="204"/>
    </row>
    <row r="345" spans="1:8" s="203" customFormat="1" ht="33.75" hidden="1" customHeight="1" x14ac:dyDescent="0.25">
      <c r="A345" s="31" t="s">
        <v>272</v>
      </c>
      <c r="B345" s="20" t="s">
        <v>1321</v>
      </c>
      <c r="C345" s="40" t="s">
        <v>264</v>
      </c>
      <c r="D345" s="40" t="s">
        <v>213</v>
      </c>
      <c r="E345" s="40" t="s">
        <v>273</v>
      </c>
      <c r="F345" s="40"/>
      <c r="G345" s="10">
        <f>G346</f>
        <v>0</v>
      </c>
      <c r="H345" s="204"/>
    </row>
    <row r="346" spans="1:8" s="203" customFormat="1" ht="21.2" hidden="1" customHeight="1" x14ac:dyDescent="0.25">
      <c r="A346" s="31" t="s">
        <v>274</v>
      </c>
      <c r="B346" s="20" t="s">
        <v>1321</v>
      </c>
      <c r="C346" s="40" t="s">
        <v>264</v>
      </c>
      <c r="D346" s="40" t="s">
        <v>213</v>
      </c>
      <c r="E346" s="40" t="s">
        <v>275</v>
      </c>
      <c r="F346" s="40"/>
      <c r="G346" s="10">
        <f>'Пр.4 ведом.22'!G726</f>
        <v>0</v>
      </c>
      <c r="H346" s="204"/>
    </row>
    <row r="347" spans="1:8" s="203" customFormat="1" ht="31.7" hidden="1" customHeight="1" x14ac:dyDescent="0.25">
      <c r="A347" s="29" t="s">
        <v>403</v>
      </c>
      <c r="B347" s="20" t="s">
        <v>1321</v>
      </c>
      <c r="C347" s="40" t="s">
        <v>264</v>
      </c>
      <c r="D347" s="40" t="s">
        <v>213</v>
      </c>
      <c r="E347" s="40" t="s">
        <v>275</v>
      </c>
      <c r="F347" s="40" t="s">
        <v>636</v>
      </c>
      <c r="G347" s="10">
        <f>G341</f>
        <v>0</v>
      </c>
      <c r="H347" s="204"/>
    </row>
    <row r="348" spans="1:8" s="203" customFormat="1" ht="31.7" hidden="1" customHeight="1" x14ac:dyDescent="0.25">
      <c r="A348" s="34" t="s">
        <v>1463</v>
      </c>
      <c r="B348" s="24" t="s">
        <v>1464</v>
      </c>
      <c r="C348" s="40"/>
      <c r="D348" s="40"/>
      <c r="E348" s="40"/>
      <c r="F348" s="40"/>
      <c r="G348" s="59">
        <f>G349</f>
        <v>0</v>
      </c>
      <c r="H348" s="204"/>
    </row>
    <row r="349" spans="1:8" s="203" customFormat="1" ht="15.75" hidden="1" x14ac:dyDescent="0.25">
      <c r="A349" s="29" t="s">
        <v>263</v>
      </c>
      <c r="B349" s="20" t="s">
        <v>1464</v>
      </c>
      <c r="C349" s="40" t="s">
        <v>264</v>
      </c>
      <c r="D349" s="40"/>
      <c r="E349" s="40"/>
      <c r="F349" s="40"/>
      <c r="G349" s="10">
        <f>G350</f>
        <v>0</v>
      </c>
      <c r="H349" s="204"/>
    </row>
    <row r="350" spans="1:8" s="203" customFormat="1" ht="15.75" hidden="1" x14ac:dyDescent="0.25">
      <c r="A350" s="29" t="s">
        <v>425</v>
      </c>
      <c r="B350" s="20" t="s">
        <v>1464</v>
      </c>
      <c r="C350" s="40" t="s">
        <v>264</v>
      </c>
      <c r="D350" s="40" t="s">
        <v>213</v>
      </c>
      <c r="E350" s="40"/>
      <c r="F350" s="40"/>
      <c r="G350" s="10">
        <f>G351</f>
        <v>0</v>
      </c>
      <c r="H350" s="204"/>
    </row>
    <row r="351" spans="1:8" s="203" customFormat="1" ht="57.75" hidden="1" customHeight="1" x14ac:dyDescent="0.25">
      <c r="A351" s="31" t="s">
        <v>1523</v>
      </c>
      <c r="B351" s="20" t="s">
        <v>1465</v>
      </c>
      <c r="C351" s="40" t="s">
        <v>264</v>
      </c>
      <c r="D351" s="40" t="s">
        <v>213</v>
      </c>
      <c r="E351" s="40"/>
      <c r="F351" s="40"/>
      <c r="G351" s="10">
        <f>G352</f>
        <v>0</v>
      </c>
      <c r="H351" s="204"/>
    </row>
    <row r="352" spans="1:8" s="203" customFormat="1" ht="31.7" hidden="1" customHeight="1" x14ac:dyDescent="0.25">
      <c r="A352" s="31" t="s">
        <v>272</v>
      </c>
      <c r="B352" s="20" t="s">
        <v>1465</v>
      </c>
      <c r="C352" s="40" t="s">
        <v>264</v>
      </c>
      <c r="D352" s="40" t="s">
        <v>213</v>
      </c>
      <c r="E352" s="40" t="s">
        <v>273</v>
      </c>
      <c r="F352" s="40"/>
      <c r="G352" s="10">
        <f>G353</f>
        <v>0</v>
      </c>
      <c r="H352" s="204"/>
    </row>
    <row r="353" spans="1:8" s="203" customFormat="1" ht="31.7" hidden="1" customHeight="1" x14ac:dyDescent="0.25">
      <c r="A353" s="31" t="s">
        <v>274</v>
      </c>
      <c r="B353" s="20" t="s">
        <v>1465</v>
      </c>
      <c r="C353" s="40" t="s">
        <v>264</v>
      </c>
      <c r="D353" s="40" t="s">
        <v>213</v>
      </c>
      <c r="E353" s="40" t="s">
        <v>275</v>
      </c>
      <c r="F353" s="40"/>
      <c r="G353" s="10">
        <f>'Пр.4 ведом.22'!G730</f>
        <v>0</v>
      </c>
      <c r="H353" s="204"/>
    </row>
    <row r="354" spans="1:8" s="203" customFormat="1" ht="31.7" hidden="1" customHeight="1" x14ac:dyDescent="0.25">
      <c r="A354" s="29" t="s">
        <v>403</v>
      </c>
      <c r="B354" s="20" t="s">
        <v>1465</v>
      </c>
      <c r="C354" s="40" t="s">
        <v>264</v>
      </c>
      <c r="D354" s="40" t="s">
        <v>213</v>
      </c>
      <c r="E354" s="40" t="s">
        <v>275</v>
      </c>
      <c r="F354" s="40" t="s">
        <v>636</v>
      </c>
      <c r="G354" s="10">
        <f>G348</f>
        <v>0</v>
      </c>
      <c r="H354" s="204"/>
    </row>
    <row r="355" spans="1:8" s="576" customFormat="1" ht="31.5" x14ac:dyDescent="0.25">
      <c r="A355" s="34" t="s">
        <v>1472</v>
      </c>
      <c r="B355" s="495" t="s">
        <v>1470</v>
      </c>
      <c r="C355" s="573"/>
      <c r="D355" s="573"/>
      <c r="E355" s="573"/>
      <c r="F355" s="573"/>
      <c r="G355" s="59">
        <f>G356</f>
        <v>1845.8</v>
      </c>
      <c r="H355" s="578"/>
    </row>
    <row r="356" spans="1:8" s="576" customFormat="1" ht="15.75" x14ac:dyDescent="0.25">
      <c r="A356" s="29" t="s">
        <v>263</v>
      </c>
      <c r="B356" s="580" t="s">
        <v>1471</v>
      </c>
      <c r="C356" s="573" t="s">
        <v>264</v>
      </c>
      <c r="D356" s="573"/>
      <c r="E356" s="573"/>
      <c r="F356" s="573"/>
      <c r="G356" s="10">
        <f>G357</f>
        <v>1845.8</v>
      </c>
      <c r="H356" s="578"/>
    </row>
    <row r="357" spans="1:8" s="576" customFormat="1" ht="15.75" x14ac:dyDescent="0.25">
      <c r="A357" s="29" t="s">
        <v>425</v>
      </c>
      <c r="B357" s="580" t="s">
        <v>1471</v>
      </c>
      <c r="C357" s="573" t="s">
        <v>264</v>
      </c>
      <c r="D357" s="573" t="s">
        <v>213</v>
      </c>
      <c r="E357" s="573"/>
      <c r="F357" s="573"/>
      <c r="G357" s="10">
        <f>G358</f>
        <v>1845.8</v>
      </c>
      <c r="H357" s="578"/>
    </row>
    <row r="358" spans="1:8" s="576" customFormat="1" ht="49.5" customHeight="1" x14ac:dyDescent="0.25">
      <c r="A358" s="652" t="s">
        <v>1729</v>
      </c>
      <c r="B358" s="580" t="s">
        <v>1471</v>
      </c>
      <c r="C358" s="573" t="s">
        <v>264</v>
      </c>
      <c r="D358" s="573" t="s">
        <v>213</v>
      </c>
      <c r="E358" s="573" t="s">
        <v>273</v>
      </c>
      <c r="F358" s="573"/>
      <c r="G358" s="10">
        <f>G359</f>
        <v>1845.8</v>
      </c>
      <c r="H358" s="578"/>
    </row>
    <row r="359" spans="1:8" s="576" customFormat="1" ht="31.5" x14ac:dyDescent="0.25">
      <c r="A359" s="31" t="s">
        <v>272</v>
      </c>
      <c r="B359" s="580" t="s">
        <v>1471</v>
      </c>
      <c r="C359" s="573" t="s">
        <v>264</v>
      </c>
      <c r="D359" s="573" t="s">
        <v>213</v>
      </c>
      <c r="E359" s="573" t="s">
        <v>275</v>
      </c>
      <c r="F359" s="573"/>
      <c r="G359" s="10">
        <f>'Пр.4 ведом.22'!G734</f>
        <v>1845.8</v>
      </c>
      <c r="H359" s="578"/>
    </row>
    <row r="360" spans="1:8" s="576" customFormat="1" ht="15.75" x14ac:dyDescent="0.25">
      <c r="A360" s="31" t="s">
        <v>274</v>
      </c>
      <c r="B360" s="580" t="s">
        <v>1471</v>
      </c>
      <c r="C360" s="573" t="s">
        <v>264</v>
      </c>
      <c r="D360" s="573" t="s">
        <v>213</v>
      </c>
      <c r="E360" s="573" t="s">
        <v>275</v>
      </c>
      <c r="F360" s="573" t="s">
        <v>636</v>
      </c>
      <c r="G360" s="10">
        <f>G359</f>
        <v>1845.8</v>
      </c>
      <c r="H360" s="578"/>
    </row>
    <row r="361" spans="1:8" ht="47.25" x14ac:dyDescent="0.25">
      <c r="A361" s="58" t="s">
        <v>1384</v>
      </c>
      <c r="B361" s="194" t="s">
        <v>156</v>
      </c>
      <c r="C361" s="7"/>
      <c r="D361" s="194"/>
      <c r="E361" s="194"/>
      <c r="F361" s="194"/>
      <c r="G361" s="59">
        <f>G363</f>
        <v>150</v>
      </c>
    </row>
    <row r="362" spans="1:8" s="203" customFormat="1" ht="36.75" customHeight="1" x14ac:dyDescent="0.25">
      <c r="A362" s="23" t="s">
        <v>1064</v>
      </c>
      <c r="B362" s="24" t="s">
        <v>1061</v>
      </c>
      <c r="C362" s="7"/>
      <c r="D362" s="7"/>
      <c r="E362" s="7"/>
      <c r="F362" s="7"/>
      <c r="G362" s="59">
        <f>G363</f>
        <v>150</v>
      </c>
      <c r="H362" s="204"/>
    </row>
    <row r="363" spans="1:8" ht="15.75" x14ac:dyDescent="0.25">
      <c r="A363" s="45" t="s">
        <v>232</v>
      </c>
      <c r="B363" s="5" t="s">
        <v>1061</v>
      </c>
      <c r="C363" s="40" t="s">
        <v>150</v>
      </c>
      <c r="D363" s="40"/>
      <c r="E363" s="40"/>
      <c r="F363" s="40"/>
      <c r="G363" s="10">
        <f>G364</f>
        <v>150</v>
      </c>
    </row>
    <row r="364" spans="1:8" ht="15.75" x14ac:dyDescent="0.25">
      <c r="A364" s="45" t="s">
        <v>775</v>
      </c>
      <c r="B364" s="5" t="s">
        <v>1061</v>
      </c>
      <c r="C364" s="40" t="s">
        <v>150</v>
      </c>
      <c r="D364" s="40" t="s">
        <v>238</v>
      </c>
      <c r="E364" s="40"/>
      <c r="F364" s="40"/>
      <c r="G364" s="10">
        <f>G365</f>
        <v>150</v>
      </c>
    </row>
    <row r="365" spans="1:8" ht="31.5" x14ac:dyDescent="0.25">
      <c r="A365" s="25" t="s">
        <v>1065</v>
      </c>
      <c r="B365" s="20" t="s">
        <v>1062</v>
      </c>
      <c r="C365" s="40" t="s">
        <v>150</v>
      </c>
      <c r="D365" s="40" t="s">
        <v>238</v>
      </c>
      <c r="E365" s="40"/>
      <c r="F365" s="40"/>
      <c r="G365" s="10">
        <f>G366</f>
        <v>150</v>
      </c>
    </row>
    <row r="366" spans="1:8" ht="15.75" x14ac:dyDescent="0.25">
      <c r="A366" s="25" t="s">
        <v>135</v>
      </c>
      <c r="B366" s="20" t="s">
        <v>1062</v>
      </c>
      <c r="C366" s="40" t="s">
        <v>150</v>
      </c>
      <c r="D366" s="40" t="s">
        <v>238</v>
      </c>
      <c r="E366" s="40" t="s">
        <v>132</v>
      </c>
      <c r="F366" s="40"/>
      <c r="G366" s="10">
        <f>G367</f>
        <v>150</v>
      </c>
    </row>
    <row r="367" spans="1:8" ht="47.25" x14ac:dyDescent="0.25">
      <c r="A367" s="25" t="s">
        <v>184</v>
      </c>
      <c r="B367" s="20" t="s">
        <v>1062</v>
      </c>
      <c r="C367" s="40" t="s">
        <v>150</v>
      </c>
      <c r="D367" s="40" t="s">
        <v>238</v>
      </c>
      <c r="E367" s="40" t="s">
        <v>134</v>
      </c>
      <c r="F367" s="40"/>
      <c r="G367" s="10">
        <f>'Пр.3 Рд,пр, ЦС,ВР 22'!F324</f>
        <v>150</v>
      </c>
    </row>
    <row r="368" spans="1:8" s="203" customFormat="1" ht="15.75" x14ac:dyDescent="0.25">
      <c r="A368" s="29" t="s">
        <v>148</v>
      </c>
      <c r="B368" s="20" t="s">
        <v>1062</v>
      </c>
      <c r="C368" s="40" t="s">
        <v>150</v>
      </c>
      <c r="D368" s="40" t="s">
        <v>238</v>
      </c>
      <c r="E368" s="40" t="s">
        <v>134</v>
      </c>
      <c r="F368" s="40" t="s">
        <v>641</v>
      </c>
      <c r="G368" s="10">
        <f>G367</f>
        <v>150</v>
      </c>
      <c r="H368" s="204"/>
    </row>
    <row r="369" spans="1:8" ht="45.75" customHeight="1" x14ac:dyDescent="0.25">
      <c r="A369" s="41" t="s">
        <v>1364</v>
      </c>
      <c r="B369" s="194" t="s">
        <v>162</v>
      </c>
      <c r="C369" s="7"/>
      <c r="D369" s="7"/>
      <c r="E369" s="7"/>
      <c r="F369" s="7"/>
      <c r="G369" s="59">
        <f>G370+G377+G396</f>
        <v>604</v>
      </c>
      <c r="H369" s="204">
        <v>806</v>
      </c>
    </row>
    <row r="370" spans="1:8" s="203" customFormat="1" ht="67.7" customHeight="1" x14ac:dyDescent="0.25">
      <c r="A370" s="305" t="s">
        <v>1339</v>
      </c>
      <c r="B370" s="7" t="s">
        <v>849</v>
      </c>
      <c r="C370" s="7"/>
      <c r="D370" s="8"/>
      <c r="E370" s="194"/>
      <c r="F370" s="7"/>
      <c r="G370" s="59">
        <f>G372</f>
        <v>526</v>
      </c>
      <c r="H370" s="204"/>
    </row>
    <row r="371" spans="1:8" s="203" customFormat="1" ht="15.75" customHeight="1" x14ac:dyDescent="0.25">
      <c r="A371" s="45" t="s">
        <v>117</v>
      </c>
      <c r="B371" s="5" t="s">
        <v>849</v>
      </c>
      <c r="C371" s="40" t="s">
        <v>118</v>
      </c>
      <c r="D371" s="5"/>
      <c r="E371" s="5"/>
      <c r="F371" s="40"/>
      <c r="G371" s="10">
        <f t="shared" ref="G371" si="32">G372</f>
        <v>526</v>
      </c>
      <c r="H371" s="204"/>
    </row>
    <row r="372" spans="1:8" s="203" customFormat="1" ht="45.75" customHeight="1" x14ac:dyDescent="0.25">
      <c r="A372" s="29" t="s">
        <v>149</v>
      </c>
      <c r="B372" s="5" t="s">
        <v>849</v>
      </c>
      <c r="C372" s="40" t="s">
        <v>118</v>
      </c>
      <c r="D372" s="9" t="s">
        <v>150</v>
      </c>
      <c r="E372" s="5"/>
      <c r="F372" s="40"/>
      <c r="G372" s="10">
        <f>G373</f>
        <v>526</v>
      </c>
      <c r="H372" s="204"/>
    </row>
    <row r="373" spans="1:8" s="203" customFormat="1" ht="62.45" customHeight="1" x14ac:dyDescent="0.25">
      <c r="A373" s="29" t="s">
        <v>1308</v>
      </c>
      <c r="B373" s="40" t="s">
        <v>841</v>
      </c>
      <c r="C373" s="40" t="s">
        <v>118</v>
      </c>
      <c r="D373" s="9" t="s">
        <v>150</v>
      </c>
      <c r="E373" s="40"/>
      <c r="F373" s="40"/>
      <c r="G373" s="10">
        <f t="shared" ref="G373:G374" si="33">G374</f>
        <v>526</v>
      </c>
      <c r="H373" s="204"/>
    </row>
    <row r="374" spans="1:8" s="203" customFormat="1" ht="34.5" customHeight="1" x14ac:dyDescent="0.25">
      <c r="A374" s="29" t="s">
        <v>131</v>
      </c>
      <c r="B374" s="40" t="s">
        <v>841</v>
      </c>
      <c r="C374" s="40" t="s">
        <v>118</v>
      </c>
      <c r="D374" s="9" t="s">
        <v>150</v>
      </c>
      <c r="E374" s="40" t="s">
        <v>132</v>
      </c>
      <c r="F374" s="40"/>
      <c r="G374" s="10">
        <f t="shared" si="33"/>
        <v>526</v>
      </c>
      <c r="H374" s="204"/>
    </row>
    <row r="375" spans="1:8" s="203" customFormat="1" ht="36" customHeight="1" x14ac:dyDescent="0.25">
      <c r="A375" s="29" t="s">
        <v>133</v>
      </c>
      <c r="B375" s="40" t="s">
        <v>841</v>
      </c>
      <c r="C375" s="40" t="s">
        <v>118</v>
      </c>
      <c r="D375" s="9" t="s">
        <v>150</v>
      </c>
      <c r="E375" s="40" t="s">
        <v>134</v>
      </c>
      <c r="F375" s="40"/>
      <c r="G375" s="10">
        <f>'Пр.3 Рд,пр, ЦС,ВР 22'!F88</f>
        <v>526</v>
      </c>
      <c r="H375" s="204"/>
    </row>
    <row r="376" spans="1:8" s="203" customFormat="1" ht="20.25" customHeight="1" x14ac:dyDescent="0.25">
      <c r="A376" s="29" t="s">
        <v>148</v>
      </c>
      <c r="B376" s="40" t="s">
        <v>841</v>
      </c>
      <c r="C376" s="40" t="s">
        <v>118</v>
      </c>
      <c r="D376" s="9" t="s">
        <v>150</v>
      </c>
      <c r="E376" s="40" t="s">
        <v>134</v>
      </c>
      <c r="F376" s="40" t="s">
        <v>641</v>
      </c>
      <c r="G376" s="10">
        <f>G375</f>
        <v>526</v>
      </c>
      <c r="H376" s="204"/>
    </row>
    <row r="377" spans="1:8" s="203" customFormat="1" ht="63" customHeight="1" x14ac:dyDescent="0.25">
      <c r="A377" s="220" t="s">
        <v>843</v>
      </c>
      <c r="B377" s="7" t="s">
        <v>850</v>
      </c>
      <c r="C377" s="7"/>
      <c r="D377" s="8"/>
      <c r="E377" s="194"/>
      <c r="F377" s="7"/>
      <c r="G377" s="59">
        <f>G378</f>
        <v>77.5</v>
      </c>
      <c r="H377" s="204"/>
    </row>
    <row r="378" spans="1:8" ht="15.75" x14ac:dyDescent="0.25">
      <c r="A378" s="45" t="s">
        <v>117</v>
      </c>
      <c r="B378" s="5" t="s">
        <v>850</v>
      </c>
      <c r="C378" s="40" t="s">
        <v>118</v>
      </c>
      <c r="D378" s="5"/>
      <c r="E378" s="5"/>
      <c r="F378" s="40"/>
      <c r="G378" s="10">
        <f>G379+G384</f>
        <v>77.5</v>
      </c>
    </row>
    <row r="379" spans="1:8" s="203" customFormat="1" ht="47.25" x14ac:dyDescent="0.25">
      <c r="A379" s="25" t="s">
        <v>575</v>
      </c>
      <c r="B379" s="5" t="s">
        <v>850</v>
      </c>
      <c r="C379" s="40" t="s">
        <v>118</v>
      </c>
      <c r="D379" s="9" t="s">
        <v>213</v>
      </c>
      <c r="E379" s="5"/>
      <c r="F379" s="40"/>
      <c r="G379" s="10">
        <f>G380</f>
        <v>0.5</v>
      </c>
      <c r="H379" s="204"/>
    </row>
    <row r="380" spans="1:8" s="203" customFormat="1" ht="47.25" x14ac:dyDescent="0.25">
      <c r="A380" s="31" t="s">
        <v>695</v>
      </c>
      <c r="B380" s="40" t="s">
        <v>993</v>
      </c>
      <c r="C380" s="20" t="s">
        <v>118</v>
      </c>
      <c r="D380" s="9" t="s">
        <v>213</v>
      </c>
      <c r="E380" s="5"/>
      <c r="F380" s="40"/>
      <c r="G380" s="10">
        <f>G381</f>
        <v>0.5</v>
      </c>
      <c r="H380" s="204"/>
    </row>
    <row r="381" spans="1:8" s="203" customFormat="1" ht="31.5" x14ac:dyDescent="0.25">
      <c r="A381" s="25" t="s">
        <v>131</v>
      </c>
      <c r="B381" s="40" t="s">
        <v>696</v>
      </c>
      <c r="C381" s="20" t="s">
        <v>118</v>
      </c>
      <c r="D381" s="9" t="s">
        <v>213</v>
      </c>
      <c r="E381" s="5">
        <v>200</v>
      </c>
      <c r="F381" s="40"/>
      <c r="G381" s="10">
        <f>G382</f>
        <v>0.5</v>
      </c>
      <c r="H381" s="204"/>
    </row>
    <row r="382" spans="1:8" s="203" customFormat="1" ht="31.5" x14ac:dyDescent="0.25">
      <c r="A382" s="25" t="s">
        <v>133</v>
      </c>
      <c r="B382" s="40" t="s">
        <v>696</v>
      </c>
      <c r="C382" s="20" t="s">
        <v>118</v>
      </c>
      <c r="D382" s="9" t="s">
        <v>213</v>
      </c>
      <c r="E382" s="5">
        <v>240</v>
      </c>
      <c r="F382" s="40"/>
      <c r="G382" s="10">
        <f>'Пр.4 ведом.22'!G47</f>
        <v>0.5</v>
      </c>
      <c r="H382" s="204"/>
    </row>
    <row r="383" spans="1:8" s="203" customFormat="1" ht="15.75" x14ac:dyDescent="0.25">
      <c r="A383" s="25" t="s">
        <v>148</v>
      </c>
      <c r="B383" s="40" t="s">
        <v>696</v>
      </c>
      <c r="C383" s="20" t="s">
        <v>118</v>
      </c>
      <c r="D383" s="9" t="s">
        <v>213</v>
      </c>
      <c r="E383" s="5">
        <v>240</v>
      </c>
      <c r="F383" s="40" t="s">
        <v>641</v>
      </c>
      <c r="G383" s="10">
        <f>G380</f>
        <v>0.5</v>
      </c>
      <c r="H383" s="204"/>
    </row>
    <row r="384" spans="1:8" s="203" customFormat="1" ht="63" x14ac:dyDescent="0.25">
      <c r="A384" s="29" t="s">
        <v>149</v>
      </c>
      <c r="B384" s="5" t="s">
        <v>850</v>
      </c>
      <c r="C384" s="40" t="s">
        <v>118</v>
      </c>
      <c r="D384" s="9" t="s">
        <v>150</v>
      </c>
      <c r="E384" s="5"/>
      <c r="F384" s="40"/>
      <c r="G384" s="10">
        <f>G385</f>
        <v>77</v>
      </c>
      <c r="H384" s="204"/>
    </row>
    <row r="385" spans="1:8" ht="47.25" x14ac:dyDescent="0.25">
      <c r="A385" s="174" t="s">
        <v>165</v>
      </c>
      <c r="B385" s="40" t="s">
        <v>842</v>
      </c>
      <c r="C385" s="40" t="s">
        <v>118</v>
      </c>
      <c r="D385" s="9" t="s">
        <v>150</v>
      </c>
      <c r="E385" s="40"/>
      <c r="F385" s="40"/>
      <c r="G385" s="10">
        <f>G386+G389</f>
        <v>77</v>
      </c>
    </row>
    <row r="386" spans="1:8" s="203" customFormat="1" ht="78.75" x14ac:dyDescent="0.25">
      <c r="A386" s="25" t="s">
        <v>127</v>
      </c>
      <c r="B386" s="40" t="s">
        <v>842</v>
      </c>
      <c r="C386" s="40" t="s">
        <v>118</v>
      </c>
      <c r="D386" s="9" t="s">
        <v>150</v>
      </c>
      <c r="E386" s="40" t="s">
        <v>128</v>
      </c>
      <c r="F386" s="40"/>
      <c r="G386" s="10">
        <f>G387</f>
        <v>37.200000000000003</v>
      </c>
      <c r="H386" s="204"/>
    </row>
    <row r="387" spans="1:8" s="203" customFormat="1" ht="31.5" x14ac:dyDescent="0.25">
      <c r="A387" s="25" t="s">
        <v>129</v>
      </c>
      <c r="B387" s="40" t="s">
        <v>842</v>
      </c>
      <c r="C387" s="40" t="s">
        <v>118</v>
      </c>
      <c r="D387" s="9" t="s">
        <v>150</v>
      </c>
      <c r="E387" s="40" t="s">
        <v>130</v>
      </c>
      <c r="F387" s="40"/>
      <c r="G387" s="10">
        <f>'Пр.3 Рд,пр, ЦС,ВР 22'!F92</f>
        <v>37.200000000000003</v>
      </c>
      <c r="H387" s="204"/>
    </row>
    <row r="388" spans="1:8" s="203" customFormat="1" ht="24" customHeight="1" x14ac:dyDescent="0.25">
      <c r="A388" s="29" t="s">
        <v>1322</v>
      </c>
      <c r="B388" s="40" t="s">
        <v>842</v>
      </c>
      <c r="C388" s="40" t="s">
        <v>118</v>
      </c>
      <c r="D388" s="9" t="s">
        <v>150</v>
      </c>
      <c r="E388" s="40" t="s">
        <v>130</v>
      </c>
      <c r="F388" s="40" t="s">
        <v>641</v>
      </c>
      <c r="G388" s="10">
        <f>G387</f>
        <v>37.200000000000003</v>
      </c>
      <c r="H388" s="204"/>
    </row>
    <row r="389" spans="1:8" s="203" customFormat="1" ht="31.5" x14ac:dyDescent="0.25">
      <c r="A389" s="25" t="s">
        <v>131</v>
      </c>
      <c r="B389" s="40" t="s">
        <v>842</v>
      </c>
      <c r="C389" s="40" t="s">
        <v>118</v>
      </c>
      <c r="D389" s="9" t="s">
        <v>150</v>
      </c>
      <c r="E389" s="40" t="s">
        <v>132</v>
      </c>
      <c r="F389" s="40"/>
      <c r="G389" s="10">
        <f>G390</f>
        <v>39.799999999999997</v>
      </c>
      <c r="H389" s="204"/>
    </row>
    <row r="390" spans="1:8" s="203" customFormat="1" ht="31.5" x14ac:dyDescent="0.25">
      <c r="A390" s="25" t="s">
        <v>133</v>
      </c>
      <c r="B390" s="40" t="s">
        <v>842</v>
      </c>
      <c r="C390" s="40" t="s">
        <v>118</v>
      </c>
      <c r="D390" s="9" t="s">
        <v>150</v>
      </c>
      <c r="E390" s="40" t="s">
        <v>134</v>
      </c>
      <c r="F390" s="40"/>
      <c r="G390" s="10">
        <f>'Пр.3 Рд,пр, ЦС,ВР 22'!F94</f>
        <v>39.799999999999997</v>
      </c>
      <c r="H390" s="204"/>
    </row>
    <row r="391" spans="1:8" s="203" customFormat="1" ht="22.7" customHeight="1" x14ac:dyDescent="0.25">
      <c r="A391" s="29" t="s">
        <v>148</v>
      </c>
      <c r="B391" s="40" t="s">
        <v>842</v>
      </c>
      <c r="C391" s="40" t="s">
        <v>118</v>
      </c>
      <c r="D391" s="9" t="s">
        <v>150</v>
      </c>
      <c r="E391" s="40" t="s">
        <v>134</v>
      </c>
      <c r="F391" s="40" t="s">
        <v>641</v>
      </c>
      <c r="G391" s="10">
        <f>G390</f>
        <v>39.799999999999997</v>
      </c>
      <c r="H391" s="204"/>
    </row>
    <row r="392" spans="1:8" s="203" customFormat="1" ht="47.25" hidden="1" x14ac:dyDescent="0.25">
      <c r="A392" s="31" t="s">
        <v>695</v>
      </c>
      <c r="B392" s="40" t="s">
        <v>993</v>
      </c>
      <c r="C392" s="40" t="s">
        <v>118</v>
      </c>
      <c r="D392" s="9" t="s">
        <v>150</v>
      </c>
      <c r="E392" s="5"/>
      <c r="F392" s="40"/>
      <c r="G392" s="10">
        <f>G393</f>
        <v>0</v>
      </c>
      <c r="H392" s="204"/>
    </row>
    <row r="393" spans="1:8" s="203" customFormat="1" ht="31.5" hidden="1" x14ac:dyDescent="0.25">
      <c r="A393" s="25" t="s">
        <v>131</v>
      </c>
      <c r="B393" s="40" t="s">
        <v>993</v>
      </c>
      <c r="C393" s="40" t="s">
        <v>118</v>
      </c>
      <c r="D393" s="9" t="s">
        <v>150</v>
      </c>
      <c r="E393" s="5">
        <v>200</v>
      </c>
      <c r="F393" s="40"/>
      <c r="G393" s="10">
        <f>G394</f>
        <v>0</v>
      </c>
      <c r="H393" s="204"/>
    </row>
    <row r="394" spans="1:8" s="203" customFormat="1" ht="31.5" hidden="1" x14ac:dyDescent="0.25">
      <c r="A394" s="25" t="s">
        <v>133</v>
      </c>
      <c r="B394" s="40" t="s">
        <v>993</v>
      </c>
      <c r="C394" s="40" t="s">
        <v>118</v>
      </c>
      <c r="D394" s="9" t="s">
        <v>150</v>
      </c>
      <c r="E394" s="5">
        <v>240</v>
      </c>
      <c r="F394" s="40"/>
      <c r="G394" s="10">
        <f>'Пр.4 ведом.22'!G98</f>
        <v>0</v>
      </c>
      <c r="H394" s="204"/>
    </row>
    <row r="395" spans="1:8" s="203" customFormat="1" ht="21.2" hidden="1" customHeight="1" x14ac:dyDescent="0.25">
      <c r="A395" s="29" t="s">
        <v>148</v>
      </c>
      <c r="B395" s="40" t="s">
        <v>993</v>
      </c>
      <c r="C395" s="40" t="s">
        <v>118</v>
      </c>
      <c r="D395" s="9" t="s">
        <v>150</v>
      </c>
      <c r="E395" s="5">
        <v>240</v>
      </c>
      <c r="F395" s="40" t="s">
        <v>641</v>
      </c>
      <c r="G395" s="10">
        <f>G394</f>
        <v>0</v>
      </c>
      <c r="H395" s="204"/>
    </row>
    <row r="396" spans="1:8" s="203" customFormat="1" ht="63" x14ac:dyDescent="0.25">
      <c r="A396" s="221" t="s">
        <v>1003</v>
      </c>
      <c r="B396" s="7" t="s">
        <v>851</v>
      </c>
      <c r="C396" s="7"/>
      <c r="D396" s="8"/>
      <c r="E396" s="7"/>
      <c r="F396" s="7"/>
      <c r="G396" s="59">
        <f>G397</f>
        <v>0.5</v>
      </c>
      <c r="H396" s="204"/>
    </row>
    <row r="397" spans="1:8" s="203" customFormat="1" ht="15.75" x14ac:dyDescent="0.25">
      <c r="A397" s="45" t="s">
        <v>117</v>
      </c>
      <c r="B397" s="40" t="s">
        <v>851</v>
      </c>
      <c r="C397" s="40" t="s">
        <v>118</v>
      </c>
      <c r="D397" s="9"/>
      <c r="E397" s="7"/>
      <c r="F397" s="7"/>
      <c r="G397" s="10">
        <f>G398</f>
        <v>0.5</v>
      </c>
      <c r="H397" s="204"/>
    </row>
    <row r="398" spans="1:8" s="203" customFormat="1" ht="63" x14ac:dyDescent="0.25">
      <c r="A398" s="29" t="s">
        <v>149</v>
      </c>
      <c r="B398" s="40" t="s">
        <v>851</v>
      </c>
      <c r="C398" s="40" t="s">
        <v>118</v>
      </c>
      <c r="D398" s="9" t="s">
        <v>150</v>
      </c>
      <c r="E398" s="7"/>
      <c r="F398" s="7"/>
      <c r="G398" s="10">
        <f>G399</f>
        <v>0.5</v>
      </c>
      <c r="H398" s="204"/>
    </row>
    <row r="399" spans="1:8" s="203" customFormat="1" ht="47.25" x14ac:dyDescent="0.25">
      <c r="A399" s="33" t="s">
        <v>191</v>
      </c>
      <c r="B399" s="40" t="s">
        <v>844</v>
      </c>
      <c r="C399" s="40" t="s">
        <v>118</v>
      </c>
      <c r="D399" s="9" t="s">
        <v>150</v>
      </c>
      <c r="E399" s="40"/>
      <c r="F399" s="40"/>
      <c r="G399" s="10">
        <f>G400</f>
        <v>0.5</v>
      </c>
      <c r="H399" s="204"/>
    </row>
    <row r="400" spans="1:8" s="203" customFormat="1" ht="31.5" x14ac:dyDescent="0.25">
      <c r="A400" s="25" t="s">
        <v>131</v>
      </c>
      <c r="B400" s="40" t="s">
        <v>844</v>
      </c>
      <c r="C400" s="40" t="s">
        <v>118</v>
      </c>
      <c r="D400" s="9" t="s">
        <v>150</v>
      </c>
      <c r="E400" s="40" t="s">
        <v>132</v>
      </c>
      <c r="F400" s="40"/>
      <c r="G400" s="10">
        <f>G401</f>
        <v>0.5</v>
      </c>
      <c r="H400" s="204"/>
    </row>
    <row r="401" spans="1:8" s="203" customFormat="1" ht="31.5" x14ac:dyDescent="0.25">
      <c r="A401" s="25" t="s">
        <v>133</v>
      </c>
      <c r="B401" s="40" t="s">
        <v>844</v>
      </c>
      <c r="C401" s="40" t="s">
        <v>118</v>
      </c>
      <c r="D401" s="9" t="s">
        <v>150</v>
      </c>
      <c r="E401" s="40" t="s">
        <v>134</v>
      </c>
      <c r="F401" s="40"/>
      <c r="G401" s="10">
        <f>'Пр.3 Рд,пр, ЦС,ВР 22'!F101</f>
        <v>0.5</v>
      </c>
      <c r="H401" s="204"/>
    </row>
    <row r="402" spans="1:8" s="203" customFormat="1" ht="21.75" customHeight="1" x14ac:dyDescent="0.25">
      <c r="A402" s="29" t="s">
        <v>148</v>
      </c>
      <c r="B402" s="40" t="s">
        <v>844</v>
      </c>
      <c r="C402" s="40" t="s">
        <v>118</v>
      </c>
      <c r="D402" s="9" t="s">
        <v>150</v>
      </c>
      <c r="E402" s="40" t="s">
        <v>134</v>
      </c>
      <c r="F402" s="40" t="s">
        <v>641</v>
      </c>
      <c r="G402" s="10">
        <f>G401</f>
        <v>0.5</v>
      </c>
      <c r="H402" s="204"/>
    </row>
    <row r="403" spans="1:8" ht="70.5" customHeight="1" x14ac:dyDescent="0.25">
      <c r="A403" s="41" t="s">
        <v>1346</v>
      </c>
      <c r="B403" s="194" t="s">
        <v>254</v>
      </c>
      <c r="C403" s="40"/>
      <c r="D403" s="40"/>
      <c r="E403" s="40"/>
      <c r="F403" s="40"/>
      <c r="G403" s="59">
        <f t="shared" ref="G403" si="34">G405</f>
        <v>10</v>
      </c>
      <c r="H403" s="204">
        <v>10</v>
      </c>
    </row>
    <row r="404" spans="1:8" s="203" customFormat="1" ht="54" customHeight="1" x14ac:dyDescent="0.25">
      <c r="A404" s="23" t="s">
        <v>884</v>
      </c>
      <c r="B404" s="24" t="s">
        <v>882</v>
      </c>
      <c r="C404" s="40"/>
      <c r="D404" s="40"/>
      <c r="E404" s="40"/>
      <c r="F404" s="40"/>
      <c r="G404" s="59">
        <f>G405</f>
        <v>10</v>
      </c>
      <c r="H404" s="204"/>
    </row>
    <row r="405" spans="1:8" ht="15.75" x14ac:dyDescent="0.25">
      <c r="A405" s="29" t="s">
        <v>243</v>
      </c>
      <c r="B405" s="5" t="s">
        <v>882</v>
      </c>
      <c r="C405" s="40" t="s">
        <v>244</v>
      </c>
      <c r="D405" s="40"/>
      <c r="E405" s="40"/>
      <c r="F405" s="40"/>
      <c r="G405" s="10">
        <f>G406</f>
        <v>10</v>
      </c>
    </row>
    <row r="406" spans="1:8" ht="22.7" customHeight="1" x14ac:dyDescent="0.25">
      <c r="A406" s="29" t="s">
        <v>252</v>
      </c>
      <c r="B406" s="5" t="s">
        <v>882</v>
      </c>
      <c r="C406" s="40" t="s">
        <v>244</v>
      </c>
      <c r="D406" s="40" t="s">
        <v>215</v>
      </c>
      <c r="E406" s="40"/>
      <c r="F406" s="40"/>
      <c r="G406" s="10">
        <f>G407</f>
        <v>10</v>
      </c>
    </row>
    <row r="407" spans="1:8" ht="31.5" x14ac:dyDescent="0.25">
      <c r="A407" s="25" t="s">
        <v>883</v>
      </c>
      <c r="B407" s="20" t="s">
        <v>1188</v>
      </c>
      <c r="C407" s="40" t="s">
        <v>244</v>
      </c>
      <c r="D407" s="40" t="s">
        <v>215</v>
      </c>
      <c r="E407" s="40"/>
      <c r="F407" s="40"/>
      <c r="G407" s="10">
        <f t="shared" ref="G407:G408" si="35">G408</f>
        <v>10</v>
      </c>
    </row>
    <row r="408" spans="1:8" ht="21.75" customHeight="1" x14ac:dyDescent="0.25">
      <c r="A408" s="25" t="s">
        <v>248</v>
      </c>
      <c r="B408" s="20" t="s">
        <v>1188</v>
      </c>
      <c r="C408" s="40" t="s">
        <v>244</v>
      </c>
      <c r="D408" s="40" t="s">
        <v>215</v>
      </c>
      <c r="E408" s="40" t="s">
        <v>249</v>
      </c>
      <c r="F408" s="40"/>
      <c r="G408" s="10">
        <f t="shared" si="35"/>
        <v>10</v>
      </c>
    </row>
    <row r="409" spans="1:8" ht="31.7" customHeight="1" x14ac:dyDescent="0.25">
      <c r="A409" s="25" t="s">
        <v>250</v>
      </c>
      <c r="B409" s="20" t="s">
        <v>1188</v>
      </c>
      <c r="C409" s="40" t="s">
        <v>244</v>
      </c>
      <c r="D409" s="40" t="s">
        <v>215</v>
      </c>
      <c r="E409" s="40" t="s">
        <v>251</v>
      </c>
      <c r="F409" s="40"/>
      <c r="G409" s="10">
        <f>'Пр.4 ведом.22'!G231</f>
        <v>10</v>
      </c>
    </row>
    <row r="410" spans="1:8" ht="22.7" customHeight="1" x14ac:dyDescent="0.25">
      <c r="A410" s="29" t="s">
        <v>148</v>
      </c>
      <c r="B410" s="20" t="s">
        <v>1188</v>
      </c>
      <c r="C410" s="40" t="s">
        <v>244</v>
      </c>
      <c r="D410" s="40" t="s">
        <v>215</v>
      </c>
      <c r="E410" s="40" t="s">
        <v>251</v>
      </c>
      <c r="F410" s="40" t="s">
        <v>641</v>
      </c>
      <c r="G410" s="10">
        <f>G409</f>
        <v>10</v>
      </c>
    </row>
    <row r="411" spans="1:8" ht="53.45" customHeight="1" x14ac:dyDescent="0.25">
      <c r="A411" s="41" t="s">
        <v>1369</v>
      </c>
      <c r="B411" s="3" t="s">
        <v>482</v>
      </c>
      <c r="C411" s="68"/>
      <c r="D411" s="68"/>
      <c r="E411" s="68"/>
      <c r="F411" s="68"/>
      <c r="G411" s="4">
        <f>G412+G419+G438+G449+G456+G466+G480</f>
        <v>63421.85</v>
      </c>
      <c r="H411" s="204">
        <v>49079.7</v>
      </c>
    </row>
    <row r="412" spans="1:8" s="203" customFormat="1" ht="31.5" x14ac:dyDescent="0.25">
      <c r="A412" s="23" t="s">
        <v>937</v>
      </c>
      <c r="B412" s="24" t="s">
        <v>1263</v>
      </c>
      <c r="C412" s="7"/>
      <c r="D412" s="7"/>
      <c r="E412" s="223"/>
      <c r="F412" s="194"/>
      <c r="G412" s="59">
        <f>G413</f>
        <v>54428.95</v>
      </c>
      <c r="H412" s="204"/>
    </row>
    <row r="413" spans="1:8" ht="17.45" customHeight="1" x14ac:dyDescent="0.25">
      <c r="A413" s="29" t="s">
        <v>490</v>
      </c>
      <c r="B413" s="40" t="s">
        <v>1263</v>
      </c>
      <c r="C413" s="2">
        <v>11</v>
      </c>
      <c r="D413" s="68"/>
      <c r="E413" s="68"/>
      <c r="F413" s="68"/>
      <c r="G413" s="10">
        <f t="shared" ref="G413" si="36">G414</f>
        <v>54428.95</v>
      </c>
    </row>
    <row r="414" spans="1:8" ht="19.5" customHeight="1" x14ac:dyDescent="0.25">
      <c r="A414" s="29" t="s">
        <v>492</v>
      </c>
      <c r="B414" s="40" t="s">
        <v>1263</v>
      </c>
      <c r="C414" s="40" t="s">
        <v>491</v>
      </c>
      <c r="D414" s="40" t="s">
        <v>118</v>
      </c>
      <c r="E414" s="71"/>
      <c r="F414" s="5"/>
      <c r="G414" s="10">
        <f>G415</f>
        <v>54428.95</v>
      </c>
    </row>
    <row r="415" spans="1:8" ht="31.5" x14ac:dyDescent="0.25">
      <c r="A415" s="25" t="s">
        <v>1293</v>
      </c>
      <c r="B415" s="20" t="s">
        <v>1264</v>
      </c>
      <c r="C415" s="40" t="s">
        <v>491</v>
      </c>
      <c r="D415" s="40" t="s">
        <v>118</v>
      </c>
      <c r="E415" s="71"/>
      <c r="F415" s="5"/>
      <c r="G415" s="10">
        <f>G416</f>
        <v>54428.95</v>
      </c>
    </row>
    <row r="416" spans="1:8" ht="31.5" x14ac:dyDescent="0.25">
      <c r="A416" s="29" t="s">
        <v>272</v>
      </c>
      <c r="B416" s="20" t="s">
        <v>1264</v>
      </c>
      <c r="C416" s="40" t="s">
        <v>491</v>
      </c>
      <c r="D416" s="40" t="s">
        <v>118</v>
      </c>
      <c r="E416" s="40" t="s">
        <v>273</v>
      </c>
      <c r="F416" s="5"/>
      <c r="G416" s="10">
        <f>G417</f>
        <v>54428.95</v>
      </c>
    </row>
    <row r="417" spans="1:8" ht="15.75" x14ac:dyDescent="0.25">
      <c r="A417" s="29" t="s">
        <v>274</v>
      </c>
      <c r="B417" s="20" t="s">
        <v>1264</v>
      </c>
      <c r="C417" s="40" t="s">
        <v>491</v>
      </c>
      <c r="D417" s="40" t="s">
        <v>118</v>
      </c>
      <c r="E417" s="40" t="s">
        <v>275</v>
      </c>
      <c r="F417" s="5"/>
      <c r="G417" s="10">
        <f>'Пр.4 ведом.22'!G834</f>
        <v>54428.95</v>
      </c>
    </row>
    <row r="418" spans="1:8" s="203" customFormat="1" ht="31.5" x14ac:dyDescent="0.25">
      <c r="A418" s="45" t="s">
        <v>480</v>
      </c>
      <c r="B418" s="20" t="s">
        <v>1264</v>
      </c>
      <c r="C418" s="40" t="s">
        <v>491</v>
      </c>
      <c r="D418" s="40" t="s">
        <v>118</v>
      </c>
      <c r="E418" s="40" t="s">
        <v>275</v>
      </c>
      <c r="F418" s="5">
        <v>907</v>
      </c>
      <c r="G418" s="651">
        <f>G417</f>
        <v>54428.95</v>
      </c>
      <c r="H418" s="204"/>
    </row>
    <row r="419" spans="1:8" s="203" customFormat="1" ht="31.5" x14ac:dyDescent="0.25">
      <c r="A419" s="23" t="s">
        <v>945</v>
      </c>
      <c r="B419" s="24" t="s">
        <v>1265</v>
      </c>
      <c r="C419" s="7"/>
      <c r="D419" s="7"/>
      <c r="E419" s="7"/>
      <c r="F419" s="194"/>
      <c r="G419" s="59">
        <f>G420</f>
        <v>36</v>
      </c>
      <c r="H419" s="204"/>
    </row>
    <row r="420" spans="1:8" s="203" customFormat="1" ht="15.75" x14ac:dyDescent="0.25">
      <c r="A420" s="29" t="s">
        <v>490</v>
      </c>
      <c r="B420" s="20" t="s">
        <v>1265</v>
      </c>
      <c r="C420" s="2">
        <v>11</v>
      </c>
      <c r="D420" s="68"/>
      <c r="E420" s="68"/>
      <c r="F420" s="68"/>
      <c r="G420" s="10">
        <f>G421</f>
        <v>36</v>
      </c>
      <c r="H420" s="204"/>
    </row>
    <row r="421" spans="1:8" s="203" customFormat="1" ht="16.5" x14ac:dyDescent="0.25">
      <c r="A421" s="29" t="s">
        <v>492</v>
      </c>
      <c r="B421" s="20" t="s">
        <v>1265</v>
      </c>
      <c r="C421" s="40" t="s">
        <v>491</v>
      </c>
      <c r="D421" s="40" t="s">
        <v>118</v>
      </c>
      <c r="E421" s="71"/>
      <c r="F421" s="5"/>
      <c r="G421" s="10">
        <f>G422+G426+G430+G434</f>
        <v>36</v>
      </c>
      <c r="H421" s="204"/>
    </row>
    <row r="422" spans="1:8" ht="31.7" hidden="1" customHeight="1" x14ac:dyDescent="0.25">
      <c r="A422" s="29" t="s">
        <v>278</v>
      </c>
      <c r="B422" s="20" t="s">
        <v>1323</v>
      </c>
      <c r="C422" s="40" t="s">
        <v>491</v>
      </c>
      <c r="D422" s="40" t="s">
        <v>118</v>
      </c>
      <c r="E422" s="40"/>
      <c r="F422" s="5"/>
      <c r="G422" s="10">
        <f t="shared" ref="G422:G423" si="37">G423</f>
        <v>0</v>
      </c>
    </row>
    <row r="423" spans="1:8" ht="31.7" hidden="1" customHeight="1" x14ac:dyDescent="0.25">
      <c r="A423" s="29" t="s">
        <v>272</v>
      </c>
      <c r="B423" s="20" t="s">
        <v>1323</v>
      </c>
      <c r="C423" s="40" t="s">
        <v>491</v>
      </c>
      <c r="D423" s="40" t="s">
        <v>118</v>
      </c>
      <c r="E423" s="40" t="s">
        <v>273</v>
      </c>
      <c r="F423" s="5"/>
      <c r="G423" s="10">
        <f t="shared" si="37"/>
        <v>0</v>
      </c>
    </row>
    <row r="424" spans="1:8" ht="15.75" hidden="1" customHeight="1" x14ac:dyDescent="0.25">
      <c r="A424" s="29" t="s">
        <v>274</v>
      </c>
      <c r="B424" s="20" t="s">
        <v>1323</v>
      </c>
      <c r="C424" s="40" t="s">
        <v>491</v>
      </c>
      <c r="D424" s="40" t="s">
        <v>118</v>
      </c>
      <c r="E424" s="40" t="s">
        <v>275</v>
      </c>
      <c r="F424" s="5"/>
      <c r="G424" s="10">
        <f>'Пр.4 ведом.22'!G838</f>
        <v>0</v>
      </c>
    </row>
    <row r="425" spans="1:8" s="203" customFormat="1" ht="34.5" hidden="1" customHeight="1" x14ac:dyDescent="0.25">
      <c r="A425" s="45" t="s">
        <v>480</v>
      </c>
      <c r="B425" s="20" t="s">
        <v>1323</v>
      </c>
      <c r="C425" s="40" t="s">
        <v>491</v>
      </c>
      <c r="D425" s="40" t="s">
        <v>118</v>
      </c>
      <c r="E425" s="40" t="s">
        <v>275</v>
      </c>
      <c r="F425" s="5">
        <v>907</v>
      </c>
      <c r="G425" s="10">
        <f>G424</f>
        <v>0</v>
      </c>
      <c r="H425" s="204"/>
    </row>
    <row r="426" spans="1:8" ht="31.7" hidden="1" customHeight="1" x14ac:dyDescent="0.25">
      <c r="A426" s="29" t="s">
        <v>280</v>
      </c>
      <c r="B426" s="20" t="s">
        <v>1324</v>
      </c>
      <c r="C426" s="40" t="s">
        <v>491</v>
      </c>
      <c r="D426" s="40" t="s">
        <v>118</v>
      </c>
      <c r="E426" s="40"/>
      <c r="F426" s="5"/>
      <c r="G426" s="10">
        <f t="shared" ref="G426:G427" si="38">G427</f>
        <v>0</v>
      </c>
    </row>
    <row r="427" spans="1:8" ht="31.7" hidden="1" customHeight="1" x14ac:dyDescent="0.25">
      <c r="A427" s="29" t="s">
        <v>272</v>
      </c>
      <c r="B427" s="20" t="s">
        <v>1324</v>
      </c>
      <c r="C427" s="40" t="s">
        <v>491</v>
      </c>
      <c r="D427" s="40" t="s">
        <v>118</v>
      </c>
      <c r="E427" s="40" t="s">
        <v>273</v>
      </c>
      <c r="F427" s="5"/>
      <c r="G427" s="10">
        <f t="shared" si="38"/>
        <v>0</v>
      </c>
    </row>
    <row r="428" spans="1:8" ht="15.75" hidden="1" customHeight="1" x14ac:dyDescent="0.25">
      <c r="A428" s="29" t="s">
        <v>274</v>
      </c>
      <c r="B428" s="20" t="s">
        <v>1324</v>
      </c>
      <c r="C428" s="40" t="s">
        <v>491</v>
      </c>
      <c r="D428" s="40" t="s">
        <v>118</v>
      </c>
      <c r="E428" s="40" t="s">
        <v>275</v>
      </c>
      <c r="F428" s="5"/>
      <c r="G428" s="10">
        <f>'Пр.4 ведом.22'!G841</f>
        <v>0</v>
      </c>
    </row>
    <row r="429" spans="1:8" s="203" customFormat="1" ht="36" hidden="1" customHeight="1" x14ac:dyDescent="0.25">
      <c r="A429" s="45" t="s">
        <v>480</v>
      </c>
      <c r="B429" s="20" t="s">
        <v>1324</v>
      </c>
      <c r="C429" s="40" t="s">
        <v>491</v>
      </c>
      <c r="D429" s="40" t="s">
        <v>118</v>
      </c>
      <c r="E429" s="40" t="s">
        <v>275</v>
      </c>
      <c r="F429" s="5">
        <v>907</v>
      </c>
      <c r="G429" s="10">
        <f>G428</f>
        <v>0</v>
      </c>
      <c r="H429" s="204"/>
    </row>
    <row r="430" spans="1:8" s="203" customFormat="1" ht="15.75" customHeight="1" x14ac:dyDescent="0.25">
      <c r="A430" s="25" t="s">
        <v>830</v>
      </c>
      <c r="B430" s="20" t="s">
        <v>1266</v>
      </c>
      <c r="C430" s="40" t="s">
        <v>491</v>
      </c>
      <c r="D430" s="40" t="s">
        <v>118</v>
      </c>
      <c r="E430" s="40"/>
      <c r="F430" s="5"/>
      <c r="G430" s="10">
        <f>G431</f>
        <v>36</v>
      </c>
      <c r="H430" s="204"/>
    </row>
    <row r="431" spans="1:8" s="203" customFormat="1" ht="31.5" x14ac:dyDescent="0.25">
      <c r="A431" s="25" t="s">
        <v>272</v>
      </c>
      <c r="B431" s="20" t="s">
        <v>1266</v>
      </c>
      <c r="C431" s="40" t="s">
        <v>491</v>
      </c>
      <c r="D431" s="40" t="s">
        <v>118</v>
      </c>
      <c r="E431" s="40" t="s">
        <v>273</v>
      </c>
      <c r="F431" s="5"/>
      <c r="G431" s="10">
        <f>G432</f>
        <v>36</v>
      </c>
      <c r="H431" s="204"/>
    </row>
    <row r="432" spans="1:8" s="203" customFormat="1" ht="15.75" customHeight="1" x14ac:dyDescent="0.25">
      <c r="A432" s="25" t="s">
        <v>274</v>
      </c>
      <c r="B432" s="20" t="s">
        <v>1266</v>
      </c>
      <c r="C432" s="40" t="s">
        <v>491</v>
      </c>
      <c r="D432" s="40" t="s">
        <v>118</v>
      </c>
      <c r="E432" s="40" t="s">
        <v>275</v>
      </c>
      <c r="F432" s="5"/>
      <c r="G432" s="10">
        <f>'Пр.4 ведом.22'!G844</f>
        <v>36</v>
      </c>
      <c r="H432" s="204"/>
    </row>
    <row r="433" spans="1:8" s="203" customFormat="1" ht="33" customHeight="1" x14ac:dyDescent="0.25">
      <c r="A433" s="45" t="s">
        <v>480</v>
      </c>
      <c r="B433" s="20" t="s">
        <v>1266</v>
      </c>
      <c r="C433" s="40" t="s">
        <v>491</v>
      </c>
      <c r="D433" s="40" t="s">
        <v>118</v>
      </c>
      <c r="E433" s="40" t="s">
        <v>275</v>
      </c>
      <c r="F433" s="5">
        <v>907</v>
      </c>
      <c r="G433" s="10">
        <f>G432</f>
        <v>36</v>
      </c>
      <c r="H433" s="204"/>
    </row>
    <row r="434" spans="1:8" s="656" customFormat="1" ht="33" hidden="1" customHeight="1" x14ac:dyDescent="0.25">
      <c r="A434" s="650" t="s">
        <v>287</v>
      </c>
      <c r="B434" s="653" t="s">
        <v>1687</v>
      </c>
      <c r="C434" s="654" t="s">
        <v>491</v>
      </c>
      <c r="D434" s="654" t="s">
        <v>118</v>
      </c>
      <c r="E434" s="654"/>
      <c r="F434" s="655"/>
      <c r="G434" s="651">
        <f>G435</f>
        <v>0</v>
      </c>
    </row>
    <row r="435" spans="1:8" s="656" customFormat="1" ht="33" hidden="1" customHeight="1" x14ac:dyDescent="0.25">
      <c r="A435" s="650" t="s">
        <v>272</v>
      </c>
      <c r="B435" s="653" t="s">
        <v>1687</v>
      </c>
      <c r="C435" s="654" t="s">
        <v>491</v>
      </c>
      <c r="D435" s="654" t="s">
        <v>118</v>
      </c>
      <c r="E435" s="654" t="s">
        <v>273</v>
      </c>
      <c r="F435" s="655"/>
      <c r="G435" s="651">
        <f>G436</f>
        <v>0</v>
      </c>
    </row>
    <row r="436" spans="1:8" s="656" customFormat="1" ht="21.75" hidden="1" customHeight="1" x14ac:dyDescent="0.25">
      <c r="A436" s="650" t="s">
        <v>274</v>
      </c>
      <c r="B436" s="653" t="s">
        <v>1687</v>
      </c>
      <c r="C436" s="654" t="s">
        <v>491</v>
      </c>
      <c r="D436" s="654" t="s">
        <v>118</v>
      </c>
      <c r="E436" s="654" t="s">
        <v>275</v>
      </c>
      <c r="F436" s="655"/>
      <c r="G436" s="651">
        <f>'Пр.4 ведом.22'!G847</f>
        <v>0</v>
      </c>
    </row>
    <row r="437" spans="1:8" s="656" customFormat="1" ht="33" hidden="1" customHeight="1" x14ac:dyDescent="0.25">
      <c r="A437" s="657" t="s">
        <v>480</v>
      </c>
      <c r="B437" s="653" t="s">
        <v>1687</v>
      </c>
      <c r="C437" s="654" t="s">
        <v>491</v>
      </c>
      <c r="D437" s="654" t="s">
        <v>118</v>
      </c>
      <c r="E437" s="654" t="s">
        <v>275</v>
      </c>
      <c r="F437" s="655">
        <v>907</v>
      </c>
      <c r="G437" s="651">
        <f>G436</f>
        <v>0</v>
      </c>
    </row>
    <row r="438" spans="1:8" s="203" customFormat="1" ht="36" customHeight="1" x14ac:dyDescent="0.25">
      <c r="A438" s="23" t="s">
        <v>947</v>
      </c>
      <c r="B438" s="24" t="s">
        <v>1267</v>
      </c>
      <c r="C438" s="7"/>
      <c r="D438" s="7"/>
      <c r="E438" s="7"/>
      <c r="F438" s="194"/>
      <c r="G438" s="59">
        <f>G439</f>
        <v>1290</v>
      </c>
      <c r="H438" s="204"/>
    </row>
    <row r="439" spans="1:8" s="203" customFormat="1" ht="18" customHeight="1" x14ac:dyDescent="0.25">
      <c r="A439" s="29" t="s">
        <v>490</v>
      </c>
      <c r="B439" s="20" t="s">
        <v>1267</v>
      </c>
      <c r="C439" s="2">
        <v>11</v>
      </c>
      <c r="D439" s="68"/>
      <c r="E439" s="68"/>
      <c r="F439" s="68"/>
      <c r="G439" s="10">
        <f t="shared" ref="G439" si="39">G440</f>
        <v>1290</v>
      </c>
      <c r="H439" s="204"/>
    </row>
    <row r="440" spans="1:8" s="203" customFormat="1" ht="18" customHeight="1" x14ac:dyDescent="0.25">
      <c r="A440" s="29" t="s">
        <v>492</v>
      </c>
      <c r="B440" s="20" t="s">
        <v>1267</v>
      </c>
      <c r="C440" s="40" t="s">
        <v>491</v>
      </c>
      <c r="D440" s="40" t="s">
        <v>118</v>
      </c>
      <c r="E440" s="71"/>
      <c r="F440" s="5"/>
      <c r="G440" s="10">
        <f>G441+G445</f>
        <v>1290</v>
      </c>
      <c r="H440" s="204"/>
    </row>
    <row r="441" spans="1:8" ht="31.7" hidden="1" customHeight="1" x14ac:dyDescent="0.25">
      <c r="A441" s="29" t="s">
        <v>284</v>
      </c>
      <c r="B441" s="20" t="s">
        <v>1305</v>
      </c>
      <c r="C441" s="40" t="s">
        <v>491</v>
      </c>
      <c r="D441" s="40" t="s">
        <v>118</v>
      </c>
      <c r="E441" s="40"/>
      <c r="F441" s="5"/>
      <c r="G441" s="10">
        <f t="shared" ref="G441:G442" si="40">G442</f>
        <v>0</v>
      </c>
    </row>
    <row r="442" spans="1:8" ht="31.7" hidden="1" customHeight="1" x14ac:dyDescent="0.25">
      <c r="A442" s="29" t="s">
        <v>272</v>
      </c>
      <c r="B442" s="20" t="s">
        <v>1305</v>
      </c>
      <c r="C442" s="40" t="s">
        <v>491</v>
      </c>
      <c r="D442" s="40" t="s">
        <v>118</v>
      </c>
      <c r="E442" s="40" t="s">
        <v>273</v>
      </c>
      <c r="F442" s="5"/>
      <c r="G442" s="10">
        <f t="shared" si="40"/>
        <v>0</v>
      </c>
    </row>
    <row r="443" spans="1:8" ht="15.75" hidden="1" customHeight="1" x14ac:dyDescent="0.25">
      <c r="A443" s="29" t="s">
        <v>274</v>
      </c>
      <c r="B443" s="20" t="s">
        <v>1305</v>
      </c>
      <c r="C443" s="40" t="s">
        <v>491</v>
      </c>
      <c r="D443" s="40" t="s">
        <v>118</v>
      </c>
      <c r="E443" s="40" t="s">
        <v>275</v>
      </c>
      <c r="F443" s="5"/>
      <c r="G443" s="10">
        <f>'Пр.4 ведом.22'!G851</f>
        <v>0</v>
      </c>
    </row>
    <row r="444" spans="1:8" s="203" customFormat="1" ht="39.75" hidden="1" customHeight="1" x14ac:dyDescent="0.25">
      <c r="A444" s="45" t="s">
        <v>480</v>
      </c>
      <c r="B444" s="20" t="s">
        <v>1305</v>
      </c>
      <c r="C444" s="40" t="s">
        <v>491</v>
      </c>
      <c r="D444" s="40" t="s">
        <v>118</v>
      </c>
      <c r="E444" s="40" t="s">
        <v>275</v>
      </c>
      <c r="F444" s="5">
        <v>907</v>
      </c>
      <c r="G444" s="10">
        <f>G443</f>
        <v>0</v>
      </c>
      <c r="H444" s="204"/>
    </row>
    <row r="445" spans="1:8" ht="31.5" x14ac:dyDescent="0.25">
      <c r="A445" s="45" t="s">
        <v>764</v>
      </c>
      <c r="B445" s="20" t="s">
        <v>1268</v>
      </c>
      <c r="C445" s="40" t="s">
        <v>491</v>
      </c>
      <c r="D445" s="40" t="s">
        <v>118</v>
      </c>
      <c r="E445" s="40"/>
      <c r="F445" s="5"/>
      <c r="G445" s="10">
        <f t="shared" ref="G445:G446" si="41">G446</f>
        <v>1290</v>
      </c>
    </row>
    <row r="446" spans="1:8" ht="31.5" x14ac:dyDescent="0.25">
      <c r="A446" s="31" t="s">
        <v>272</v>
      </c>
      <c r="B446" s="20" t="s">
        <v>1268</v>
      </c>
      <c r="C446" s="40" t="s">
        <v>491</v>
      </c>
      <c r="D446" s="40" t="s">
        <v>118</v>
      </c>
      <c r="E446" s="40" t="s">
        <v>273</v>
      </c>
      <c r="F446" s="5"/>
      <c r="G446" s="10">
        <f t="shared" si="41"/>
        <v>1290</v>
      </c>
    </row>
    <row r="447" spans="1:8" ht="15.75" x14ac:dyDescent="0.25">
      <c r="A447" s="31" t="s">
        <v>274</v>
      </c>
      <c r="B447" s="20" t="s">
        <v>1268</v>
      </c>
      <c r="C447" s="40" t="s">
        <v>491</v>
      </c>
      <c r="D447" s="40" t="s">
        <v>118</v>
      </c>
      <c r="E447" s="40" t="s">
        <v>275</v>
      </c>
      <c r="F447" s="5"/>
      <c r="G447" s="10">
        <f>'Пр.4 ведом.22'!G854</f>
        <v>1290</v>
      </c>
    </row>
    <row r="448" spans="1:8" s="203" customFormat="1" ht="31.5" x14ac:dyDescent="0.25">
      <c r="A448" s="45" t="s">
        <v>480</v>
      </c>
      <c r="B448" s="20" t="s">
        <v>1268</v>
      </c>
      <c r="C448" s="40" t="s">
        <v>491</v>
      </c>
      <c r="D448" s="40" t="s">
        <v>118</v>
      </c>
      <c r="E448" s="40" t="s">
        <v>275</v>
      </c>
      <c r="F448" s="5">
        <v>907</v>
      </c>
      <c r="G448" s="10">
        <f>G447</f>
        <v>1290</v>
      </c>
      <c r="H448" s="204"/>
    </row>
    <row r="449" spans="1:8" s="203" customFormat="1" ht="47.25" x14ac:dyDescent="0.25">
      <c r="A449" s="23" t="s">
        <v>900</v>
      </c>
      <c r="B449" s="24" t="s">
        <v>1269</v>
      </c>
      <c r="C449" s="7"/>
      <c r="D449" s="7"/>
      <c r="E449" s="7"/>
      <c r="F449" s="194"/>
      <c r="G449" s="59">
        <f>G450</f>
        <v>883.9</v>
      </c>
      <c r="H449" s="204"/>
    </row>
    <row r="450" spans="1:8" s="203" customFormat="1" ht="15.75" x14ac:dyDescent="0.25">
      <c r="A450" s="29" t="s">
        <v>490</v>
      </c>
      <c r="B450" s="20" t="s">
        <v>1269</v>
      </c>
      <c r="C450" s="2">
        <v>11</v>
      </c>
      <c r="D450" s="68"/>
      <c r="E450" s="68"/>
      <c r="F450" s="68"/>
      <c r="G450" s="10">
        <f t="shared" ref="G450" si="42">G451</f>
        <v>883.9</v>
      </c>
      <c r="H450" s="204"/>
    </row>
    <row r="451" spans="1:8" s="203" customFormat="1" ht="16.5" x14ac:dyDescent="0.25">
      <c r="A451" s="29" t="s">
        <v>492</v>
      </c>
      <c r="B451" s="20" t="s">
        <v>1269</v>
      </c>
      <c r="C451" s="40" t="s">
        <v>491</v>
      </c>
      <c r="D451" s="40" t="s">
        <v>118</v>
      </c>
      <c r="E451" s="71"/>
      <c r="F451" s="5"/>
      <c r="G451" s="10">
        <f>G452</f>
        <v>883.9</v>
      </c>
      <c r="H451" s="204"/>
    </row>
    <row r="452" spans="1:8" s="203" customFormat="1" ht="94.5" x14ac:dyDescent="0.25">
      <c r="A452" s="31" t="s">
        <v>464</v>
      </c>
      <c r="B452" s="20" t="s">
        <v>1402</v>
      </c>
      <c r="C452" s="40" t="s">
        <v>491</v>
      </c>
      <c r="D452" s="40" t="s">
        <v>118</v>
      </c>
      <c r="E452" s="40"/>
      <c r="F452" s="5"/>
      <c r="G452" s="10">
        <f>G453</f>
        <v>883.9</v>
      </c>
      <c r="H452" s="204"/>
    </row>
    <row r="453" spans="1:8" s="203" customFormat="1" ht="31.5" x14ac:dyDescent="0.25">
      <c r="A453" s="25" t="s">
        <v>272</v>
      </c>
      <c r="B453" s="20" t="s">
        <v>1402</v>
      </c>
      <c r="C453" s="40" t="s">
        <v>491</v>
      </c>
      <c r="D453" s="40" t="s">
        <v>118</v>
      </c>
      <c r="E453" s="40" t="s">
        <v>273</v>
      </c>
      <c r="F453" s="5"/>
      <c r="G453" s="10">
        <f>G454</f>
        <v>883.9</v>
      </c>
      <c r="H453" s="204"/>
    </row>
    <row r="454" spans="1:8" s="203" customFormat="1" ht="15.75" x14ac:dyDescent="0.25">
      <c r="A454" s="25" t="s">
        <v>274</v>
      </c>
      <c r="B454" s="20" t="s">
        <v>1402</v>
      </c>
      <c r="C454" s="40" t="s">
        <v>491</v>
      </c>
      <c r="D454" s="40" t="s">
        <v>118</v>
      </c>
      <c r="E454" s="40" t="s">
        <v>275</v>
      </c>
      <c r="F454" s="5"/>
      <c r="G454" s="10">
        <f>'Пр.3 Рд,пр, ЦС,ВР 22'!F998</f>
        <v>883.9</v>
      </c>
      <c r="H454" s="204"/>
    </row>
    <row r="455" spans="1:8" s="203" customFormat="1" ht="31.5" x14ac:dyDescent="0.25">
      <c r="A455" s="45" t="s">
        <v>480</v>
      </c>
      <c r="B455" s="20" t="s">
        <v>1402</v>
      </c>
      <c r="C455" s="40" t="s">
        <v>491</v>
      </c>
      <c r="D455" s="40" t="s">
        <v>118</v>
      </c>
      <c r="E455" s="40" t="s">
        <v>275</v>
      </c>
      <c r="F455" s="5">
        <v>907</v>
      </c>
      <c r="G455" s="10">
        <f>G454</f>
        <v>883.9</v>
      </c>
      <c r="H455" s="204"/>
    </row>
    <row r="456" spans="1:8" s="203" customFormat="1" ht="31.5" x14ac:dyDescent="0.25">
      <c r="A456" s="58" t="s">
        <v>951</v>
      </c>
      <c r="B456" s="7" t="s">
        <v>1271</v>
      </c>
      <c r="C456" s="7"/>
      <c r="D456" s="7"/>
      <c r="E456" s="7"/>
      <c r="F456" s="194"/>
      <c r="G456" s="4">
        <f>G457</f>
        <v>2700</v>
      </c>
      <c r="H456" s="204"/>
    </row>
    <row r="457" spans="1:8" ht="15.75" x14ac:dyDescent="0.25">
      <c r="A457" s="29" t="s">
        <v>490</v>
      </c>
      <c r="B457" s="40" t="s">
        <v>1271</v>
      </c>
      <c r="C457" s="40" t="s">
        <v>491</v>
      </c>
      <c r="D457" s="40"/>
      <c r="E457" s="40"/>
      <c r="F457" s="5"/>
      <c r="G457" s="6">
        <f>G458</f>
        <v>2700</v>
      </c>
    </row>
    <row r="458" spans="1:8" ht="31.5" x14ac:dyDescent="0.25">
      <c r="A458" s="25" t="s">
        <v>500</v>
      </c>
      <c r="B458" s="40" t="s">
        <v>1271</v>
      </c>
      <c r="C458" s="40" t="s">
        <v>491</v>
      </c>
      <c r="D458" s="40" t="s">
        <v>234</v>
      </c>
      <c r="E458" s="40"/>
      <c r="F458" s="5"/>
      <c r="G458" s="6">
        <f>G459</f>
        <v>2700</v>
      </c>
    </row>
    <row r="459" spans="1:8" ht="15.75" x14ac:dyDescent="0.25">
      <c r="A459" s="29" t="s">
        <v>952</v>
      </c>
      <c r="B459" s="40" t="s">
        <v>1272</v>
      </c>
      <c r="C459" s="40" t="s">
        <v>491</v>
      </c>
      <c r="D459" s="40" t="s">
        <v>234</v>
      </c>
      <c r="E459" s="40"/>
      <c r="F459" s="5"/>
      <c r="G459" s="6">
        <f>G460+G463</f>
        <v>2700</v>
      </c>
    </row>
    <row r="460" spans="1:8" ht="78.75" x14ac:dyDescent="0.25">
      <c r="A460" s="25" t="s">
        <v>127</v>
      </c>
      <c r="B460" s="40" t="s">
        <v>1272</v>
      </c>
      <c r="C460" s="40" t="s">
        <v>491</v>
      </c>
      <c r="D460" s="40" t="s">
        <v>234</v>
      </c>
      <c r="E460" s="40" t="s">
        <v>128</v>
      </c>
      <c r="F460" s="5"/>
      <c r="G460" s="6">
        <f t="shared" ref="G460" si="43">G461</f>
        <v>2286</v>
      </c>
    </row>
    <row r="461" spans="1:8" ht="24" customHeight="1" x14ac:dyDescent="0.25">
      <c r="A461" s="25" t="s">
        <v>342</v>
      </c>
      <c r="B461" s="40" t="s">
        <v>1272</v>
      </c>
      <c r="C461" s="40" t="s">
        <v>491</v>
      </c>
      <c r="D461" s="40" t="s">
        <v>234</v>
      </c>
      <c r="E461" s="40" t="s">
        <v>209</v>
      </c>
      <c r="F461" s="5"/>
      <c r="G461" s="6">
        <f>'Пр.4 ведом.22'!G908</f>
        <v>2286</v>
      </c>
    </row>
    <row r="462" spans="1:8" s="203" customFormat="1" ht="33" customHeight="1" x14ac:dyDescent="0.25">
      <c r="A462" s="45" t="s">
        <v>480</v>
      </c>
      <c r="B462" s="40" t="s">
        <v>1272</v>
      </c>
      <c r="C462" s="40" t="s">
        <v>491</v>
      </c>
      <c r="D462" s="40" t="s">
        <v>234</v>
      </c>
      <c r="E462" s="40" t="s">
        <v>209</v>
      </c>
      <c r="F462" s="5">
        <v>907</v>
      </c>
      <c r="G462" s="10">
        <f>G461</f>
        <v>2286</v>
      </c>
      <c r="H462" s="204"/>
    </row>
    <row r="463" spans="1:8" ht="31.5" x14ac:dyDescent="0.25">
      <c r="A463" s="29" t="s">
        <v>131</v>
      </c>
      <c r="B463" s="40" t="s">
        <v>1272</v>
      </c>
      <c r="C463" s="40" t="s">
        <v>491</v>
      </c>
      <c r="D463" s="40" t="s">
        <v>234</v>
      </c>
      <c r="E463" s="40" t="s">
        <v>132</v>
      </c>
      <c r="F463" s="5"/>
      <c r="G463" s="6">
        <f t="shared" ref="G463" si="44">G464</f>
        <v>414</v>
      </c>
    </row>
    <row r="464" spans="1:8" ht="31.5" x14ac:dyDescent="0.25">
      <c r="A464" s="29" t="s">
        <v>133</v>
      </c>
      <c r="B464" s="40" t="s">
        <v>1272</v>
      </c>
      <c r="C464" s="40" t="s">
        <v>491</v>
      </c>
      <c r="D464" s="40" t="s">
        <v>234</v>
      </c>
      <c r="E464" s="40" t="s">
        <v>134</v>
      </c>
      <c r="F464" s="5"/>
      <c r="G464" s="6">
        <f>'Пр.4 ведом.22'!G910</f>
        <v>414</v>
      </c>
    </row>
    <row r="465" spans="1:8" ht="31.5" x14ac:dyDescent="0.25">
      <c r="A465" s="45" t="s">
        <v>480</v>
      </c>
      <c r="B465" s="40" t="s">
        <v>1272</v>
      </c>
      <c r="C465" s="40" t="s">
        <v>491</v>
      </c>
      <c r="D465" s="40" t="s">
        <v>234</v>
      </c>
      <c r="E465" s="40" t="s">
        <v>134</v>
      </c>
      <c r="F465" s="5">
        <v>907</v>
      </c>
      <c r="G465" s="10">
        <f>G464</f>
        <v>414</v>
      </c>
    </row>
    <row r="466" spans="1:8" s="576" customFormat="1" ht="47.25" x14ac:dyDescent="0.25">
      <c r="A466" s="494" t="s">
        <v>1668</v>
      </c>
      <c r="B466" s="495" t="s">
        <v>1666</v>
      </c>
      <c r="C466" s="573"/>
      <c r="D466" s="573"/>
      <c r="E466" s="573"/>
      <c r="F466" s="5"/>
      <c r="G466" s="59">
        <f>G467</f>
        <v>3665.9</v>
      </c>
      <c r="H466" s="578"/>
    </row>
    <row r="467" spans="1:8" s="576" customFormat="1" ht="15.75" x14ac:dyDescent="0.25">
      <c r="A467" s="29" t="s">
        <v>490</v>
      </c>
      <c r="B467" s="580" t="s">
        <v>1667</v>
      </c>
      <c r="C467" s="573" t="s">
        <v>491</v>
      </c>
      <c r="D467" s="573"/>
      <c r="E467" s="573"/>
      <c r="F467" s="5"/>
      <c r="G467" s="10">
        <f>G468</f>
        <v>3665.9</v>
      </c>
      <c r="H467" s="578"/>
    </row>
    <row r="468" spans="1:8" s="576" customFormat="1" ht="15.75" x14ac:dyDescent="0.25">
      <c r="A468" s="29" t="s">
        <v>492</v>
      </c>
      <c r="B468" s="580" t="s">
        <v>1667</v>
      </c>
      <c r="C468" s="573" t="s">
        <v>491</v>
      </c>
      <c r="D468" s="573" t="s">
        <v>118</v>
      </c>
      <c r="E468" s="573"/>
      <c r="F468" s="5"/>
      <c r="G468" s="10">
        <f>G469</f>
        <v>3665.9</v>
      </c>
      <c r="H468" s="578"/>
    </row>
    <row r="469" spans="1:8" s="576" customFormat="1" ht="47.25" x14ac:dyDescent="0.25">
      <c r="A469" s="31" t="s">
        <v>1669</v>
      </c>
      <c r="B469" s="580" t="s">
        <v>1667</v>
      </c>
      <c r="C469" s="573" t="s">
        <v>491</v>
      </c>
      <c r="D469" s="573" t="s">
        <v>118</v>
      </c>
      <c r="E469" s="573"/>
      <c r="F469" s="5"/>
      <c r="G469" s="10">
        <f>G470</f>
        <v>3665.9</v>
      </c>
      <c r="H469" s="578"/>
    </row>
    <row r="470" spans="1:8" s="576" customFormat="1" ht="31.5" x14ac:dyDescent="0.25">
      <c r="A470" s="579" t="s">
        <v>272</v>
      </c>
      <c r="B470" s="580" t="s">
        <v>1667</v>
      </c>
      <c r="C470" s="573" t="s">
        <v>491</v>
      </c>
      <c r="D470" s="573" t="s">
        <v>118</v>
      </c>
      <c r="E470" s="573" t="s">
        <v>273</v>
      </c>
      <c r="F470" s="5"/>
      <c r="G470" s="10">
        <f>G471</f>
        <v>3665.9</v>
      </c>
      <c r="H470" s="578"/>
    </row>
    <row r="471" spans="1:8" s="576" customFormat="1" ht="15.75" x14ac:dyDescent="0.25">
      <c r="A471" s="579" t="s">
        <v>274</v>
      </c>
      <c r="B471" s="580" t="s">
        <v>1667</v>
      </c>
      <c r="C471" s="573" t="s">
        <v>491</v>
      </c>
      <c r="D471" s="573" t="s">
        <v>118</v>
      </c>
      <c r="E471" s="573" t="s">
        <v>275</v>
      </c>
      <c r="F471" s="5"/>
      <c r="G471" s="10">
        <f>'Пр.4 ведом.22'!G861</f>
        <v>3665.9</v>
      </c>
      <c r="H471" s="578"/>
    </row>
    <row r="472" spans="1:8" s="576" customFormat="1" ht="31.5" x14ac:dyDescent="0.25">
      <c r="A472" s="45" t="s">
        <v>480</v>
      </c>
      <c r="B472" s="580" t="s">
        <v>1667</v>
      </c>
      <c r="C472" s="573" t="s">
        <v>491</v>
      </c>
      <c r="D472" s="573" t="s">
        <v>118</v>
      </c>
      <c r="E472" s="573" t="s">
        <v>275</v>
      </c>
      <c r="F472" s="5">
        <v>907</v>
      </c>
      <c r="G472" s="10">
        <f>G471</f>
        <v>3665.9</v>
      </c>
      <c r="H472" s="578"/>
    </row>
    <row r="473" spans="1:8" s="203" customFormat="1" ht="63" hidden="1" x14ac:dyDescent="0.25">
      <c r="A473" s="23" t="s">
        <v>1331</v>
      </c>
      <c r="B473" s="24" t="s">
        <v>1270</v>
      </c>
      <c r="C473" s="7"/>
      <c r="D473" s="7"/>
      <c r="E473" s="7"/>
      <c r="F473" s="194"/>
      <c r="G473" s="59">
        <f>G474</f>
        <v>0</v>
      </c>
      <c r="H473" s="204"/>
    </row>
    <row r="474" spans="1:8" s="203" customFormat="1" ht="15.75" hidden="1" x14ac:dyDescent="0.25">
      <c r="A474" s="29" t="s">
        <v>490</v>
      </c>
      <c r="B474" s="20" t="s">
        <v>1270</v>
      </c>
      <c r="C474" s="40" t="s">
        <v>491</v>
      </c>
      <c r="D474" s="40"/>
      <c r="E474" s="40"/>
      <c r="F474" s="5"/>
      <c r="G474" s="10">
        <f>G475</f>
        <v>0</v>
      </c>
      <c r="H474" s="204"/>
    </row>
    <row r="475" spans="1:8" s="203" customFormat="1" ht="15.75" hidden="1" x14ac:dyDescent="0.25">
      <c r="A475" s="29" t="s">
        <v>492</v>
      </c>
      <c r="B475" s="20" t="s">
        <v>1270</v>
      </c>
      <c r="C475" s="40" t="s">
        <v>491</v>
      </c>
      <c r="D475" s="40" t="s">
        <v>118</v>
      </c>
      <c r="E475" s="40"/>
      <c r="F475" s="5"/>
      <c r="G475" s="10">
        <f>G476</f>
        <v>0</v>
      </c>
      <c r="H475" s="204"/>
    </row>
    <row r="476" spans="1:8" s="203" customFormat="1" ht="47.25" hidden="1" x14ac:dyDescent="0.25">
      <c r="A476" s="25" t="s">
        <v>1193</v>
      </c>
      <c r="B476" s="20" t="s">
        <v>1325</v>
      </c>
      <c r="C476" s="40" t="s">
        <v>491</v>
      </c>
      <c r="D476" s="40" t="s">
        <v>118</v>
      </c>
      <c r="E476" s="40"/>
      <c r="F476" s="5"/>
      <c r="G476" s="10">
        <f>G477</f>
        <v>0</v>
      </c>
      <c r="H476" s="204"/>
    </row>
    <row r="477" spans="1:8" s="203" customFormat="1" ht="31.5" hidden="1" x14ac:dyDescent="0.25">
      <c r="A477" s="25" t="s">
        <v>272</v>
      </c>
      <c r="B477" s="20" t="s">
        <v>1325</v>
      </c>
      <c r="C477" s="40" t="s">
        <v>491</v>
      </c>
      <c r="D477" s="40" t="s">
        <v>118</v>
      </c>
      <c r="E477" s="40" t="s">
        <v>273</v>
      </c>
      <c r="F477" s="5"/>
      <c r="G477" s="10">
        <f>G478</f>
        <v>0</v>
      </c>
      <c r="H477" s="204"/>
    </row>
    <row r="478" spans="1:8" s="203" customFormat="1" ht="15.75" hidden="1" x14ac:dyDescent="0.25">
      <c r="A478" s="25" t="s">
        <v>274</v>
      </c>
      <c r="B478" s="20" t="s">
        <v>1325</v>
      </c>
      <c r="C478" s="40" t="s">
        <v>491</v>
      </c>
      <c r="D478" s="40" t="s">
        <v>118</v>
      </c>
      <c r="E478" s="40" t="s">
        <v>275</v>
      </c>
      <c r="F478" s="5"/>
      <c r="G478" s="10">
        <f>'Пр.4 ведом.22'!G870</f>
        <v>0</v>
      </c>
      <c r="H478" s="204"/>
    </row>
    <row r="479" spans="1:8" s="203" customFormat="1" ht="31.5" hidden="1" x14ac:dyDescent="0.25">
      <c r="A479" s="45" t="s">
        <v>480</v>
      </c>
      <c r="B479" s="20" t="s">
        <v>1325</v>
      </c>
      <c r="C479" s="40" t="s">
        <v>491</v>
      </c>
      <c r="D479" s="40" t="s">
        <v>118</v>
      </c>
      <c r="E479" s="40" t="s">
        <v>275</v>
      </c>
      <c r="F479" s="5">
        <v>907</v>
      </c>
      <c r="G479" s="10">
        <f>G473</f>
        <v>0</v>
      </c>
      <c r="H479" s="204"/>
    </row>
    <row r="480" spans="1:8" s="576" customFormat="1" ht="31.5" x14ac:dyDescent="0.25">
      <c r="A480" s="572" t="s">
        <v>1739</v>
      </c>
      <c r="B480" s="495" t="s">
        <v>1740</v>
      </c>
      <c r="C480" s="573"/>
      <c r="D480" s="573"/>
      <c r="E480" s="573"/>
      <c r="F480" s="5"/>
      <c r="G480" s="59">
        <f>G481</f>
        <v>417.1</v>
      </c>
      <c r="H480" s="578"/>
    </row>
    <row r="481" spans="1:11" s="576" customFormat="1" ht="15.75" x14ac:dyDescent="0.25">
      <c r="A481" s="29" t="s">
        <v>490</v>
      </c>
      <c r="B481" s="580" t="s">
        <v>1741</v>
      </c>
      <c r="C481" s="573" t="s">
        <v>491</v>
      </c>
      <c r="D481" s="573"/>
      <c r="E481" s="573"/>
      <c r="F481" s="5"/>
      <c r="G481" s="10">
        <f>G482</f>
        <v>417.1</v>
      </c>
      <c r="H481" s="578"/>
    </row>
    <row r="482" spans="1:11" s="576" customFormat="1" ht="15.75" x14ac:dyDescent="0.25">
      <c r="A482" s="29" t="s">
        <v>492</v>
      </c>
      <c r="B482" s="580" t="s">
        <v>1741</v>
      </c>
      <c r="C482" s="573" t="s">
        <v>491</v>
      </c>
      <c r="D482" s="573" t="s">
        <v>118</v>
      </c>
      <c r="E482" s="573"/>
      <c r="F482" s="5"/>
      <c r="G482" s="10">
        <f>G483</f>
        <v>417.1</v>
      </c>
      <c r="H482" s="578"/>
    </row>
    <row r="483" spans="1:11" s="576" customFormat="1" ht="31.5" x14ac:dyDescent="0.25">
      <c r="A483" s="29" t="s">
        <v>1742</v>
      </c>
      <c r="B483" s="580" t="s">
        <v>1741</v>
      </c>
      <c r="C483" s="573" t="s">
        <v>491</v>
      </c>
      <c r="D483" s="573" t="s">
        <v>118</v>
      </c>
      <c r="E483" s="573"/>
      <c r="F483" s="5"/>
      <c r="G483" s="10">
        <f>G484</f>
        <v>417.1</v>
      </c>
      <c r="H483" s="578"/>
    </row>
    <row r="484" spans="1:11" s="576" customFormat="1" ht="31.5" x14ac:dyDescent="0.25">
      <c r="A484" s="579" t="s">
        <v>272</v>
      </c>
      <c r="B484" s="580" t="s">
        <v>1741</v>
      </c>
      <c r="C484" s="573" t="s">
        <v>491</v>
      </c>
      <c r="D484" s="573" t="s">
        <v>118</v>
      </c>
      <c r="E484" s="573" t="s">
        <v>273</v>
      </c>
      <c r="F484" s="5"/>
      <c r="G484" s="10">
        <f>G485</f>
        <v>417.1</v>
      </c>
      <c r="H484" s="578"/>
    </row>
    <row r="485" spans="1:11" s="576" customFormat="1" ht="15.75" x14ac:dyDescent="0.25">
      <c r="A485" s="579" t="s">
        <v>274</v>
      </c>
      <c r="B485" s="580" t="s">
        <v>1741</v>
      </c>
      <c r="C485" s="573" t="s">
        <v>491</v>
      </c>
      <c r="D485" s="573" t="s">
        <v>118</v>
      </c>
      <c r="E485" s="573" t="s">
        <v>275</v>
      </c>
      <c r="F485" s="5"/>
      <c r="G485" s="10">
        <f>'Пр.4 ведом.22'!G866</f>
        <v>417.1</v>
      </c>
      <c r="H485" s="578"/>
    </row>
    <row r="486" spans="1:11" s="576" customFormat="1" ht="31.5" x14ac:dyDescent="0.25">
      <c r="A486" s="45" t="s">
        <v>480</v>
      </c>
      <c r="B486" s="580"/>
      <c r="C486" s="573" t="s">
        <v>491</v>
      </c>
      <c r="D486" s="573" t="s">
        <v>118</v>
      </c>
      <c r="E486" s="573" t="s">
        <v>275</v>
      </c>
      <c r="F486" s="5">
        <v>907</v>
      </c>
      <c r="G486" s="10">
        <f>G485</f>
        <v>417.1</v>
      </c>
      <c r="H486" s="578"/>
    </row>
    <row r="487" spans="1:11" ht="31.5" x14ac:dyDescent="0.25">
      <c r="A487" s="41" t="s">
        <v>1351</v>
      </c>
      <c r="B487" s="7" t="s">
        <v>267</v>
      </c>
      <c r="C487" s="72"/>
      <c r="D487" s="72"/>
      <c r="E487" s="72"/>
      <c r="F487" s="3"/>
      <c r="G487" s="59">
        <f>G488+G533+G556+G575+G596+G603+G614+G621</f>
        <v>93541.989999999991</v>
      </c>
      <c r="H487" s="205">
        <v>64965.4</v>
      </c>
      <c r="I487" s="225">
        <f>H487-G487</f>
        <v>-28576.589999999989</v>
      </c>
      <c r="J487">
        <v>90406.34</v>
      </c>
      <c r="K487" s="232">
        <f>J487-G487</f>
        <v>-3135.6499999999942</v>
      </c>
    </row>
    <row r="488" spans="1:11" s="203" customFormat="1" ht="38.25" customHeight="1" x14ac:dyDescent="0.25">
      <c r="A488" s="23" t="s">
        <v>1299</v>
      </c>
      <c r="B488" s="24" t="s">
        <v>1203</v>
      </c>
      <c r="C488" s="7"/>
      <c r="D488" s="7"/>
      <c r="E488" s="7"/>
      <c r="F488" s="3"/>
      <c r="G488" s="59">
        <f>G505+G489+G521</f>
        <v>76920.289999999994</v>
      </c>
      <c r="H488" s="204"/>
    </row>
    <row r="489" spans="1:11" s="203" customFormat="1" ht="18.75" customHeight="1" x14ac:dyDescent="0.25">
      <c r="A489" s="25" t="s">
        <v>263</v>
      </c>
      <c r="B489" s="20" t="s">
        <v>1203</v>
      </c>
      <c r="C489" s="40" t="s">
        <v>264</v>
      </c>
      <c r="D489" s="40"/>
      <c r="E489" s="40"/>
      <c r="F489" s="2"/>
      <c r="G489" s="10">
        <f>G490</f>
        <v>18323.2</v>
      </c>
      <c r="H489" s="204"/>
      <c r="J489" s="22">
        <f>G489+G534+G557+G576</f>
        <v>20253.600000000002</v>
      </c>
      <c r="K489" s="22">
        <v>16998.7</v>
      </c>
    </row>
    <row r="490" spans="1:11" s="203" customFormat="1" ht="19.5" customHeight="1" x14ac:dyDescent="0.25">
      <c r="A490" s="25" t="s">
        <v>265</v>
      </c>
      <c r="B490" s="20" t="s">
        <v>1203</v>
      </c>
      <c r="C490" s="40" t="s">
        <v>264</v>
      </c>
      <c r="D490" s="40" t="s">
        <v>215</v>
      </c>
      <c r="E490" s="40"/>
      <c r="F490" s="2"/>
      <c r="G490" s="10">
        <f>G491+G501</f>
        <v>18323.2</v>
      </c>
      <c r="H490" s="204"/>
    </row>
    <row r="491" spans="1:11" s="203" customFormat="1" ht="18" customHeight="1" x14ac:dyDescent="0.25">
      <c r="A491" s="25" t="s">
        <v>800</v>
      </c>
      <c r="B491" s="20" t="s">
        <v>1204</v>
      </c>
      <c r="C491" s="40" t="s">
        <v>264</v>
      </c>
      <c r="D491" s="40" t="s">
        <v>215</v>
      </c>
      <c r="E491" s="40"/>
      <c r="F491" s="2"/>
      <c r="G491" s="10">
        <f>G492+G495+G498</f>
        <v>18323.2</v>
      </c>
      <c r="H491" s="204"/>
    </row>
    <row r="492" spans="1:11" s="203" customFormat="1" ht="81" customHeight="1" x14ac:dyDescent="0.25">
      <c r="A492" s="25" t="s">
        <v>127</v>
      </c>
      <c r="B492" s="20" t="s">
        <v>1204</v>
      </c>
      <c r="C492" s="40" t="s">
        <v>264</v>
      </c>
      <c r="D492" s="40" t="s">
        <v>215</v>
      </c>
      <c r="E492" s="20" t="s">
        <v>128</v>
      </c>
      <c r="F492" s="2"/>
      <c r="G492" s="10">
        <f>G493</f>
        <v>16276.039999999999</v>
      </c>
      <c r="H492" s="204"/>
    </row>
    <row r="493" spans="1:11" s="203" customFormat="1" ht="20.25" customHeight="1" x14ac:dyDescent="0.25">
      <c r="A493" s="46" t="s">
        <v>342</v>
      </c>
      <c r="B493" s="20" t="s">
        <v>1204</v>
      </c>
      <c r="C493" s="40" t="s">
        <v>264</v>
      </c>
      <c r="D493" s="40" t="s">
        <v>215</v>
      </c>
      <c r="E493" s="20" t="s">
        <v>209</v>
      </c>
      <c r="F493" s="2"/>
      <c r="G493" s="10">
        <f>'Пр.4 ведом.22'!G303</f>
        <v>16276.039999999999</v>
      </c>
      <c r="H493" s="204"/>
    </row>
    <row r="494" spans="1:11" s="203" customFormat="1" ht="51.75" customHeight="1" x14ac:dyDescent="0.25">
      <c r="A494" s="45" t="s">
        <v>261</v>
      </c>
      <c r="B494" s="20" t="s">
        <v>1204</v>
      </c>
      <c r="C494" s="40" t="s">
        <v>264</v>
      </c>
      <c r="D494" s="40" t="s">
        <v>215</v>
      </c>
      <c r="E494" s="20" t="s">
        <v>209</v>
      </c>
      <c r="F494" s="2">
        <v>903</v>
      </c>
      <c r="G494" s="10">
        <f>G493</f>
        <v>16276.039999999999</v>
      </c>
      <c r="H494" s="204"/>
    </row>
    <row r="495" spans="1:11" s="203" customFormat="1" ht="38.25" customHeight="1" x14ac:dyDescent="0.25">
      <c r="A495" s="25" t="s">
        <v>131</v>
      </c>
      <c r="B495" s="20" t="s">
        <v>1204</v>
      </c>
      <c r="C495" s="40" t="s">
        <v>264</v>
      </c>
      <c r="D495" s="40" t="s">
        <v>215</v>
      </c>
      <c r="E495" s="20" t="s">
        <v>132</v>
      </c>
      <c r="F495" s="2"/>
      <c r="G495" s="10">
        <f>G496</f>
        <v>1974.16</v>
      </c>
      <c r="H495" s="204"/>
    </row>
    <row r="496" spans="1:11" s="203" customFormat="1" ht="33.75" customHeight="1" x14ac:dyDescent="0.25">
      <c r="A496" s="25" t="s">
        <v>133</v>
      </c>
      <c r="B496" s="20" t="s">
        <v>1204</v>
      </c>
      <c r="C496" s="40" t="s">
        <v>264</v>
      </c>
      <c r="D496" s="40" t="s">
        <v>215</v>
      </c>
      <c r="E496" s="20" t="s">
        <v>134</v>
      </c>
      <c r="F496" s="2"/>
      <c r="G496" s="10">
        <f>'Пр.4 ведом.22'!G305</f>
        <v>1974.16</v>
      </c>
      <c r="H496" s="204"/>
    </row>
    <row r="497" spans="1:11" s="203" customFormat="1" ht="55.5" customHeight="1" x14ac:dyDescent="0.25">
      <c r="A497" s="45" t="s">
        <v>261</v>
      </c>
      <c r="B497" s="20" t="s">
        <v>1204</v>
      </c>
      <c r="C497" s="40" t="s">
        <v>264</v>
      </c>
      <c r="D497" s="40" t="s">
        <v>215</v>
      </c>
      <c r="E497" s="20" t="s">
        <v>134</v>
      </c>
      <c r="F497" s="2">
        <v>903</v>
      </c>
      <c r="G497" s="10">
        <f>G496</f>
        <v>1974.16</v>
      </c>
      <c r="H497" s="204"/>
    </row>
    <row r="498" spans="1:11" s="203" customFormat="1" ht="19.5" customHeight="1" x14ac:dyDescent="0.25">
      <c r="A498" s="25" t="s">
        <v>135</v>
      </c>
      <c r="B498" s="20" t="s">
        <v>1204</v>
      </c>
      <c r="C498" s="40" t="s">
        <v>264</v>
      </c>
      <c r="D498" s="40" t="s">
        <v>215</v>
      </c>
      <c r="E498" s="20" t="s">
        <v>145</v>
      </c>
      <c r="F498" s="2"/>
      <c r="G498" s="10">
        <f>G499</f>
        <v>73</v>
      </c>
      <c r="H498" s="204"/>
    </row>
    <row r="499" spans="1:11" s="203" customFormat="1" ht="17.45" customHeight="1" x14ac:dyDescent="0.25">
      <c r="A499" s="25" t="s">
        <v>704</v>
      </c>
      <c r="B499" s="20" t="s">
        <v>1204</v>
      </c>
      <c r="C499" s="40" t="s">
        <v>264</v>
      </c>
      <c r="D499" s="40" t="s">
        <v>215</v>
      </c>
      <c r="E499" s="20" t="s">
        <v>138</v>
      </c>
      <c r="F499" s="2"/>
      <c r="G499" s="10">
        <f>'Пр.4 ведом.22'!G307</f>
        <v>73</v>
      </c>
      <c r="H499" s="204"/>
    </row>
    <row r="500" spans="1:11" s="203" customFormat="1" ht="56.25" customHeight="1" x14ac:dyDescent="0.25">
      <c r="A500" s="45" t="s">
        <v>261</v>
      </c>
      <c r="B500" s="20" t="s">
        <v>1204</v>
      </c>
      <c r="C500" s="40" t="s">
        <v>264</v>
      </c>
      <c r="D500" s="40" t="s">
        <v>215</v>
      </c>
      <c r="E500" s="20" t="s">
        <v>138</v>
      </c>
      <c r="F500" s="2">
        <v>903</v>
      </c>
      <c r="G500" s="10">
        <f>G499</f>
        <v>73</v>
      </c>
      <c r="H500" s="204"/>
    </row>
    <row r="501" spans="1:11" s="203" customFormat="1" ht="31.5" hidden="1" x14ac:dyDescent="0.25">
      <c r="A501" s="31" t="s">
        <v>1505</v>
      </c>
      <c r="B501" s="20" t="s">
        <v>1481</v>
      </c>
      <c r="C501" s="40" t="s">
        <v>264</v>
      </c>
      <c r="D501" s="40" t="s">
        <v>215</v>
      </c>
      <c r="E501" s="20"/>
      <c r="F501" s="2"/>
      <c r="G501" s="10">
        <f>G502</f>
        <v>0</v>
      </c>
      <c r="H501" s="204"/>
    </row>
    <row r="502" spans="1:11" s="203" customFormat="1" ht="78.75" hidden="1" x14ac:dyDescent="0.25">
      <c r="A502" s="25" t="s">
        <v>127</v>
      </c>
      <c r="B502" s="20" t="s">
        <v>1481</v>
      </c>
      <c r="C502" s="40" t="s">
        <v>264</v>
      </c>
      <c r="D502" s="40" t="s">
        <v>215</v>
      </c>
      <c r="E502" s="20" t="s">
        <v>128</v>
      </c>
      <c r="F502" s="2"/>
      <c r="G502" s="10">
        <f>G503</f>
        <v>0</v>
      </c>
      <c r="H502" s="204"/>
    </row>
    <row r="503" spans="1:11" s="203" customFormat="1" ht="15.75" hidden="1" x14ac:dyDescent="0.25">
      <c r="A503" s="25" t="s">
        <v>208</v>
      </c>
      <c r="B503" s="20" t="s">
        <v>1481</v>
      </c>
      <c r="C503" s="40" t="s">
        <v>264</v>
      </c>
      <c r="D503" s="40" t="s">
        <v>215</v>
      </c>
      <c r="E503" s="20" t="s">
        <v>209</v>
      </c>
      <c r="F503" s="2"/>
      <c r="G503" s="10">
        <f>'Пр.4 ведом.22'!G310</f>
        <v>0</v>
      </c>
      <c r="H503" s="204"/>
    </row>
    <row r="504" spans="1:11" s="203" customFormat="1" ht="47.25" hidden="1" x14ac:dyDescent="0.25">
      <c r="A504" s="45" t="s">
        <v>261</v>
      </c>
      <c r="B504" s="20" t="s">
        <v>1481</v>
      </c>
      <c r="C504" s="40" t="s">
        <v>264</v>
      </c>
      <c r="D504" s="40" t="s">
        <v>215</v>
      </c>
      <c r="E504" s="20" t="s">
        <v>209</v>
      </c>
      <c r="F504" s="2">
        <v>903</v>
      </c>
      <c r="G504" s="10">
        <f>G501</f>
        <v>0</v>
      </c>
      <c r="H504" s="204"/>
    </row>
    <row r="505" spans="1:11" ht="15.75" x14ac:dyDescent="0.25">
      <c r="A505" s="73" t="s">
        <v>298</v>
      </c>
      <c r="B505" s="20" t="s">
        <v>1203</v>
      </c>
      <c r="C505" s="40" t="s">
        <v>299</v>
      </c>
      <c r="D505" s="73"/>
      <c r="E505" s="73"/>
      <c r="F505" s="2"/>
      <c r="G505" s="10">
        <f>G506</f>
        <v>52801.84</v>
      </c>
      <c r="J505" s="22" t="e">
        <f>G505+G547+G563+G586+G597+G604+G622+#REF!</f>
        <v>#REF!</v>
      </c>
      <c r="K505">
        <f>67542.4</f>
        <v>67542.399999999994</v>
      </c>
    </row>
    <row r="506" spans="1:11" ht="15.75" x14ac:dyDescent="0.25">
      <c r="A506" s="73" t="s">
        <v>300</v>
      </c>
      <c r="B506" s="20" t="s">
        <v>1203</v>
      </c>
      <c r="C506" s="40" t="s">
        <v>299</v>
      </c>
      <c r="D506" s="40" t="s">
        <v>118</v>
      </c>
      <c r="E506" s="73"/>
      <c r="F506" s="2"/>
      <c r="G506" s="10">
        <f>G507+G517</f>
        <v>52801.84</v>
      </c>
    </row>
    <row r="507" spans="1:11" ht="15.75" x14ac:dyDescent="0.25">
      <c r="A507" s="25" t="s">
        <v>800</v>
      </c>
      <c r="B507" s="20" t="s">
        <v>1204</v>
      </c>
      <c r="C507" s="40" t="s">
        <v>299</v>
      </c>
      <c r="D507" s="40" t="s">
        <v>118</v>
      </c>
      <c r="E507" s="40"/>
      <c r="F507" s="2"/>
      <c r="G507" s="10">
        <f>G508+G511+G514</f>
        <v>52801.84</v>
      </c>
    </row>
    <row r="508" spans="1:11" ht="78.75" x14ac:dyDescent="0.25">
      <c r="A508" s="25" t="s">
        <v>127</v>
      </c>
      <c r="B508" s="20" t="s">
        <v>1204</v>
      </c>
      <c r="C508" s="40" t="s">
        <v>299</v>
      </c>
      <c r="D508" s="40" t="s">
        <v>118</v>
      </c>
      <c r="E508" s="40" t="s">
        <v>128</v>
      </c>
      <c r="F508" s="2"/>
      <c r="G508" s="10">
        <f>G509</f>
        <v>42283.78</v>
      </c>
    </row>
    <row r="509" spans="1:11" ht="15.75" x14ac:dyDescent="0.25">
      <c r="A509" s="25" t="s">
        <v>208</v>
      </c>
      <c r="B509" s="20" t="s">
        <v>1204</v>
      </c>
      <c r="C509" s="40" t="s">
        <v>299</v>
      </c>
      <c r="D509" s="40" t="s">
        <v>118</v>
      </c>
      <c r="E509" s="40" t="s">
        <v>209</v>
      </c>
      <c r="F509" s="2"/>
      <c r="G509" s="10">
        <f>'Пр.4 ведом.22'!G372</f>
        <v>42283.78</v>
      </c>
    </row>
    <row r="510" spans="1:11" s="203" customFormat="1" ht="47.25" x14ac:dyDescent="0.25">
      <c r="A510" s="45" t="s">
        <v>261</v>
      </c>
      <c r="B510" s="20" t="s">
        <v>1204</v>
      </c>
      <c r="C510" s="40" t="s">
        <v>299</v>
      </c>
      <c r="D510" s="40" t="s">
        <v>118</v>
      </c>
      <c r="E510" s="40" t="s">
        <v>209</v>
      </c>
      <c r="F510" s="2">
        <v>903</v>
      </c>
      <c r="G510" s="10">
        <f>G509</f>
        <v>42283.78</v>
      </c>
      <c r="H510" s="204"/>
    </row>
    <row r="511" spans="1:11" ht="31.5" x14ac:dyDescent="0.25">
      <c r="A511" s="25" t="s">
        <v>131</v>
      </c>
      <c r="B511" s="20" t="s">
        <v>1204</v>
      </c>
      <c r="C511" s="40" t="s">
        <v>299</v>
      </c>
      <c r="D511" s="40" t="s">
        <v>118</v>
      </c>
      <c r="E511" s="40" t="s">
        <v>132</v>
      </c>
      <c r="F511" s="2"/>
      <c r="G511" s="10">
        <f>G512</f>
        <v>10455.060000000001</v>
      </c>
    </row>
    <row r="512" spans="1:11" ht="31.5" x14ac:dyDescent="0.25">
      <c r="A512" s="25" t="s">
        <v>133</v>
      </c>
      <c r="B512" s="20" t="s">
        <v>1204</v>
      </c>
      <c r="C512" s="40" t="s">
        <v>299</v>
      </c>
      <c r="D512" s="40" t="s">
        <v>118</v>
      </c>
      <c r="E512" s="40" t="s">
        <v>134</v>
      </c>
      <c r="F512" s="2"/>
      <c r="G512" s="10">
        <f>'Пр.4 ведом.22'!G374</f>
        <v>10455.060000000001</v>
      </c>
    </row>
    <row r="513" spans="1:8" s="203" customFormat="1" ht="47.25" x14ac:dyDescent="0.25">
      <c r="A513" s="45" t="s">
        <v>261</v>
      </c>
      <c r="B513" s="20" t="s">
        <v>1204</v>
      </c>
      <c r="C513" s="40" t="s">
        <v>299</v>
      </c>
      <c r="D513" s="40" t="s">
        <v>118</v>
      </c>
      <c r="E513" s="40" t="s">
        <v>134</v>
      </c>
      <c r="F513" s="2">
        <v>903</v>
      </c>
      <c r="G513" s="10">
        <f>G512</f>
        <v>10455.060000000001</v>
      </c>
      <c r="H513" s="204"/>
    </row>
    <row r="514" spans="1:8" ht="15.75" customHeight="1" x14ac:dyDescent="0.25">
      <c r="A514" s="25" t="s">
        <v>135</v>
      </c>
      <c r="B514" s="20" t="s">
        <v>1204</v>
      </c>
      <c r="C514" s="40" t="s">
        <v>299</v>
      </c>
      <c r="D514" s="40" t="s">
        <v>118</v>
      </c>
      <c r="E514" s="40" t="s">
        <v>145</v>
      </c>
      <c r="F514" s="2"/>
      <c r="G514" s="10">
        <f>G515</f>
        <v>63</v>
      </c>
    </row>
    <row r="515" spans="1:8" ht="15.75" customHeight="1" x14ac:dyDescent="0.25">
      <c r="A515" s="25" t="s">
        <v>137</v>
      </c>
      <c r="B515" s="20" t="s">
        <v>1204</v>
      </c>
      <c r="C515" s="40" t="s">
        <v>299</v>
      </c>
      <c r="D515" s="40" t="s">
        <v>118</v>
      </c>
      <c r="E515" s="40" t="s">
        <v>138</v>
      </c>
      <c r="F515" s="2"/>
      <c r="G515" s="10">
        <f>'Пр.4 ведом.22'!G376</f>
        <v>63</v>
      </c>
    </row>
    <row r="516" spans="1:8" s="203" customFormat="1" ht="50.25" customHeight="1" x14ac:dyDescent="0.25">
      <c r="A516" s="45" t="s">
        <v>261</v>
      </c>
      <c r="B516" s="20" t="s">
        <v>1204</v>
      </c>
      <c r="C516" s="40" t="s">
        <v>299</v>
      </c>
      <c r="D516" s="40" t="s">
        <v>118</v>
      </c>
      <c r="E516" s="40" t="s">
        <v>138</v>
      </c>
      <c r="F516" s="2">
        <v>903</v>
      </c>
      <c r="G516" s="10">
        <f>G515</f>
        <v>63</v>
      </c>
      <c r="H516" s="204"/>
    </row>
    <row r="517" spans="1:8" s="203" customFormat="1" ht="31.5" hidden="1" x14ac:dyDescent="0.25">
      <c r="A517" s="31" t="s">
        <v>1505</v>
      </c>
      <c r="B517" s="20" t="s">
        <v>1481</v>
      </c>
      <c r="C517" s="40" t="s">
        <v>299</v>
      </c>
      <c r="D517" s="40" t="s">
        <v>118</v>
      </c>
      <c r="E517" s="20"/>
      <c r="F517" s="2"/>
      <c r="G517" s="10">
        <f>G518</f>
        <v>0</v>
      </c>
      <c r="H517" s="204"/>
    </row>
    <row r="518" spans="1:8" s="203" customFormat="1" ht="78.75" hidden="1" x14ac:dyDescent="0.25">
      <c r="A518" s="25" t="s">
        <v>127</v>
      </c>
      <c r="B518" s="20" t="s">
        <v>1481</v>
      </c>
      <c r="C518" s="40" t="s">
        <v>299</v>
      </c>
      <c r="D518" s="40" t="s">
        <v>118</v>
      </c>
      <c r="E518" s="20" t="s">
        <v>128</v>
      </c>
      <c r="F518" s="2"/>
      <c r="G518" s="10">
        <f>G519</f>
        <v>0</v>
      </c>
      <c r="H518" s="204"/>
    </row>
    <row r="519" spans="1:8" s="203" customFormat="1" ht="15.75" hidden="1" x14ac:dyDescent="0.25">
      <c r="A519" s="25" t="s">
        <v>208</v>
      </c>
      <c r="B519" s="20" t="s">
        <v>1481</v>
      </c>
      <c r="C519" s="40" t="s">
        <v>299</v>
      </c>
      <c r="D519" s="40" t="s">
        <v>118</v>
      </c>
      <c r="E519" s="20" t="s">
        <v>209</v>
      </c>
      <c r="F519" s="2"/>
      <c r="G519" s="10">
        <f>'Пр.4 ведом.22'!G379</f>
        <v>0</v>
      </c>
      <c r="H519" s="204"/>
    </row>
    <row r="520" spans="1:8" s="203" customFormat="1" ht="47.25" hidden="1" x14ac:dyDescent="0.25">
      <c r="A520" s="45" t="s">
        <v>261</v>
      </c>
      <c r="B520" s="20" t="s">
        <v>1481</v>
      </c>
      <c r="C520" s="40" t="s">
        <v>299</v>
      </c>
      <c r="D520" s="40" t="s">
        <v>118</v>
      </c>
      <c r="E520" s="20" t="s">
        <v>209</v>
      </c>
      <c r="F520" s="2">
        <v>903</v>
      </c>
      <c r="G520" s="10">
        <f>G517</f>
        <v>0</v>
      </c>
      <c r="H520" s="204"/>
    </row>
    <row r="521" spans="1:8" s="203" customFormat="1" ht="19.5" customHeight="1" x14ac:dyDescent="0.25">
      <c r="A521" s="25" t="s">
        <v>582</v>
      </c>
      <c r="B521" s="20" t="s">
        <v>1203</v>
      </c>
      <c r="C521" s="40" t="s">
        <v>238</v>
      </c>
      <c r="D521" s="73"/>
      <c r="E521" s="73"/>
      <c r="F521" s="2"/>
      <c r="G521" s="10">
        <f>G522</f>
        <v>5795.25</v>
      </c>
      <c r="H521" s="204"/>
    </row>
    <row r="522" spans="1:8" s="203" customFormat="1" ht="23.25" customHeight="1" x14ac:dyDescent="0.25">
      <c r="A522" s="25" t="s">
        <v>583</v>
      </c>
      <c r="B522" s="20" t="s">
        <v>1203</v>
      </c>
      <c r="C522" s="40" t="s">
        <v>238</v>
      </c>
      <c r="D522" s="40" t="s">
        <v>213</v>
      </c>
      <c r="E522" s="73"/>
      <c r="F522" s="2"/>
      <c r="G522" s="10">
        <f>G523</f>
        <v>5795.25</v>
      </c>
      <c r="H522" s="204"/>
    </row>
    <row r="523" spans="1:8" s="203" customFormat="1" ht="20.25" customHeight="1" x14ac:dyDescent="0.25">
      <c r="A523" s="25" t="s">
        <v>800</v>
      </c>
      <c r="B523" s="20" t="s">
        <v>1204</v>
      </c>
      <c r="C523" s="40" t="s">
        <v>238</v>
      </c>
      <c r="D523" s="40" t="s">
        <v>213</v>
      </c>
      <c r="E523" s="40"/>
      <c r="F523" s="2"/>
      <c r="G523" s="10">
        <f>G524+G527+G530</f>
        <v>5795.25</v>
      </c>
      <c r="H523" s="204"/>
    </row>
    <row r="524" spans="1:8" s="203" customFormat="1" ht="79.5" customHeight="1" x14ac:dyDescent="0.25">
      <c r="A524" s="25" t="s">
        <v>127</v>
      </c>
      <c r="B524" s="20" t="s">
        <v>1204</v>
      </c>
      <c r="C524" s="40" t="s">
        <v>238</v>
      </c>
      <c r="D524" s="40" t="s">
        <v>213</v>
      </c>
      <c r="E524" s="40" t="s">
        <v>128</v>
      </c>
      <c r="F524" s="2"/>
      <c r="G524" s="10">
        <f>G525</f>
        <v>4894.5</v>
      </c>
      <c r="H524" s="204"/>
    </row>
    <row r="525" spans="1:8" s="203" customFormat="1" ht="20.25" customHeight="1" x14ac:dyDescent="0.25">
      <c r="A525" s="25" t="s">
        <v>208</v>
      </c>
      <c r="B525" s="20" t="s">
        <v>1204</v>
      </c>
      <c r="C525" s="40" t="s">
        <v>238</v>
      </c>
      <c r="D525" s="40" t="s">
        <v>213</v>
      </c>
      <c r="E525" s="40" t="s">
        <v>209</v>
      </c>
      <c r="F525" s="2"/>
      <c r="G525" s="10">
        <f>'Пр.4 ведом.22'!G504</f>
        <v>4894.5</v>
      </c>
      <c r="H525" s="204"/>
    </row>
    <row r="526" spans="1:8" s="203" customFormat="1" ht="50.25" customHeight="1" x14ac:dyDescent="0.25">
      <c r="A526" s="45" t="s">
        <v>261</v>
      </c>
      <c r="B526" s="20" t="s">
        <v>1204</v>
      </c>
      <c r="C526" s="40" t="s">
        <v>238</v>
      </c>
      <c r="D526" s="40" t="s">
        <v>213</v>
      </c>
      <c r="E526" s="40" t="s">
        <v>209</v>
      </c>
      <c r="F526" s="2">
        <v>903</v>
      </c>
      <c r="G526" s="10">
        <f>G525</f>
        <v>4894.5</v>
      </c>
      <c r="H526" s="204"/>
    </row>
    <row r="527" spans="1:8" s="203" customFormat="1" ht="42.75" customHeight="1" x14ac:dyDescent="0.25">
      <c r="A527" s="25" t="s">
        <v>131</v>
      </c>
      <c r="B527" s="20" t="s">
        <v>1204</v>
      </c>
      <c r="C527" s="40" t="s">
        <v>238</v>
      </c>
      <c r="D527" s="40" t="s">
        <v>213</v>
      </c>
      <c r="E527" s="40" t="s">
        <v>132</v>
      </c>
      <c r="F527" s="2"/>
      <c r="G527" s="10">
        <f>G528</f>
        <v>890.25</v>
      </c>
      <c r="H527" s="204"/>
    </row>
    <row r="528" spans="1:8" s="203" customFormat="1" ht="36" customHeight="1" x14ac:dyDescent="0.25">
      <c r="A528" s="25" t="s">
        <v>133</v>
      </c>
      <c r="B528" s="20" t="s">
        <v>1204</v>
      </c>
      <c r="C528" s="40" t="s">
        <v>238</v>
      </c>
      <c r="D528" s="40" t="s">
        <v>213</v>
      </c>
      <c r="E528" s="40" t="s">
        <v>134</v>
      </c>
      <c r="F528" s="2"/>
      <c r="G528" s="10">
        <f>'Пр.4 ведом.22'!G506</f>
        <v>890.25</v>
      </c>
      <c r="H528" s="204"/>
    </row>
    <row r="529" spans="1:8" s="203" customFormat="1" ht="50.25" customHeight="1" x14ac:dyDescent="0.25">
      <c r="A529" s="45" t="s">
        <v>261</v>
      </c>
      <c r="B529" s="20" t="s">
        <v>1204</v>
      </c>
      <c r="C529" s="40" t="s">
        <v>238</v>
      </c>
      <c r="D529" s="40" t="s">
        <v>213</v>
      </c>
      <c r="E529" s="40" t="s">
        <v>134</v>
      </c>
      <c r="F529" s="2">
        <v>903</v>
      </c>
      <c r="G529" s="10">
        <f>G528</f>
        <v>890.25</v>
      </c>
      <c r="H529" s="204"/>
    </row>
    <row r="530" spans="1:8" s="203" customFormat="1" ht="19.5" customHeight="1" x14ac:dyDescent="0.25">
      <c r="A530" s="25" t="s">
        <v>135</v>
      </c>
      <c r="B530" s="20" t="s">
        <v>1204</v>
      </c>
      <c r="C530" s="40" t="s">
        <v>238</v>
      </c>
      <c r="D530" s="40" t="s">
        <v>213</v>
      </c>
      <c r="E530" s="40" t="s">
        <v>145</v>
      </c>
      <c r="F530" s="2"/>
      <c r="G530" s="10">
        <f>G531</f>
        <v>10.5</v>
      </c>
      <c r="H530" s="204"/>
    </row>
    <row r="531" spans="1:8" s="203" customFormat="1" ht="23.25" customHeight="1" x14ac:dyDescent="0.25">
      <c r="A531" s="25" t="s">
        <v>137</v>
      </c>
      <c r="B531" s="20" t="s">
        <v>1204</v>
      </c>
      <c r="C531" s="40" t="s">
        <v>238</v>
      </c>
      <c r="D531" s="40" t="s">
        <v>213</v>
      </c>
      <c r="E531" s="40" t="s">
        <v>138</v>
      </c>
      <c r="F531" s="2"/>
      <c r="G531" s="10">
        <f>'Пр.4 ведом.22'!G508</f>
        <v>10.5</v>
      </c>
      <c r="H531" s="204"/>
    </row>
    <row r="532" spans="1:8" s="203" customFormat="1" ht="50.25" customHeight="1" x14ac:dyDescent="0.25">
      <c r="A532" s="45" t="s">
        <v>261</v>
      </c>
      <c r="B532" s="20" t="s">
        <v>1204</v>
      </c>
      <c r="C532" s="40" t="s">
        <v>238</v>
      </c>
      <c r="D532" s="40" t="s">
        <v>213</v>
      </c>
      <c r="E532" s="40" t="s">
        <v>138</v>
      </c>
      <c r="F532" s="2">
        <v>903</v>
      </c>
      <c r="G532" s="10">
        <f>G531</f>
        <v>10.5</v>
      </c>
      <c r="H532" s="204"/>
    </row>
    <row r="533" spans="1:8" s="203" customFormat="1" ht="31.7" customHeight="1" x14ac:dyDescent="0.25">
      <c r="A533" s="217" t="s">
        <v>1301</v>
      </c>
      <c r="B533" s="24" t="s">
        <v>1205</v>
      </c>
      <c r="C533" s="7"/>
      <c r="D533" s="7"/>
      <c r="E533" s="7"/>
      <c r="F533" s="3"/>
      <c r="G533" s="59">
        <f>G534+G547</f>
        <v>572</v>
      </c>
      <c r="H533" s="204"/>
    </row>
    <row r="534" spans="1:8" s="203" customFormat="1" ht="21.2" customHeight="1" x14ac:dyDescent="0.25">
      <c r="A534" s="25" t="s">
        <v>263</v>
      </c>
      <c r="B534" s="20" t="s">
        <v>1205</v>
      </c>
      <c r="C534" s="40" t="s">
        <v>264</v>
      </c>
      <c r="D534" s="40"/>
      <c r="E534" s="40"/>
      <c r="F534" s="2"/>
      <c r="G534" s="10">
        <f>G535</f>
        <v>292</v>
      </c>
      <c r="H534" s="204"/>
    </row>
    <row r="535" spans="1:8" s="203" customFormat="1" ht="20.25" customHeight="1" x14ac:dyDescent="0.25">
      <c r="A535" s="25" t="s">
        <v>265</v>
      </c>
      <c r="B535" s="20" t="s">
        <v>1205</v>
      </c>
      <c r="C535" s="40" t="s">
        <v>264</v>
      </c>
      <c r="D535" s="40" t="s">
        <v>215</v>
      </c>
      <c r="E535" s="40"/>
      <c r="F535" s="2"/>
      <c r="G535" s="10">
        <f>G536</f>
        <v>292</v>
      </c>
      <c r="H535" s="204"/>
    </row>
    <row r="536" spans="1:8" s="203" customFormat="1" ht="30.6" customHeight="1" x14ac:dyDescent="0.25">
      <c r="A536" s="195" t="s">
        <v>799</v>
      </c>
      <c r="B536" s="20" t="s">
        <v>1206</v>
      </c>
      <c r="C536" s="40" t="s">
        <v>264</v>
      </c>
      <c r="D536" s="40" t="s">
        <v>215</v>
      </c>
      <c r="E536" s="20"/>
      <c r="F536" s="2"/>
      <c r="G536" s="10">
        <f>G537+G540</f>
        <v>292</v>
      </c>
      <c r="H536" s="204"/>
    </row>
    <row r="537" spans="1:8" s="203" customFormat="1" ht="21.2" customHeight="1" x14ac:dyDescent="0.25">
      <c r="A537" s="25" t="s">
        <v>248</v>
      </c>
      <c r="B537" s="20" t="s">
        <v>1206</v>
      </c>
      <c r="C537" s="40" t="s">
        <v>264</v>
      </c>
      <c r="D537" s="40" t="s">
        <v>215</v>
      </c>
      <c r="E537" s="20" t="s">
        <v>249</v>
      </c>
      <c r="F537" s="2"/>
      <c r="G537" s="10">
        <f>G538</f>
        <v>42</v>
      </c>
      <c r="H537" s="204"/>
    </row>
    <row r="538" spans="1:8" s="203" customFormat="1" ht="19.5" customHeight="1" x14ac:dyDescent="0.25">
      <c r="A538" s="25" t="s">
        <v>820</v>
      </c>
      <c r="B538" s="20" t="s">
        <v>1206</v>
      </c>
      <c r="C538" s="40" t="s">
        <v>264</v>
      </c>
      <c r="D538" s="40" t="s">
        <v>215</v>
      </c>
      <c r="E538" s="20" t="s">
        <v>819</v>
      </c>
      <c r="F538" s="2"/>
      <c r="G538" s="10">
        <f>'Пр.4 ведом.22'!G314</f>
        <v>42</v>
      </c>
      <c r="H538" s="204"/>
    </row>
    <row r="539" spans="1:8" s="203" customFormat="1" ht="54" customHeight="1" x14ac:dyDescent="0.25">
      <c r="A539" s="45" t="s">
        <v>261</v>
      </c>
      <c r="B539" s="20" t="s">
        <v>1206</v>
      </c>
      <c r="C539" s="40" t="s">
        <v>264</v>
      </c>
      <c r="D539" s="40" t="s">
        <v>215</v>
      </c>
      <c r="E539" s="20" t="s">
        <v>819</v>
      </c>
      <c r="F539" s="2">
        <v>903</v>
      </c>
      <c r="G539" s="10">
        <f>G538</f>
        <v>42</v>
      </c>
      <c r="H539" s="204"/>
    </row>
    <row r="540" spans="1:8" s="203" customFormat="1" ht="31.7" customHeight="1" x14ac:dyDescent="0.25">
      <c r="A540" s="31" t="s">
        <v>816</v>
      </c>
      <c r="B540" s="20" t="s">
        <v>1207</v>
      </c>
      <c r="C540" s="40" t="s">
        <v>264</v>
      </c>
      <c r="D540" s="40" t="s">
        <v>215</v>
      </c>
      <c r="E540" s="20"/>
      <c r="F540" s="2"/>
      <c r="G540" s="10">
        <f>G541+G544</f>
        <v>250</v>
      </c>
      <c r="H540" s="204"/>
    </row>
    <row r="541" spans="1:8" s="203" customFormat="1" ht="31.7" customHeight="1" x14ac:dyDescent="0.25">
      <c r="A541" s="25" t="s">
        <v>127</v>
      </c>
      <c r="B541" s="20" t="s">
        <v>1207</v>
      </c>
      <c r="C541" s="40" t="s">
        <v>264</v>
      </c>
      <c r="D541" s="40" t="s">
        <v>215</v>
      </c>
      <c r="E541" s="20" t="s">
        <v>128</v>
      </c>
      <c r="F541" s="2"/>
      <c r="G541" s="10">
        <f>G542</f>
        <v>250</v>
      </c>
      <c r="H541" s="204"/>
    </row>
    <row r="542" spans="1:8" s="203" customFormat="1" ht="21.2" customHeight="1" x14ac:dyDescent="0.25">
      <c r="A542" s="46" t="s">
        <v>342</v>
      </c>
      <c r="B542" s="20" t="s">
        <v>1207</v>
      </c>
      <c r="C542" s="40" t="s">
        <v>264</v>
      </c>
      <c r="D542" s="40" t="s">
        <v>215</v>
      </c>
      <c r="E542" s="20" t="s">
        <v>209</v>
      </c>
      <c r="F542" s="2"/>
      <c r="G542" s="10">
        <f>'Пр.4 ведом.22'!G317</f>
        <v>250</v>
      </c>
      <c r="H542" s="204"/>
    </row>
    <row r="543" spans="1:8" s="203" customFormat="1" ht="52.5" customHeight="1" x14ac:dyDescent="0.25">
      <c r="A543" s="45" t="s">
        <v>261</v>
      </c>
      <c r="B543" s="20" t="s">
        <v>1207</v>
      </c>
      <c r="C543" s="40" t="s">
        <v>264</v>
      </c>
      <c r="D543" s="40" t="s">
        <v>215</v>
      </c>
      <c r="E543" s="20" t="s">
        <v>209</v>
      </c>
      <c r="F543" s="2">
        <v>903</v>
      </c>
      <c r="G543" s="10">
        <f>G542</f>
        <v>250</v>
      </c>
      <c r="H543" s="204"/>
    </row>
    <row r="544" spans="1:8" s="203" customFormat="1" ht="31.7" hidden="1" customHeight="1" x14ac:dyDescent="0.25">
      <c r="A544" s="25" t="s">
        <v>131</v>
      </c>
      <c r="B544" s="20" t="s">
        <v>1207</v>
      </c>
      <c r="C544" s="40" t="s">
        <v>264</v>
      </c>
      <c r="D544" s="40" t="s">
        <v>215</v>
      </c>
      <c r="E544" s="20" t="s">
        <v>132</v>
      </c>
      <c r="F544" s="2"/>
      <c r="G544" s="10">
        <f>G545</f>
        <v>0</v>
      </c>
      <c r="H544" s="204"/>
    </row>
    <row r="545" spans="1:8" s="203" customFormat="1" ht="31.7" hidden="1" customHeight="1" x14ac:dyDescent="0.25">
      <c r="A545" s="25" t="s">
        <v>133</v>
      </c>
      <c r="B545" s="20" t="s">
        <v>1207</v>
      </c>
      <c r="C545" s="40" t="s">
        <v>264</v>
      </c>
      <c r="D545" s="40" t="s">
        <v>215</v>
      </c>
      <c r="E545" s="20" t="s">
        <v>134</v>
      </c>
      <c r="F545" s="2"/>
      <c r="G545" s="10">
        <f>'Пр.4 ведом.22'!G319</f>
        <v>0</v>
      </c>
      <c r="H545" s="204"/>
    </row>
    <row r="546" spans="1:8" s="203" customFormat="1" ht="55.5" hidden="1" customHeight="1" x14ac:dyDescent="0.25">
      <c r="A546" s="45" t="s">
        <v>261</v>
      </c>
      <c r="B546" s="20" t="s">
        <v>1207</v>
      </c>
      <c r="C546" s="40" t="s">
        <v>264</v>
      </c>
      <c r="D546" s="40" t="s">
        <v>215</v>
      </c>
      <c r="E546" s="20" t="s">
        <v>134</v>
      </c>
      <c r="F546" s="2">
        <v>903</v>
      </c>
      <c r="G546" s="10">
        <f>G545</f>
        <v>0</v>
      </c>
      <c r="H546" s="204"/>
    </row>
    <row r="547" spans="1:8" s="203" customFormat="1" ht="16.5" customHeight="1" x14ac:dyDescent="0.25">
      <c r="A547" s="73" t="s">
        <v>298</v>
      </c>
      <c r="B547" s="20" t="s">
        <v>1205</v>
      </c>
      <c r="C547" s="40" t="s">
        <v>299</v>
      </c>
      <c r="D547" s="73"/>
      <c r="E547" s="73"/>
      <c r="F547" s="2"/>
      <c r="G547" s="10">
        <f>G548</f>
        <v>280</v>
      </c>
      <c r="H547" s="204"/>
    </row>
    <row r="548" spans="1:8" s="203" customFormat="1" ht="16.5" customHeight="1" x14ac:dyDescent="0.25">
      <c r="A548" s="73" t="s">
        <v>300</v>
      </c>
      <c r="B548" s="20" t="s">
        <v>1205</v>
      </c>
      <c r="C548" s="40" t="s">
        <v>299</v>
      </c>
      <c r="D548" s="40" t="s">
        <v>118</v>
      </c>
      <c r="E548" s="73"/>
      <c r="F548" s="2"/>
      <c r="G548" s="10">
        <f>G549+G553</f>
        <v>280</v>
      </c>
      <c r="H548" s="204"/>
    </row>
    <row r="549" spans="1:8" s="203" customFormat="1" ht="41.25" customHeight="1" x14ac:dyDescent="0.25">
      <c r="A549" s="31" t="s">
        <v>816</v>
      </c>
      <c r="B549" s="20" t="s">
        <v>1207</v>
      </c>
      <c r="C549" s="40" t="s">
        <v>299</v>
      </c>
      <c r="D549" s="40" t="s">
        <v>118</v>
      </c>
      <c r="E549" s="40"/>
      <c r="F549" s="2"/>
      <c r="G549" s="10">
        <f>G550</f>
        <v>280</v>
      </c>
      <c r="H549" s="204"/>
    </row>
    <row r="550" spans="1:8" s="203" customFormat="1" ht="83.25" customHeight="1" x14ac:dyDescent="0.25">
      <c r="A550" s="25" t="s">
        <v>127</v>
      </c>
      <c r="B550" s="20" t="s">
        <v>1207</v>
      </c>
      <c r="C550" s="40" t="s">
        <v>299</v>
      </c>
      <c r="D550" s="40" t="s">
        <v>118</v>
      </c>
      <c r="E550" s="40" t="s">
        <v>128</v>
      </c>
      <c r="F550" s="2"/>
      <c r="G550" s="10">
        <f>G551</f>
        <v>280</v>
      </c>
      <c r="H550" s="204"/>
    </row>
    <row r="551" spans="1:8" s="203" customFormat="1" ht="15.75" customHeight="1" x14ac:dyDescent="0.25">
      <c r="A551" s="25" t="s">
        <v>208</v>
      </c>
      <c r="B551" s="20" t="s">
        <v>1207</v>
      </c>
      <c r="C551" s="40" t="s">
        <v>299</v>
      </c>
      <c r="D551" s="40" t="s">
        <v>118</v>
      </c>
      <c r="E551" s="40" t="s">
        <v>209</v>
      </c>
      <c r="F551" s="2"/>
      <c r="G551" s="10">
        <f>'Пр.3 Рд,пр, ЦС,ВР 22'!F824</f>
        <v>280</v>
      </c>
      <c r="H551" s="204"/>
    </row>
    <row r="552" spans="1:8" s="203" customFormat="1" ht="40.15" customHeight="1" x14ac:dyDescent="0.25">
      <c r="A552" s="45" t="s">
        <v>261</v>
      </c>
      <c r="B552" s="20" t="s">
        <v>1207</v>
      </c>
      <c r="C552" s="40" t="s">
        <v>299</v>
      </c>
      <c r="D552" s="40" t="s">
        <v>118</v>
      </c>
      <c r="E552" s="40" t="s">
        <v>209</v>
      </c>
      <c r="F552" s="2">
        <v>903</v>
      </c>
      <c r="G552" s="10">
        <f>G551</f>
        <v>280</v>
      </c>
      <c r="H552" s="204"/>
    </row>
    <row r="553" spans="1:8" s="203" customFormat="1" ht="40.700000000000003" hidden="1" customHeight="1" x14ac:dyDescent="0.25">
      <c r="A553" s="25" t="s">
        <v>131</v>
      </c>
      <c r="B553" s="20" t="s">
        <v>1207</v>
      </c>
      <c r="C553" s="40" t="s">
        <v>299</v>
      </c>
      <c r="D553" s="40" t="s">
        <v>118</v>
      </c>
      <c r="E553" s="40" t="s">
        <v>132</v>
      </c>
      <c r="F553" s="2"/>
      <c r="G553" s="10">
        <f>G554</f>
        <v>0</v>
      </c>
      <c r="H553" s="204"/>
    </row>
    <row r="554" spans="1:8" s="203" customFormat="1" ht="40.700000000000003" hidden="1" customHeight="1" x14ac:dyDescent="0.25">
      <c r="A554" s="25" t="s">
        <v>133</v>
      </c>
      <c r="B554" s="20" t="s">
        <v>1207</v>
      </c>
      <c r="C554" s="40" t="s">
        <v>299</v>
      </c>
      <c r="D554" s="40" t="s">
        <v>118</v>
      </c>
      <c r="E554" s="40" t="s">
        <v>134</v>
      </c>
      <c r="F554" s="2"/>
      <c r="G554" s="10">
        <f>'Пр.3 Рд,пр, ЦС,ВР 22'!F826</f>
        <v>0</v>
      </c>
      <c r="H554" s="204"/>
    </row>
    <row r="555" spans="1:8" s="203" customFormat="1" ht="46.5" hidden="1" customHeight="1" x14ac:dyDescent="0.25">
      <c r="A555" s="45" t="s">
        <v>261</v>
      </c>
      <c r="B555" s="20" t="s">
        <v>1207</v>
      </c>
      <c r="C555" s="40" t="s">
        <v>299</v>
      </c>
      <c r="D555" s="40" t="s">
        <v>118</v>
      </c>
      <c r="E555" s="40" t="s">
        <v>134</v>
      </c>
      <c r="F555" s="2">
        <v>903</v>
      </c>
      <c r="G555" s="10">
        <f>G554</f>
        <v>0</v>
      </c>
      <c r="H555" s="204"/>
    </row>
    <row r="556" spans="1:8" s="203" customFormat="1" ht="35.450000000000003" customHeight="1" x14ac:dyDescent="0.25">
      <c r="A556" s="23" t="s">
        <v>947</v>
      </c>
      <c r="B556" s="24" t="s">
        <v>1208</v>
      </c>
      <c r="C556" s="7"/>
      <c r="D556" s="7"/>
      <c r="E556" s="7"/>
      <c r="F556" s="3"/>
      <c r="G556" s="59">
        <f>G565+G558+G569</f>
        <v>1634</v>
      </c>
      <c r="H556" s="204"/>
    </row>
    <row r="557" spans="1:8" s="203" customFormat="1" ht="18" customHeight="1" x14ac:dyDescent="0.25">
      <c r="A557" s="25" t="s">
        <v>263</v>
      </c>
      <c r="B557" s="20" t="s">
        <v>1208</v>
      </c>
      <c r="C557" s="40" t="s">
        <v>264</v>
      </c>
      <c r="D557" s="40"/>
      <c r="E557" s="40"/>
      <c r="F557" s="2"/>
      <c r="G557" s="10">
        <f>G558</f>
        <v>473</v>
      </c>
      <c r="H557" s="204"/>
    </row>
    <row r="558" spans="1:8" s="203" customFormat="1" ht="22.7" customHeight="1" x14ac:dyDescent="0.25">
      <c r="A558" s="25" t="s">
        <v>265</v>
      </c>
      <c r="B558" s="20" t="s">
        <v>1208</v>
      </c>
      <c r="C558" s="40" t="s">
        <v>264</v>
      </c>
      <c r="D558" s="40" t="s">
        <v>215</v>
      </c>
      <c r="E558" s="40"/>
      <c r="F558" s="2"/>
      <c r="G558" s="10">
        <f>G559</f>
        <v>473</v>
      </c>
      <c r="H558" s="204"/>
    </row>
    <row r="559" spans="1:8" s="203" customFormat="1" ht="49.7" customHeight="1" x14ac:dyDescent="0.25">
      <c r="A559" s="25" t="s">
        <v>839</v>
      </c>
      <c r="B559" s="20" t="s">
        <v>1209</v>
      </c>
      <c r="C559" s="40" t="s">
        <v>264</v>
      </c>
      <c r="D559" s="40" t="s">
        <v>215</v>
      </c>
      <c r="E559" s="20"/>
      <c r="F559" s="2"/>
      <c r="G559" s="10">
        <f>G560</f>
        <v>473</v>
      </c>
      <c r="H559" s="204"/>
    </row>
    <row r="560" spans="1:8" s="203" customFormat="1" ht="88.5" customHeight="1" x14ac:dyDescent="0.25">
      <c r="A560" s="25" t="s">
        <v>127</v>
      </c>
      <c r="B560" s="20" t="s">
        <v>1209</v>
      </c>
      <c r="C560" s="40" t="s">
        <v>264</v>
      </c>
      <c r="D560" s="40" t="s">
        <v>215</v>
      </c>
      <c r="E560" s="20" t="s">
        <v>128</v>
      </c>
      <c r="F560" s="2"/>
      <c r="G560" s="10">
        <f>G561</f>
        <v>473</v>
      </c>
      <c r="H560" s="204"/>
    </row>
    <row r="561" spans="1:8" s="203" customFormat="1" ht="36.75" customHeight="1" x14ac:dyDescent="0.25">
      <c r="A561" s="25" t="s">
        <v>129</v>
      </c>
      <c r="B561" s="20" t="s">
        <v>1209</v>
      </c>
      <c r="C561" s="40" t="s">
        <v>264</v>
      </c>
      <c r="D561" s="40" t="s">
        <v>215</v>
      </c>
      <c r="E561" s="20" t="s">
        <v>209</v>
      </c>
      <c r="F561" s="2"/>
      <c r="G561" s="10">
        <f>'Пр.4 ведом.22'!G323</f>
        <v>473</v>
      </c>
      <c r="H561" s="204"/>
    </row>
    <row r="562" spans="1:8" s="203" customFormat="1" ht="58.7" customHeight="1" x14ac:dyDescent="0.25">
      <c r="A562" s="45" t="s">
        <v>261</v>
      </c>
      <c r="B562" s="20" t="s">
        <v>1209</v>
      </c>
      <c r="C562" s="40" t="s">
        <v>264</v>
      </c>
      <c r="D562" s="40" t="s">
        <v>215</v>
      </c>
      <c r="E562" s="20" t="s">
        <v>209</v>
      </c>
      <c r="F562" s="2">
        <v>903</v>
      </c>
      <c r="G562" s="10">
        <f>G561</f>
        <v>473</v>
      </c>
      <c r="H562" s="204"/>
    </row>
    <row r="563" spans="1:8" s="203" customFormat="1" ht="16.5" customHeight="1" x14ac:dyDescent="0.25">
      <c r="A563" s="73" t="s">
        <v>298</v>
      </c>
      <c r="B563" s="20" t="s">
        <v>1208</v>
      </c>
      <c r="C563" s="40" t="s">
        <v>299</v>
      </c>
      <c r="D563" s="73"/>
      <c r="E563" s="73"/>
      <c r="F563" s="2"/>
      <c r="G563" s="10">
        <f>G564</f>
        <v>903</v>
      </c>
      <c r="H563" s="204"/>
    </row>
    <row r="564" spans="1:8" s="203" customFormat="1" ht="18.75" customHeight="1" x14ac:dyDescent="0.25">
      <c r="A564" s="73" t="s">
        <v>300</v>
      </c>
      <c r="B564" s="20" t="s">
        <v>1208</v>
      </c>
      <c r="C564" s="40" t="s">
        <v>299</v>
      </c>
      <c r="D564" s="40" t="s">
        <v>118</v>
      </c>
      <c r="E564" s="73"/>
      <c r="F564" s="2"/>
      <c r="G564" s="10">
        <f>G565</f>
        <v>903</v>
      </c>
      <c r="H564" s="204"/>
    </row>
    <row r="565" spans="1:8" s="203" customFormat="1" ht="43.5" customHeight="1" x14ac:dyDescent="0.25">
      <c r="A565" s="25" t="s">
        <v>839</v>
      </c>
      <c r="B565" s="20" t="s">
        <v>1209</v>
      </c>
      <c r="C565" s="40" t="s">
        <v>299</v>
      </c>
      <c r="D565" s="40" t="s">
        <v>118</v>
      </c>
      <c r="E565" s="40"/>
      <c r="F565" s="2"/>
      <c r="G565" s="10">
        <f>G566</f>
        <v>903</v>
      </c>
      <c r="H565" s="204"/>
    </row>
    <row r="566" spans="1:8" s="203" customFormat="1" ht="81" customHeight="1" x14ac:dyDescent="0.25">
      <c r="A566" s="25" t="s">
        <v>127</v>
      </c>
      <c r="B566" s="20" t="s">
        <v>1209</v>
      </c>
      <c r="C566" s="40" t="s">
        <v>299</v>
      </c>
      <c r="D566" s="40" t="s">
        <v>118</v>
      </c>
      <c r="E566" s="40" t="s">
        <v>128</v>
      </c>
      <c r="F566" s="2"/>
      <c r="G566" s="10">
        <f>G567</f>
        <v>903</v>
      </c>
      <c r="H566" s="204"/>
    </row>
    <row r="567" spans="1:8" s="203" customFormat="1" ht="38.25" customHeight="1" x14ac:dyDescent="0.25">
      <c r="A567" s="25" t="s">
        <v>129</v>
      </c>
      <c r="B567" s="20" t="s">
        <v>1209</v>
      </c>
      <c r="C567" s="40" t="s">
        <v>299</v>
      </c>
      <c r="D567" s="40" t="s">
        <v>118</v>
      </c>
      <c r="E567" s="40" t="s">
        <v>209</v>
      </c>
      <c r="F567" s="2"/>
      <c r="G567" s="10">
        <f>'Пр.3 Рд,пр, ЦС,ВР 22'!F830</f>
        <v>903</v>
      </c>
      <c r="H567" s="204"/>
    </row>
    <row r="568" spans="1:8" s="203" customFormat="1" ht="47.25" customHeight="1" x14ac:dyDescent="0.25">
      <c r="A568" s="45" t="s">
        <v>261</v>
      </c>
      <c r="B568" s="20" t="s">
        <v>1209</v>
      </c>
      <c r="C568" s="40" t="s">
        <v>299</v>
      </c>
      <c r="D568" s="40" t="s">
        <v>118</v>
      </c>
      <c r="E568" s="40" t="s">
        <v>209</v>
      </c>
      <c r="F568" s="2">
        <v>903</v>
      </c>
      <c r="G568" s="10">
        <f>G567</f>
        <v>903</v>
      </c>
      <c r="H568" s="204"/>
    </row>
    <row r="569" spans="1:8" s="203" customFormat="1" ht="16.5" customHeight="1" x14ac:dyDescent="0.25">
      <c r="A569" s="68" t="s">
        <v>582</v>
      </c>
      <c r="B569" s="20" t="s">
        <v>1208</v>
      </c>
      <c r="C569" s="40" t="s">
        <v>238</v>
      </c>
      <c r="D569" s="73"/>
      <c r="E569" s="73"/>
      <c r="F569" s="2"/>
      <c r="G569" s="10">
        <f>G570</f>
        <v>258</v>
      </c>
      <c r="H569" s="204"/>
    </row>
    <row r="570" spans="1:8" s="203" customFormat="1" ht="18" customHeight="1" x14ac:dyDescent="0.25">
      <c r="A570" s="25" t="s">
        <v>583</v>
      </c>
      <c r="B570" s="20" t="s">
        <v>1208</v>
      </c>
      <c r="C570" s="40" t="s">
        <v>238</v>
      </c>
      <c r="D570" s="40" t="s">
        <v>213</v>
      </c>
      <c r="E570" s="73"/>
      <c r="F570" s="2"/>
      <c r="G570" s="10">
        <f>G571</f>
        <v>258</v>
      </c>
      <c r="H570" s="204"/>
    </row>
    <row r="571" spans="1:8" s="203" customFormat="1" ht="47.25" customHeight="1" x14ac:dyDescent="0.25">
      <c r="A571" s="25" t="s">
        <v>839</v>
      </c>
      <c r="B571" s="20" t="s">
        <v>1209</v>
      </c>
      <c r="C571" s="40" t="s">
        <v>238</v>
      </c>
      <c r="D571" s="40" t="s">
        <v>213</v>
      </c>
      <c r="E571" s="40"/>
      <c r="F571" s="2"/>
      <c r="G571" s="10">
        <f>G572</f>
        <v>258</v>
      </c>
      <c r="H571" s="204"/>
    </row>
    <row r="572" spans="1:8" s="203" customFormat="1" ht="47.25" customHeight="1" x14ac:dyDescent="0.25">
      <c r="A572" s="25" t="s">
        <v>127</v>
      </c>
      <c r="B572" s="20" t="s">
        <v>1209</v>
      </c>
      <c r="C572" s="40" t="s">
        <v>238</v>
      </c>
      <c r="D572" s="40" t="s">
        <v>213</v>
      </c>
      <c r="E572" s="40" t="s">
        <v>128</v>
      </c>
      <c r="F572" s="2"/>
      <c r="G572" s="10">
        <f>G573</f>
        <v>258</v>
      </c>
      <c r="H572" s="204"/>
    </row>
    <row r="573" spans="1:8" s="203" customFormat="1" ht="47.25" customHeight="1" x14ac:dyDescent="0.25">
      <c r="A573" s="25" t="s">
        <v>129</v>
      </c>
      <c r="B573" s="20" t="s">
        <v>1209</v>
      </c>
      <c r="C573" s="40" t="s">
        <v>238</v>
      </c>
      <c r="D573" s="40" t="s">
        <v>213</v>
      </c>
      <c r="E573" s="40" t="s">
        <v>209</v>
      </c>
      <c r="F573" s="2"/>
      <c r="G573" s="10">
        <f>'Пр.4 ведом.22'!G512</f>
        <v>258</v>
      </c>
      <c r="H573" s="204"/>
    </row>
    <row r="574" spans="1:8" s="203" customFormat="1" ht="47.25" customHeight="1" x14ac:dyDescent="0.25">
      <c r="A574" s="45" t="s">
        <v>261</v>
      </c>
      <c r="B574" s="20" t="s">
        <v>1209</v>
      </c>
      <c r="C574" s="40" t="s">
        <v>238</v>
      </c>
      <c r="D574" s="40" t="s">
        <v>213</v>
      </c>
      <c r="E574" s="40" t="s">
        <v>209</v>
      </c>
      <c r="F574" s="2">
        <v>903</v>
      </c>
      <c r="G574" s="10">
        <f>G573</f>
        <v>258</v>
      </c>
      <c r="H574" s="204"/>
    </row>
    <row r="575" spans="1:8" s="203" customFormat="1" ht="48.2" customHeight="1" x14ac:dyDescent="0.25">
      <c r="A575" s="218" t="s">
        <v>900</v>
      </c>
      <c r="B575" s="24" t="s">
        <v>1210</v>
      </c>
      <c r="C575" s="7"/>
      <c r="D575" s="7"/>
      <c r="E575" s="7"/>
      <c r="F575" s="3"/>
      <c r="G575" s="59">
        <f>G576+G587</f>
        <v>3650.4</v>
      </c>
      <c r="H575" s="204"/>
    </row>
    <row r="576" spans="1:8" s="203" customFormat="1" ht="21.75" customHeight="1" x14ac:dyDescent="0.25">
      <c r="A576" s="25" t="s">
        <v>263</v>
      </c>
      <c r="B576" s="20" t="s">
        <v>1210</v>
      </c>
      <c r="C576" s="40" t="s">
        <v>264</v>
      </c>
      <c r="D576" s="40"/>
      <c r="E576" s="40"/>
      <c r="F576" s="2"/>
      <c r="G576" s="10">
        <f>G577</f>
        <v>1165.4000000000001</v>
      </c>
      <c r="H576" s="204"/>
    </row>
    <row r="577" spans="1:10" s="203" customFormat="1" ht="18" customHeight="1" x14ac:dyDescent="0.25">
      <c r="A577" s="25" t="s">
        <v>265</v>
      </c>
      <c r="B577" s="20" t="s">
        <v>1210</v>
      </c>
      <c r="C577" s="40" t="s">
        <v>264</v>
      </c>
      <c r="D577" s="40" t="s">
        <v>215</v>
      </c>
      <c r="E577" s="40"/>
      <c r="F577" s="2"/>
      <c r="G577" s="10">
        <f>G578+G582</f>
        <v>1165.4000000000001</v>
      </c>
      <c r="H577" s="204"/>
    </row>
    <row r="578" spans="1:10" s="203" customFormat="1" ht="97.15" customHeight="1" x14ac:dyDescent="0.25">
      <c r="A578" s="31" t="s">
        <v>293</v>
      </c>
      <c r="B578" s="20" t="s">
        <v>1403</v>
      </c>
      <c r="C578" s="40" t="s">
        <v>264</v>
      </c>
      <c r="D578" s="40" t="s">
        <v>215</v>
      </c>
      <c r="E578" s="20"/>
      <c r="F578" s="2"/>
      <c r="G578" s="10">
        <f>G579</f>
        <v>761</v>
      </c>
      <c r="H578" s="204"/>
      <c r="J578" s="232">
        <f>G578+G588</f>
        <v>2861.5</v>
      </c>
    </row>
    <row r="579" spans="1:10" s="203" customFormat="1" ht="84.2" customHeight="1" x14ac:dyDescent="0.25">
      <c r="A579" s="25" t="s">
        <v>127</v>
      </c>
      <c r="B579" s="20" t="s">
        <v>1403</v>
      </c>
      <c r="C579" s="40" t="s">
        <v>264</v>
      </c>
      <c r="D579" s="40" t="s">
        <v>215</v>
      </c>
      <c r="E579" s="20" t="s">
        <v>128</v>
      </c>
      <c r="F579" s="2"/>
      <c r="G579" s="10">
        <f>G580</f>
        <v>761</v>
      </c>
      <c r="H579" s="204"/>
    </row>
    <row r="580" spans="1:10" s="203" customFormat="1" ht="15" customHeight="1" x14ac:dyDescent="0.25">
      <c r="A580" s="46" t="s">
        <v>342</v>
      </c>
      <c r="B580" s="20" t="s">
        <v>1403</v>
      </c>
      <c r="C580" s="40" t="s">
        <v>264</v>
      </c>
      <c r="D580" s="40" t="s">
        <v>215</v>
      </c>
      <c r="E580" s="20" t="s">
        <v>209</v>
      </c>
      <c r="F580" s="2"/>
      <c r="G580" s="10">
        <f>'Пр.4 ведом.22'!G327</f>
        <v>761</v>
      </c>
      <c r="H580" s="204"/>
    </row>
    <row r="581" spans="1:10" s="203" customFormat="1" ht="57.75" customHeight="1" x14ac:dyDescent="0.25">
      <c r="A581" s="45" t="s">
        <v>261</v>
      </c>
      <c r="B581" s="20" t="s">
        <v>1403</v>
      </c>
      <c r="C581" s="40" t="s">
        <v>264</v>
      </c>
      <c r="D581" s="40" t="s">
        <v>215</v>
      </c>
      <c r="E581" s="20" t="s">
        <v>209</v>
      </c>
      <c r="F581" s="2">
        <v>903</v>
      </c>
      <c r="G581" s="10">
        <f>G580</f>
        <v>761</v>
      </c>
      <c r="H581" s="204"/>
    </row>
    <row r="582" spans="1:10" s="203" customFormat="1" ht="47.25" x14ac:dyDescent="0.25">
      <c r="A582" s="650" t="s">
        <v>1766</v>
      </c>
      <c r="B582" s="20" t="s">
        <v>1768</v>
      </c>
      <c r="C582" s="40" t="s">
        <v>264</v>
      </c>
      <c r="D582" s="40" t="s">
        <v>215</v>
      </c>
      <c r="E582" s="20"/>
      <c r="F582" s="2"/>
      <c r="G582" s="10">
        <f>G583</f>
        <v>404.4</v>
      </c>
      <c r="H582" s="204"/>
    </row>
    <row r="583" spans="1:10" s="203" customFormat="1" ht="86.25" customHeight="1" x14ac:dyDescent="0.25">
      <c r="A583" s="25" t="s">
        <v>127</v>
      </c>
      <c r="B583" s="580" t="s">
        <v>1768</v>
      </c>
      <c r="C583" s="40" t="s">
        <v>264</v>
      </c>
      <c r="D583" s="40" t="s">
        <v>215</v>
      </c>
      <c r="E583" s="20" t="s">
        <v>128</v>
      </c>
      <c r="F583" s="2"/>
      <c r="G583" s="10">
        <f>G584</f>
        <v>404.4</v>
      </c>
      <c r="H583" s="204"/>
    </row>
    <row r="584" spans="1:10" s="203" customFormat="1" ht="23.25" customHeight="1" x14ac:dyDescent="0.25">
      <c r="A584" s="46" t="s">
        <v>342</v>
      </c>
      <c r="B584" s="580" t="s">
        <v>1768</v>
      </c>
      <c r="C584" s="40" t="s">
        <v>264</v>
      </c>
      <c r="D584" s="40" t="s">
        <v>215</v>
      </c>
      <c r="E584" s="20" t="s">
        <v>209</v>
      </c>
      <c r="F584" s="2"/>
      <c r="G584" s="10">
        <f>'Пр.4 ведом.22'!G330</f>
        <v>404.4</v>
      </c>
      <c r="H584" s="204"/>
    </row>
    <row r="585" spans="1:10" s="203" customFormat="1" ht="55.5" customHeight="1" x14ac:dyDescent="0.25">
      <c r="A585" s="45" t="s">
        <v>261</v>
      </c>
      <c r="B585" s="580" t="s">
        <v>1768</v>
      </c>
      <c r="C585" s="40" t="s">
        <v>264</v>
      </c>
      <c r="D585" s="40" t="s">
        <v>215</v>
      </c>
      <c r="E585" s="20" t="s">
        <v>209</v>
      </c>
      <c r="F585" s="2">
        <v>903</v>
      </c>
      <c r="G585" s="10">
        <f>G584</f>
        <v>404.4</v>
      </c>
      <c r="H585" s="204"/>
    </row>
    <row r="586" spans="1:10" s="203" customFormat="1" ht="17.45" customHeight="1" x14ac:dyDescent="0.25">
      <c r="A586" s="73" t="s">
        <v>298</v>
      </c>
      <c r="B586" s="20" t="s">
        <v>1210</v>
      </c>
      <c r="C586" s="40" t="s">
        <v>299</v>
      </c>
      <c r="D586" s="73"/>
      <c r="E586" s="73"/>
      <c r="F586" s="2"/>
      <c r="G586" s="10">
        <f>G587</f>
        <v>2485</v>
      </c>
      <c r="H586" s="204"/>
    </row>
    <row r="587" spans="1:10" s="203" customFormat="1" ht="18" customHeight="1" x14ac:dyDescent="0.25">
      <c r="A587" s="73" t="s">
        <v>300</v>
      </c>
      <c r="B587" s="20" t="s">
        <v>1210</v>
      </c>
      <c r="C587" s="40" t="s">
        <v>299</v>
      </c>
      <c r="D587" s="40" t="s">
        <v>118</v>
      </c>
      <c r="E587" s="73"/>
      <c r="F587" s="2"/>
      <c r="G587" s="10">
        <f>G588+G592</f>
        <v>2485</v>
      </c>
      <c r="H587" s="204"/>
    </row>
    <row r="588" spans="1:10" s="203" customFormat="1" ht="103.9" customHeight="1" x14ac:dyDescent="0.25">
      <c r="A588" s="31" t="s">
        <v>293</v>
      </c>
      <c r="B588" s="20" t="s">
        <v>1403</v>
      </c>
      <c r="C588" s="40" t="s">
        <v>299</v>
      </c>
      <c r="D588" s="40" t="s">
        <v>118</v>
      </c>
      <c r="E588" s="40"/>
      <c r="F588" s="2"/>
      <c r="G588" s="10">
        <f>G589</f>
        <v>2100.5</v>
      </c>
      <c r="H588" s="204"/>
    </row>
    <row r="589" spans="1:10" s="203" customFormat="1" ht="79.5" customHeight="1" x14ac:dyDescent="0.25">
      <c r="A589" s="25" t="s">
        <v>127</v>
      </c>
      <c r="B589" s="20" t="s">
        <v>1403</v>
      </c>
      <c r="C589" s="40" t="s">
        <v>299</v>
      </c>
      <c r="D589" s="40" t="s">
        <v>118</v>
      </c>
      <c r="E589" s="40" t="s">
        <v>128</v>
      </c>
      <c r="F589" s="2"/>
      <c r="G589" s="10">
        <f>G590</f>
        <v>2100.5</v>
      </c>
      <c r="H589" s="204"/>
    </row>
    <row r="590" spans="1:10" s="203" customFormat="1" ht="19.149999999999999" customHeight="1" x14ac:dyDescent="0.25">
      <c r="A590" s="25" t="s">
        <v>208</v>
      </c>
      <c r="B590" s="20" t="s">
        <v>1403</v>
      </c>
      <c r="C590" s="40" t="s">
        <v>299</v>
      </c>
      <c r="D590" s="40" t="s">
        <v>118</v>
      </c>
      <c r="E590" s="40" t="s">
        <v>209</v>
      </c>
      <c r="F590" s="2"/>
      <c r="G590" s="10">
        <f>'Пр.3 Рд,пр, ЦС,ВР 22'!F834</f>
        <v>2100.5</v>
      </c>
      <c r="H590" s="204"/>
    </row>
    <row r="591" spans="1:10" s="203" customFormat="1" ht="44.1" customHeight="1" x14ac:dyDescent="0.25">
      <c r="A591" s="45" t="s">
        <v>261</v>
      </c>
      <c r="B591" s="20" t="s">
        <v>1403</v>
      </c>
      <c r="C591" s="40" t="s">
        <v>299</v>
      </c>
      <c r="D591" s="40" t="s">
        <v>118</v>
      </c>
      <c r="E591" s="40" t="s">
        <v>209</v>
      </c>
      <c r="F591" s="2">
        <v>903</v>
      </c>
      <c r="G591" s="10">
        <f>G590</f>
        <v>2100.5</v>
      </c>
      <c r="H591" s="204"/>
    </row>
    <row r="592" spans="1:10" s="203" customFormat="1" ht="70.5" customHeight="1" x14ac:dyDescent="0.25">
      <c r="A592" s="25" t="s">
        <v>331</v>
      </c>
      <c r="B592" s="20" t="s">
        <v>1291</v>
      </c>
      <c r="C592" s="20" t="s">
        <v>299</v>
      </c>
      <c r="D592" s="20" t="s">
        <v>118</v>
      </c>
      <c r="E592" s="20"/>
      <c r="F592" s="20"/>
      <c r="G592" s="10">
        <f>G593</f>
        <v>384.5</v>
      </c>
      <c r="H592" s="204"/>
    </row>
    <row r="593" spans="1:8" s="203" customFormat="1" ht="82.5" customHeight="1" x14ac:dyDescent="0.25">
      <c r="A593" s="25" t="s">
        <v>127</v>
      </c>
      <c r="B593" s="20" t="s">
        <v>1291</v>
      </c>
      <c r="C593" s="20" t="s">
        <v>299</v>
      </c>
      <c r="D593" s="20" t="s">
        <v>118</v>
      </c>
      <c r="E593" s="20" t="s">
        <v>128</v>
      </c>
      <c r="F593" s="20"/>
      <c r="G593" s="10">
        <f>G594</f>
        <v>384.5</v>
      </c>
      <c r="H593" s="204"/>
    </row>
    <row r="594" spans="1:8" s="203" customFormat="1" ht="21.75" customHeight="1" x14ac:dyDescent="0.25">
      <c r="A594" s="25" t="s">
        <v>208</v>
      </c>
      <c r="B594" s="20" t="s">
        <v>1291</v>
      </c>
      <c r="C594" s="20" t="s">
        <v>299</v>
      </c>
      <c r="D594" s="20" t="s">
        <v>118</v>
      </c>
      <c r="E594" s="20" t="s">
        <v>209</v>
      </c>
      <c r="F594" s="20"/>
      <c r="G594" s="10">
        <f>'Пр.4 ведом.22'!G396</f>
        <v>384.5</v>
      </c>
      <c r="H594" s="204"/>
    </row>
    <row r="595" spans="1:8" s="203" customFormat="1" ht="51" customHeight="1" x14ac:dyDescent="0.25">
      <c r="A595" s="45" t="s">
        <v>261</v>
      </c>
      <c r="B595" s="20" t="s">
        <v>1291</v>
      </c>
      <c r="C595" s="20" t="s">
        <v>299</v>
      </c>
      <c r="D595" s="20" t="s">
        <v>118</v>
      </c>
      <c r="E595" s="20" t="s">
        <v>209</v>
      </c>
      <c r="F595" s="20" t="s">
        <v>627</v>
      </c>
      <c r="G595" s="10">
        <f>G594</f>
        <v>384.5</v>
      </c>
      <c r="H595" s="204"/>
    </row>
    <row r="596" spans="1:8" s="203" customFormat="1" ht="36" customHeight="1" x14ac:dyDescent="0.25">
      <c r="A596" s="23" t="s">
        <v>902</v>
      </c>
      <c r="B596" s="24" t="s">
        <v>1215</v>
      </c>
      <c r="C596" s="40"/>
      <c r="D596" s="40"/>
      <c r="E596" s="40"/>
      <c r="F596" s="2"/>
      <c r="G596" s="59">
        <f>G597</f>
        <v>50</v>
      </c>
      <c r="H596" s="204"/>
    </row>
    <row r="597" spans="1:8" s="203" customFormat="1" ht="20.100000000000001" customHeight="1" x14ac:dyDescent="0.25">
      <c r="A597" s="73" t="s">
        <v>298</v>
      </c>
      <c r="B597" s="20" t="s">
        <v>1215</v>
      </c>
      <c r="C597" s="40" t="s">
        <v>299</v>
      </c>
      <c r="D597" s="40"/>
      <c r="E597" s="40"/>
      <c r="F597" s="2"/>
      <c r="G597" s="10">
        <f>G598</f>
        <v>50</v>
      </c>
      <c r="H597" s="204"/>
    </row>
    <row r="598" spans="1:8" s="203" customFormat="1" ht="20.100000000000001" customHeight="1" x14ac:dyDescent="0.25">
      <c r="A598" s="73" t="s">
        <v>300</v>
      </c>
      <c r="B598" s="20" t="s">
        <v>1215</v>
      </c>
      <c r="C598" s="40" t="s">
        <v>299</v>
      </c>
      <c r="D598" s="40" t="s">
        <v>118</v>
      </c>
      <c r="E598" s="40"/>
      <c r="F598" s="2"/>
      <c r="G598" s="10">
        <f>G599</f>
        <v>50</v>
      </c>
      <c r="H598" s="204"/>
    </row>
    <row r="599" spans="1:8" s="203" customFormat="1" ht="35.450000000000003" customHeight="1" x14ac:dyDescent="0.25">
      <c r="A599" s="25" t="s">
        <v>821</v>
      </c>
      <c r="B599" s="20" t="s">
        <v>1216</v>
      </c>
      <c r="C599" s="40" t="s">
        <v>299</v>
      </c>
      <c r="D599" s="40" t="s">
        <v>118</v>
      </c>
      <c r="E599" s="40"/>
      <c r="F599" s="2"/>
      <c r="G599" s="10">
        <f>G600</f>
        <v>50</v>
      </c>
      <c r="H599" s="204"/>
    </row>
    <row r="600" spans="1:8" s="203" customFormat="1" ht="36.75" customHeight="1" x14ac:dyDescent="0.25">
      <c r="A600" s="25" t="s">
        <v>131</v>
      </c>
      <c r="B600" s="20" t="s">
        <v>1216</v>
      </c>
      <c r="C600" s="40" t="s">
        <v>299</v>
      </c>
      <c r="D600" s="40" t="s">
        <v>118</v>
      </c>
      <c r="E600" s="40" t="s">
        <v>132</v>
      </c>
      <c r="F600" s="2"/>
      <c r="G600" s="10">
        <f>G601</f>
        <v>50</v>
      </c>
      <c r="H600" s="204"/>
    </row>
    <row r="601" spans="1:8" s="203" customFormat="1" ht="33" customHeight="1" x14ac:dyDescent="0.25">
      <c r="A601" s="25" t="s">
        <v>133</v>
      </c>
      <c r="B601" s="20" t="s">
        <v>1216</v>
      </c>
      <c r="C601" s="40" t="s">
        <v>299</v>
      </c>
      <c r="D601" s="40" t="s">
        <v>118</v>
      </c>
      <c r="E601" s="40" t="s">
        <v>134</v>
      </c>
      <c r="F601" s="2"/>
      <c r="G601" s="10">
        <f>'Пр.4 ведом.22'!G400</f>
        <v>50</v>
      </c>
      <c r="H601" s="204"/>
    </row>
    <row r="602" spans="1:8" s="203" customFormat="1" ht="51" customHeight="1" x14ac:dyDescent="0.25">
      <c r="A602" s="45" t="s">
        <v>261</v>
      </c>
      <c r="B602" s="20" t="s">
        <v>1216</v>
      </c>
      <c r="C602" s="40" t="s">
        <v>299</v>
      </c>
      <c r="D602" s="40" t="s">
        <v>118</v>
      </c>
      <c r="E602" s="40" t="s">
        <v>134</v>
      </c>
      <c r="F602" s="2">
        <v>903</v>
      </c>
      <c r="G602" s="10">
        <f>G601</f>
        <v>50</v>
      </c>
      <c r="H602" s="204"/>
    </row>
    <row r="603" spans="1:8" s="203" customFormat="1" ht="39.200000000000003" customHeight="1" x14ac:dyDescent="0.25">
      <c r="A603" s="23" t="s">
        <v>1010</v>
      </c>
      <c r="B603" s="24" t="s">
        <v>1217</v>
      </c>
      <c r="C603" s="7"/>
      <c r="D603" s="7"/>
      <c r="E603" s="7"/>
      <c r="F603" s="3"/>
      <c r="G603" s="59">
        <f>G604+G610</f>
        <v>65.300000000000011</v>
      </c>
      <c r="H603" s="204"/>
    </row>
    <row r="604" spans="1:8" s="203" customFormat="1" ht="20.100000000000001" customHeight="1" x14ac:dyDescent="0.25">
      <c r="A604" s="68" t="s">
        <v>298</v>
      </c>
      <c r="B604" s="20" t="s">
        <v>1217</v>
      </c>
      <c r="C604" s="40" t="s">
        <v>299</v>
      </c>
      <c r="D604" s="40"/>
      <c r="E604" s="40"/>
      <c r="F604" s="74"/>
      <c r="G604" s="10">
        <f t="shared" ref="G604" si="45">G605</f>
        <v>3.5</v>
      </c>
      <c r="H604" s="204"/>
    </row>
    <row r="605" spans="1:8" s="203" customFormat="1" ht="20.100000000000001" customHeight="1" x14ac:dyDescent="0.25">
      <c r="A605" s="68" t="s">
        <v>300</v>
      </c>
      <c r="B605" s="20" t="s">
        <v>1217</v>
      </c>
      <c r="C605" s="40" t="s">
        <v>299</v>
      </c>
      <c r="D605" s="40" t="s">
        <v>118</v>
      </c>
      <c r="E605" s="40"/>
      <c r="F605" s="74"/>
      <c r="G605" s="10">
        <f>G606</f>
        <v>3.5</v>
      </c>
      <c r="H605" s="204"/>
    </row>
    <row r="606" spans="1:8" s="203" customFormat="1" ht="31.5" x14ac:dyDescent="0.25">
      <c r="A606" s="25" t="s">
        <v>1484</v>
      </c>
      <c r="B606" s="20" t="s">
        <v>1218</v>
      </c>
      <c r="C606" s="40" t="s">
        <v>299</v>
      </c>
      <c r="D606" s="40" t="s">
        <v>118</v>
      </c>
      <c r="E606" s="40"/>
      <c r="F606" s="2"/>
      <c r="G606" s="10">
        <f>G607</f>
        <v>3.5</v>
      </c>
      <c r="H606" s="204"/>
    </row>
    <row r="607" spans="1:8" s="203" customFormat="1" ht="39.200000000000003" customHeight="1" x14ac:dyDescent="0.25">
      <c r="A607" s="25" t="s">
        <v>131</v>
      </c>
      <c r="B607" s="20" t="s">
        <v>1218</v>
      </c>
      <c r="C607" s="40" t="s">
        <v>299</v>
      </c>
      <c r="D607" s="40" t="s">
        <v>118</v>
      </c>
      <c r="E607" s="40" t="s">
        <v>132</v>
      </c>
      <c r="F607" s="2"/>
      <c r="G607" s="10">
        <f>G608</f>
        <v>3.5</v>
      </c>
      <c r="H607" s="204"/>
    </row>
    <row r="608" spans="1:8" s="203" customFormat="1" ht="36.75" customHeight="1" x14ac:dyDescent="0.25">
      <c r="A608" s="25" t="s">
        <v>133</v>
      </c>
      <c r="B608" s="20" t="s">
        <v>1218</v>
      </c>
      <c r="C608" s="40" t="s">
        <v>299</v>
      </c>
      <c r="D608" s="40" t="s">
        <v>118</v>
      </c>
      <c r="E608" s="40" t="s">
        <v>134</v>
      </c>
      <c r="F608" s="2"/>
      <c r="G608" s="10">
        <f>'Пр.4 ведом.22'!G404</f>
        <v>3.5</v>
      </c>
      <c r="H608" s="204"/>
    </row>
    <row r="609" spans="1:8" s="203" customFormat="1" ht="54.75" customHeight="1" x14ac:dyDescent="0.25">
      <c r="A609" s="45" t="s">
        <v>261</v>
      </c>
      <c r="B609" s="20" t="s">
        <v>1218</v>
      </c>
      <c r="C609" s="40" t="s">
        <v>299</v>
      </c>
      <c r="D609" s="40" t="s">
        <v>118</v>
      </c>
      <c r="E609" s="40" t="s">
        <v>134</v>
      </c>
      <c r="F609" s="2">
        <v>903</v>
      </c>
      <c r="G609" s="10">
        <f>G608</f>
        <v>3.5</v>
      </c>
      <c r="H609" s="204"/>
    </row>
    <row r="610" spans="1:8" s="576" customFormat="1" ht="31.5" x14ac:dyDescent="0.25">
      <c r="A610" s="579" t="s">
        <v>1756</v>
      </c>
      <c r="B610" s="580" t="s">
        <v>1757</v>
      </c>
      <c r="C610" s="573" t="s">
        <v>299</v>
      </c>
      <c r="D610" s="573" t="s">
        <v>118</v>
      </c>
      <c r="E610" s="573"/>
      <c r="F610" s="2"/>
      <c r="G610" s="10">
        <f>G611</f>
        <v>61.800000000000004</v>
      </c>
      <c r="H610" s="578"/>
    </row>
    <row r="611" spans="1:8" s="576" customFormat="1" ht="31.5" x14ac:dyDescent="0.25">
      <c r="A611" s="579" t="s">
        <v>131</v>
      </c>
      <c r="B611" s="580" t="s">
        <v>1757</v>
      </c>
      <c r="C611" s="573" t="s">
        <v>299</v>
      </c>
      <c r="D611" s="573" t="s">
        <v>118</v>
      </c>
      <c r="E611" s="573" t="s">
        <v>132</v>
      </c>
      <c r="F611" s="2"/>
      <c r="G611" s="10">
        <f>G612</f>
        <v>61.800000000000004</v>
      </c>
      <c r="H611" s="578"/>
    </row>
    <row r="612" spans="1:8" s="576" customFormat="1" ht="31.5" x14ac:dyDescent="0.25">
      <c r="A612" s="579" t="s">
        <v>133</v>
      </c>
      <c r="B612" s="580" t="s">
        <v>1757</v>
      </c>
      <c r="C612" s="573" t="s">
        <v>299</v>
      </c>
      <c r="D612" s="573" t="s">
        <v>118</v>
      </c>
      <c r="E612" s="573" t="s">
        <v>134</v>
      </c>
      <c r="F612" s="2"/>
      <c r="G612" s="10">
        <f>'Пр.4 ведом.22'!G407</f>
        <v>61.800000000000004</v>
      </c>
      <c r="H612" s="578"/>
    </row>
    <row r="613" spans="1:8" s="576" customFormat="1" ht="47.25" x14ac:dyDescent="0.25">
      <c r="A613" s="45" t="s">
        <v>261</v>
      </c>
      <c r="B613" s="580" t="s">
        <v>1757</v>
      </c>
      <c r="C613" s="573" t="s">
        <v>299</v>
      </c>
      <c r="D613" s="573" t="s">
        <v>118</v>
      </c>
      <c r="E613" s="573" t="s">
        <v>134</v>
      </c>
      <c r="F613" s="2">
        <v>903</v>
      </c>
      <c r="G613" s="10">
        <f>G612</f>
        <v>61.800000000000004</v>
      </c>
      <c r="H613" s="578"/>
    </row>
    <row r="614" spans="1:8" s="487" customFormat="1" ht="31.5" hidden="1" x14ac:dyDescent="0.25">
      <c r="A614" s="34" t="s">
        <v>1646</v>
      </c>
      <c r="B614" s="495" t="s">
        <v>1648</v>
      </c>
      <c r="C614" s="499"/>
      <c r="D614" s="499"/>
      <c r="E614" s="499"/>
      <c r="F614" s="2"/>
      <c r="G614" s="59">
        <f>G615</f>
        <v>0</v>
      </c>
      <c r="H614" s="204"/>
    </row>
    <row r="615" spans="1:8" s="487" customFormat="1" ht="15.75" hidden="1" x14ac:dyDescent="0.25">
      <c r="A615" s="68" t="s">
        <v>298</v>
      </c>
      <c r="B615" s="492" t="s">
        <v>1648</v>
      </c>
      <c r="C615" s="499" t="s">
        <v>299</v>
      </c>
      <c r="D615" s="499"/>
      <c r="E615" s="499"/>
      <c r="F615" s="2"/>
      <c r="G615" s="10">
        <f>G616</f>
        <v>0</v>
      </c>
      <c r="H615" s="204"/>
    </row>
    <row r="616" spans="1:8" s="487" customFormat="1" ht="15.75" hidden="1" x14ac:dyDescent="0.25">
      <c r="A616" s="68" t="s">
        <v>300</v>
      </c>
      <c r="B616" s="492" t="s">
        <v>1648</v>
      </c>
      <c r="C616" s="499" t="s">
        <v>299</v>
      </c>
      <c r="D616" s="499" t="s">
        <v>118</v>
      </c>
      <c r="E616" s="499"/>
      <c r="F616" s="2"/>
      <c r="G616" s="10">
        <f>G617</f>
        <v>0</v>
      </c>
      <c r="H616" s="204"/>
    </row>
    <row r="617" spans="1:8" s="487" customFormat="1" ht="63" hidden="1" x14ac:dyDescent="0.25">
      <c r="A617" s="31" t="s">
        <v>1647</v>
      </c>
      <c r="B617" s="492" t="s">
        <v>1649</v>
      </c>
      <c r="C617" s="499" t="s">
        <v>299</v>
      </c>
      <c r="D617" s="499" t="s">
        <v>118</v>
      </c>
      <c r="E617" s="499"/>
      <c r="F617" s="2"/>
      <c r="G617" s="10">
        <f>G618</f>
        <v>0</v>
      </c>
      <c r="H617" s="204"/>
    </row>
    <row r="618" spans="1:8" s="487" customFormat="1" ht="31.5" hidden="1" x14ac:dyDescent="0.25">
      <c r="A618" s="496" t="s">
        <v>131</v>
      </c>
      <c r="B618" s="492" t="s">
        <v>1649</v>
      </c>
      <c r="C618" s="499" t="s">
        <v>299</v>
      </c>
      <c r="D618" s="499" t="s">
        <v>118</v>
      </c>
      <c r="E618" s="499" t="s">
        <v>132</v>
      </c>
      <c r="F618" s="2"/>
      <c r="G618" s="10">
        <f>G619</f>
        <v>0</v>
      </c>
      <c r="H618" s="204"/>
    </row>
    <row r="619" spans="1:8" s="487" customFormat="1" ht="31.5" hidden="1" x14ac:dyDescent="0.25">
      <c r="A619" s="496" t="s">
        <v>133</v>
      </c>
      <c r="B619" s="492" t="s">
        <v>1649</v>
      </c>
      <c r="C619" s="499" t="s">
        <v>299</v>
      </c>
      <c r="D619" s="499" t="s">
        <v>118</v>
      </c>
      <c r="E619" s="499" t="s">
        <v>134</v>
      </c>
      <c r="F619" s="2"/>
      <c r="G619" s="10">
        <f>'Пр.4 ведом.22'!G411</f>
        <v>0</v>
      </c>
      <c r="H619" s="204"/>
    </row>
    <row r="620" spans="1:8" s="487" customFormat="1" ht="47.25" hidden="1" x14ac:dyDescent="0.25">
      <c r="A620" s="45" t="s">
        <v>261</v>
      </c>
      <c r="B620" s="492" t="s">
        <v>1649</v>
      </c>
      <c r="C620" s="499" t="s">
        <v>299</v>
      </c>
      <c r="D620" s="499" t="s">
        <v>118</v>
      </c>
      <c r="E620" s="499" t="s">
        <v>134</v>
      </c>
      <c r="F620" s="2">
        <v>903</v>
      </c>
      <c r="G620" s="10">
        <f>G619</f>
        <v>0</v>
      </c>
      <c r="H620" s="204"/>
    </row>
    <row r="621" spans="1:8" s="203" customFormat="1" ht="33.75" customHeight="1" x14ac:dyDescent="0.25">
      <c r="A621" s="262" t="s">
        <v>1179</v>
      </c>
      <c r="B621" s="24" t="s">
        <v>1213</v>
      </c>
      <c r="C621" s="24"/>
      <c r="D621" s="24"/>
      <c r="E621" s="40"/>
      <c r="F621" s="2"/>
      <c r="G621" s="59">
        <f>G622</f>
        <v>10650.000000000002</v>
      </c>
      <c r="H621" s="204"/>
    </row>
    <row r="622" spans="1:8" s="203" customFormat="1" ht="19.5" customHeight="1" x14ac:dyDescent="0.25">
      <c r="A622" s="68" t="s">
        <v>298</v>
      </c>
      <c r="B622" s="20" t="s">
        <v>1213</v>
      </c>
      <c r="C622" s="20" t="s">
        <v>299</v>
      </c>
      <c r="D622" s="20"/>
      <c r="E622" s="40"/>
      <c r="F622" s="2"/>
      <c r="G622" s="10">
        <f>G623</f>
        <v>10650.000000000002</v>
      </c>
      <c r="H622" s="204"/>
    </row>
    <row r="623" spans="1:8" s="203" customFormat="1" ht="18" customHeight="1" x14ac:dyDescent="0.25">
      <c r="A623" s="68" t="s">
        <v>300</v>
      </c>
      <c r="B623" s="20" t="s">
        <v>1213</v>
      </c>
      <c r="C623" s="20" t="s">
        <v>299</v>
      </c>
      <c r="D623" s="20" t="s">
        <v>118</v>
      </c>
      <c r="E623" s="40"/>
      <c r="F623" s="2"/>
      <c r="G623" s="10">
        <f>G628+G624</f>
        <v>10650.000000000002</v>
      </c>
      <c r="H623" s="204"/>
    </row>
    <row r="624" spans="1:8" s="576" customFormat="1" ht="18" customHeight="1" x14ac:dyDescent="0.25">
      <c r="A624" s="575" t="s">
        <v>1753</v>
      </c>
      <c r="B624" s="580" t="s">
        <v>1754</v>
      </c>
      <c r="C624" s="580" t="s">
        <v>299</v>
      </c>
      <c r="D624" s="580" t="s">
        <v>118</v>
      </c>
      <c r="E624" s="573"/>
      <c r="F624" s="2"/>
      <c r="G624" s="10">
        <f>G625</f>
        <v>10526.300000000001</v>
      </c>
      <c r="H624" s="578"/>
    </row>
    <row r="625" spans="1:8" s="576" customFormat="1" ht="31.5" x14ac:dyDescent="0.25">
      <c r="A625" s="579" t="s">
        <v>131</v>
      </c>
      <c r="B625" s="580" t="s">
        <v>1754</v>
      </c>
      <c r="C625" s="580" t="s">
        <v>299</v>
      </c>
      <c r="D625" s="580" t="s">
        <v>118</v>
      </c>
      <c r="E625" s="573" t="s">
        <v>132</v>
      </c>
      <c r="F625" s="2"/>
      <c r="G625" s="10">
        <f>G626</f>
        <v>10526.300000000001</v>
      </c>
      <c r="H625" s="578"/>
    </row>
    <row r="626" spans="1:8" s="576" customFormat="1" ht="31.5" x14ac:dyDescent="0.25">
      <c r="A626" s="579" t="s">
        <v>133</v>
      </c>
      <c r="B626" s="580" t="s">
        <v>1754</v>
      </c>
      <c r="C626" s="580" t="s">
        <v>299</v>
      </c>
      <c r="D626" s="580" t="s">
        <v>118</v>
      </c>
      <c r="E626" s="573" t="s">
        <v>134</v>
      </c>
      <c r="F626" s="2"/>
      <c r="G626" s="10">
        <f>'Пр.4 ведом.22'!G418</f>
        <v>10526.300000000001</v>
      </c>
      <c r="H626" s="578"/>
    </row>
    <row r="627" spans="1:8" s="576" customFormat="1" ht="47.25" x14ac:dyDescent="0.25">
      <c r="A627" s="45" t="s">
        <v>261</v>
      </c>
      <c r="B627" s="580" t="s">
        <v>1754</v>
      </c>
      <c r="C627" s="580" t="s">
        <v>299</v>
      </c>
      <c r="D627" s="580" t="s">
        <v>118</v>
      </c>
      <c r="E627" s="573" t="s">
        <v>134</v>
      </c>
      <c r="F627" s="2">
        <v>903</v>
      </c>
      <c r="G627" s="10">
        <f>G626</f>
        <v>10526.300000000001</v>
      </c>
      <c r="H627" s="578"/>
    </row>
    <row r="628" spans="1:8" s="203" customFormat="1" ht="18" customHeight="1" x14ac:dyDescent="0.25">
      <c r="A628" s="98" t="s">
        <v>1186</v>
      </c>
      <c r="B628" s="20" t="s">
        <v>1214</v>
      </c>
      <c r="C628" s="20" t="s">
        <v>299</v>
      </c>
      <c r="D628" s="20" t="s">
        <v>118</v>
      </c>
      <c r="E628" s="40"/>
      <c r="F628" s="2"/>
      <c r="G628" s="10">
        <f>G629</f>
        <v>123.7</v>
      </c>
      <c r="H628" s="204"/>
    </row>
    <row r="629" spans="1:8" s="203" customFormat="1" ht="35.450000000000003" customHeight="1" x14ac:dyDescent="0.25">
      <c r="A629" s="25" t="s">
        <v>131</v>
      </c>
      <c r="B629" s="20" t="s">
        <v>1214</v>
      </c>
      <c r="C629" s="20" t="s">
        <v>299</v>
      </c>
      <c r="D629" s="20" t="s">
        <v>118</v>
      </c>
      <c r="E629" s="40" t="s">
        <v>132</v>
      </c>
      <c r="F629" s="2"/>
      <c r="G629" s="10">
        <f>G630</f>
        <v>123.7</v>
      </c>
      <c r="H629" s="204"/>
    </row>
    <row r="630" spans="1:8" s="203" customFormat="1" ht="36" customHeight="1" x14ac:dyDescent="0.25">
      <c r="A630" s="25" t="s">
        <v>133</v>
      </c>
      <c r="B630" s="20" t="s">
        <v>1214</v>
      </c>
      <c r="C630" s="20" t="s">
        <v>299</v>
      </c>
      <c r="D630" s="20" t="s">
        <v>118</v>
      </c>
      <c r="E630" s="40" t="s">
        <v>134</v>
      </c>
      <c r="F630" s="2"/>
      <c r="G630" s="10">
        <f>'Пр.4 ведом.22'!G421</f>
        <v>123.7</v>
      </c>
      <c r="H630" s="204"/>
    </row>
    <row r="631" spans="1:8" s="203" customFormat="1" ht="50.25" customHeight="1" x14ac:dyDescent="0.25">
      <c r="A631" s="45" t="s">
        <v>261</v>
      </c>
      <c r="B631" s="20" t="s">
        <v>1214</v>
      </c>
      <c r="C631" s="20" t="s">
        <v>299</v>
      </c>
      <c r="D631" s="20" t="s">
        <v>118</v>
      </c>
      <c r="E631" s="40" t="s">
        <v>134</v>
      </c>
      <c r="F631" s="2">
        <v>903</v>
      </c>
      <c r="G631" s="10">
        <f>G630</f>
        <v>123.7</v>
      </c>
      <c r="H631" s="204"/>
    </row>
    <row r="632" spans="1:8" s="1" customFormat="1" ht="51" customHeight="1" x14ac:dyDescent="0.25">
      <c r="A632" s="41" t="s">
        <v>1357</v>
      </c>
      <c r="B632" s="7" t="s">
        <v>324</v>
      </c>
      <c r="C632" s="72"/>
      <c r="D632" s="72"/>
      <c r="E632" s="72"/>
      <c r="F632" s="72"/>
      <c r="G632" s="59">
        <f>G633</f>
        <v>168</v>
      </c>
      <c r="H632" s="204"/>
    </row>
    <row r="633" spans="1:8" s="204" customFormat="1" ht="64.5" customHeight="1" x14ac:dyDescent="0.25">
      <c r="A633" s="34" t="s">
        <v>1025</v>
      </c>
      <c r="B633" s="7" t="s">
        <v>934</v>
      </c>
      <c r="C633" s="7"/>
      <c r="D633" s="7"/>
      <c r="E633" s="72"/>
      <c r="F633" s="72"/>
      <c r="G633" s="59">
        <f>G634+G640+G646+G662</f>
        <v>168</v>
      </c>
    </row>
    <row r="634" spans="1:8" s="578" customFormat="1" ht="15.75" x14ac:dyDescent="0.25">
      <c r="A634" s="45" t="s">
        <v>117</v>
      </c>
      <c r="B634" s="580" t="s">
        <v>934</v>
      </c>
      <c r="C634" s="573" t="s">
        <v>118</v>
      </c>
      <c r="D634" s="573"/>
      <c r="E634" s="2"/>
      <c r="F634" s="2"/>
      <c r="G634" s="10">
        <f>G635</f>
        <v>12</v>
      </c>
    </row>
    <row r="635" spans="1:8" s="578" customFormat="1" ht="15.75" x14ac:dyDescent="0.25">
      <c r="A635" s="45" t="s">
        <v>139</v>
      </c>
      <c r="B635" s="580" t="s">
        <v>934</v>
      </c>
      <c r="C635" s="573" t="s">
        <v>118</v>
      </c>
      <c r="D635" s="573" t="s">
        <v>140</v>
      </c>
      <c r="E635" s="2"/>
      <c r="F635" s="2"/>
      <c r="G635" s="10">
        <f>G636</f>
        <v>12</v>
      </c>
    </row>
    <row r="636" spans="1:8" s="578" customFormat="1" ht="47.25" x14ac:dyDescent="0.25">
      <c r="A636" s="579" t="s">
        <v>1080</v>
      </c>
      <c r="B636" s="580" t="s">
        <v>1026</v>
      </c>
      <c r="C636" s="573" t="s">
        <v>118</v>
      </c>
      <c r="D636" s="573" t="s">
        <v>140</v>
      </c>
      <c r="E636" s="2"/>
      <c r="F636" s="2"/>
      <c r="G636" s="10">
        <f>G637</f>
        <v>12</v>
      </c>
    </row>
    <row r="637" spans="1:8" s="578" customFormat="1" ht="31.5" x14ac:dyDescent="0.25">
      <c r="A637" s="579" t="s">
        <v>198</v>
      </c>
      <c r="B637" s="580" t="s">
        <v>1026</v>
      </c>
      <c r="C637" s="573" t="s">
        <v>118</v>
      </c>
      <c r="D637" s="573" t="s">
        <v>140</v>
      </c>
      <c r="E637" s="2">
        <v>200</v>
      </c>
      <c r="F637" s="2"/>
      <c r="G637" s="10">
        <f>G638</f>
        <v>12</v>
      </c>
    </row>
    <row r="638" spans="1:8" s="578" customFormat="1" ht="31.5" x14ac:dyDescent="0.25">
      <c r="A638" s="579" t="s">
        <v>133</v>
      </c>
      <c r="B638" s="580" t="s">
        <v>1026</v>
      </c>
      <c r="C638" s="573" t="s">
        <v>118</v>
      </c>
      <c r="D638" s="573" t="s">
        <v>140</v>
      </c>
      <c r="E638" s="2">
        <v>240</v>
      </c>
      <c r="F638" s="2"/>
      <c r="G638" s="10">
        <f>'Пр.4 ведом.22'!G138</f>
        <v>12</v>
      </c>
    </row>
    <row r="639" spans="1:8" s="578" customFormat="1" ht="15.75" x14ac:dyDescent="0.25">
      <c r="A639" s="31" t="s">
        <v>148</v>
      </c>
      <c r="B639" s="580" t="s">
        <v>1026</v>
      </c>
      <c r="C639" s="573" t="s">
        <v>118</v>
      </c>
      <c r="D639" s="573" t="s">
        <v>140</v>
      </c>
      <c r="E639" s="2">
        <v>240</v>
      </c>
      <c r="F639" s="663">
        <v>902</v>
      </c>
      <c r="G639" s="10">
        <f>G638</f>
        <v>12</v>
      </c>
    </row>
    <row r="640" spans="1:8" s="204" customFormat="1" ht="18.75" customHeight="1" x14ac:dyDescent="0.25">
      <c r="A640" s="31" t="s">
        <v>390</v>
      </c>
      <c r="B640" s="40" t="s">
        <v>934</v>
      </c>
      <c r="C640" s="40" t="s">
        <v>234</v>
      </c>
      <c r="D640" s="40"/>
      <c r="E640" s="72"/>
      <c r="F640" s="72"/>
      <c r="G640" s="10">
        <f>G641</f>
        <v>0</v>
      </c>
    </row>
    <row r="641" spans="1:8" s="204" customFormat="1" ht="37.5" customHeight="1" x14ac:dyDescent="0.25">
      <c r="A641" s="31" t="s">
        <v>569</v>
      </c>
      <c r="B641" s="40" t="s">
        <v>934</v>
      </c>
      <c r="C641" s="40" t="s">
        <v>234</v>
      </c>
      <c r="D641" s="40" t="s">
        <v>234</v>
      </c>
      <c r="E641" s="72"/>
      <c r="F641" s="72"/>
      <c r="G641" s="10">
        <f>G642</f>
        <v>0</v>
      </c>
    </row>
    <row r="642" spans="1:8" s="204" customFormat="1" ht="51.75" customHeight="1" x14ac:dyDescent="0.25">
      <c r="A642" s="31" t="s">
        <v>1080</v>
      </c>
      <c r="B642" s="20" t="s">
        <v>1026</v>
      </c>
      <c r="C642" s="40" t="s">
        <v>234</v>
      </c>
      <c r="D642" s="40" t="s">
        <v>234</v>
      </c>
      <c r="E642" s="72"/>
      <c r="F642" s="72"/>
      <c r="G642" s="10">
        <f>G643</f>
        <v>0</v>
      </c>
    </row>
    <row r="643" spans="1:8" s="204" customFormat="1" ht="35.450000000000003" customHeight="1" x14ac:dyDescent="0.25">
      <c r="A643" s="25" t="s">
        <v>131</v>
      </c>
      <c r="B643" s="20" t="s">
        <v>1026</v>
      </c>
      <c r="C643" s="40" t="s">
        <v>234</v>
      </c>
      <c r="D643" s="40" t="s">
        <v>234</v>
      </c>
      <c r="E643" s="2">
        <v>200</v>
      </c>
      <c r="F643" s="72"/>
      <c r="G643" s="10">
        <f>G644</f>
        <v>0</v>
      </c>
    </row>
    <row r="644" spans="1:8" s="204" customFormat="1" ht="34.5" customHeight="1" x14ac:dyDescent="0.25">
      <c r="A644" s="25" t="s">
        <v>133</v>
      </c>
      <c r="B644" s="20" t="s">
        <v>1026</v>
      </c>
      <c r="C644" s="40" t="s">
        <v>234</v>
      </c>
      <c r="D644" s="40" t="s">
        <v>234</v>
      </c>
      <c r="E644" s="2">
        <v>240</v>
      </c>
      <c r="F644" s="72"/>
      <c r="G644" s="10">
        <f>G645</f>
        <v>0</v>
      </c>
    </row>
    <row r="645" spans="1:8" s="204" customFormat="1" ht="37.35" customHeight="1" x14ac:dyDescent="0.25">
      <c r="A645" s="45" t="s">
        <v>623</v>
      </c>
      <c r="B645" s="20" t="s">
        <v>1026</v>
      </c>
      <c r="C645" s="40" t="s">
        <v>234</v>
      </c>
      <c r="D645" s="40" t="s">
        <v>234</v>
      </c>
      <c r="E645" s="2">
        <v>240</v>
      </c>
      <c r="F645" s="2">
        <v>908</v>
      </c>
      <c r="G645" s="10">
        <f>'Пр.4 ведом.22'!G1144</f>
        <v>0</v>
      </c>
    </row>
    <row r="646" spans="1:8" s="1" customFormat="1" ht="15.75" x14ac:dyDescent="0.25">
      <c r="A646" s="25" t="s">
        <v>263</v>
      </c>
      <c r="B646" s="40" t="s">
        <v>934</v>
      </c>
      <c r="C646" s="40" t="s">
        <v>264</v>
      </c>
      <c r="D646" s="73"/>
      <c r="E646" s="73"/>
      <c r="F646" s="73"/>
      <c r="G646" s="10">
        <f>G647+G652+G657</f>
        <v>146</v>
      </c>
      <c r="H646" s="204"/>
    </row>
    <row r="647" spans="1:8" s="1" customFormat="1" ht="15.75" x14ac:dyDescent="0.25">
      <c r="A647" s="25" t="s">
        <v>404</v>
      </c>
      <c r="B647" s="40" t="s">
        <v>934</v>
      </c>
      <c r="C647" s="40" t="s">
        <v>264</v>
      </c>
      <c r="D647" s="40" t="s">
        <v>118</v>
      </c>
      <c r="E647" s="73"/>
      <c r="F647" s="73"/>
      <c r="G647" s="10">
        <f>G648</f>
        <v>80</v>
      </c>
      <c r="H647" s="204"/>
    </row>
    <row r="648" spans="1:8" s="1" customFormat="1" ht="47.25" x14ac:dyDescent="0.25">
      <c r="A648" s="31" t="s">
        <v>1081</v>
      </c>
      <c r="B648" s="20" t="s">
        <v>935</v>
      </c>
      <c r="C648" s="40" t="s">
        <v>264</v>
      </c>
      <c r="D648" s="40" t="s">
        <v>118</v>
      </c>
      <c r="E648" s="72"/>
      <c r="F648" s="72"/>
      <c r="G648" s="10">
        <f>G649</f>
        <v>80</v>
      </c>
      <c r="H648" s="204"/>
    </row>
    <row r="649" spans="1:8" s="1" customFormat="1" ht="31.5" x14ac:dyDescent="0.25">
      <c r="A649" s="31" t="s">
        <v>272</v>
      </c>
      <c r="B649" s="20" t="s">
        <v>935</v>
      </c>
      <c r="C649" s="40" t="s">
        <v>264</v>
      </c>
      <c r="D649" s="40" t="s">
        <v>118</v>
      </c>
      <c r="E649" s="40" t="s">
        <v>273</v>
      </c>
      <c r="F649" s="72"/>
      <c r="G649" s="10">
        <f>G650</f>
        <v>80</v>
      </c>
      <c r="H649" s="204"/>
    </row>
    <row r="650" spans="1:8" s="1" customFormat="1" ht="15.75" x14ac:dyDescent="0.25">
      <c r="A650" s="31" t="s">
        <v>274</v>
      </c>
      <c r="B650" s="20" t="s">
        <v>935</v>
      </c>
      <c r="C650" s="40" t="s">
        <v>264</v>
      </c>
      <c r="D650" s="40" t="s">
        <v>118</v>
      </c>
      <c r="E650" s="40" t="s">
        <v>275</v>
      </c>
      <c r="F650" s="72"/>
      <c r="G650" s="10">
        <f>'Пр.4 ведом.22'!G650</f>
        <v>80</v>
      </c>
      <c r="H650" s="204"/>
    </row>
    <row r="651" spans="1:8" s="204" customFormat="1" ht="31.5" x14ac:dyDescent="0.25">
      <c r="A651" s="31" t="s">
        <v>403</v>
      </c>
      <c r="B651" s="20" t="s">
        <v>935</v>
      </c>
      <c r="C651" s="40" t="s">
        <v>264</v>
      </c>
      <c r="D651" s="40" t="s">
        <v>118</v>
      </c>
      <c r="E651" s="40" t="s">
        <v>275</v>
      </c>
      <c r="F651" s="2">
        <v>906</v>
      </c>
      <c r="G651" s="10">
        <f>G650</f>
        <v>80</v>
      </c>
    </row>
    <row r="652" spans="1:8" s="578" customFormat="1" ht="15.75" x14ac:dyDescent="0.25">
      <c r="A652" s="31" t="s">
        <v>425</v>
      </c>
      <c r="B652" s="580" t="s">
        <v>935</v>
      </c>
      <c r="C652" s="573" t="s">
        <v>264</v>
      </c>
      <c r="D652" s="573" t="s">
        <v>213</v>
      </c>
      <c r="E652" s="573"/>
      <c r="F652" s="2"/>
      <c r="G652" s="10">
        <f>G653</f>
        <v>60</v>
      </c>
    </row>
    <row r="653" spans="1:8" s="578" customFormat="1" ht="47.25" x14ac:dyDescent="0.25">
      <c r="A653" s="31" t="s">
        <v>1081</v>
      </c>
      <c r="B653" s="580" t="s">
        <v>935</v>
      </c>
      <c r="C653" s="573" t="s">
        <v>264</v>
      </c>
      <c r="D653" s="573" t="s">
        <v>213</v>
      </c>
      <c r="E653" s="573"/>
      <c r="F653" s="2"/>
      <c r="G653" s="10">
        <f>G654</f>
        <v>60</v>
      </c>
    </row>
    <row r="654" spans="1:8" s="578" customFormat="1" ht="31.5" x14ac:dyDescent="0.25">
      <c r="A654" s="31" t="s">
        <v>272</v>
      </c>
      <c r="B654" s="580" t="s">
        <v>935</v>
      </c>
      <c r="C654" s="573" t="s">
        <v>264</v>
      </c>
      <c r="D654" s="573" t="s">
        <v>213</v>
      </c>
      <c r="E654" s="573" t="s">
        <v>273</v>
      </c>
      <c r="F654" s="2"/>
      <c r="G654" s="10">
        <f>G655</f>
        <v>60</v>
      </c>
    </row>
    <row r="655" spans="1:8" s="578" customFormat="1" ht="15.75" x14ac:dyDescent="0.25">
      <c r="A655" s="31" t="s">
        <v>274</v>
      </c>
      <c r="B655" s="580" t="s">
        <v>935</v>
      </c>
      <c r="C655" s="573" t="s">
        <v>264</v>
      </c>
      <c r="D655" s="573" t="s">
        <v>213</v>
      </c>
      <c r="E655" s="573" t="s">
        <v>275</v>
      </c>
      <c r="F655" s="2"/>
      <c r="G655" s="10">
        <f>'Пр.4 ведом.22'!G739</f>
        <v>60</v>
      </c>
    </row>
    <row r="656" spans="1:8" s="578" customFormat="1" ht="31.5" x14ac:dyDescent="0.25">
      <c r="A656" s="31" t="s">
        <v>403</v>
      </c>
      <c r="B656" s="580" t="s">
        <v>935</v>
      </c>
      <c r="C656" s="573" t="s">
        <v>264</v>
      </c>
      <c r="D656" s="573" t="s">
        <v>213</v>
      </c>
      <c r="E656" s="573" t="s">
        <v>275</v>
      </c>
      <c r="F656" s="2">
        <v>906</v>
      </c>
      <c r="G656" s="10">
        <f>G655</f>
        <v>60</v>
      </c>
    </row>
    <row r="657" spans="1:8" s="1" customFormat="1" ht="15.75" x14ac:dyDescent="0.25">
      <c r="A657" s="29" t="s">
        <v>265</v>
      </c>
      <c r="B657" s="40" t="s">
        <v>934</v>
      </c>
      <c r="C657" s="40" t="s">
        <v>264</v>
      </c>
      <c r="D657" s="40" t="s">
        <v>215</v>
      </c>
      <c r="E657" s="40"/>
      <c r="F657" s="73"/>
      <c r="G657" s="10">
        <f>G658</f>
        <v>6</v>
      </c>
      <c r="H657" s="204"/>
    </row>
    <row r="658" spans="1:8" s="1" customFormat="1" ht="47.25" x14ac:dyDescent="0.25">
      <c r="A658" s="31" t="s">
        <v>1080</v>
      </c>
      <c r="B658" s="20" t="s">
        <v>1026</v>
      </c>
      <c r="C658" s="40" t="s">
        <v>264</v>
      </c>
      <c r="D658" s="40" t="s">
        <v>215</v>
      </c>
      <c r="E658" s="40"/>
      <c r="F658" s="72"/>
      <c r="G658" s="10">
        <f>G659</f>
        <v>6</v>
      </c>
      <c r="H658" s="204"/>
    </row>
    <row r="659" spans="1:8" s="1" customFormat="1" ht="31.5" x14ac:dyDescent="0.25">
      <c r="A659" s="31" t="s">
        <v>272</v>
      </c>
      <c r="B659" s="20" t="s">
        <v>1026</v>
      </c>
      <c r="C659" s="40" t="s">
        <v>264</v>
      </c>
      <c r="D659" s="40" t="s">
        <v>215</v>
      </c>
      <c r="E659" s="40" t="s">
        <v>132</v>
      </c>
      <c r="F659" s="72"/>
      <c r="G659" s="10">
        <f>G660</f>
        <v>6</v>
      </c>
      <c r="H659" s="204"/>
    </row>
    <row r="660" spans="1:8" s="1" customFormat="1" ht="15.75" x14ac:dyDescent="0.25">
      <c r="A660" s="31" t="s">
        <v>274</v>
      </c>
      <c r="B660" s="20" t="s">
        <v>1026</v>
      </c>
      <c r="C660" s="40" t="s">
        <v>264</v>
      </c>
      <c r="D660" s="40" t="s">
        <v>215</v>
      </c>
      <c r="E660" s="40" t="s">
        <v>134</v>
      </c>
      <c r="F660" s="72"/>
      <c r="G660" s="10">
        <f>'Пр.4 ведом.22'!G335</f>
        <v>6</v>
      </c>
      <c r="H660" s="204"/>
    </row>
    <row r="661" spans="1:8" s="1" customFormat="1" ht="47.25" x14ac:dyDescent="0.25">
      <c r="A661" s="45" t="s">
        <v>261</v>
      </c>
      <c r="B661" s="20" t="s">
        <v>1026</v>
      </c>
      <c r="C661" s="40" t="s">
        <v>264</v>
      </c>
      <c r="D661" s="40" t="s">
        <v>215</v>
      </c>
      <c r="E661" s="40" t="s">
        <v>134</v>
      </c>
      <c r="F661" s="2">
        <v>903</v>
      </c>
      <c r="G661" s="10">
        <f>G660</f>
        <v>6</v>
      </c>
      <c r="H661" s="204"/>
    </row>
    <row r="662" spans="1:8" s="204" customFormat="1" ht="15.75" x14ac:dyDescent="0.25">
      <c r="A662" s="31" t="s">
        <v>298</v>
      </c>
      <c r="B662" s="20" t="s">
        <v>934</v>
      </c>
      <c r="C662" s="40" t="s">
        <v>299</v>
      </c>
      <c r="D662" s="40"/>
      <c r="E662" s="40"/>
      <c r="F662" s="2"/>
      <c r="G662" s="10">
        <f>G663+G668</f>
        <v>10</v>
      </c>
    </row>
    <row r="663" spans="1:8" s="578" customFormat="1" ht="15.75" x14ac:dyDescent="0.25">
      <c r="A663" s="68" t="s">
        <v>300</v>
      </c>
      <c r="B663" s="580" t="s">
        <v>934</v>
      </c>
      <c r="C663" s="573" t="s">
        <v>299</v>
      </c>
      <c r="D663" s="573" t="s">
        <v>118</v>
      </c>
      <c r="E663" s="573"/>
      <c r="F663" s="2"/>
      <c r="G663" s="10">
        <f>G664</f>
        <v>10</v>
      </c>
    </row>
    <row r="664" spans="1:8" s="578" customFormat="1" ht="47.25" x14ac:dyDescent="0.25">
      <c r="A664" s="31" t="s">
        <v>1080</v>
      </c>
      <c r="B664" s="580" t="s">
        <v>1026</v>
      </c>
      <c r="C664" s="573" t="s">
        <v>299</v>
      </c>
      <c r="D664" s="573" t="s">
        <v>118</v>
      </c>
      <c r="E664" s="573"/>
      <c r="F664" s="2"/>
      <c r="G664" s="10">
        <f>G665</f>
        <v>10</v>
      </c>
    </row>
    <row r="665" spans="1:8" s="578" customFormat="1" ht="31.5" x14ac:dyDescent="0.25">
      <c r="A665" s="579" t="s">
        <v>131</v>
      </c>
      <c r="B665" s="580" t="s">
        <v>1026</v>
      </c>
      <c r="C665" s="573" t="s">
        <v>299</v>
      </c>
      <c r="D665" s="573" t="s">
        <v>118</v>
      </c>
      <c r="E665" s="573" t="s">
        <v>132</v>
      </c>
      <c r="F665" s="2"/>
      <c r="G665" s="10">
        <f>G666</f>
        <v>10</v>
      </c>
    </row>
    <row r="666" spans="1:8" s="578" customFormat="1" ht="31.5" x14ac:dyDescent="0.25">
      <c r="A666" s="579" t="s">
        <v>133</v>
      </c>
      <c r="B666" s="580" t="s">
        <v>1026</v>
      </c>
      <c r="C666" s="573" t="s">
        <v>299</v>
      </c>
      <c r="D666" s="573" t="s">
        <v>118</v>
      </c>
      <c r="E666" s="573" t="s">
        <v>134</v>
      </c>
      <c r="F666" s="2"/>
      <c r="G666" s="10">
        <f>'Пр.4 ведом.22'!G426</f>
        <v>10</v>
      </c>
    </row>
    <row r="667" spans="1:8" s="578" customFormat="1" ht="47.25" x14ac:dyDescent="0.25">
      <c r="A667" s="45" t="s">
        <v>261</v>
      </c>
      <c r="B667" s="580" t="s">
        <v>1026</v>
      </c>
      <c r="C667" s="573" t="s">
        <v>299</v>
      </c>
      <c r="D667" s="573" t="s">
        <v>118</v>
      </c>
      <c r="E667" s="573" t="s">
        <v>134</v>
      </c>
      <c r="F667" s="2">
        <v>903</v>
      </c>
      <c r="G667" s="10">
        <f>G666</f>
        <v>10</v>
      </c>
    </row>
    <row r="668" spans="1:8" s="204" customFormat="1" ht="15.75" hidden="1" x14ac:dyDescent="0.25">
      <c r="A668" s="579" t="s">
        <v>333</v>
      </c>
      <c r="B668" s="20" t="s">
        <v>934</v>
      </c>
      <c r="C668" s="40" t="s">
        <v>299</v>
      </c>
      <c r="D668" s="40" t="s">
        <v>150</v>
      </c>
      <c r="E668" s="40"/>
      <c r="F668" s="2"/>
      <c r="G668" s="10">
        <f>G669</f>
        <v>0</v>
      </c>
    </row>
    <row r="669" spans="1:8" s="204" customFormat="1" ht="47.25" hidden="1" x14ac:dyDescent="0.25">
      <c r="A669" s="31" t="s">
        <v>1080</v>
      </c>
      <c r="B669" s="20" t="s">
        <v>1026</v>
      </c>
      <c r="C669" s="40" t="s">
        <v>299</v>
      </c>
      <c r="D669" s="40" t="s">
        <v>150</v>
      </c>
      <c r="E669" s="40"/>
      <c r="F669" s="2"/>
      <c r="G669" s="10">
        <f>G670</f>
        <v>0</v>
      </c>
    </row>
    <row r="670" spans="1:8" s="204" customFormat="1" ht="31.5" hidden="1" x14ac:dyDescent="0.25">
      <c r="A670" s="25" t="s">
        <v>131</v>
      </c>
      <c r="B670" s="20" t="s">
        <v>1026</v>
      </c>
      <c r="C670" s="40" t="s">
        <v>299</v>
      </c>
      <c r="D670" s="40" t="s">
        <v>150</v>
      </c>
      <c r="E670" s="40" t="s">
        <v>132</v>
      </c>
      <c r="F670" s="2"/>
      <c r="G670" s="10">
        <f>G671</f>
        <v>0</v>
      </c>
    </row>
    <row r="671" spans="1:8" s="204" customFormat="1" ht="31.5" hidden="1" x14ac:dyDescent="0.25">
      <c r="A671" s="25" t="s">
        <v>133</v>
      </c>
      <c r="B671" s="20" t="s">
        <v>1026</v>
      </c>
      <c r="C671" s="40" t="s">
        <v>299</v>
      </c>
      <c r="D671" s="40" t="s">
        <v>150</v>
      </c>
      <c r="E671" s="40" t="s">
        <v>134</v>
      </c>
      <c r="F671" s="2"/>
      <c r="G671" s="10">
        <f>'Пр.4 ведом.22'!G472</f>
        <v>0</v>
      </c>
    </row>
    <row r="672" spans="1:8" s="204" customFormat="1" ht="47.25" hidden="1" x14ac:dyDescent="0.25">
      <c r="A672" s="45" t="s">
        <v>261</v>
      </c>
      <c r="B672" s="20" t="s">
        <v>1026</v>
      </c>
      <c r="C672" s="40" t="s">
        <v>299</v>
      </c>
      <c r="D672" s="40" t="s">
        <v>150</v>
      </c>
      <c r="E672" s="40" t="s">
        <v>134</v>
      </c>
      <c r="F672" s="2">
        <v>903</v>
      </c>
      <c r="G672" s="401">
        <f>G669</f>
        <v>0</v>
      </c>
    </row>
    <row r="673" spans="1:8" s="1" customFormat="1" ht="15.75" hidden="1" customHeight="1" x14ac:dyDescent="0.25">
      <c r="A673" s="73" t="s">
        <v>490</v>
      </c>
      <c r="B673" s="40" t="s">
        <v>934</v>
      </c>
      <c r="C673" s="40" t="s">
        <v>491</v>
      </c>
      <c r="D673" s="73"/>
      <c r="E673" s="73"/>
      <c r="F673" s="73"/>
      <c r="G673" s="10">
        <f t="shared" ref="G673" si="46">G674</f>
        <v>0</v>
      </c>
      <c r="H673" s="204"/>
    </row>
    <row r="674" spans="1:8" s="1" customFormat="1" ht="15.75" hidden="1" customHeight="1" x14ac:dyDescent="0.25">
      <c r="A674" s="73" t="s">
        <v>492</v>
      </c>
      <c r="B674" s="40" t="s">
        <v>934</v>
      </c>
      <c r="C674" s="40" t="s">
        <v>491</v>
      </c>
      <c r="D674" s="40" t="s">
        <v>118</v>
      </c>
      <c r="E674" s="73"/>
      <c r="F674" s="73"/>
      <c r="G674" s="10">
        <f t="shared" ref="G674" si="47">G675</f>
        <v>0</v>
      </c>
      <c r="H674" s="204"/>
    </row>
    <row r="675" spans="1:8" s="1" customFormat="1" ht="47.25" hidden="1" customHeight="1" x14ac:dyDescent="0.25">
      <c r="A675" s="31" t="s">
        <v>1081</v>
      </c>
      <c r="B675" s="40" t="s">
        <v>935</v>
      </c>
      <c r="C675" s="40" t="s">
        <v>491</v>
      </c>
      <c r="D675" s="40" t="s">
        <v>118</v>
      </c>
      <c r="E675" s="73"/>
      <c r="F675" s="73"/>
      <c r="G675" s="10">
        <f>G676</f>
        <v>0</v>
      </c>
      <c r="H675" s="204"/>
    </row>
    <row r="676" spans="1:8" s="1" customFormat="1" ht="31.7" hidden="1" customHeight="1" x14ac:dyDescent="0.25">
      <c r="A676" s="25" t="s">
        <v>272</v>
      </c>
      <c r="B676" s="40" t="s">
        <v>935</v>
      </c>
      <c r="C676" s="40" t="s">
        <v>491</v>
      </c>
      <c r="D676" s="40" t="s">
        <v>118</v>
      </c>
      <c r="E676" s="40" t="s">
        <v>273</v>
      </c>
      <c r="F676" s="73"/>
      <c r="G676" s="10">
        <f>G677</f>
        <v>0</v>
      </c>
      <c r="H676" s="204"/>
    </row>
    <row r="677" spans="1:8" s="1" customFormat="1" ht="15.75" hidden="1" customHeight="1" x14ac:dyDescent="0.25">
      <c r="A677" s="25" t="s">
        <v>274</v>
      </c>
      <c r="B677" s="40" t="s">
        <v>935</v>
      </c>
      <c r="C677" s="40" t="s">
        <v>491</v>
      </c>
      <c r="D677" s="40" t="s">
        <v>118</v>
      </c>
      <c r="E677" s="40" t="s">
        <v>275</v>
      </c>
      <c r="F677" s="73"/>
      <c r="G677" s="10"/>
      <c r="H677" s="204"/>
    </row>
    <row r="678" spans="1:8" s="1" customFormat="1" ht="31.7" hidden="1" customHeight="1" x14ac:dyDescent="0.25">
      <c r="A678" s="45" t="s">
        <v>480</v>
      </c>
      <c r="B678" s="40" t="s">
        <v>935</v>
      </c>
      <c r="C678" s="40" t="s">
        <v>491</v>
      </c>
      <c r="D678" s="40" t="s">
        <v>118</v>
      </c>
      <c r="E678" s="40" t="s">
        <v>275</v>
      </c>
      <c r="F678" s="2">
        <v>907</v>
      </c>
      <c r="G678" s="10">
        <f>G677</f>
        <v>0</v>
      </c>
      <c r="H678" s="204"/>
    </row>
    <row r="679" spans="1:8" ht="37.5" customHeight="1" x14ac:dyDescent="0.25">
      <c r="A679" s="41" t="s">
        <v>1362</v>
      </c>
      <c r="B679" s="7" t="s">
        <v>543</v>
      </c>
      <c r="C679" s="2"/>
      <c r="D679" s="2"/>
      <c r="E679" s="2"/>
      <c r="F679" s="2"/>
      <c r="G679" s="59">
        <f>G680+G687+G727+G738+G745</f>
        <v>8745.7199999999993</v>
      </c>
      <c r="H679" s="204">
        <v>4921.6000000000004</v>
      </c>
    </row>
    <row r="680" spans="1:8" s="203" customFormat="1" ht="47.25" hidden="1" x14ac:dyDescent="0.25">
      <c r="A680" s="23" t="s">
        <v>1430</v>
      </c>
      <c r="B680" s="7" t="s">
        <v>1273</v>
      </c>
      <c r="C680" s="7"/>
      <c r="D680" s="7"/>
      <c r="E680" s="3"/>
      <c r="F680" s="3"/>
      <c r="G680" s="59">
        <f>G681</f>
        <v>0</v>
      </c>
      <c r="H680" s="204"/>
    </row>
    <row r="681" spans="1:8" ht="15.75" hidden="1" x14ac:dyDescent="0.25">
      <c r="A681" s="73" t="s">
        <v>390</v>
      </c>
      <c r="B681" s="40" t="s">
        <v>1273</v>
      </c>
      <c r="C681" s="40" t="s">
        <v>234</v>
      </c>
      <c r="D681" s="40"/>
      <c r="E681" s="2"/>
      <c r="F681" s="2"/>
      <c r="G681" s="10">
        <f>G682</f>
        <v>0</v>
      </c>
    </row>
    <row r="682" spans="1:8" ht="15.75" hidden="1" x14ac:dyDescent="0.25">
      <c r="A682" s="73" t="s">
        <v>541</v>
      </c>
      <c r="B682" s="40" t="s">
        <v>1273</v>
      </c>
      <c r="C682" s="40" t="s">
        <v>234</v>
      </c>
      <c r="D682" s="40" t="s">
        <v>215</v>
      </c>
      <c r="E682" s="2"/>
      <c r="F682" s="2"/>
      <c r="G682" s="10">
        <f>G683</f>
        <v>0</v>
      </c>
    </row>
    <row r="683" spans="1:8" s="203" customFormat="1" ht="31.5" hidden="1" x14ac:dyDescent="0.25">
      <c r="A683" s="327" t="s">
        <v>1431</v>
      </c>
      <c r="B683" s="20" t="s">
        <v>1419</v>
      </c>
      <c r="C683" s="40" t="s">
        <v>234</v>
      </c>
      <c r="D683" s="40" t="s">
        <v>215</v>
      </c>
      <c r="E683" s="2"/>
      <c r="F683" s="2"/>
      <c r="G683" s="10">
        <f>G684</f>
        <v>0</v>
      </c>
      <c r="H683" s="204"/>
    </row>
    <row r="684" spans="1:8" s="203" customFormat="1" ht="31.5" hidden="1" x14ac:dyDescent="0.25">
      <c r="A684" s="25" t="s">
        <v>131</v>
      </c>
      <c r="B684" s="20" t="s">
        <v>1419</v>
      </c>
      <c r="C684" s="40" t="s">
        <v>234</v>
      </c>
      <c r="D684" s="40" t="s">
        <v>215</v>
      </c>
      <c r="E684" s="2">
        <v>200</v>
      </c>
      <c r="F684" s="2"/>
      <c r="G684" s="10">
        <f>G685</f>
        <v>0</v>
      </c>
      <c r="H684" s="204"/>
    </row>
    <row r="685" spans="1:8" s="203" customFormat="1" ht="31.5" hidden="1" x14ac:dyDescent="0.25">
      <c r="A685" s="25" t="s">
        <v>133</v>
      </c>
      <c r="B685" s="20" t="s">
        <v>1419</v>
      </c>
      <c r="C685" s="40" t="s">
        <v>234</v>
      </c>
      <c r="D685" s="40" t="s">
        <v>215</v>
      </c>
      <c r="E685" s="2">
        <v>240</v>
      </c>
      <c r="F685" s="2"/>
      <c r="G685" s="10">
        <f>'Пр.4 ведом.22'!G1047</f>
        <v>0</v>
      </c>
      <c r="H685" s="204"/>
    </row>
    <row r="686" spans="1:8" s="203" customFormat="1" ht="31.5" hidden="1" x14ac:dyDescent="0.25">
      <c r="A686" s="45" t="s">
        <v>623</v>
      </c>
      <c r="B686" s="20" t="s">
        <v>1419</v>
      </c>
      <c r="C686" s="40" t="s">
        <v>234</v>
      </c>
      <c r="D686" s="40" t="s">
        <v>215</v>
      </c>
      <c r="E686" s="2">
        <v>240</v>
      </c>
      <c r="F686" s="2">
        <v>908</v>
      </c>
      <c r="G686" s="10">
        <f>G683</f>
        <v>0</v>
      </c>
      <c r="H686" s="204"/>
    </row>
    <row r="687" spans="1:8" s="203" customFormat="1" ht="31.5" x14ac:dyDescent="0.25">
      <c r="A687" s="23" t="s">
        <v>1433</v>
      </c>
      <c r="B687" s="7" t="s">
        <v>1274</v>
      </c>
      <c r="C687" s="40"/>
      <c r="D687" s="40"/>
      <c r="E687" s="2"/>
      <c r="F687" s="2"/>
      <c r="G687" s="59">
        <f>G688</f>
        <v>2248.02</v>
      </c>
      <c r="H687" s="204"/>
    </row>
    <row r="688" spans="1:8" s="203" customFormat="1" ht="15.75" x14ac:dyDescent="0.25">
      <c r="A688" s="73" t="s">
        <v>390</v>
      </c>
      <c r="B688" s="40" t="s">
        <v>1274</v>
      </c>
      <c r="C688" s="40"/>
      <c r="D688" s="40"/>
      <c r="E688" s="2"/>
      <c r="F688" s="2"/>
      <c r="G688" s="10">
        <f>G689</f>
        <v>2248.02</v>
      </c>
      <c r="H688" s="204"/>
    </row>
    <row r="689" spans="1:8" s="203" customFormat="1" ht="15.75" x14ac:dyDescent="0.25">
      <c r="A689" s="73" t="s">
        <v>541</v>
      </c>
      <c r="B689" s="40" t="s">
        <v>1274</v>
      </c>
      <c r="C689" s="40"/>
      <c r="D689" s="40"/>
      <c r="E689" s="2"/>
      <c r="F689" s="2"/>
      <c r="G689" s="10">
        <f>G690+G694+G704+G708+G712+G719+G723</f>
        <v>2248.02</v>
      </c>
      <c r="H689" s="204"/>
    </row>
    <row r="690" spans="1:8" ht="15.75" customHeight="1" x14ac:dyDescent="0.25">
      <c r="A690" s="25" t="s">
        <v>546</v>
      </c>
      <c r="B690" s="20" t="s">
        <v>1429</v>
      </c>
      <c r="C690" s="40" t="s">
        <v>234</v>
      </c>
      <c r="D690" s="40" t="s">
        <v>215</v>
      </c>
      <c r="E690" s="2"/>
      <c r="F690" s="2"/>
      <c r="G690" s="10">
        <f t="shared" ref="G690:G691" si="48">G691</f>
        <v>365</v>
      </c>
    </row>
    <row r="691" spans="1:8" ht="41.25" customHeight="1" x14ac:dyDescent="0.25">
      <c r="A691" s="25" t="s">
        <v>131</v>
      </c>
      <c r="B691" s="20" t="s">
        <v>1429</v>
      </c>
      <c r="C691" s="40" t="s">
        <v>234</v>
      </c>
      <c r="D691" s="40" t="s">
        <v>215</v>
      </c>
      <c r="E691" s="2">
        <v>200</v>
      </c>
      <c r="F691" s="2"/>
      <c r="G691" s="10">
        <f t="shared" si="48"/>
        <v>365</v>
      </c>
    </row>
    <row r="692" spans="1:8" ht="31.7" customHeight="1" x14ac:dyDescent="0.25">
      <c r="A692" s="25" t="s">
        <v>133</v>
      </c>
      <c r="B692" s="20" t="s">
        <v>1429</v>
      </c>
      <c r="C692" s="40" t="s">
        <v>234</v>
      </c>
      <c r="D692" s="40" t="s">
        <v>215</v>
      </c>
      <c r="E692" s="2">
        <v>240</v>
      </c>
      <c r="F692" s="2"/>
      <c r="G692" s="10">
        <f>'Пр.4 ведом.22'!G1051</f>
        <v>365</v>
      </c>
    </row>
    <row r="693" spans="1:8" s="203" customFormat="1" ht="31.7" customHeight="1" x14ac:dyDescent="0.25">
      <c r="A693" s="45" t="s">
        <v>623</v>
      </c>
      <c r="B693" s="20" t="s">
        <v>1429</v>
      </c>
      <c r="C693" s="40" t="s">
        <v>234</v>
      </c>
      <c r="D693" s="40" t="s">
        <v>215</v>
      </c>
      <c r="E693" s="2">
        <v>240</v>
      </c>
      <c r="F693" s="2">
        <v>908</v>
      </c>
      <c r="G693" s="10">
        <f>G692</f>
        <v>365</v>
      </c>
      <c r="H693" s="204"/>
    </row>
    <row r="694" spans="1:8" ht="17.45" customHeight="1" x14ac:dyDescent="0.25">
      <c r="A694" s="25" t="s">
        <v>548</v>
      </c>
      <c r="B694" s="20" t="s">
        <v>1418</v>
      </c>
      <c r="C694" s="40" t="s">
        <v>234</v>
      </c>
      <c r="D694" s="40" t="s">
        <v>215</v>
      </c>
      <c r="E694" s="2"/>
      <c r="F694" s="2"/>
      <c r="G694" s="10">
        <f>G695+G698+G701</f>
        <v>1408.02</v>
      </c>
    </row>
    <row r="695" spans="1:8" ht="31.5" x14ac:dyDescent="0.25">
      <c r="A695" s="25" t="s">
        <v>131</v>
      </c>
      <c r="B695" s="20" t="s">
        <v>1418</v>
      </c>
      <c r="C695" s="40" t="s">
        <v>234</v>
      </c>
      <c r="D695" s="40" t="s">
        <v>215</v>
      </c>
      <c r="E695" s="2">
        <v>200</v>
      </c>
      <c r="F695" s="2"/>
      <c r="G695" s="10">
        <f t="shared" ref="G695" si="49">G696</f>
        <v>1408.02</v>
      </c>
    </row>
    <row r="696" spans="1:8" ht="31.5" x14ac:dyDescent="0.25">
      <c r="A696" s="25" t="s">
        <v>133</v>
      </c>
      <c r="B696" s="20" t="s">
        <v>1418</v>
      </c>
      <c r="C696" s="40" t="s">
        <v>234</v>
      </c>
      <c r="D696" s="40" t="s">
        <v>215</v>
      </c>
      <c r="E696" s="2">
        <v>240</v>
      </c>
      <c r="F696" s="2"/>
      <c r="G696" s="10">
        <f>'Пр.4 ведом.22'!G1054</f>
        <v>1408.02</v>
      </c>
    </row>
    <row r="697" spans="1:8" s="203" customFormat="1" ht="37.5" customHeight="1" x14ac:dyDescent="0.25">
      <c r="A697" s="45" t="s">
        <v>623</v>
      </c>
      <c r="B697" s="20" t="s">
        <v>1418</v>
      </c>
      <c r="C697" s="40" t="s">
        <v>234</v>
      </c>
      <c r="D697" s="40" t="s">
        <v>215</v>
      </c>
      <c r="E697" s="2">
        <v>240</v>
      </c>
      <c r="F697" s="2">
        <v>908</v>
      </c>
      <c r="G697" s="10">
        <f>G696</f>
        <v>1408.02</v>
      </c>
      <c r="H697" s="204"/>
    </row>
    <row r="698" spans="1:8" ht="15.75" hidden="1" x14ac:dyDescent="0.25">
      <c r="A698" s="25" t="s">
        <v>135</v>
      </c>
      <c r="B698" s="20" t="s">
        <v>1418</v>
      </c>
      <c r="C698" s="40" t="s">
        <v>234</v>
      </c>
      <c r="D698" s="40" t="s">
        <v>215</v>
      </c>
      <c r="E698" s="2">
        <v>800</v>
      </c>
      <c r="F698" s="2"/>
      <c r="G698" s="10">
        <f>G699</f>
        <v>0</v>
      </c>
    </row>
    <row r="699" spans="1:8" s="203" customFormat="1" ht="47.25" hidden="1" x14ac:dyDescent="0.25">
      <c r="A699" s="25" t="s">
        <v>836</v>
      </c>
      <c r="B699" s="20" t="s">
        <v>1418</v>
      </c>
      <c r="C699" s="40" t="s">
        <v>234</v>
      </c>
      <c r="D699" s="40" t="s">
        <v>215</v>
      </c>
      <c r="E699" s="2">
        <v>830</v>
      </c>
      <c r="F699" s="2"/>
      <c r="G699" s="10">
        <f>'Пр.3 Рд,пр, ЦС,ВР 22'!F427</f>
        <v>0</v>
      </c>
      <c r="H699" s="204"/>
    </row>
    <row r="700" spans="1:8" s="203" customFormat="1" ht="31.5" hidden="1" x14ac:dyDescent="0.25">
      <c r="A700" s="45" t="s">
        <v>623</v>
      </c>
      <c r="B700" s="20" t="s">
        <v>1418</v>
      </c>
      <c r="C700" s="40" t="s">
        <v>234</v>
      </c>
      <c r="D700" s="40" t="s">
        <v>215</v>
      </c>
      <c r="E700" s="2">
        <v>830</v>
      </c>
      <c r="F700" s="2">
        <v>908</v>
      </c>
      <c r="G700" s="10">
        <f>G699</f>
        <v>0</v>
      </c>
      <c r="H700" s="204"/>
    </row>
    <row r="701" spans="1:8" s="203" customFormat="1" ht="15.75" hidden="1" x14ac:dyDescent="0.25">
      <c r="A701" s="25" t="s">
        <v>135</v>
      </c>
      <c r="B701" s="20" t="s">
        <v>1418</v>
      </c>
      <c r="C701" s="40" t="s">
        <v>234</v>
      </c>
      <c r="D701" s="40" t="s">
        <v>215</v>
      </c>
      <c r="E701" s="2">
        <v>800</v>
      </c>
      <c r="F701" s="2"/>
      <c r="G701" s="10">
        <f>G702</f>
        <v>0</v>
      </c>
      <c r="H701" s="204"/>
    </row>
    <row r="702" spans="1:8" ht="15.75" hidden="1" x14ac:dyDescent="0.25">
      <c r="A702" s="25" t="s">
        <v>1077</v>
      </c>
      <c r="B702" s="20" t="s">
        <v>1418</v>
      </c>
      <c r="C702" s="40" t="s">
        <v>234</v>
      </c>
      <c r="D702" s="40" t="s">
        <v>215</v>
      </c>
      <c r="E702" s="2">
        <v>850</v>
      </c>
      <c r="F702" s="2"/>
      <c r="G702" s="10">
        <f>'Пр.3 Рд,пр, ЦС,ВР 22'!F428</f>
        <v>0</v>
      </c>
    </row>
    <row r="703" spans="1:8" s="203" customFormat="1" ht="31.5" hidden="1" x14ac:dyDescent="0.25">
      <c r="A703" s="45" t="s">
        <v>623</v>
      </c>
      <c r="B703" s="20" t="s">
        <v>1418</v>
      </c>
      <c r="C703" s="40" t="s">
        <v>234</v>
      </c>
      <c r="D703" s="40" t="s">
        <v>215</v>
      </c>
      <c r="E703" s="2">
        <v>850</v>
      </c>
      <c r="F703" s="2">
        <v>908</v>
      </c>
      <c r="G703" s="10">
        <f>G702</f>
        <v>0</v>
      </c>
      <c r="H703" s="204"/>
    </row>
    <row r="704" spans="1:8" ht="15.75" hidden="1" x14ac:dyDescent="0.25">
      <c r="A704" s="25" t="s">
        <v>550</v>
      </c>
      <c r="B704" s="20" t="s">
        <v>1298</v>
      </c>
      <c r="C704" s="40" t="s">
        <v>234</v>
      </c>
      <c r="D704" s="40" t="s">
        <v>215</v>
      </c>
      <c r="E704" s="2"/>
      <c r="F704" s="2"/>
      <c r="G704" s="10">
        <f t="shared" ref="G704" si="50">G705</f>
        <v>0</v>
      </c>
    </row>
    <row r="705" spans="1:8" ht="31.5" hidden="1" x14ac:dyDescent="0.25">
      <c r="A705" s="25" t="s">
        <v>131</v>
      </c>
      <c r="B705" s="20" t="s">
        <v>1298</v>
      </c>
      <c r="C705" s="40" t="s">
        <v>234</v>
      </c>
      <c r="D705" s="40" t="s">
        <v>215</v>
      </c>
      <c r="E705" s="2">
        <v>200</v>
      </c>
      <c r="F705" s="2"/>
      <c r="G705" s="10">
        <f>G706</f>
        <v>0</v>
      </c>
    </row>
    <row r="706" spans="1:8" ht="31.5" hidden="1" x14ac:dyDescent="0.25">
      <c r="A706" s="25" t="s">
        <v>133</v>
      </c>
      <c r="B706" s="20" t="s">
        <v>1298</v>
      </c>
      <c r="C706" s="40" t="s">
        <v>234</v>
      </c>
      <c r="D706" s="40" t="s">
        <v>215</v>
      </c>
      <c r="E706" s="2">
        <v>240</v>
      </c>
      <c r="F706" s="2"/>
      <c r="G706" s="10">
        <f>'Пр.4 ведом.22'!G1060</f>
        <v>0</v>
      </c>
    </row>
    <row r="707" spans="1:8" ht="37.5" hidden="1" customHeight="1" x14ac:dyDescent="0.25">
      <c r="A707" s="45" t="s">
        <v>623</v>
      </c>
      <c r="B707" s="20" t="s">
        <v>1298</v>
      </c>
      <c r="C707" s="40" t="s">
        <v>234</v>
      </c>
      <c r="D707" s="40" t="s">
        <v>215</v>
      </c>
      <c r="E707" s="2">
        <v>240</v>
      </c>
      <c r="F707" s="2">
        <v>908</v>
      </c>
      <c r="G707" s="10">
        <f>G706</f>
        <v>0</v>
      </c>
    </row>
    <row r="708" spans="1:8" ht="15.75" x14ac:dyDescent="0.25">
      <c r="A708" s="25" t="s">
        <v>555</v>
      </c>
      <c r="B708" s="20" t="s">
        <v>1275</v>
      </c>
      <c r="C708" s="40" t="s">
        <v>234</v>
      </c>
      <c r="D708" s="40" t="s">
        <v>215</v>
      </c>
      <c r="E708" s="2"/>
      <c r="F708" s="2"/>
      <c r="G708" s="10">
        <f t="shared" ref="G708:G709" si="51">G709</f>
        <v>50</v>
      </c>
    </row>
    <row r="709" spans="1:8" ht="31.5" x14ac:dyDescent="0.25">
      <c r="A709" s="25" t="s">
        <v>131</v>
      </c>
      <c r="B709" s="20" t="s">
        <v>1275</v>
      </c>
      <c r="C709" s="40" t="s">
        <v>234</v>
      </c>
      <c r="D709" s="40" t="s">
        <v>215</v>
      </c>
      <c r="E709" s="2">
        <v>200</v>
      </c>
      <c r="F709" s="2"/>
      <c r="G709" s="10">
        <f t="shared" si="51"/>
        <v>50</v>
      </c>
    </row>
    <row r="710" spans="1:8" ht="31.5" x14ac:dyDescent="0.25">
      <c r="A710" s="25" t="s">
        <v>133</v>
      </c>
      <c r="B710" s="20" t="s">
        <v>1275</v>
      </c>
      <c r="C710" s="40" t="s">
        <v>234</v>
      </c>
      <c r="D710" s="40" t="s">
        <v>215</v>
      </c>
      <c r="E710" s="2">
        <v>240</v>
      </c>
      <c r="F710" s="2"/>
      <c r="G710" s="10">
        <f>'Пр.4 ведом.22'!G1063</f>
        <v>50</v>
      </c>
    </row>
    <row r="711" spans="1:8" s="203" customFormat="1" ht="39.200000000000003" customHeight="1" x14ac:dyDescent="0.25">
      <c r="A711" s="45" t="s">
        <v>623</v>
      </c>
      <c r="B711" s="20" t="s">
        <v>1275</v>
      </c>
      <c r="C711" s="40" t="s">
        <v>234</v>
      </c>
      <c r="D711" s="40" t="s">
        <v>215</v>
      </c>
      <c r="E711" s="2">
        <v>240</v>
      </c>
      <c r="F711" s="2">
        <v>908</v>
      </c>
      <c r="G711" s="10">
        <f>G710</f>
        <v>50</v>
      </c>
      <c r="H711" s="204"/>
    </row>
    <row r="712" spans="1:8" ht="31.5" x14ac:dyDescent="0.25">
      <c r="A712" s="325" t="s">
        <v>1432</v>
      </c>
      <c r="B712" s="20" t="s">
        <v>1276</v>
      </c>
      <c r="C712" s="40" t="s">
        <v>234</v>
      </c>
      <c r="D712" s="40" t="s">
        <v>215</v>
      </c>
      <c r="E712" s="2"/>
      <c r="F712" s="2"/>
      <c r="G712" s="10">
        <f>G713+G716</f>
        <v>375</v>
      </c>
    </row>
    <row r="713" spans="1:8" ht="31.5" x14ac:dyDescent="0.25">
      <c r="A713" s="25" t="s">
        <v>131</v>
      </c>
      <c r="B713" s="20" t="s">
        <v>1276</v>
      </c>
      <c r="C713" s="40" t="s">
        <v>234</v>
      </c>
      <c r="D713" s="40" t="s">
        <v>215</v>
      </c>
      <c r="E713" s="2">
        <v>200</v>
      </c>
      <c r="F713" s="2"/>
      <c r="G713" s="10">
        <f t="shared" ref="G713" si="52">G714</f>
        <v>375</v>
      </c>
    </row>
    <row r="714" spans="1:8" ht="31.5" x14ac:dyDescent="0.25">
      <c r="A714" s="25" t="s">
        <v>133</v>
      </c>
      <c r="B714" s="20" t="s">
        <v>1276</v>
      </c>
      <c r="C714" s="40" t="s">
        <v>234</v>
      </c>
      <c r="D714" s="40" t="s">
        <v>215</v>
      </c>
      <c r="E714" s="2">
        <v>240</v>
      </c>
      <c r="F714" s="2"/>
      <c r="G714" s="10">
        <f>'Пр.4 ведом.22'!G1066</f>
        <v>375</v>
      </c>
    </row>
    <row r="715" spans="1:8" s="203" customFormat="1" ht="42" customHeight="1" x14ac:dyDescent="0.25">
      <c r="A715" s="45" t="s">
        <v>623</v>
      </c>
      <c r="B715" s="20" t="s">
        <v>1276</v>
      </c>
      <c r="C715" s="40" t="s">
        <v>234</v>
      </c>
      <c r="D715" s="40" t="s">
        <v>215</v>
      </c>
      <c r="E715" s="2">
        <v>240</v>
      </c>
      <c r="F715" s="2">
        <v>908</v>
      </c>
      <c r="G715" s="10">
        <f>G714</f>
        <v>375</v>
      </c>
      <c r="H715" s="204"/>
    </row>
    <row r="716" spans="1:8" s="203" customFormat="1" ht="15.75" hidden="1" x14ac:dyDescent="0.25">
      <c r="A716" s="29" t="s">
        <v>135</v>
      </c>
      <c r="B716" s="20" t="s">
        <v>1276</v>
      </c>
      <c r="C716" s="40" t="s">
        <v>234</v>
      </c>
      <c r="D716" s="40" t="s">
        <v>215</v>
      </c>
      <c r="E716" s="2">
        <v>800</v>
      </c>
      <c r="F716" s="2"/>
      <c r="G716" s="10">
        <f>G717</f>
        <v>0</v>
      </c>
      <c r="H716" s="204"/>
    </row>
    <row r="717" spans="1:8" s="203" customFormat="1" ht="15.75" hidden="1" x14ac:dyDescent="0.25">
      <c r="A717" s="25" t="s">
        <v>704</v>
      </c>
      <c r="B717" s="20" t="s">
        <v>1276</v>
      </c>
      <c r="C717" s="40" t="s">
        <v>234</v>
      </c>
      <c r="D717" s="40" t="s">
        <v>215</v>
      </c>
      <c r="E717" s="2">
        <v>850</v>
      </c>
      <c r="F717" s="2"/>
      <c r="G717" s="10">
        <f>'Пр.4 ведом.22'!G1068</f>
        <v>0</v>
      </c>
      <c r="H717" s="204"/>
    </row>
    <row r="718" spans="1:8" s="203" customFormat="1" ht="31.5" x14ac:dyDescent="0.25">
      <c r="A718" s="45" t="s">
        <v>623</v>
      </c>
      <c r="B718" s="20" t="s">
        <v>1276</v>
      </c>
      <c r="C718" s="40" t="s">
        <v>234</v>
      </c>
      <c r="D718" s="40" t="s">
        <v>215</v>
      </c>
      <c r="E718" s="2">
        <v>850</v>
      </c>
      <c r="F718" s="2">
        <v>908</v>
      </c>
      <c r="G718" s="10">
        <f>G717</f>
        <v>0</v>
      </c>
      <c r="H718" s="204"/>
    </row>
    <row r="719" spans="1:8" ht="15.75" hidden="1" customHeight="1" x14ac:dyDescent="0.25">
      <c r="A719" s="45" t="s">
        <v>559</v>
      </c>
      <c r="B719" s="20" t="s">
        <v>1277</v>
      </c>
      <c r="C719" s="40" t="s">
        <v>234</v>
      </c>
      <c r="D719" s="40" t="s">
        <v>215</v>
      </c>
      <c r="E719" s="2"/>
      <c r="F719" s="2"/>
      <c r="G719" s="10">
        <f t="shared" ref="G719:G720" si="53">G720</f>
        <v>0</v>
      </c>
    </row>
    <row r="720" spans="1:8" ht="31.7" hidden="1" customHeight="1" x14ac:dyDescent="0.25">
      <c r="A720" s="25" t="s">
        <v>131</v>
      </c>
      <c r="B720" s="20" t="s">
        <v>1277</v>
      </c>
      <c r="C720" s="40" t="s">
        <v>234</v>
      </c>
      <c r="D720" s="40" t="s">
        <v>215</v>
      </c>
      <c r="E720" s="2">
        <v>200</v>
      </c>
      <c r="F720" s="2"/>
      <c r="G720" s="10">
        <f t="shared" si="53"/>
        <v>0</v>
      </c>
    </row>
    <row r="721" spans="1:8" ht="31.7" hidden="1" customHeight="1" x14ac:dyDescent="0.25">
      <c r="A721" s="25" t="s">
        <v>133</v>
      </c>
      <c r="B721" s="20" t="s">
        <v>1277</v>
      </c>
      <c r="C721" s="40" t="s">
        <v>234</v>
      </c>
      <c r="D721" s="40" t="s">
        <v>215</v>
      </c>
      <c r="E721" s="2">
        <v>240</v>
      </c>
      <c r="F721" s="2"/>
      <c r="G721" s="10">
        <f>'Пр.3 Рд,пр, ЦС,ВР 22'!F442</f>
        <v>0</v>
      </c>
    </row>
    <row r="722" spans="1:8" ht="31.5" hidden="1" x14ac:dyDescent="0.25">
      <c r="A722" s="45" t="s">
        <v>623</v>
      </c>
      <c r="B722" s="20" t="s">
        <v>1277</v>
      </c>
      <c r="C722" s="40" t="s">
        <v>234</v>
      </c>
      <c r="D722" s="40" t="s">
        <v>215</v>
      </c>
      <c r="E722" s="2">
        <v>850</v>
      </c>
      <c r="F722" s="2">
        <v>908</v>
      </c>
      <c r="G722" s="10">
        <f>G721</f>
        <v>0</v>
      </c>
    </row>
    <row r="723" spans="1:8" s="203" customFormat="1" ht="31.5" x14ac:dyDescent="0.25">
      <c r="A723" s="229" t="s">
        <v>1088</v>
      </c>
      <c r="B723" s="20" t="s">
        <v>1278</v>
      </c>
      <c r="C723" s="40" t="s">
        <v>234</v>
      </c>
      <c r="D723" s="40" t="s">
        <v>215</v>
      </c>
      <c r="E723" s="2"/>
      <c r="F723" s="2"/>
      <c r="G723" s="10">
        <f>G724</f>
        <v>50</v>
      </c>
      <c r="H723" s="204"/>
    </row>
    <row r="724" spans="1:8" s="203" customFormat="1" ht="31.5" x14ac:dyDescent="0.25">
      <c r="A724" s="25" t="s">
        <v>131</v>
      </c>
      <c r="B724" s="20" t="s">
        <v>1278</v>
      </c>
      <c r="C724" s="40" t="s">
        <v>234</v>
      </c>
      <c r="D724" s="40" t="s">
        <v>215</v>
      </c>
      <c r="E724" s="2">
        <v>200</v>
      </c>
      <c r="F724" s="2"/>
      <c r="G724" s="10">
        <f>G725</f>
        <v>50</v>
      </c>
      <c r="H724" s="204"/>
    </row>
    <row r="725" spans="1:8" s="203" customFormat="1" ht="31.5" x14ac:dyDescent="0.25">
      <c r="A725" s="25" t="s">
        <v>133</v>
      </c>
      <c r="B725" s="20" t="s">
        <v>1278</v>
      </c>
      <c r="C725" s="40" t="s">
        <v>234</v>
      </c>
      <c r="D725" s="40" t="s">
        <v>215</v>
      </c>
      <c r="E725" s="2">
        <v>240</v>
      </c>
      <c r="F725" s="2"/>
      <c r="G725" s="10">
        <f>'Пр.4 ведом.22'!G1074</f>
        <v>50</v>
      </c>
      <c r="H725" s="204"/>
    </row>
    <row r="726" spans="1:8" s="203" customFormat="1" ht="36.75" customHeight="1" x14ac:dyDescent="0.25">
      <c r="A726" s="45" t="s">
        <v>623</v>
      </c>
      <c r="B726" s="20" t="s">
        <v>1278</v>
      </c>
      <c r="C726" s="40" t="s">
        <v>234</v>
      </c>
      <c r="D726" s="40" t="s">
        <v>215</v>
      </c>
      <c r="E726" s="2">
        <v>240</v>
      </c>
      <c r="F726" s="2">
        <v>908</v>
      </c>
      <c r="G726" s="10">
        <f>G725</f>
        <v>50</v>
      </c>
      <c r="H726" s="204"/>
    </row>
    <row r="727" spans="1:8" s="203" customFormat="1" ht="31.5" x14ac:dyDescent="0.25">
      <c r="A727" s="23" t="s">
        <v>891</v>
      </c>
      <c r="B727" s="24" t="s">
        <v>1296</v>
      </c>
      <c r="C727" s="7"/>
      <c r="D727" s="7"/>
      <c r="E727" s="3"/>
      <c r="F727" s="3"/>
      <c r="G727" s="59">
        <f>G728</f>
        <v>2145.8000000000002</v>
      </c>
      <c r="H727" s="204"/>
    </row>
    <row r="728" spans="1:8" s="203" customFormat="1" ht="15.75" x14ac:dyDescent="0.25">
      <c r="A728" s="73" t="s">
        <v>390</v>
      </c>
      <c r="B728" s="20" t="s">
        <v>1296</v>
      </c>
      <c r="C728" s="40" t="s">
        <v>234</v>
      </c>
      <c r="D728" s="40"/>
      <c r="E728" s="2"/>
      <c r="F728" s="2"/>
      <c r="G728" s="10">
        <f t="shared" ref="G728" si="54">G729</f>
        <v>2145.8000000000002</v>
      </c>
      <c r="H728" s="204"/>
    </row>
    <row r="729" spans="1:8" s="203" customFormat="1" ht="15.75" x14ac:dyDescent="0.25">
      <c r="A729" s="73" t="s">
        <v>541</v>
      </c>
      <c r="B729" s="20" t="s">
        <v>1296</v>
      </c>
      <c r="C729" s="40" t="s">
        <v>234</v>
      </c>
      <c r="D729" s="40" t="s">
        <v>215</v>
      </c>
      <c r="E729" s="2"/>
      <c r="F729" s="2"/>
      <c r="G729" s="10">
        <f>G730+G734</f>
        <v>2145.8000000000002</v>
      </c>
      <c r="H729" s="204"/>
    </row>
    <row r="730" spans="1:8" s="203" customFormat="1" ht="31.5" hidden="1" x14ac:dyDescent="0.25">
      <c r="A730" s="25" t="s">
        <v>690</v>
      </c>
      <c r="B730" s="20" t="s">
        <v>1327</v>
      </c>
      <c r="C730" s="40" t="s">
        <v>234</v>
      </c>
      <c r="D730" s="40" t="s">
        <v>215</v>
      </c>
      <c r="E730" s="2"/>
      <c r="F730" s="2"/>
      <c r="G730" s="10">
        <f>G731</f>
        <v>0</v>
      </c>
      <c r="H730" s="204"/>
    </row>
    <row r="731" spans="1:8" s="203" customFormat="1" ht="31.5" hidden="1" x14ac:dyDescent="0.25">
      <c r="A731" s="25" t="s">
        <v>131</v>
      </c>
      <c r="B731" s="20" t="s">
        <v>1327</v>
      </c>
      <c r="C731" s="40" t="s">
        <v>234</v>
      </c>
      <c r="D731" s="40" t="s">
        <v>215</v>
      </c>
      <c r="E731" s="20" t="s">
        <v>132</v>
      </c>
      <c r="F731" s="2"/>
      <c r="G731" s="10">
        <f>G732</f>
        <v>0</v>
      </c>
      <c r="H731" s="204"/>
    </row>
    <row r="732" spans="1:8" s="203" customFormat="1" ht="31.5" hidden="1" x14ac:dyDescent="0.25">
      <c r="A732" s="25" t="s">
        <v>133</v>
      </c>
      <c r="B732" s="20" t="s">
        <v>1327</v>
      </c>
      <c r="C732" s="40" t="s">
        <v>234</v>
      </c>
      <c r="D732" s="40" t="s">
        <v>215</v>
      </c>
      <c r="E732" s="20" t="s">
        <v>134</v>
      </c>
      <c r="F732" s="2"/>
      <c r="G732" s="10">
        <f>'Пр.3 Рд,пр, ЦС,ВР 22'!F449</f>
        <v>0</v>
      </c>
      <c r="H732" s="204"/>
    </row>
    <row r="733" spans="1:8" s="203" customFormat="1" ht="31.5" hidden="1" x14ac:dyDescent="0.25">
      <c r="A733" s="45" t="s">
        <v>623</v>
      </c>
      <c r="B733" s="20" t="s">
        <v>1327</v>
      </c>
      <c r="C733" s="40" t="s">
        <v>234</v>
      </c>
      <c r="D733" s="40" t="s">
        <v>215</v>
      </c>
      <c r="E733" s="20" t="s">
        <v>134</v>
      </c>
      <c r="F733" s="2">
        <v>908</v>
      </c>
      <c r="G733" s="10">
        <f>G732</f>
        <v>0</v>
      </c>
      <c r="H733" s="204"/>
    </row>
    <row r="734" spans="1:8" s="203" customFormat="1" ht="63" x14ac:dyDescent="0.25">
      <c r="A734" s="25" t="s">
        <v>1070</v>
      </c>
      <c r="B734" s="20" t="s">
        <v>1295</v>
      </c>
      <c r="C734" s="40" t="s">
        <v>234</v>
      </c>
      <c r="D734" s="40" t="s">
        <v>215</v>
      </c>
      <c r="E734" s="20"/>
      <c r="F734" s="2"/>
      <c r="G734" s="10">
        <f>G735</f>
        <v>2145.8000000000002</v>
      </c>
      <c r="H734" s="204"/>
    </row>
    <row r="735" spans="1:8" s="203" customFormat="1" ht="31.5" x14ac:dyDescent="0.25">
      <c r="A735" s="25" t="s">
        <v>131</v>
      </c>
      <c r="B735" s="20" t="s">
        <v>1295</v>
      </c>
      <c r="C735" s="40" t="s">
        <v>234</v>
      </c>
      <c r="D735" s="40" t="s">
        <v>215</v>
      </c>
      <c r="E735" s="20" t="s">
        <v>132</v>
      </c>
      <c r="F735" s="2"/>
      <c r="G735" s="10">
        <f>G736</f>
        <v>2145.8000000000002</v>
      </c>
      <c r="H735" s="204"/>
    </row>
    <row r="736" spans="1:8" s="203" customFormat="1" ht="31.5" x14ac:dyDescent="0.25">
      <c r="A736" s="25" t="s">
        <v>133</v>
      </c>
      <c r="B736" s="20" t="s">
        <v>1295</v>
      </c>
      <c r="C736" s="40" t="s">
        <v>234</v>
      </c>
      <c r="D736" s="40" t="s">
        <v>215</v>
      </c>
      <c r="E736" s="20" t="s">
        <v>134</v>
      </c>
      <c r="F736" s="2"/>
      <c r="G736" s="10">
        <f>'Пр.3 Рд,пр, ЦС,ВР 22'!F452</f>
        <v>2145.8000000000002</v>
      </c>
      <c r="H736" s="204"/>
    </row>
    <row r="737" spans="1:8" s="203" customFormat="1" ht="38.25" customHeight="1" x14ac:dyDescent="0.25">
      <c r="A737" s="45" t="s">
        <v>623</v>
      </c>
      <c r="B737" s="20" t="s">
        <v>1295</v>
      </c>
      <c r="C737" s="40" t="s">
        <v>234</v>
      </c>
      <c r="D737" s="40" t="s">
        <v>215</v>
      </c>
      <c r="E737" s="20" t="s">
        <v>134</v>
      </c>
      <c r="F737" s="2">
        <v>908</v>
      </c>
      <c r="G737" s="10">
        <f>G736</f>
        <v>2145.8000000000002</v>
      </c>
      <c r="H737" s="204"/>
    </row>
    <row r="738" spans="1:8" s="487" customFormat="1" ht="31.5" hidden="1" x14ac:dyDescent="0.25">
      <c r="A738" s="34" t="s">
        <v>1651</v>
      </c>
      <c r="B738" s="495" t="s">
        <v>1652</v>
      </c>
      <c r="C738" s="7"/>
      <c r="D738" s="7"/>
      <c r="E738" s="495"/>
      <c r="F738" s="3"/>
      <c r="G738" s="59">
        <f>G739</f>
        <v>0</v>
      </c>
      <c r="H738" s="204"/>
    </row>
    <row r="739" spans="1:8" s="487" customFormat="1" ht="15.75" hidden="1" x14ac:dyDescent="0.25">
      <c r="A739" s="73" t="s">
        <v>390</v>
      </c>
      <c r="B739" s="492" t="s">
        <v>1652</v>
      </c>
      <c r="C739" s="499" t="s">
        <v>234</v>
      </c>
      <c r="D739" s="499"/>
      <c r="E739" s="492"/>
      <c r="F739" s="2"/>
      <c r="G739" s="10">
        <f>G740</f>
        <v>0</v>
      </c>
      <c r="H739" s="204"/>
    </row>
    <row r="740" spans="1:8" s="487" customFormat="1" ht="15.75" hidden="1" x14ac:dyDescent="0.25">
      <c r="A740" s="73" t="s">
        <v>541</v>
      </c>
      <c r="B740" s="492" t="s">
        <v>1652</v>
      </c>
      <c r="C740" s="499" t="s">
        <v>234</v>
      </c>
      <c r="D740" s="499" t="s">
        <v>215</v>
      </c>
      <c r="E740" s="492"/>
      <c r="F740" s="2"/>
      <c r="G740" s="10">
        <f>G741</f>
        <v>0</v>
      </c>
      <c r="H740" s="204"/>
    </row>
    <row r="741" spans="1:8" s="487" customFormat="1" ht="31.5" hidden="1" x14ac:dyDescent="0.25">
      <c r="A741" s="31" t="s">
        <v>1650</v>
      </c>
      <c r="B741" s="492" t="s">
        <v>1653</v>
      </c>
      <c r="C741" s="499" t="s">
        <v>234</v>
      </c>
      <c r="D741" s="499" t="s">
        <v>215</v>
      </c>
      <c r="E741" s="492"/>
      <c r="F741" s="2"/>
      <c r="G741" s="10">
        <f>G742</f>
        <v>0</v>
      </c>
      <c r="H741" s="204"/>
    </row>
    <row r="742" spans="1:8" s="487" customFormat="1" ht="31.5" hidden="1" x14ac:dyDescent="0.25">
      <c r="A742" s="496" t="s">
        <v>131</v>
      </c>
      <c r="B742" s="492" t="s">
        <v>1653</v>
      </c>
      <c r="C742" s="499" t="s">
        <v>234</v>
      </c>
      <c r="D742" s="499" t="s">
        <v>215</v>
      </c>
      <c r="E742" s="492" t="s">
        <v>132</v>
      </c>
      <c r="F742" s="2"/>
      <c r="G742" s="10">
        <f>G743</f>
        <v>0</v>
      </c>
      <c r="H742" s="204"/>
    </row>
    <row r="743" spans="1:8" s="487" customFormat="1" ht="31.5" hidden="1" x14ac:dyDescent="0.25">
      <c r="A743" s="496" t="s">
        <v>133</v>
      </c>
      <c r="B743" s="492" t="s">
        <v>1653</v>
      </c>
      <c r="C743" s="499" t="s">
        <v>234</v>
      </c>
      <c r="D743" s="499" t="s">
        <v>215</v>
      </c>
      <c r="E743" s="492" t="s">
        <v>134</v>
      </c>
      <c r="F743" s="2"/>
      <c r="G743" s="10">
        <f>'Пр.4 ведом.22'!G1085</f>
        <v>0</v>
      </c>
      <c r="H743" s="204"/>
    </row>
    <row r="744" spans="1:8" s="487" customFormat="1" ht="31.5" hidden="1" x14ac:dyDescent="0.25">
      <c r="A744" s="45" t="s">
        <v>623</v>
      </c>
      <c r="B744" s="492" t="s">
        <v>1653</v>
      </c>
      <c r="C744" s="499" t="s">
        <v>234</v>
      </c>
      <c r="D744" s="499" t="s">
        <v>215</v>
      </c>
      <c r="E744" s="492" t="s">
        <v>134</v>
      </c>
      <c r="F744" s="2">
        <v>908</v>
      </c>
      <c r="G744" s="10">
        <f>G743</f>
        <v>0</v>
      </c>
      <c r="H744" s="204"/>
    </row>
    <row r="745" spans="1:8" s="656" customFormat="1" ht="37.5" customHeight="1" x14ac:dyDescent="0.25">
      <c r="A745" s="664" t="s">
        <v>1678</v>
      </c>
      <c r="B745" s="665" t="s">
        <v>1677</v>
      </c>
      <c r="C745" s="658"/>
      <c r="D745" s="658"/>
      <c r="E745" s="665"/>
      <c r="F745" s="666"/>
      <c r="G745" s="662">
        <f>G746</f>
        <v>4351.8999999999996</v>
      </c>
    </row>
    <row r="746" spans="1:8" s="656" customFormat="1" ht="15.75" x14ac:dyDescent="0.25">
      <c r="A746" s="667" t="s">
        <v>390</v>
      </c>
      <c r="B746" s="653" t="s">
        <v>1677</v>
      </c>
      <c r="C746" s="654" t="s">
        <v>234</v>
      </c>
      <c r="D746" s="654"/>
      <c r="E746" s="653"/>
      <c r="F746" s="661"/>
      <c r="G746" s="651">
        <f>G747</f>
        <v>4351.8999999999996</v>
      </c>
    </row>
    <row r="747" spans="1:8" s="656" customFormat="1" ht="15.75" x14ac:dyDescent="0.25">
      <c r="A747" s="667" t="s">
        <v>541</v>
      </c>
      <c r="B747" s="653" t="s">
        <v>1677</v>
      </c>
      <c r="C747" s="654" t="s">
        <v>234</v>
      </c>
      <c r="D747" s="654" t="s">
        <v>215</v>
      </c>
      <c r="E747" s="653"/>
      <c r="F747" s="661"/>
      <c r="G747" s="651">
        <f>G748</f>
        <v>4351.8999999999996</v>
      </c>
    </row>
    <row r="748" spans="1:8" s="656" customFormat="1" ht="15.75" x14ac:dyDescent="0.25">
      <c r="A748" s="652" t="s">
        <v>1747</v>
      </c>
      <c r="B748" s="653" t="s">
        <v>1686</v>
      </c>
      <c r="C748" s="654" t="s">
        <v>234</v>
      </c>
      <c r="D748" s="654" t="s">
        <v>215</v>
      </c>
      <c r="E748" s="653"/>
      <c r="F748" s="661"/>
      <c r="G748" s="651">
        <f>G749</f>
        <v>4351.8999999999996</v>
      </c>
    </row>
    <row r="749" spans="1:8" s="656" customFormat="1" ht="31.5" x14ac:dyDescent="0.25">
      <c r="A749" s="650" t="s">
        <v>131</v>
      </c>
      <c r="B749" s="653" t="s">
        <v>1686</v>
      </c>
      <c r="C749" s="654" t="s">
        <v>234</v>
      </c>
      <c r="D749" s="654" t="s">
        <v>215</v>
      </c>
      <c r="E749" s="653" t="s">
        <v>132</v>
      </c>
      <c r="F749" s="661"/>
      <c r="G749" s="651">
        <f>G750</f>
        <v>4351.8999999999996</v>
      </c>
    </row>
    <row r="750" spans="1:8" s="656" customFormat="1" ht="31.5" x14ac:dyDescent="0.25">
      <c r="A750" s="650" t="s">
        <v>133</v>
      </c>
      <c r="B750" s="653" t="s">
        <v>1686</v>
      </c>
      <c r="C750" s="654" t="s">
        <v>234</v>
      </c>
      <c r="D750" s="654" t="s">
        <v>215</v>
      </c>
      <c r="E750" s="653" t="s">
        <v>134</v>
      </c>
      <c r="F750" s="661"/>
      <c r="G750" s="651">
        <f>'Пр.4 ведом.22'!G1089</f>
        <v>4351.8999999999996</v>
      </c>
    </row>
    <row r="751" spans="1:8" s="656" customFormat="1" ht="31.5" x14ac:dyDescent="0.25">
      <c r="A751" s="657" t="s">
        <v>623</v>
      </c>
      <c r="B751" s="653" t="s">
        <v>1686</v>
      </c>
      <c r="C751" s="654" t="s">
        <v>234</v>
      </c>
      <c r="D751" s="654" t="s">
        <v>215</v>
      </c>
      <c r="E751" s="653" t="s">
        <v>134</v>
      </c>
      <c r="F751" s="661">
        <v>908</v>
      </c>
      <c r="G751" s="651">
        <v>4637.2</v>
      </c>
    </row>
    <row r="752" spans="1:8" ht="39.75" customHeight="1" x14ac:dyDescent="0.25">
      <c r="A752" s="34" t="s">
        <v>1344</v>
      </c>
      <c r="B752" s="194" t="s">
        <v>182</v>
      </c>
      <c r="C752" s="7"/>
      <c r="D752" s="7"/>
      <c r="E752" s="7"/>
      <c r="F752" s="3"/>
      <c r="G752" s="59">
        <f>G753+G760</f>
        <v>274</v>
      </c>
      <c r="H752" s="204">
        <v>355</v>
      </c>
    </row>
    <row r="753" spans="1:8" s="203" customFormat="1" ht="31.5" x14ac:dyDescent="0.25">
      <c r="A753" s="34" t="s">
        <v>1006</v>
      </c>
      <c r="B753" s="194" t="s">
        <v>877</v>
      </c>
      <c r="C753" s="7"/>
      <c r="D753" s="7"/>
      <c r="E753" s="7"/>
      <c r="F753" s="3"/>
      <c r="G753" s="59">
        <f>G754</f>
        <v>274</v>
      </c>
      <c r="H753" s="204"/>
    </row>
    <row r="754" spans="1:8" ht="15.75" x14ac:dyDescent="0.25">
      <c r="A754" s="29" t="s">
        <v>232</v>
      </c>
      <c r="B754" s="5" t="s">
        <v>877</v>
      </c>
      <c r="C754" s="40" t="s">
        <v>150</v>
      </c>
      <c r="D754" s="40"/>
      <c r="E754" s="40"/>
      <c r="F754" s="2"/>
      <c r="G754" s="10">
        <f t="shared" ref="G754:G757" si="55">G755</f>
        <v>274</v>
      </c>
    </row>
    <row r="755" spans="1:8" ht="15.75" x14ac:dyDescent="0.25">
      <c r="A755" s="29" t="s">
        <v>233</v>
      </c>
      <c r="B755" s="30" t="s">
        <v>877</v>
      </c>
      <c r="C755" s="40" t="s">
        <v>150</v>
      </c>
      <c r="D755" s="40" t="s">
        <v>234</v>
      </c>
      <c r="E755" s="40"/>
      <c r="F755" s="2"/>
      <c r="G755" s="10">
        <f>G756</f>
        <v>274</v>
      </c>
    </row>
    <row r="756" spans="1:8" ht="31.5" x14ac:dyDescent="0.25">
      <c r="A756" s="25" t="s">
        <v>235</v>
      </c>
      <c r="B756" s="20" t="s">
        <v>898</v>
      </c>
      <c r="C756" s="40" t="s">
        <v>150</v>
      </c>
      <c r="D756" s="40" t="s">
        <v>234</v>
      </c>
      <c r="E756" s="40"/>
      <c r="F756" s="2"/>
      <c r="G756" s="10">
        <f t="shared" si="55"/>
        <v>274</v>
      </c>
    </row>
    <row r="757" spans="1:8" ht="15.75" x14ac:dyDescent="0.25">
      <c r="A757" s="29" t="s">
        <v>135</v>
      </c>
      <c r="B757" s="20" t="s">
        <v>898</v>
      </c>
      <c r="C757" s="40" t="s">
        <v>150</v>
      </c>
      <c r="D757" s="40" t="s">
        <v>234</v>
      </c>
      <c r="E757" s="40" t="s">
        <v>145</v>
      </c>
      <c r="F757" s="2"/>
      <c r="G757" s="10">
        <f t="shared" si="55"/>
        <v>274</v>
      </c>
    </row>
    <row r="758" spans="1:8" ht="47.25" x14ac:dyDescent="0.25">
      <c r="A758" s="29" t="s">
        <v>184</v>
      </c>
      <c r="B758" s="20" t="s">
        <v>898</v>
      </c>
      <c r="C758" s="40" t="s">
        <v>150</v>
      </c>
      <c r="D758" s="40" t="s">
        <v>234</v>
      </c>
      <c r="E758" s="40" t="s">
        <v>160</v>
      </c>
      <c r="F758" s="2"/>
      <c r="G758" s="10">
        <f>'Пр.4 ведом.22'!G201</f>
        <v>274</v>
      </c>
    </row>
    <row r="759" spans="1:8" ht="23.25" customHeight="1" x14ac:dyDescent="0.25">
      <c r="A759" s="29" t="s">
        <v>148</v>
      </c>
      <c r="B759" s="20" t="s">
        <v>898</v>
      </c>
      <c r="C759" s="40" t="s">
        <v>150</v>
      </c>
      <c r="D759" s="40" t="s">
        <v>234</v>
      </c>
      <c r="E759" s="40" t="s">
        <v>160</v>
      </c>
      <c r="F759" s="2">
        <v>902</v>
      </c>
      <c r="G759" s="10">
        <f>G758</f>
        <v>274</v>
      </c>
    </row>
    <row r="760" spans="1:8" s="203" customFormat="1" ht="47.25" hidden="1" x14ac:dyDescent="0.25">
      <c r="A760" s="214" t="s">
        <v>1007</v>
      </c>
      <c r="B760" s="24" t="s">
        <v>879</v>
      </c>
      <c r="C760" s="40"/>
      <c r="D760" s="40"/>
      <c r="E760" s="40"/>
      <c r="F760" s="2"/>
      <c r="G760" s="10">
        <f>G761</f>
        <v>0</v>
      </c>
      <c r="H760" s="204"/>
    </row>
    <row r="761" spans="1:8" s="203" customFormat="1" ht="15.75" hidden="1" x14ac:dyDescent="0.25">
      <c r="A761" s="29" t="s">
        <v>232</v>
      </c>
      <c r="B761" s="20" t="s">
        <v>879</v>
      </c>
      <c r="C761" s="40" t="s">
        <v>150</v>
      </c>
      <c r="D761" s="40"/>
      <c r="E761" s="40"/>
      <c r="F761" s="2"/>
      <c r="G761" s="10">
        <f>G762</f>
        <v>0</v>
      </c>
      <c r="H761" s="204"/>
    </row>
    <row r="762" spans="1:8" s="203" customFormat="1" ht="15.75" hidden="1" x14ac:dyDescent="0.25">
      <c r="A762" s="29" t="s">
        <v>233</v>
      </c>
      <c r="B762" s="20" t="s">
        <v>879</v>
      </c>
      <c r="C762" s="40" t="s">
        <v>150</v>
      </c>
      <c r="D762" s="40" t="s">
        <v>234</v>
      </c>
      <c r="E762" s="40"/>
      <c r="F762" s="2"/>
      <c r="G762" s="10">
        <f>G763</f>
        <v>0</v>
      </c>
      <c r="H762" s="204"/>
    </row>
    <row r="763" spans="1:8" s="203" customFormat="1" ht="15.75" hidden="1" x14ac:dyDescent="0.25">
      <c r="A763" s="25" t="s">
        <v>878</v>
      </c>
      <c r="B763" s="5" t="s">
        <v>899</v>
      </c>
      <c r="C763" s="40" t="s">
        <v>150</v>
      </c>
      <c r="D763" s="40" t="s">
        <v>234</v>
      </c>
      <c r="E763" s="40"/>
      <c r="F763" s="2"/>
      <c r="G763" s="10">
        <f>G764</f>
        <v>0</v>
      </c>
      <c r="H763" s="204"/>
    </row>
    <row r="764" spans="1:8" s="203" customFormat="1" ht="15.75" hidden="1" x14ac:dyDescent="0.25">
      <c r="A764" s="29" t="s">
        <v>135</v>
      </c>
      <c r="B764" s="5" t="s">
        <v>899</v>
      </c>
      <c r="C764" s="40" t="s">
        <v>150</v>
      </c>
      <c r="D764" s="40" t="s">
        <v>234</v>
      </c>
      <c r="E764" s="40" t="s">
        <v>145</v>
      </c>
      <c r="F764" s="2"/>
      <c r="G764" s="10">
        <f>G765</f>
        <v>0</v>
      </c>
      <c r="H764" s="204"/>
    </row>
    <row r="765" spans="1:8" s="203" customFormat="1" ht="47.25" hidden="1" x14ac:dyDescent="0.25">
      <c r="A765" s="29" t="s">
        <v>184</v>
      </c>
      <c r="B765" s="5" t="s">
        <v>899</v>
      </c>
      <c r="C765" s="40" t="s">
        <v>150</v>
      </c>
      <c r="D765" s="40" t="s">
        <v>234</v>
      </c>
      <c r="E765" s="40" t="s">
        <v>160</v>
      </c>
      <c r="F765" s="2"/>
      <c r="G765" s="10">
        <f>'Пр.3 Рд,пр, ЦС,ВР 22'!F273</f>
        <v>0</v>
      </c>
      <c r="H765" s="204"/>
    </row>
    <row r="766" spans="1:8" s="203" customFormat="1" ht="19.5" hidden="1" customHeight="1" x14ac:dyDescent="0.25">
      <c r="A766" s="29" t="s">
        <v>148</v>
      </c>
      <c r="B766" s="5" t="s">
        <v>899</v>
      </c>
      <c r="C766" s="40" t="s">
        <v>150</v>
      </c>
      <c r="D766" s="40" t="s">
        <v>234</v>
      </c>
      <c r="E766" s="40" t="s">
        <v>160</v>
      </c>
      <c r="F766" s="2">
        <v>902</v>
      </c>
      <c r="G766" s="10">
        <f>G765</f>
        <v>0</v>
      </c>
      <c r="H766" s="204"/>
    </row>
    <row r="767" spans="1:8" ht="52.5" customHeight="1" x14ac:dyDescent="0.25">
      <c r="A767" s="41" t="s">
        <v>1525</v>
      </c>
      <c r="B767" s="7" t="s">
        <v>518</v>
      </c>
      <c r="C767" s="7"/>
      <c r="D767" s="7"/>
      <c r="E767" s="72"/>
      <c r="F767" s="3"/>
      <c r="G767" s="59">
        <f>G768+G775+G782+G789+G796+G803+G810</f>
        <v>700</v>
      </c>
      <c r="H767" s="204">
        <v>8940</v>
      </c>
    </row>
    <row r="768" spans="1:8" s="203" customFormat="1" ht="31.7" customHeight="1" x14ac:dyDescent="0.25">
      <c r="A768" s="23" t="s">
        <v>963</v>
      </c>
      <c r="B768" s="24" t="s">
        <v>965</v>
      </c>
      <c r="C768" s="40"/>
      <c r="D768" s="40"/>
      <c r="E768" s="40"/>
      <c r="F768" s="2"/>
      <c r="G768" s="59">
        <f>G769</f>
        <v>700</v>
      </c>
      <c r="H768" s="204"/>
    </row>
    <row r="769" spans="1:8" s="203" customFormat="1" ht="18" customHeight="1" x14ac:dyDescent="0.25">
      <c r="A769" s="29" t="s">
        <v>390</v>
      </c>
      <c r="B769" s="40" t="s">
        <v>965</v>
      </c>
      <c r="C769" s="40" t="s">
        <v>234</v>
      </c>
      <c r="D769" s="40"/>
      <c r="E769" s="73"/>
      <c r="F769" s="2"/>
      <c r="G769" s="10">
        <f t="shared" ref="G769" si="56">G770</f>
        <v>700</v>
      </c>
      <c r="H769" s="204"/>
    </row>
    <row r="770" spans="1:8" s="203" customFormat="1" ht="19.5" customHeight="1" x14ac:dyDescent="0.25">
      <c r="A770" s="29" t="s">
        <v>517</v>
      </c>
      <c r="B770" s="40" t="s">
        <v>965</v>
      </c>
      <c r="C770" s="40" t="s">
        <v>234</v>
      </c>
      <c r="D770" s="40" t="s">
        <v>213</v>
      </c>
      <c r="E770" s="73"/>
      <c r="F770" s="2"/>
      <c r="G770" s="10">
        <f>G771</f>
        <v>700</v>
      </c>
      <c r="H770" s="204"/>
    </row>
    <row r="771" spans="1:8" ht="15.75" x14ac:dyDescent="0.25">
      <c r="A771" s="45" t="s">
        <v>521</v>
      </c>
      <c r="B771" s="20" t="s">
        <v>966</v>
      </c>
      <c r="C771" s="40" t="s">
        <v>234</v>
      </c>
      <c r="D771" s="40" t="s">
        <v>213</v>
      </c>
      <c r="E771" s="40"/>
      <c r="F771" s="2"/>
      <c r="G771" s="10">
        <f t="shared" ref="G771:G772" si="57">G772</f>
        <v>700</v>
      </c>
    </row>
    <row r="772" spans="1:8" ht="31.5" x14ac:dyDescent="0.25">
      <c r="A772" s="31" t="s">
        <v>131</v>
      </c>
      <c r="B772" s="20" t="s">
        <v>966</v>
      </c>
      <c r="C772" s="40" t="s">
        <v>234</v>
      </c>
      <c r="D772" s="40" t="s">
        <v>213</v>
      </c>
      <c r="E772" s="40" t="s">
        <v>132</v>
      </c>
      <c r="F772" s="2"/>
      <c r="G772" s="10">
        <f t="shared" si="57"/>
        <v>700</v>
      </c>
    </row>
    <row r="773" spans="1:8" ht="31.5" x14ac:dyDescent="0.25">
      <c r="A773" s="31" t="s">
        <v>133</v>
      </c>
      <c r="B773" s="20" t="s">
        <v>966</v>
      </c>
      <c r="C773" s="40" t="s">
        <v>234</v>
      </c>
      <c r="D773" s="40" t="s">
        <v>213</v>
      </c>
      <c r="E773" s="40" t="s">
        <v>134</v>
      </c>
      <c r="F773" s="2"/>
      <c r="G773" s="10">
        <f>'Пр.3 Рд,пр, ЦС,ВР 22'!F378</f>
        <v>700</v>
      </c>
    </row>
    <row r="774" spans="1:8" s="203" customFormat="1" ht="36.75" customHeight="1" x14ac:dyDescent="0.25">
      <c r="A774" s="45" t="s">
        <v>623</v>
      </c>
      <c r="B774" s="20" t="s">
        <v>966</v>
      </c>
      <c r="C774" s="40" t="s">
        <v>234</v>
      </c>
      <c r="D774" s="40" t="s">
        <v>213</v>
      </c>
      <c r="E774" s="40" t="s">
        <v>134</v>
      </c>
      <c r="F774" s="2">
        <v>908</v>
      </c>
      <c r="G774" s="6">
        <f>G773</f>
        <v>700</v>
      </c>
      <c r="H774" s="204"/>
    </row>
    <row r="775" spans="1:8" s="203" customFormat="1" ht="31.5" hidden="1" x14ac:dyDescent="0.25">
      <c r="A775" s="34" t="s">
        <v>967</v>
      </c>
      <c r="B775" s="24" t="s">
        <v>968</v>
      </c>
      <c r="C775" s="40"/>
      <c r="D775" s="40"/>
      <c r="E775" s="40"/>
      <c r="F775" s="2"/>
      <c r="G775" s="59">
        <f>G776</f>
        <v>0</v>
      </c>
      <c r="H775" s="204"/>
    </row>
    <row r="776" spans="1:8" s="203" customFormat="1" ht="15.75" hidden="1" x14ac:dyDescent="0.25">
      <c r="A776" s="29" t="s">
        <v>390</v>
      </c>
      <c r="B776" s="40" t="s">
        <v>968</v>
      </c>
      <c r="C776" s="40" t="s">
        <v>234</v>
      </c>
      <c r="D776" s="40"/>
      <c r="E776" s="73"/>
      <c r="F776" s="2"/>
      <c r="G776" s="10">
        <f t="shared" ref="G776" si="58">G777</f>
        <v>0</v>
      </c>
      <c r="H776" s="204"/>
    </row>
    <row r="777" spans="1:8" s="203" customFormat="1" ht="15.75" hidden="1" x14ac:dyDescent="0.25">
      <c r="A777" s="29" t="s">
        <v>517</v>
      </c>
      <c r="B777" s="40" t="s">
        <v>968</v>
      </c>
      <c r="C777" s="40" t="s">
        <v>234</v>
      </c>
      <c r="D777" s="40" t="s">
        <v>213</v>
      </c>
      <c r="E777" s="73"/>
      <c r="F777" s="2"/>
      <c r="G777" s="10">
        <f>G778</f>
        <v>0</v>
      </c>
      <c r="H777" s="204"/>
    </row>
    <row r="778" spans="1:8" ht="15.75" hidden="1" customHeight="1" x14ac:dyDescent="0.25">
      <c r="A778" s="45" t="s">
        <v>523</v>
      </c>
      <c r="B778" s="20" t="s">
        <v>971</v>
      </c>
      <c r="C778" s="40" t="s">
        <v>234</v>
      </c>
      <c r="D778" s="40" t="s">
        <v>213</v>
      </c>
      <c r="E778" s="40"/>
      <c r="F778" s="2"/>
      <c r="G778" s="10">
        <f>G779</f>
        <v>0</v>
      </c>
    </row>
    <row r="779" spans="1:8" ht="31.7" hidden="1" customHeight="1" x14ac:dyDescent="0.25">
      <c r="A779" s="31" t="s">
        <v>131</v>
      </c>
      <c r="B779" s="20" t="s">
        <v>971</v>
      </c>
      <c r="C779" s="40" t="s">
        <v>234</v>
      </c>
      <c r="D779" s="40" t="s">
        <v>213</v>
      </c>
      <c r="E779" s="40" t="s">
        <v>132</v>
      </c>
      <c r="F779" s="2"/>
      <c r="G779" s="10">
        <f t="shared" ref="G779" si="59">G780</f>
        <v>0</v>
      </c>
    </row>
    <row r="780" spans="1:8" ht="31.7" hidden="1" customHeight="1" x14ac:dyDescent="0.25">
      <c r="A780" s="31" t="s">
        <v>133</v>
      </c>
      <c r="B780" s="20" t="s">
        <v>971</v>
      </c>
      <c r="C780" s="40" t="s">
        <v>234</v>
      </c>
      <c r="D780" s="40" t="s">
        <v>213</v>
      </c>
      <c r="E780" s="40" t="s">
        <v>134</v>
      </c>
      <c r="F780" s="2"/>
      <c r="G780" s="10">
        <f>'Пр.3 Рд,пр, ЦС,ВР 22'!F382</f>
        <v>0</v>
      </c>
    </row>
    <row r="781" spans="1:8" s="203" customFormat="1" ht="31.7" hidden="1" customHeight="1" x14ac:dyDescent="0.25">
      <c r="A781" s="45" t="s">
        <v>623</v>
      </c>
      <c r="B781" s="20" t="s">
        <v>971</v>
      </c>
      <c r="C781" s="40" t="s">
        <v>234</v>
      </c>
      <c r="D781" s="40" t="s">
        <v>213</v>
      </c>
      <c r="E781" s="40" t="s">
        <v>134</v>
      </c>
      <c r="F781" s="2">
        <v>908</v>
      </c>
      <c r="G781" s="6">
        <f>G780</f>
        <v>0</v>
      </c>
      <c r="H781" s="204"/>
    </row>
    <row r="782" spans="1:8" s="203" customFormat="1" ht="35.450000000000003" hidden="1" customHeight="1" x14ac:dyDescent="0.25">
      <c r="A782" s="58" t="s">
        <v>969</v>
      </c>
      <c r="B782" s="24" t="s">
        <v>970</v>
      </c>
      <c r="C782" s="40"/>
      <c r="D782" s="40"/>
      <c r="E782" s="40"/>
      <c r="F782" s="2"/>
      <c r="G782" s="59">
        <f>G783</f>
        <v>0</v>
      </c>
      <c r="H782" s="204"/>
    </row>
    <row r="783" spans="1:8" s="203" customFormat="1" ht="15.75" hidden="1" customHeight="1" x14ac:dyDescent="0.25">
      <c r="A783" s="29" t="s">
        <v>390</v>
      </c>
      <c r="B783" s="40" t="s">
        <v>970</v>
      </c>
      <c r="C783" s="40" t="s">
        <v>234</v>
      </c>
      <c r="D783" s="40"/>
      <c r="E783" s="73"/>
      <c r="F783" s="2"/>
      <c r="G783" s="10">
        <f t="shared" ref="G783" si="60">G784</f>
        <v>0</v>
      </c>
      <c r="H783" s="204"/>
    </row>
    <row r="784" spans="1:8" s="203" customFormat="1" ht="15.75" hidden="1" customHeight="1" x14ac:dyDescent="0.25">
      <c r="A784" s="29" t="s">
        <v>517</v>
      </c>
      <c r="B784" s="40" t="s">
        <v>970</v>
      </c>
      <c r="C784" s="40" t="s">
        <v>234</v>
      </c>
      <c r="D784" s="40" t="s">
        <v>213</v>
      </c>
      <c r="E784" s="73"/>
      <c r="F784" s="2"/>
      <c r="G784" s="10">
        <f>G785</f>
        <v>0</v>
      </c>
      <c r="H784" s="204"/>
    </row>
    <row r="785" spans="1:8" ht="15.75" hidden="1" customHeight="1" x14ac:dyDescent="0.25">
      <c r="A785" s="45" t="s">
        <v>525</v>
      </c>
      <c r="B785" s="20" t="s">
        <v>972</v>
      </c>
      <c r="C785" s="40" t="s">
        <v>234</v>
      </c>
      <c r="D785" s="40" t="s">
        <v>213</v>
      </c>
      <c r="E785" s="40"/>
      <c r="F785" s="2"/>
      <c r="G785" s="10">
        <f>G786</f>
        <v>0</v>
      </c>
    </row>
    <row r="786" spans="1:8" ht="31.7" hidden="1" customHeight="1" x14ac:dyDescent="0.25">
      <c r="A786" s="31" t="s">
        <v>131</v>
      </c>
      <c r="B786" s="20" t="s">
        <v>972</v>
      </c>
      <c r="C786" s="40" t="s">
        <v>234</v>
      </c>
      <c r="D786" s="40" t="s">
        <v>213</v>
      </c>
      <c r="E786" s="40" t="s">
        <v>132</v>
      </c>
      <c r="F786" s="2"/>
      <c r="G786" s="10">
        <f t="shared" ref="G786" si="61">G787</f>
        <v>0</v>
      </c>
    </row>
    <row r="787" spans="1:8" ht="31.7" hidden="1" customHeight="1" x14ac:dyDescent="0.25">
      <c r="A787" s="31" t="s">
        <v>133</v>
      </c>
      <c r="B787" s="20" t="s">
        <v>972</v>
      </c>
      <c r="C787" s="40" t="s">
        <v>234</v>
      </c>
      <c r="D787" s="40" t="s">
        <v>213</v>
      </c>
      <c r="E787" s="40" t="s">
        <v>134</v>
      </c>
      <c r="F787" s="2"/>
      <c r="G787" s="10">
        <f>'Пр.3 Рд,пр, ЦС,ВР 22'!F386</f>
        <v>0</v>
      </c>
    </row>
    <row r="788" spans="1:8" s="203" customFormat="1" ht="31.7" hidden="1" customHeight="1" x14ac:dyDescent="0.25">
      <c r="A788" s="45" t="s">
        <v>623</v>
      </c>
      <c r="B788" s="20" t="s">
        <v>972</v>
      </c>
      <c r="C788" s="40" t="s">
        <v>234</v>
      </c>
      <c r="D788" s="40" t="s">
        <v>213</v>
      </c>
      <c r="E788" s="40" t="s">
        <v>134</v>
      </c>
      <c r="F788" s="2">
        <v>908</v>
      </c>
      <c r="G788" s="6">
        <f>G787</f>
        <v>0</v>
      </c>
      <c r="H788" s="204"/>
    </row>
    <row r="789" spans="1:8" s="203" customFormat="1" ht="35.450000000000003" hidden="1" customHeight="1" x14ac:dyDescent="0.25">
      <c r="A789" s="58" t="s">
        <v>973</v>
      </c>
      <c r="B789" s="24" t="s">
        <v>974</v>
      </c>
      <c r="C789" s="40"/>
      <c r="D789" s="40"/>
      <c r="E789" s="40"/>
      <c r="F789" s="2"/>
      <c r="G789" s="59">
        <f>G790</f>
        <v>0</v>
      </c>
      <c r="H789" s="204"/>
    </row>
    <row r="790" spans="1:8" s="203" customFormat="1" ht="15.75" hidden="1" customHeight="1" x14ac:dyDescent="0.25">
      <c r="A790" s="29" t="s">
        <v>390</v>
      </c>
      <c r="B790" s="40" t="s">
        <v>974</v>
      </c>
      <c r="C790" s="40" t="s">
        <v>234</v>
      </c>
      <c r="D790" s="40"/>
      <c r="E790" s="73"/>
      <c r="F790" s="2"/>
      <c r="G790" s="10">
        <f>G791</f>
        <v>0</v>
      </c>
      <c r="H790" s="204"/>
    </row>
    <row r="791" spans="1:8" s="203" customFormat="1" ht="15.75" hidden="1" customHeight="1" x14ac:dyDescent="0.25">
      <c r="A791" s="29" t="s">
        <v>517</v>
      </c>
      <c r="B791" s="40" t="s">
        <v>974</v>
      </c>
      <c r="C791" s="40" t="s">
        <v>234</v>
      </c>
      <c r="D791" s="40" t="s">
        <v>213</v>
      </c>
      <c r="E791" s="73"/>
      <c r="F791" s="2"/>
      <c r="G791" s="10">
        <f>G792</f>
        <v>0</v>
      </c>
      <c r="H791" s="204"/>
    </row>
    <row r="792" spans="1:8" ht="15.75" hidden="1" x14ac:dyDescent="0.25">
      <c r="A792" s="45" t="s">
        <v>527</v>
      </c>
      <c r="B792" s="20" t="s">
        <v>975</v>
      </c>
      <c r="C792" s="40" t="s">
        <v>234</v>
      </c>
      <c r="D792" s="40" t="s">
        <v>213</v>
      </c>
      <c r="E792" s="40"/>
      <c r="F792" s="2"/>
      <c r="G792" s="10">
        <f t="shared" ref="G792:G793" si="62">G793</f>
        <v>0</v>
      </c>
    </row>
    <row r="793" spans="1:8" ht="31.5" hidden="1" x14ac:dyDescent="0.25">
      <c r="A793" s="31" t="s">
        <v>131</v>
      </c>
      <c r="B793" s="20" t="s">
        <v>975</v>
      </c>
      <c r="C793" s="40" t="s">
        <v>234</v>
      </c>
      <c r="D793" s="40" t="s">
        <v>213</v>
      </c>
      <c r="E793" s="40" t="s">
        <v>132</v>
      </c>
      <c r="F793" s="2"/>
      <c r="G793" s="10">
        <f t="shared" si="62"/>
        <v>0</v>
      </c>
    </row>
    <row r="794" spans="1:8" ht="31.5" hidden="1" x14ac:dyDescent="0.25">
      <c r="A794" s="31" t="s">
        <v>133</v>
      </c>
      <c r="B794" s="20" t="s">
        <v>975</v>
      </c>
      <c r="C794" s="40" t="s">
        <v>234</v>
      </c>
      <c r="D794" s="40" t="s">
        <v>213</v>
      </c>
      <c r="E794" s="40" t="s">
        <v>134</v>
      </c>
      <c r="F794" s="2"/>
      <c r="G794" s="10">
        <f>'Пр.3 Рд,пр, ЦС,ВР 22'!F390</f>
        <v>0</v>
      </c>
    </row>
    <row r="795" spans="1:8" s="203" customFormat="1" ht="39.200000000000003" hidden="1" customHeight="1" x14ac:dyDescent="0.25">
      <c r="A795" s="45" t="s">
        <v>623</v>
      </c>
      <c r="B795" s="20" t="s">
        <v>975</v>
      </c>
      <c r="C795" s="40" t="s">
        <v>234</v>
      </c>
      <c r="D795" s="40" t="s">
        <v>213</v>
      </c>
      <c r="E795" s="40" t="s">
        <v>134</v>
      </c>
      <c r="F795" s="2">
        <v>908</v>
      </c>
      <c r="G795" s="6">
        <f>G794</f>
        <v>0</v>
      </c>
      <c r="H795" s="204"/>
    </row>
    <row r="796" spans="1:8" s="203" customFormat="1" ht="31.5" hidden="1" x14ac:dyDescent="0.25">
      <c r="A796" s="34" t="s">
        <v>1014</v>
      </c>
      <c r="B796" s="24" t="s">
        <v>1015</v>
      </c>
      <c r="C796" s="40"/>
      <c r="D796" s="40"/>
      <c r="E796" s="40"/>
      <c r="F796" s="2"/>
      <c r="G796" s="59">
        <f>G797</f>
        <v>0</v>
      </c>
      <c r="H796" s="204"/>
    </row>
    <row r="797" spans="1:8" s="203" customFormat="1" ht="15.75" hidden="1" x14ac:dyDescent="0.25">
      <c r="A797" s="29" t="s">
        <v>390</v>
      </c>
      <c r="B797" s="40" t="s">
        <v>518</v>
      </c>
      <c r="C797" s="40" t="s">
        <v>234</v>
      </c>
      <c r="D797" s="40"/>
      <c r="E797" s="73"/>
      <c r="F797" s="2"/>
      <c r="G797" s="10">
        <f t="shared" ref="G797" si="63">G798</f>
        <v>0</v>
      </c>
      <c r="H797" s="204"/>
    </row>
    <row r="798" spans="1:8" s="203" customFormat="1" ht="15.75" hidden="1" x14ac:dyDescent="0.25">
      <c r="A798" s="29" t="s">
        <v>517</v>
      </c>
      <c r="B798" s="40" t="s">
        <v>518</v>
      </c>
      <c r="C798" s="40" t="s">
        <v>234</v>
      </c>
      <c r="D798" s="40" t="s">
        <v>213</v>
      </c>
      <c r="E798" s="73"/>
      <c r="F798" s="2"/>
      <c r="G798" s="10">
        <f>G799</f>
        <v>0</v>
      </c>
      <c r="H798" s="204"/>
    </row>
    <row r="799" spans="1:8" ht="15.75" hidden="1" customHeight="1" x14ac:dyDescent="0.25">
      <c r="A799" s="45" t="s">
        <v>529</v>
      </c>
      <c r="B799" s="20" t="s">
        <v>1018</v>
      </c>
      <c r="C799" s="40" t="s">
        <v>234</v>
      </c>
      <c r="D799" s="40" t="s">
        <v>213</v>
      </c>
      <c r="E799" s="40"/>
      <c r="F799" s="2"/>
      <c r="G799" s="10">
        <f t="shared" ref="G799:G800" si="64">G800</f>
        <v>0</v>
      </c>
    </row>
    <row r="800" spans="1:8" ht="31.7" hidden="1" customHeight="1" x14ac:dyDescent="0.25">
      <c r="A800" s="31" t="s">
        <v>131</v>
      </c>
      <c r="B800" s="20" t="s">
        <v>1018</v>
      </c>
      <c r="C800" s="40" t="s">
        <v>234</v>
      </c>
      <c r="D800" s="40" t="s">
        <v>213</v>
      </c>
      <c r="E800" s="40" t="s">
        <v>132</v>
      </c>
      <c r="F800" s="2"/>
      <c r="G800" s="10">
        <f t="shared" si="64"/>
        <v>0</v>
      </c>
    </row>
    <row r="801" spans="1:8" ht="31.7" hidden="1" customHeight="1" x14ac:dyDescent="0.25">
      <c r="A801" s="31" t="s">
        <v>133</v>
      </c>
      <c r="B801" s="20" t="s">
        <v>1018</v>
      </c>
      <c r="C801" s="40" t="s">
        <v>234</v>
      </c>
      <c r="D801" s="40" t="s">
        <v>213</v>
      </c>
      <c r="E801" s="40" t="s">
        <v>134</v>
      </c>
      <c r="F801" s="2"/>
      <c r="G801" s="10">
        <f>'Пр.3 Рд,пр, ЦС,ВР 22'!F394</f>
        <v>0</v>
      </c>
    </row>
    <row r="802" spans="1:8" s="203" customFormat="1" ht="31.7" hidden="1" customHeight="1" x14ac:dyDescent="0.25">
      <c r="A802" s="45" t="s">
        <v>623</v>
      </c>
      <c r="B802" s="20" t="s">
        <v>1018</v>
      </c>
      <c r="C802" s="40" t="s">
        <v>234</v>
      </c>
      <c r="D802" s="40" t="s">
        <v>213</v>
      </c>
      <c r="E802" s="40" t="s">
        <v>134</v>
      </c>
      <c r="F802" s="2">
        <v>908</v>
      </c>
      <c r="G802" s="6">
        <f>G801</f>
        <v>0</v>
      </c>
      <c r="H802" s="204"/>
    </row>
    <row r="803" spans="1:8" s="203" customFormat="1" ht="31.7" hidden="1" customHeight="1" x14ac:dyDescent="0.25">
      <c r="A803" s="220" t="s">
        <v>1016</v>
      </c>
      <c r="B803" s="24" t="s">
        <v>1017</v>
      </c>
      <c r="C803" s="40"/>
      <c r="D803" s="40"/>
      <c r="E803" s="40"/>
      <c r="F803" s="2"/>
      <c r="G803" s="59">
        <f>G804</f>
        <v>0</v>
      </c>
      <c r="H803" s="204"/>
    </row>
    <row r="804" spans="1:8" s="203" customFormat="1" ht="16.5" hidden="1" customHeight="1" x14ac:dyDescent="0.25">
      <c r="A804" s="29" t="s">
        <v>390</v>
      </c>
      <c r="B804" s="40" t="s">
        <v>518</v>
      </c>
      <c r="C804" s="40" t="s">
        <v>234</v>
      </c>
      <c r="D804" s="40"/>
      <c r="E804" s="73"/>
      <c r="F804" s="2"/>
      <c r="G804" s="10">
        <f t="shared" ref="G804" si="65">G805</f>
        <v>0</v>
      </c>
      <c r="H804" s="204"/>
    </row>
    <row r="805" spans="1:8" s="203" customFormat="1" ht="19.5" hidden="1" customHeight="1" x14ac:dyDescent="0.25">
      <c r="A805" s="29" t="s">
        <v>517</v>
      </c>
      <c r="B805" s="40" t="s">
        <v>518</v>
      </c>
      <c r="C805" s="40" t="s">
        <v>234</v>
      </c>
      <c r="D805" s="40" t="s">
        <v>213</v>
      </c>
      <c r="E805" s="73"/>
      <c r="F805" s="2"/>
      <c r="G805" s="10">
        <f>G806</f>
        <v>0</v>
      </c>
      <c r="H805" s="204"/>
    </row>
    <row r="806" spans="1:8" ht="31.7" hidden="1" customHeight="1" x14ac:dyDescent="0.25">
      <c r="A806" s="174" t="s">
        <v>531</v>
      </c>
      <c r="B806" s="20" t="s">
        <v>1019</v>
      </c>
      <c r="C806" s="40" t="s">
        <v>234</v>
      </c>
      <c r="D806" s="40" t="s">
        <v>213</v>
      </c>
      <c r="E806" s="40"/>
      <c r="F806" s="2"/>
      <c r="G806" s="10">
        <f t="shared" ref="G806:G807" si="66">G807</f>
        <v>0</v>
      </c>
    </row>
    <row r="807" spans="1:8" ht="31.7" hidden="1" customHeight="1" x14ac:dyDescent="0.25">
      <c r="A807" s="31" t="s">
        <v>131</v>
      </c>
      <c r="B807" s="20" t="s">
        <v>1019</v>
      </c>
      <c r="C807" s="40" t="s">
        <v>234</v>
      </c>
      <c r="D807" s="40" t="s">
        <v>213</v>
      </c>
      <c r="E807" s="40" t="s">
        <v>132</v>
      </c>
      <c r="F807" s="2"/>
      <c r="G807" s="10">
        <f t="shared" si="66"/>
        <v>0</v>
      </c>
    </row>
    <row r="808" spans="1:8" ht="31.7" hidden="1" customHeight="1" x14ac:dyDescent="0.25">
      <c r="A808" s="31" t="s">
        <v>133</v>
      </c>
      <c r="B808" s="20" t="s">
        <v>1019</v>
      </c>
      <c r="C808" s="40" t="s">
        <v>234</v>
      </c>
      <c r="D808" s="40" t="s">
        <v>213</v>
      </c>
      <c r="E808" s="40" t="s">
        <v>134</v>
      </c>
      <c r="F808" s="2"/>
      <c r="G808" s="10">
        <f>'Пр.3 Рд,пр, ЦС,ВР 22'!F398</f>
        <v>0</v>
      </c>
    </row>
    <row r="809" spans="1:8" s="203" customFormat="1" ht="31.7" hidden="1" customHeight="1" x14ac:dyDescent="0.25">
      <c r="A809" s="45" t="s">
        <v>623</v>
      </c>
      <c r="B809" s="20" t="s">
        <v>1019</v>
      </c>
      <c r="C809" s="40" t="s">
        <v>234</v>
      </c>
      <c r="D809" s="40" t="s">
        <v>213</v>
      </c>
      <c r="E809" s="40" t="s">
        <v>134</v>
      </c>
      <c r="F809" s="2">
        <v>908</v>
      </c>
      <c r="G809" s="6">
        <f>G808</f>
        <v>0</v>
      </c>
      <c r="H809" s="204"/>
    </row>
    <row r="810" spans="1:8" s="203" customFormat="1" ht="31.7" hidden="1" customHeight="1" x14ac:dyDescent="0.25">
      <c r="A810" s="220" t="s">
        <v>977</v>
      </c>
      <c r="B810" s="24" t="s">
        <v>978</v>
      </c>
      <c r="C810" s="40"/>
      <c r="D810" s="40"/>
      <c r="E810" s="40"/>
      <c r="F810" s="2"/>
      <c r="G810" s="59">
        <f>G811</f>
        <v>0</v>
      </c>
      <c r="H810" s="204"/>
    </row>
    <row r="811" spans="1:8" s="203" customFormat="1" ht="17.45" hidden="1" customHeight="1" x14ac:dyDescent="0.25">
      <c r="A811" s="29" t="s">
        <v>390</v>
      </c>
      <c r="B811" s="40" t="s">
        <v>518</v>
      </c>
      <c r="C811" s="40" t="s">
        <v>234</v>
      </c>
      <c r="D811" s="40"/>
      <c r="E811" s="73"/>
      <c r="F811" s="2"/>
      <c r="G811" s="10">
        <f>G812</f>
        <v>0</v>
      </c>
      <c r="H811" s="204"/>
    </row>
    <row r="812" spans="1:8" s="203" customFormat="1" ht="20.25" hidden="1" customHeight="1" x14ac:dyDescent="0.25">
      <c r="A812" s="29" t="s">
        <v>517</v>
      </c>
      <c r="B812" s="40" t="s">
        <v>518</v>
      </c>
      <c r="C812" s="40" t="s">
        <v>234</v>
      </c>
      <c r="D812" s="40" t="s">
        <v>213</v>
      </c>
      <c r="E812" s="73"/>
      <c r="F812" s="2"/>
      <c r="G812" s="10">
        <f>G813</f>
        <v>0</v>
      </c>
      <c r="H812" s="204"/>
    </row>
    <row r="813" spans="1:8" ht="15.75" hidden="1" x14ac:dyDescent="0.25">
      <c r="A813" s="174" t="s">
        <v>533</v>
      </c>
      <c r="B813" s="20" t="s">
        <v>976</v>
      </c>
      <c r="C813" s="40" t="s">
        <v>234</v>
      </c>
      <c r="D813" s="40" t="s">
        <v>213</v>
      </c>
      <c r="E813" s="40"/>
      <c r="F813" s="2"/>
      <c r="G813" s="10">
        <f t="shared" ref="G813:G814" si="67">G814</f>
        <v>0</v>
      </c>
    </row>
    <row r="814" spans="1:8" ht="31.5" hidden="1" x14ac:dyDescent="0.3">
      <c r="A814" s="25" t="s">
        <v>131</v>
      </c>
      <c r="B814" s="20" t="s">
        <v>976</v>
      </c>
      <c r="C814" s="40" t="s">
        <v>234</v>
      </c>
      <c r="D814" s="40" t="s">
        <v>213</v>
      </c>
      <c r="E814" s="2">
        <v>200</v>
      </c>
      <c r="F814" s="77"/>
      <c r="G814" s="6">
        <f t="shared" si="67"/>
        <v>0</v>
      </c>
    </row>
    <row r="815" spans="1:8" ht="31.5" hidden="1" x14ac:dyDescent="0.3">
      <c r="A815" s="25" t="s">
        <v>133</v>
      </c>
      <c r="B815" s="20" t="s">
        <v>976</v>
      </c>
      <c r="C815" s="40" t="s">
        <v>234</v>
      </c>
      <c r="D815" s="40" t="s">
        <v>213</v>
      </c>
      <c r="E815" s="2">
        <v>240</v>
      </c>
      <c r="F815" s="77"/>
      <c r="G815" s="6">
        <f>'Пр.3 Рд,пр, ЦС,ВР 22'!F402</f>
        <v>0</v>
      </c>
    </row>
    <row r="816" spans="1:8" ht="38.25" hidden="1" customHeight="1" x14ac:dyDescent="0.25">
      <c r="A816" s="45" t="s">
        <v>623</v>
      </c>
      <c r="B816" s="20" t="s">
        <v>976</v>
      </c>
      <c r="C816" s="40" t="s">
        <v>234</v>
      </c>
      <c r="D816" s="40" t="s">
        <v>213</v>
      </c>
      <c r="E816" s="2">
        <v>240</v>
      </c>
      <c r="F816" s="2">
        <v>908</v>
      </c>
      <c r="G816" s="6">
        <f>G815</f>
        <v>0</v>
      </c>
    </row>
    <row r="817" spans="1:8" ht="39.4" customHeight="1" x14ac:dyDescent="0.25">
      <c r="A817" s="23" t="s">
        <v>1349</v>
      </c>
      <c r="B817" s="24" t="s">
        <v>335</v>
      </c>
      <c r="C817" s="7"/>
      <c r="D817" s="7"/>
      <c r="E817" s="3"/>
      <c r="F817" s="3"/>
      <c r="G817" s="4">
        <f>G818</f>
        <v>120</v>
      </c>
      <c r="H817" s="204">
        <v>275</v>
      </c>
    </row>
    <row r="818" spans="1:8" s="203" customFormat="1" ht="31.5" x14ac:dyDescent="0.25">
      <c r="A818" s="23" t="s">
        <v>1049</v>
      </c>
      <c r="B818" s="24" t="s">
        <v>1050</v>
      </c>
      <c r="C818" s="7"/>
      <c r="D818" s="7"/>
      <c r="E818" s="3"/>
      <c r="F818" s="3"/>
      <c r="G818" s="4">
        <f>G819</f>
        <v>120</v>
      </c>
      <c r="H818" s="204"/>
    </row>
    <row r="819" spans="1:8" ht="15.75" x14ac:dyDescent="0.25">
      <c r="A819" s="29" t="s">
        <v>117</v>
      </c>
      <c r="B819" s="20" t="s">
        <v>1050</v>
      </c>
      <c r="C819" s="40" t="s">
        <v>118</v>
      </c>
      <c r="D819" s="40"/>
      <c r="E819" s="2"/>
      <c r="F819" s="2"/>
      <c r="G819" s="6">
        <f>G820</f>
        <v>120</v>
      </c>
    </row>
    <row r="820" spans="1:8" ht="15.75" x14ac:dyDescent="0.25">
      <c r="A820" s="29" t="s">
        <v>139</v>
      </c>
      <c r="B820" s="20" t="s">
        <v>1050</v>
      </c>
      <c r="C820" s="40" t="s">
        <v>118</v>
      </c>
      <c r="D820" s="40" t="s">
        <v>140</v>
      </c>
      <c r="E820" s="2"/>
      <c r="F820" s="2"/>
      <c r="G820" s="6">
        <f>G821+G828+G832+G836+G840</f>
        <v>120</v>
      </c>
    </row>
    <row r="821" spans="1:8" ht="31.5" x14ac:dyDescent="0.25">
      <c r="A821" s="25" t="s">
        <v>336</v>
      </c>
      <c r="B821" s="20" t="s">
        <v>1051</v>
      </c>
      <c r="C821" s="40" t="s">
        <v>118</v>
      </c>
      <c r="D821" s="40" t="s">
        <v>140</v>
      </c>
      <c r="E821" s="2"/>
      <c r="F821" s="2"/>
      <c r="G821" s="6">
        <f>G822+G825</f>
        <v>100</v>
      </c>
    </row>
    <row r="822" spans="1:8" ht="31.5" x14ac:dyDescent="0.25">
      <c r="A822" s="25" t="s">
        <v>131</v>
      </c>
      <c r="B822" s="20" t="s">
        <v>1051</v>
      </c>
      <c r="C822" s="40" t="s">
        <v>118</v>
      </c>
      <c r="D822" s="40" t="s">
        <v>140</v>
      </c>
      <c r="E822" s="2">
        <v>200</v>
      </c>
      <c r="F822" s="2"/>
      <c r="G822" s="6">
        <f t="shared" ref="G822" si="68">G823</f>
        <v>0</v>
      </c>
    </row>
    <row r="823" spans="1:8" ht="31.5" x14ac:dyDescent="0.25">
      <c r="A823" s="25" t="s">
        <v>133</v>
      </c>
      <c r="B823" s="20" t="s">
        <v>1051</v>
      </c>
      <c r="C823" s="40" t="s">
        <v>118</v>
      </c>
      <c r="D823" s="40" t="s">
        <v>140</v>
      </c>
      <c r="E823" s="2">
        <v>240</v>
      </c>
      <c r="F823" s="2"/>
      <c r="G823" s="6">
        <f>'Пр.4 ведом.22'!G592</f>
        <v>0</v>
      </c>
    </row>
    <row r="824" spans="1:8" s="203" customFormat="1" ht="31.5" x14ac:dyDescent="0.25">
      <c r="A824" s="29" t="s">
        <v>403</v>
      </c>
      <c r="B824" s="20" t="s">
        <v>1051</v>
      </c>
      <c r="C824" s="40" t="s">
        <v>118</v>
      </c>
      <c r="D824" s="40" t="s">
        <v>140</v>
      </c>
      <c r="E824" s="2">
        <v>240</v>
      </c>
      <c r="F824" s="2">
        <v>906</v>
      </c>
      <c r="G824" s="6">
        <f>G823</f>
        <v>0</v>
      </c>
      <c r="H824" s="204"/>
    </row>
    <row r="825" spans="1:8" s="203" customFormat="1" ht="31.5" hidden="1" x14ac:dyDescent="0.25">
      <c r="A825" s="25" t="s">
        <v>131</v>
      </c>
      <c r="B825" s="20" t="s">
        <v>1051</v>
      </c>
      <c r="C825" s="40" t="s">
        <v>118</v>
      </c>
      <c r="D825" s="40" t="s">
        <v>140</v>
      </c>
      <c r="E825" s="2">
        <v>200</v>
      </c>
      <c r="F825" s="2"/>
      <c r="G825" s="6">
        <f t="shared" ref="G825" si="69">G826</f>
        <v>100</v>
      </c>
      <c r="H825" s="204"/>
    </row>
    <row r="826" spans="1:8" s="203" customFormat="1" ht="31.5" hidden="1" x14ac:dyDescent="0.25">
      <c r="A826" s="25" t="s">
        <v>133</v>
      </c>
      <c r="B826" s="20" t="s">
        <v>1051</v>
      </c>
      <c r="C826" s="40" t="s">
        <v>118</v>
      </c>
      <c r="D826" s="40" t="s">
        <v>140</v>
      </c>
      <c r="E826" s="2">
        <v>240</v>
      </c>
      <c r="F826" s="2"/>
      <c r="G826" s="6">
        <f>'Пр.4 ведом.22'!G827</f>
        <v>100</v>
      </c>
      <c r="H826" s="204"/>
    </row>
    <row r="827" spans="1:8" s="203" customFormat="1" ht="31.5" hidden="1" x14ac:dyDescent="0.25">
      <c r="A827" s="45" t="s">
        <v>480</v>
      </c>
      <c r="B827" s="20" t="s">
        <v>1051</v>
      </c>
      <c r="C827" s="40" t="s">
        <v>118</v>
      </c>
      <c r="D827" s="40" t="s">
        <v>140</v>
      </c>
      <c r="E827" s="2">
        <v>240</v>
      </c>
      <c r="F827" s="2">
        <v>907</v>
      </c>
      <c r="G827" s="6">
        <f>G826</f>
        <v>100</v>
      </c>
      <c r="H827" s="204"/>
    </row>
    <row r="828" spans="1:8" ht="23.25" customHeight="1" x14ac:dyDescent="0.25">
      <c r="A828" s="25" t="s">
        <v>338</v>
      </c>
      <c r="B828" s="20" t="s">
        <v>1052</v>
      </c>
      <c r="C828" s="40" t="s">
        <v>118</v>
      </c>
      <c r="D828" s="40" t="s">
        <v>140</v>
      </c>
      <c r="E828" s="2"/>
      <c r="F828" s="2"/>
      <c r="G828" s="6">
        <f t="shared" ref="G828:G829" si="70">G829</f>
        <v>20</v>
      </c>
    </row>
    <row r="829" spans="1:8" ht="31.5" x14ac:dyDescent="0.25">
      <c r="A829" s="25" t="s">
        <v>131</v>
      </c>
      <c r="B829" s="20" t="s">
        <v>1052</v>
      </c>
      <c r="C829" s="40" t="s">
        <v>118</v>
      </c>
      <c r="D829" s="40" t="s">
        <v>140</v>
      </c>
      <c r="E829" s="2">
        <v>200</v>
      </c>
      <c r="F829" s="2"/>
      <c r="G829" s="6">
        <f t="shared" si="70"/>
        <v>20</v>
      </c>
    </row>
    <row r="830" spans="1:8" ht="31.5" x14ac:dyDescent="0.25">
      <c r="A830" s="25" t="s">
        <v>133</v>
      </c>
      <c r="B830" s="20" t="s">
        <v>1052</v>
      </c>
      <c r="C830" s="40" t="s">
        <v>118</v>
      </c>
      <c r="D830" s="40" t="s">
        <v>140</v>
      </c>
      <c r="E830" s="2">
        <v>240</v>
      </c>
      <c r="F830" s="2"/>
      <c r="G830" s="6">
        <f>'Пр.4 ведом.22'!G262</f>
        <v>20</v>
      </c>
    </row>
    <row r="831" spans="1:8" s="203" customFormat="1" ht="47.25" x14ac:dyDescent="0.25">
      <c r="A831" s="45" t="s">
        <v>261</v>
      </c>
      <c r="B831" s="20" t="s">
        <v>1052</v>
      </c>
      <c r="C831" s="40" t="s">
        <v>118</v>
      </c>
      <c r="D831" s="40" t="s">
        <v>140</v>
      </c>
      <c r="E831" s="2">
        <v>240</v>
      </c>
      <c r="F831" s="2">
        <v>903</v>
      </c>
      <c r="G831" s="6">
        <f>G830</f>
        <v>20</v>
      </c>
      <c r="H831" s="204"/>
    </row>
    <row r="832" spans="1:8" ht="47.25" hidden="1" x14ac:dyDescent="0.25">
      <c r="A832" s="31" t="s">
        <v>771</v>
      </c>
      <c r="B832" s="20" t="s">
        <v>1053</v>
      </c>
      <c r="C832" s="40" t="s">
        <v>118</v>
      </c>
      <c r="D832" s="40" t="s">
        <v>140</v>
      </c>
      <c r="E832" s="2"/>
      <c r="F832" s="2"/>
      <c r="G832" s="6">
        <f t="shared" ref="G832:G833" si="71">G833</f>
        <v>0</v>
      </c>
    </row>
    <row r="833" spans="1:9" ht="31.5" hidden="1" x14ac:dyDescent="0.25">
      <c r="A833" s="25" t="s">
        <v>131</v>
      </c>
      <c r="B833" s="20" t="s">
        <v>1053</v>
      </c>
      <c r="C833" s="20" t="s">
        <v>118</v>
      </c>
      <c r="D833" s="20" t="s">
        <v>140</v>
      </c>
      <c r="E833" s="20" t="s">
        <v>132</v>
      </c>
      <c r="F833" s="177"/>
      <c r="G833" s="6">
        <f t="shared" si="71"/>
        <v>0</v>
      </c>
    </row>
    <row r="834" spans="1:9" ht="31.5" hidden="1" x14ac:dyDescent="0.25">
      <c r="A834" s="25" t="s">
        <v>133</v>
      </c>
      <c r="B834" s="20" t="s">
        <v>1053</v>
      </c>
      <c r="C834" s="20" t="s">
        <v>118</v>
      </c>
      <c r="D834" s="20" t="s">
        <v>140</v>
      </c>
      <c r="E834" s="20" t="s">
        <v>134</v>
      </c>
      <c r="F834" s="177"/>
      <c r="G834" s="6">
        <f>'Пр.4 ведом.22'!G265</f>
        <v>0</v>
      </c>
    </row>
    <row r="835" spans="1:9" s="203" customFormat="1" ht="47.25" hidden="1" x14ac:dyDescent="0.25">
      <c r="A835" s="45" t="s">
        <v>261</v>
      </c>
      <c r="B835" s="20" t="s">
        <v>1053</v>
      </c>
      <c r="C835" s="40" t="s">
        <v>118</v>
      </c>
      <c r="D835" s="40" t="s">
        <v>140</v>
      </c>
      <c r="E835" s="2">
        <v>240</v>
      </c>
      <c r="F835" s="2">
        <v>903</v>
      </c>
      <c r="G835" s="6">
        <f>G834</f>
        <v>0</v>
      </c>
      <c r="H835" s="204"/>
    </row>
    <row r="836" spans="1:9" ht="31.5" hidden="1" x14ac:dyDescent="0.25">
      <c r="A836" s="25" t="s">
        <v>679</v>
      </c>
      <c r="B836" s="20" t="s">
        <v>1054</v>
      </c>
      <c r="C836" s="40" t="s">
        <v>118</v>
      </c>
      <c r="D836" s="40" t="s">
        <v>140</v>
      </c>
      <c r="E836" s="2"/>
      <c r="F836" s="177"/>
      <c r="G836" s="6">
        <f t="shared" ref="G836:G837" si="72">G837</f>
        <v>0</v>
      </c>
    </row>
    <row r="837" spans="1:9" ht="31.5" hidden="1" x14ac:dyDescent="0.25">
      <c r="A837" s="25" t="s">
        <v>131</v>
      </c>
      <c r="B837" s="20" t="s">
        <v>1054</v>
      </c>
      <c r="C837" s="40" t="s">
        <v>118</v>
      </c>
      <c r="D837" s="40" t="s">
        <v>140</v>
      </c>
      <c r="E837" s="2">
        <v>200</v>
      </c>
      <c r="F837" s="177"/>
      <c r="G837" s="6">
        <f t="shared" si="72"/>
        <v>0</v>
      </c>
    </row>
    <row r="838" spans="1:9" ht="31.5" hidden="1" x14ac:dyDescent="0.25">
      <c r="A838" s="25" t="s">
        <v>133</v>
      </c>
      <c r="B838" s="20" t="s">
        <v>1054</v>
      </c>
      <c r="C838" s="40" t="s">
        <v>118</v>
      </c>
      <c r="D838" s="40" t="s">
        <v>140</v>
      </c>
      <c r="E838" s="2">
        <v>240</v>
      </c>
      <c r="F838" s="177"/>
      <c r="G838" s="6">
        <f>'Пр.4 ведом.22'!G268</f>
        <v>0</v>
      </c>
    </row>
    <row r="839" spans="1:9" s="203" customFormat="1" ht="47.25" hidden="1" x14ac:dyDescent="0.25">
      <c r="A839" s="45" t="s">
        <v>261</v>
      </c>
      <c r="B839" s="20" t="s">
        <v>1054</v>
      </c>
      <c r="C839" s="40" t="s">
        <v>118</v>
      </c>
      <c r="D839" s="40" t="s">
        <v>140</v>
      </c>
      <c r="E839" s="2">
        <v>240</v>
      </c>
      <c r="F839" s="2">
        <v>903</v>
      </c>
      <c r="G839" s="6">
        <f>G838</f>
        <v>0</v>
      </c>
      <c r="H839" s="204"/>
    </row>
    <row r="840" spans="1:9" ht="31.7" hidden="1" customHeight="1" x14ac:dyDescent="0.25">
      <c r="A840" s="31" t="s">
        <v>772</v>
      </c>
      <c r="B840" s="20" t="s">
        <v>1055</v>
      </c>
      <c r="C840" s="20" t="s">
        <v>118</v>
      </c>
      <c r="D840" s="20" t="s">
        <v>140</v>
      </c>
      <c r="E840" s="20"/>
      <c r="F840" s="177"/>
      <c r="G840" s="6">
        <f t="shared" ref="G840:G841" si="73">G841</f>
        <v>0</v>
      </c>
    </row>
    <row r="841" spans="1:9" ht="31.7" hidden="1" customHeight="1" x14ac:dyDescent="0.25">
      <c r="A841" s="25" t="s">
        <v>131</v>
      </c>
      <c r="B841" s="20" t="s">
        <v>1055</v>
      </c>
      <c r="C841" s="20" t="s">
        <v>118</v>
      </c>
      <c r="D841" s="20" t="s">
        <v>140</v>
      </c>
      <c r="E841" s="20" t="s">
        <v>132</v>
      </c>
      <c r="F841" s="177"/>
      <c r="G841" s="6">
        <f t="shared" si="73"/>
        <v>0</v>
      </c>
    </row>
    <row r="842" spans="1:9" ht="31.7" hidden="1" customHeight="1" x14ac:dyDescent="0.25">
      <c r="A842" s="25" t="s">
        <v>133</v>
      </c>
      <c r="B842" s="20" t="s">
        <v>1055</v>
      </c>
      <c r="C842" s="20" t="s">
        <v>118</v>
      </c>
      <c r="D842" s="20" t="s">
        <v>140</v>
      </c>
      <c r="E842" s="20" t="s">
        <v>134</v>
      </c>
      <c r="F842" s="177"/>
      <c r="G842" s="6">
        <f>'Пр.4 ведом.22'!G271</f>
        <v>0</v>
      </c>
    </row>
    <row r="843" spans="1:9" ht="47.25" hidden="1" x14ac:dyDescent="0.25">
      <c r="A843" s="45" t="s">
        <v>261</v>
      </c>
      <c r="B843" s="20" t="s">
        <v>1055</v>
      </c>
      <c r="C843" s="20" t="s">
        <v>118</v>
      </c>
      <c r="D843" s="20" t="s">
        <v>140</v>
      </c>
      <c r="E843" s="20" t="s">
        <v>134</v>
      </c>
      <c r="F843" s="2">
        <v>903</v>
      </c>
      <c r="G843" s="6">
        <f>G842</f>
        <v>0</v>
      </c>
    </row>
    <row r="844" spans="1:9" ht="48.75" customHeight="1" x14ac:dyDescent="0.25">
      <c r="A844" s="41" t="s">
        <v>1352</v>
      </c>
      <c r="B844" s="24" t="s">
        <v>705</v>
      </c>
      <c r="C844" s="7"/>
      <c r="D844" s="7"/>
      <c r="E844" s="3"/>
      <c r="F844" s="3"/>
      <c r="G844" s="4">
        <f>G845+G856+G895+G902</f>
        <v>3826.6399999999994</v>
      </c>
      <c r="H844" s="204">
        <v>3292.6</v>
      </c>
      <c r="I844" s="22">
        <f>H844-G844</f>
        <v>-534.03999999999951</v>
      </c>
    </row>
    <row r="845" spans="1:9" s="203" customFormat="1" ht="48.75" customHeight="1" x14ac:dyDescent="0.25">
      <c r="A845" s="211" t="s">
        <v>846</v>
      </c>
      <c r="B845" s="24" t="s">
        <v>852</v>
      </c>
      <c r="C845" s="7"/>
      <c r="D845" s="7"/>
      <c r="E845" s="3"/>
      <c r="F845" s="3"/>
      <c r="G845" s="4">
        <f>G846</f>
        <v>43</v>
      </c>
      <c r="H845" s="204"/>
      <c r="I845" s="22"/>
    </row>
    <row r="846" spans="1:9" s="121" customFormat="1" ht="15.75" x14ac:dyDescent="0.25">
      <c r="A846" s="29" t="s">
        <v>117</v>
      </c>
      <c r="B846" s="20" t="s">
        <v>852</v>
      </c>
      <c r="C846" s="40" t="s">
        <v>118</v>
      </c>
      <c r="D846" s="40"/>
      <c r="E846" s="2"/>
      <c r="F846" s="2"/>
      <c r="G846" s="6">
        <f t="shared" ref="G846" si="74">G847</f>
        <v>43</v>
      </c>
      <c r="H846" s="206"/>
    </row>
    <row r="847" spans="1:9" s="121" customFormat="1" ht="15.75" x14ac:dyDescent="0.25">
      <c r="A847" s="29" t="s">
        <v>139</v>
      </c>
      <c r="B847" s="20" t="s">
        <v>852</v>
      </c>
      <c r="C847" s="40" t="s">
        <v>118</v>
      </c>
      <c r="D847" s="40" t="s">
        <v>140</v>
      </c>
      <c r="E847" s="2"/>
      <c r="F847" s="2"/>
      <c r="G847" s="6">
        <f>G848+G852</f>
        <v>43</v>
      </c>
      <c r="H847" s="206"/>
    </row>
    <row r="848" spans="1:9" ht="31.5" x14ac:dyDescent="0.25">
      <c r="A848" s="98" t="s">
        <v>776</v>
      </c>
      <c r="B848" s="20" t="s">
        <v>847</v>
      </c>
      <c r="C848" s="40" t="s">
        <v>118</v>
      </c>
      <c r="D848" s="40" t="s">
        <v>140</v>
      </c>
      <c r="E848" s="2"/>
      <c r="F848" s="2"/>
      <c r="G848" s="6">
        <f t="shared" ref="G848:G849" si="75">G849</f>
        <v>37</v>
      </c>
    </row>
    <row r="849" spans="1:14" ht="31.5" x14ac:dyDescent="0.25">
      <c r="A849" s="25" t="s">
        <v>131</v>
      </c>
      <c r="B849" s="20" t="s">
        <v>847</v>
      </c>
      <c r="C849" s="40" t="s">
        <v>118</v>
      </c>
      <c r="D849" s="40" t="s">
        <v>140</v>
      </c>
      <c r="E849" s="2">
        <v>200</v>
      </c>
      <c r="F849" s="2"/>
      <c r="G849" s="6">
        <f t="shared" si="75"/>
        <v>37</v>
      </c>
    </row>
    <row r="850" spans="1:14" ht="31.5" x14ac:dyDescent="0.25">
      <c r="A850" s="25" t="s">
        <v>133</v>
      </c>
      <c r="B850" s="20" t="s">
        <v>847</v>
      </c>
      <c r="C850" s="40" t="s">
        <v>118</v>
      </c>
      <c r="D850" s="40" t="s">
        <v>140</v>
      </c>
      <c r="E850" s="2">
        <v>240</v>
      </c>
      <c r="F850" s="2"/>
      <c r="G850" s="6">
        <f>'Пр.4 ведом.22'!G143</f>
        <v>37</v>
      </c>
    </row>
    <row r="851" spans="1:14" s="203" customFormat="1" ht="19.5" customHeight="1" x14ac:dyDescent="0.25">
      <c r="A851" s="29" t="s">
        <v>148</v>
      </c>
      <c r="B851" s="20" t="s">
        <v>847</v>
      </c>
      <c r="C851" s="40" t="s">
        <v>118</v>
      </c>
      <c r="D851" s="40" t="s">
        <v>140</v>
      </c>
      <c r="E851" s="2">
        <v>240</v>
      </c>
      <c r="F851" s="2">
        <v>902</v>
      </c>
      <c r="G851" s="6">
        <f>G850</f>
        <v>37</v>
      </c>
      <c r="H851" s="204"/>
    </row>
    <row r="852" spans="1:14" s="203" customFormat="1" ht="31.5" x14ac:dyDescent="0.25">
      <c r="A852" s="98" t="s">
        <v>776</v>
      </c>
      <c r="B852" s="20" t="s">
        <v>847</v>
      </c>
      <c r="C852" s="40" t="s">
        <v>118</v>
      </c>
      <c r="D852" s="40" t="s">
        <v>140</v>
      </c>
      <c r="E852" s="2"/>
      <c r="F852" s="2"/>
      <c r="G852" s="6">
        <f>G853</f>
        <v>6</v>
      </c>
      <c r="H852" s="204"/>
    </row>
    <row r="853" spans="1:14" s="203" customFormat="1" ht="31.5" x14ac:dyDescent="0.25">
      <c r="A853" s="25" t="s">
        <v>131</v>
      </c>
      <c r="B853" s="20" t="s">
        <v>847</v>
      </c>
      <c r="C853" s="40" t="s">
        <v>118</v>
      </c>
      <c r="D853" s="40" t="s">
        <v>140</v>
      </c>
      <c r="E853" s="2">
        <v>200</v>
      </c>
      <c r="F853" s="2"/>
      <c r="G853" s="6">
        <f>G854</f>
        <v>6</v>
      </c>
      <c r="H853" s="204"/>
    </row>
    <row r="854" spans="1:14" s="203" customFormat="1" ht="31.5" x14ac:dyDescent="0.25">
      <c r="A854" s="25" t="s">
        <v>133</v>
      </c>
      <c r="B854" s="20" t="s">
        <v>847</v>
      </c>
      <c r="C854" s="40" t="s">
        <v>118</v>
      </c>
      <c r="D854" s="40" t="s">
        <v>140</v>
      </c>
      <c r="E854" s="2">
        <v>240</v>
      </c>
      <c r="F854" s="2"/>
      <c r="G854" s="6">
        <f>'Пр.4 ведом.22'!G276</f>
        <v>6</v>
      </c>
      <c r="H854" s="204"/>
    </row>
    <row r="855" spans="1:14" s="203" customFormat="1" ht="47.25" x14ac:dyDescent="0.25">
      <c r="A855" s="45" t="s">
        <v>261</v>
      </c>
      <c r="B855" s="20" t="s">
        <v>847</v>
      </c>
      <c r="C855" s="40" t="s">
        <v>118</v>
      </c>
      <c r="D855" s="40" t="s">
        <v>140</v>
      </c>
      <c r="E855" s="2">
        <v>240</v>
      </c>
      <c r="F855" s="2">
        <v>903</v>
      </c>
      <c r="G855" s="6">
        <f>G854</f>
        <v>6</v>
      </c>
      <c r="H855" s="204"/>
    </row>
    <row r="856" spans="1:14" s="203" customFormat="1" ht="47.25" x14ac:dyDescent="0.25">
      <c r="A856" s="41" t="s">
        <v>890</v>
      </c>
      <c r="B856" s="24" t="s">
        <v>888</v>
      </c>
      <c r="C856" s="40"/>
      <c r="D856" s="40"/>
      <c r="E856" s="2"/>
      <c r="F856" s="2"/>
      <c r="G856" s="4">
        <f>G857+G877+G883+G889</f>
        <v>3768.6399999999994</v>
      </c>
      <c r="H856" s="204"/>
      <c r="K856" s="22"/>
      <c r="N856" s="232"/>
    </row>
    <row r="857" spans="1:14" s="203" customFormat="1" ht="15.75" x14ac:dyDescent="0.25">
      <c r="A857" s="29" t="s">
        <v>263</v>
      </c>
      <c r="B857" s="20" t="s">
        <v>888</v>
      </c>
      <c r="C857" s="40" t="s">
        <v>264</v>
      </c>
      <c r="D857" s="40"/>
      <c r="E857" s="2"/>
      <c r="F857" s="2"/>
      <c r="G857" s="6">
        <f>G858+G864+G868</f>
        <v>2235.9399999999996</v>
      </c>
      <c r="H857" s="204"/>
    </row>
    <row r="858" spans="1:14" s="203" customFormat="1" ht="15.75" x14ac:dyDescent="0.25">
      <c r="A858" s="29" t="s">
        <v>404</v>
      </c>
      <c r="B858" s="20" t="s">
        <v>888</v>
      </c>
      <c r="C858" s="40" t="s">
        <v>264</v>
      </c>
      <c r="D858" s="40" t="s">
        <v>118</v>
      </c>
      <c r="E858" s="2"/>
      <c r="F858" s="2"/>
      <c r="G858" s="6">
        <f>G859</f>
        <v>571.79999999999995</v>
      </c>
      <c r="H858" s="204"/>
    </row>
    <row r="859" spans="1:14" s="203" customFormat="1" ht="47.25" x14ac:dyDescent="0.25">
      <c r="A859" s="45" t="s">
        <v>780</v>
      </c>
      <c r="B859" s="20" t="s">
        <v>936</v>
      </c>
      <c r="C859" s="40" t="s">
        <v>264</v>
      </c>
      <c r="D859" s="40" t="s">
        <v>118</v>
      </c>
      <c r="E859" s="2"/>
      <c r="F859" s="2"/>
      <c r="G859" s="6">
        <f>G860</f>
        <v>571.79999999999995</v>
      </c>
      <c r="H859" s="204"/>
      <c r="N859" s="232"/>
    </row>
    <row r="860" spans="1:14" s="203" customFormat="1" ht="31.5" x14ac:dyDescent="0.25">
      <c r="A860" s="29" t="s">
        <v>272</v>
      </c>
      <c r="B860" s="20" t="s">
        <v>936</v>
      </c>
      <c r="C860" s="40" t="s">
        <v>264</v>
      </c>
      <c r="D860" s="40" t="s">
        <v>118</v>
      </c>
      <c r="E860" s="2">
        <v>600</v>
      </c>
      <c r="F860" s="2"/>
      <c r="G860" s="6">
        <f>G861</f>
        <v>571.79999999999995</v>
      </c>
      <c r="H860" s="204"/>
    </row>
    <row r="861" spans="1:14" s="203" customFormat="1" ht="15.75" x14ac:dyDescent="0.25">
      <c r="A861" s="182" t="s">
        <v>274</v>
      </c>
      <c r="B861" s="20" t="s">
        <v>936</v>
      </c>
      <c r="C861" s="40" t="s">
        <v>264</v>
      </c>
      <c r="D861" s="40" t="s">
        <v>118</v>
      </c>
      <c r="E861" s="2">
        <v>610</v>
      </c>
      <c r="F861" s="2"/>
      <c r="G861" s="6">
        <f>'Пр.4 ведом.22'!G655</f>
        <v>571.79999999999995</v>
      </c>
      <c r="H861" s="204"/>
    </row>
    <row r="862" spans="1:14" s="203" customFormat="1" ht="31.5" x14ac:dyDescent="0.25">
      <c r="A862" s="29" t="s">
        <v>403</v>
      </c>
      <c r="B862" s="20" t="s">
        <v>936</v>
      </c>
      <c r="C862" s="40" t="s">
        <v>264</v>
      </c>
      <c r="D862" s="40" t="s">
        <v>118</v>
      </c>
      <c r="E862" s="2">
        <v>610</v>
      </c>
      <c r="F862" s="2">
        <v>906</v>
      </c>
      <c r="G862" s="6">
        <f>G861</f>
        <v>571.79999999999995</v>
      </c>
      <c r="H862" s="204"/>
    </row>
    <row r="863" spans="1:14" s="203" customFormat="1" ht="15.75" x14ac:dyDescent="0.25">
      <c r="A863" s="45" t="s">
        <v>425</v>
      </c>
      <c r="B863" s="20" t="s">
        <v>888</v>
      </c>
      <c r="C863" s="40" t="s">
        <v>264</v>
      </c>
      <c r="D863" s="40" t="s">
        <v>213</v>
      </c>
      <c r="E863" s="2"/>
      <c r="F863" s="2"/>
      <c r="G863" s="6">
        <f>G864</f>
        <v>870.84</v>
      </c>
      <c r="H863" s="204"/>
    </row>
    <row r="864" spans="1:14" s="203" customFormat="1" ht="47.25" x14ac:dyDescent="0.25">
      <c r="A864" s="45" t="s">
        <v>780</v>
      </c>
      <c r="B864" s="20" t="s">
        <v>936</v>
      </c>
      <c r="C864" s="40" t="s">
        <v>264</v>
      </c>
      <c r="D864" s="40" t="s">
        <v>213</v>
      </c>
      <c r="E864" s="2"/>
      <c r="F864" s="2"/>
      <c r="G864" s="6">
        <f>G865</f>
        <v>870.84</v>
      </c>
      <c r="H864" s="204"/>
    </row>
    <row r="865" spans="1:8" s="203" customFormat="1" ht="31.5" x14ac:dyDescent="0.25">
      <c r="A865" s="29" t="s">
        <v>272</v>
      </c>
      <c r="B865" s="20" t="s">
        <v>936</v>
      </c>
      <c r="C865" s="40" t="s">
        <v>264</v>
      </c>
      <c r="D865" s="40" t="s">
        <v>213</v>
      </c>
      <c r="E865" s="2">
        <v>600</v>
      </c>
      <c r="F865" s="2"/>
      <c r="G865" s="6">
        <f>G866</f>
        <v>870.84</v>
      </c>
      <c r="H865" s="204"/>
    </row>
    <row r="866" spans="1:8" s="203" customFormat="1" ht="15.75" x14ac:dyDescent="0.25">
      <c r="A866" s="182" t="s">
        <v>274</v>
      </c>
      <c r="B866" s="20" t="s">
        <v>936</v>
      </c>
      <c r="C866" s="40" t="s">
        <v>264</v>
      </c>
      <c r="D866" s="40" t="s">
        <v>213</v>
      </c>
      <c r="E866" s="2">
        <v>610</v>
      </c>
      <c r="F866" s="2"/>
      <c r="G866" s="6">
        <f>'Пр.4 ведом.22'!G744</f>
        <v>870.84</v>
      </c>
      <c r="H866" s="204"/>
    </row>
    <row r="867" spans="1:8" s="203" customFormat="1" ht="31.5" x14ac:dyDescent="0.25">
      <c r="A867" s="29" t="s">
        <v>403</v>
      </c>
      <c r="B867" s="20" t="s">
        <v>936</v>
      </c>
      <c r="C867" s="40" t="s">
        <v>264</v>
      </c>
      <c r="D867" s="40" t="s">
        <v>213</v>
      </c>
      <c r="E867" s="2">
        <v>610</v>
      </c>
      <c r="F867" s="2">
        <v>906</v>
      </c>
      <c r="G867" s="6">
        <f>G866</f>
        <v>870.84</v>
      </c>
      <c r="H867" s="204"/>
    </row>
    <row r="868" spans="1:8" s="203" customFormat="1" ht="15.75" x14ac:dyDescent="0.25">
      <c r="A868" s="45" t="s">
        <v>265</v>
      </c>
      <c r="B868" s="20" t="s">
        <v>888</v>
      </c>
      <c r="C868" s="40" t="s">
        <v>264</v>
      </c>
      <c r="D868" s="40" t="s">
        <v>215</v>
      </c>
      <c r="E868" s="2"/>
      <c r="F868" s="2"/>
      <c r="G868" s="6">
        <f>G873+G869</f>
        <v>793.3</v>
      </c>
      <c r="H868" s="204"/>
    </row>
    <row r="869" spans="1:8" s="203" customFormat="1" ht="31.5" x14ac:dyDescent="0.25">
      <c r="A869" s="98" t="s">
        <v>1004</v>
      </c>
      <c r="B869" s="20" t="s">
        <v>889</v>
      </c>
      <c r="C869" s="40" t="s">
        <v>264</v>
      </c>
      <c r="D869" s="40" t="s">
        <v>215</v>
      </c>
      <c r="E869" s="2"/>
      <c r="F869" s="2"/>
      <c r="G869" s="6">
        <f>G870</f>
        <v>490.9</v>
      </c>
      <c r="H869" s="204"/>
    </row>
    <row r="870" spans="1:8" s="203" customFormat="1" ht="31.5" x14ac:dyDescent="0.25">
      <c r="A870" s="25" t="s">
        <v>131</v>
      </c>
      <c r="B870" s="20" t="s">
        <v>889</v>
      </c>
      <c r="C870" s="40" t="s">
        <v>264</v>
      </c>
      <c r="D870" s="40" t="s">
        <v>215</v>
      </c>
      <c r="E870" s="2">
        <v>200</v>
      </c>
      <c r="F870" s="2"/>
      <c r="G870" s="6">
        <f>G871</f>
        <v>490.9</v>
      </c>
      <c r="H870" s="204"/>
    </row>
    <row r="871" spans="1:8" s="203" customFormat="1" ht="31.5" x14ac:dyDescent="0.25">
      <c r="A871" s="25" t="s">
        <v>133</v>
      </c>
      <c r="B871" s="20" t="s">
        <v>889</v>
      </c>
      <c r="C871" s="40" t="s">
        <v>264</v>
      </c>
      <c r="D871" s="40" t="s">
        <v>215</v>
      </c>
      <c r="E871" s="2">
        <v>240</v>
      </c>
      <c r="F871" s="2"/>
      <c r="G871" s="6">
        <f>'Пр.4 ведом.22'!G340</f>
        <v>490.9</v>
      </c>
      <c r="H871" s="204"/>
    </row>
    <row r="872" spans="1:8" s="203" customFormat="1" ht="47.25" x14ac:dyDescent="0.25">
      <c r="A872" s="45" t="s">
        <v>261</v>
      </c>
      <c r="B872" s="20" t="s">
        <v>889</v>
      </c>
      <c r="C872" s="40" t="s">
        <v>264</v>
      </c>
      <c r="D872" s="40" t="s">
        <v>215</v>
      </c>
      <c r="E872" s="2">
        <v>240</v>
      </c>
      <c r="F872" s="2">
        <v>903</v>
      </c>
      <c r="G872" s="6">
        <f>G871</f>
        <v>490.9</v>
      </c>
      <c r="H872" s="204"/>
    </row>
    <row r="873" spans="1:8" s="203" customFormat="1" ht="47.25" x14ac:dyDescent="0.25">
      <c r="A873" s="45" t="s">
        <v>780</v>
      </c>
      <c r="B873" s="20" t="s">
        <v>936</v>
      </c>
      <c r="C873" s="40" t="s">
        <v>264</v>
      </c>
      <c r="D873" s="40" t="s">
        <v>215</v>
      </c>
      <c r="E873" s="2"/>
      <c r="F873" s="2"/>
      <c r="G873" s="6">
        <f>G874</f>
        <v>302.39999999999998</v>
      </c>
      <c r="H873" s="204"/>
    </row>
    <row r="874" spans="1:8" s="203" customFormat="1" ht="31.5" x14ac:dyDescent="0.25">
      <c r="A874" s="29" t="s">
        <v>272</v>
      </c>
      <c r="B874" s="20" t="s">
        <v>936</v>
      </c>
      <c r="C874" s="40" t="s">
        <v>264</v>
      </c>
      <c r="D874" s="40" t="s">
        <v>215</v>
      </c>
      <c r="E874" s="2">
        <v>600</v>
      </c>
      <c r="F874" s="2"/>
      <c r="G874" s="6">
        <f>G875</f>
        <v>302.39999999999998</v>
      </c>
      <c r="H874" s="204"/>
    </row>
    <row r="875" spans="1:8" s="203" customFormat="1" ht="15.75" x14ac:dyDescent="0.25">
      <c r="A875" s="182" t="s">
        <v>274</v>
      </c>
      <c r="B875" s="20" t="s">
        <v>936</v>
      </c>
      <c r="C875" s="40" t="s">
        <v>264</v>
      </c>
      <c r="D875" s="40" t="s">
        <v>215</v>
      </c>
      <c r="E875" s="2">
        <v>610</v>
      </c>
      <c r="F875" s="2"/>
      <c r="G875" s="6">
        <f>'Пр.4 ведом.22'!G777</f>
        <v>302.39999999999998</v>
      </c>
      <c r="H875" s="204"/>
    </row>
    <row r="876" spans="1:8" s="203" customFormat="1" ht="31.5" x14ac:dyDescent="0.25">
      <c r="A876" s="29" t="s">
        <v>403</v>
      </c>
      <c r="B876" s="20" t="s">
        <v>936</v>
      </c>
      <c r="C876" s="40" t="s">
        <v>264</v>
      </c>
      <c r="D876" s="40" t="s">
        <v>215</v>
      </c>
      <c r="E876" s="2">
        <v>610</v>
      </c>
      <c r="F876" s="2">
        <v>906</v>
      </c>
      <c r="G876" s="6">
        <f>G875</f>
        <v>302.39999999999998</v>
      </c>
      <c r="H876" s="204"/>
    </row>
    <row r="877" spans="1:8" s="203" customFormat="1" ht="15.75" x14ac:dyDescent="0.25">
      <c r="A877" s="25" t="s">
        <v>298</v>
      </c>
      <c r="B877" s="20" t="s">
        <v>888</v>
      </c>
      <c r="C877" s="40" t="s">
        <v>299</v>
      </c>
      <c r="D877" s="40"/>
      <c r="E877" s="2"/>
      <c r="F877" s="2"/>
      <c r="G877" s="6">
        <f>G878</f>
        <v>878.7</v>
      </c>
      <c r="H877" s="204"/>
    </row>
    <row r="878" spans="1:8" s="203" customFormat="1" ht="15.75" x14ac:dyDescent="0.25">
      <c r="A878" s="25" t="s">
        <v>300</v>
      </c>
      <c r="B878" s="20" t="s">
        <v>888</v>
      </c>
      <c r="C878" s="40" t="s">
        <v>299</v>
      </c>
      <c r="D878" s="40" t="s">
        <v>118</v>
      </c>
      <c r="E878" s="2"/>
      <c r="F878" s="2"/>
      <c r="G878" s="6">
        <f>G879</f>
        <v>878.7</v>
      </c>
      <c r="H878" s="204"/>
    </row>
    <row r="879" spans="1:8" s="203" customFormat="1" ht="31.5" x14ac:dyDescent="0.25">
      <c r="A879" s="45" t="s">
        <v>778</v>
      </c>
      <c r="B879" s="20" t="s">
        <v>889</v>
      </c>
      <c r="C879" s="40" t="s">
        <v>299</v>
      </c>
      <c r="D879" s="40" t="s">
        <v>118</v>
      </c>
      <c r="E879" s="2"/>
      <c r="F879" s="2"/>
      <c r="G879" s="6">
        <f>G880</f>
        <v>878.7</v>
      </c>
      <c r="H879" s="204"/>
    </row>
    <row r="880" spans="1:8" s="203" customFormat="1" ht="31.5" x14ac:dyDescent="0.25">
      <c r="A880" s="25" t="s">
        <v>131</v>
      </c>
      <c r="B880" s="20" t="s">
        <v>889</v>
      </c>
      <c r="C880" s="40" t="s">
        <v>299</v>
      </c>
      <c r="D880" s="40" t="s">
        <v>118</v>
      </c>
      <c r="E880" s="2">
        <v>200</v>
      </c>
      <c r="F880" s="2"/>
      <c r="G880" s="6">
        <f>G881</f>
        <v>878.7</v>
      </c>
      <c r="H880" s="204"/>
    </row>
    <row r="881" spans="1:8" s="203" customFormat="1" ht="31.5" x14ac:dyDescent="0.25">
      <c r="A881" s="25" t="s">
        <v>133</v>
      </c>
      <c r="B881" s="20" t="s">
        <v>889</v>
      </c>
      <c r="C881" s="40" t="s">
        <v>299</v>
      </c>
      <c r="D881" s="40" t="s">
        <v>118</v>
      </c>
      <c r="E881" s="2">
        <v>240</v>
      </c>
      <c r="F881" s="2"/>
      <c r="G881" s="6">
        <f>'Пр.4 ведом.22'!G431</f>
        <v>878.7</v>
      </c>
      <c r="H881" s="204"/>
    </row>
    <row r="882" spans="1:8" s="203" customFormat="1" ht="47.25" x14ac:dyDescent="0.25">
      <c r="A882" s="45" t="s">
        <v>261</v>
      </c>
      <c r="B882" s="20" t="s">
        <v>889</v>
      </c>
      <c r="C882" s="40" t="s">
        <v>299</v>
      </c>
      <c r="D882" s="40" t="s">
        <v>118</v>
      </c>
      <c r="E882" s="2">
        <v>240</v>
      </c>
      <c r="F882" s="2">
        <v>903</v>
      </c>
      <c r="G882" s="6">
        <f>G881</f>
        <v>878.7</v>
      </c>
      <c r="H882" s="204"/>
    </row>
    <row r="883" spans="1:8" s="203" customFormat="1" ht="15.75" x14ac:dyDescent="0.25">
      <c r="A883" s="25" t="s">
        <v>490</v>
      </c>
      <c r="B883" s="20" t="s">
        <v>888</v>
      </c>
      <c r="C883" s="40" t="s">
        <v>491</v>
      </c>
      <c r="D883" s="40"/>
      <c r="E883" s="2"/>
      <c r="F883" s="2"/>
      <c r="G883" s="6">
        <f>G884</f>
        <v>579.1</v>
      </c>
      <c r="H883" s="204"/>
    </row>
    <row r="884" spans="1:8" s="203" customFormat="1" ht="15.75" x14ac:dyDescent="0.25">
      <c r="A884" s="25" t="s">
        <v>1078</v>
      </c>
      <c r="B884" s="20" t="s">
        <v>888</v>
      </c>
      <c r="C884" s="40" t="s">
        <v>491</v>
      </c>
      <c r="D884" s="40" t="s">
        <v>118</v>
      </c>
      <c r="E884" s="2"/>
      <c r="F884" s="2"/>
      <c r="G884" s="6">
        <f>G885</f>
        <v>579.1</v>
      </c>
      <c r="H884" s="204"/>
    </row>
    <row r="885" spans="1:8" s="203" customFormat="1" ht="47.25" x14ac:dyDescent="0.25">
      <c r="A885" s="45" t="s">
        <v>780</v>
      </c>
      <c r="B885" s="20" t="s">
        <v>936</v>
      </c>
      <c r="C885" s="40" t="s">
        <v>491</v>
      </c>
      <c r="D885" s="40" t="s">
        <v>118</v>
      </c>
      <c r="E885" s="2"/>
      <c r="F885" s="2"/>
      <c r="G885" s="6">
        <f>G886</f>
        <v>579.1</v>
      </c>
      <c r="H885" s="204"/>
    </row>
    <row r="886" spans="1:8" s="203" customFormat="1" ht="31.5" x14ac:dyDescent="0.25">
      <c r="A886" s="29" t="s">
        <v>272</v>
      </c>
      <c r="B886" s="20" t="s">
        <v>936</v>
      </c>
      <c r="C886" s="40" t="s">
        <v>491</v>
      </c>
      <c r="D886" s="40" t="s">
        <v>118</v>
      </c>
      <c r="E886" s="2">
        <v>600</v>
      </c>
      <c r="F886" s="2"/>
      <c r="G886" s="6">
        <f>G887</f>
        <v>579.1</v>
      </c>
      <c r="H886" s="204"/>
    </row>
    <row r="887" spans="1:8" s="203" customFormat="1" ht="15.75" x14ac:dyDescent="0.25">
      <c r="A887" s="182" t="s">
        <v>274</v>
      </c>
      <c r="B887" s="20" t="s">
        <v>936</v>
      </c>
      <c r="C887" s="40" t="s">
        <v>491</v>
      </c>
      <c r="D887" s="40" t="s">
        <v>118</v>
      </c>
      <c r="E887" s="2">
        <v>610</v>
      </c>
      <c r="F887" s="2"/>
      <c r="G887" s="6">
        <f>'Пр.4 ведом.22'!G875</f>
        <v>579.1</v>
      </c>
      <c r="H887" s="204"/>
    </row>
    <row r="888" spans="1:8" s="203" customFormat="1" ht="31.5" x14ac:dyDescent="0.25">
      <c r="A888" s="45" t="s">
        <v>480</v>
      </c>
      <c r="B888" s="20" t="s">
        <v>936</v>
      </c>
      <c r="C888" s="40" t="s">
        <v>491</v>
      </c>
      <c r="D888" s="40" t="s">
        <v>118</v>
      </c>
      <c r="E888" s="2">
        <v>610</v>
      </c>
      <c r="F888" s="2">
        <v>907</v>
      </c>
      <c r="G888" s="6">
        <f>G887</f>
        <v>579.1</v>
      </c>
      <c r="H888" s="204"/>
    </row>
    <row r="889" spans="1:8" s="203" customFormat="1" ht="15.75" x14ac:dyDescent="0.25">
      <c r="A889" s="29" t="s">
        <v>582</v>
      </c>
      <c r="B889" s="20" t="s">
        <v>888</v>
      </c>
      <c r="C889" s="40" t="s">
        <v>238</v>
      </c>
      <c r="D889" s="40"/>
      <c r="E889" s="2"/>
      <c r="F889" s="2"/>
      <c r="G889" s="6">
        <f>G890</f>
        <v>74.900000000000006</v>
      </c>
      <c r="H889" s="204"/>
    </row>
    <row r="890" spans="1:8" s="203" customFormat="1" ht="15.75" x14ac:dyDescent="0.25">
      <c r="A890" s="29" t="s">
        <v>583</v>
      </c>
      <c r="B890" s="20" t="s">
        <v>888</v>
      </c>
      <c r="C890" s="40" t="s">
        <v>238</v>
      </c>
      <c r="D890" s="40" t="s">
        <v>213</v>
      </c>
      <c r="E890" s="2"/>
      <c r="F890" s="2"/>
      <c r="G890" s="6">
        <f>G891</f>
        <v>74.900000000000006</v>
      </c>
      <c r="H890" s="204"/>
    </row>
    <row r="891" spans="1:8" s="203" customFormat="1" ht="31.5" x14ac:dyDescent="0.25">
      <c r="A891" s="45" t="s">
        <v>778</v>
      </c>
      <c r="B891" s="20" t="s">
        <v>889</v>
      </c>
      <c r="C891" s="40" t="s">
        <v>238</v>
      </c>
      <c r="D891" s="40" t="s">
        <v>213</v>
      </c>
      <c r="E891" s="2"/>
      <c r="F891" s="2"/>
      <c r="G891" s="6">
        <f>G892</f>
        <v>74.900000000000006</v>
      </c>
      <c r="H891" s="204"/>
    </row>
    <row r="892" spans="1:8" s="203" customFormat="1" ht="31.5" x14ac:dyDescent="0.25">
      <c r="A892" s="25" t="s">
        <v>131</v>
      </c>
      <c r="B892" s="20" t="s">
        <v>889</v>
      </c>
      <c r="C892" s="40" t="s">
        <v>238</v>
      </c>
      <c r="D892" s="40" t="s">
        <v>213</v>
      </c>
      <c r="E892" s="2">
        <v>200</v>
      </c>
      <c r="F892" s="2"/>
      <c r="G892" s="6">
        <f>G893</f>
        <v>74.900000000000006</v>
      </c>
      <c r="H892" s="204"/>
    </row>
    <row r="893" spans="1:8" s="203" customFormat="1" ht="31.5" x14ac:dyDescent="0.25">
      <c r="A893" s="25" t="s">
        <v>133</v>
      </c>
      <c r="B893" s="20" t="s">
        <v>889</v>
      </c>
      <c r="C893" s="40" t="s">
        <v>238</v>
      </c>
      <c r="D893" s="40" t="s">
        <v>213</v>
      </c>
      <c r="E893" s="2">
        <v>240</v>
      </c>
      <c r="F893" s="2"/>
      <c r="G893" s="6">
        <f>'Пр.4 ведом.22'!G517</f>
        <v>74.900000000000006</v>
      </c>
      <c r="H893" s="204"/>
    </row>
    <row r="894" spans="1:8" s="203" customFormat="1" ht="47.25" x14ac:dyDescent="0.25">
      <c r="A894" s="45" t="s">
        <v>261</v>
      </c>
      <c r="B894" s="20" t="s">
        <v>889</v>
      </c>
      <c r="C894" s="40" t="s">
        <v>238</v>
      </c>
      <c r="D894" s="40" t="s">
        <v>213</v>
      </c>
      <c r="E894" s="2">
        <v>240</v>
      </c>
      <c r="F894" s="2">
        <v>903</v>
      </c>
      <c r="G894" s="6">
        <f>G891</f>
        <v>74.900000000000006</v>
      </c>
      <c r="H894" s="204"/>
    </row>
    <row r="895" spans="1:8" s="203" customFormat="1" ht="31.5" x14ac:dyDescent="0.25">
      <c r="A895" s="212" t="s">
        <v>1023</v>
      </c>
      <c r="B895" s="24" t="s">
        <v>853</v>
      </c>
      <c r="C895" s="7"/>
      <c r="D895" s="7"/>
      <c r="E895" s="3"/>
      <c r="F895" s="3"/>
      <c r="G895" s="4">
        <f>G896</f>
        <v>15</v>
      </c>
      <c r="H895" s="204"/>
    </row>
    <row r="896" spans="1:8" s="203" customFormat="1" ht="15.75" x14ac:dyDescent="0.25">
      <c r="A896" s="224" t="s">
        <v>117</v>
      </c>
      <c r="B896" s="20" t="s">
        <v>853</v>
      </c>
      <c r="C896" s="40" t="s">
        <v>118</v>
      </c>
      <c r="D896" s="40"/>
      <c r="E896" s="2"/>
      <c r="F896" s="2"/>
      <c r="G896" s="6">
        <f>G897</f>
        <v>15</v>
      </c>
      <c r="H896" s="204"/>
    </row>
    <row r="897" spans="1:8" s="203" customFormat="1" ht="15.75" x14ac:dyDescent="0.25">
      <c r="A897" s="224" t="s">
        <v>139</v>
      </c>
      <c r="B897" s="20" t="s">
        <v>853</v>
      </c>
      <c r="C897" s="40" t="s">
        <v>118</v>
      </c>
      <c r="D897" s="40" t="s">
        <v>140</v>
      </c>
      <c r="E897" s="2"/>
      <c r="F897" s="2"/>
      <c r="G897" s="6">
        <f>G898</f>
        <v>15</v>
      </c>
      <c r="H897" s="204"/>
    </row>
    <row r="898" spans="1:8" ht="47.25" x14ac:dyDescent="0.25">
      <c r="A898" s="256" t="s">
        <v>1005</v>
      </c>
      <c r="B898" s="20" t="s">
        <v>848</v>
      </c>
      <c r="C898" s="40" t="s">
        <v>118</v>
      </c>
      <c r="D898" s="40" t="s">
        <v>140</v>
      </c>
      <c r="E898" s="2"/>
      <c r="F898" s="2"/>
      <c r="G898" s="6">
        <f t="shared" ref="G898:G899" si="76">G899</f>
        <v>15</v>
      </c>
    </row>
    <row r="899" spans="1:8" ht="31.5" x14ac:dyDescent="0.25">
      <c r="A899" s="25" t="s">
        <v>131</v>
      </c>
      <c r="B899" s="20" t="s">
        <v>848</v>
      </c>
      <c r="C899" s="40" t="s">
        <v>118</v>
      </c>
      <c r="D899" s="40" t="s">
        <v>140</v>
      </c>
      <c r="E899" s="2">
        <v>200</v>
      </c>
      <c r="F899" s="2"/>
      <c r="G899" s="6">
        <f t="shared" si="76"/>
        <v>15</v>
      </c>
    </row>
    <row r="900" spans="1:8" ht="31.5" x14ac:dyDescent="0.25">
      <c r="A900" s="25" t="s">
        <v>133</v>
      </c>
      <c r="B900" s="20" t="s">
        <v>848</v>
      </c>
      <c r="C900" s="40" t="s">
        <v>118</v>
      </c>
      <c r="D900" s="40" t="s">
        <v>140</v>
      </c>
      <c r="E900" s="2">
        <v>240</v>
      </c>
      <c r="F900" s="2"/>
      <c r="G900" s="6">
        <f>'Пр.4 ведом.22'!G147</f>
        <v>15</v>
      </c>
    </row>
    <row r="901" spans="1:8" ht="20.25" customHeight="1" x14ac:dyDescent="0.25">
      <c r="A901" s="29" t="s">
        <v>148</v>
      </c>
      <c r="B901" s="20" t="s">
        <v>848</v>
      </c>
      <c r="C901" s="40" t="s">
        <v>118</v>
      </c>
      <c r="D901" s="40" t="s">
        <v>140</v>
      </c>
      <c r="E901" s="2">
        <v>240</v>
      </c>
      <c r="F901" s="2">
        <v>902</v>
      </c>
      <c r="G901" s="6">
        <f>G900</f>
        <v>15</v>
      </c>
    </row>
    <row r="902" spans="1:8" s="462" customFormat="1" ht="33" hidden="1" customHeight="1" x14ac:dyDescent="0.25">
      <c r="A902" s="23" t="s">
        <v>1624</v>
      </c>
      <c r="B902" s="24" t="s">
        <v>1625</v>
      </c>
      <c r="C902" s="7"/>
      <c r="D902" s="7"/>
      <c r="E902" s="3"/>
      <c r="F902" s="3"/>
      <c r="G902" s="4">
        <f>G903</f>
        <v>0</v>
      </c>
      <c r="H902" s="204"/>
    </row>
    <row r="903" spans="1:8" s="462" customFormat="1" ht="31.5" hidden="1" x14ac:dyDescent="0.25">
      <c r="A903" s="496" t="s">
        <v>222</v>
      </c>
      <c r="B903" s="464" t="s">
        <v>1625</v>
      </c>
      <c r="C903" s="40" t="s">
        <v>215</v>
      </c>
      <c r="D903" s="40"/>
      <c r="E903" s="2"/>
      <c r="F903" s="2"/>
      <c r="G903" s="463">
        <f>G904</f>
        <v>0</v>
      </c>
      <c r="H903" s="204"/>
    </row>
    <row r="904" spans="1:8" s="462" customFormat="1" ht="47.25" hidden="1" x14ac:dyDescent="0.25">
      <c r="A904" s="496" t="s">
        <v>1345</v>
      </c>
      <c r="B904" s="464" t="s">
        <v>1625</v>
      </c>
      <c r="C904" s="40" t="s">
        <v>215</v>
      </c>
      <c r="D904" s="40" t="s">
        <v>244</v>
      </c>
      <c r="E904" s="2"/>
      <c r="F904" s="2"/>
      <c r="G904" s="463">
        <f>G905+G909</f>
        <v>0</v>
      </c>
      <c r="H904" s="204"/>
    </row>
    <row r="905" spans="1:8" s="462" customFormat="1" ht="20.25" hidden="1" customHeight="1" x14ac:dyDescent="0.25">
      <c r="A905" s="465" t="s">
        <v>230</v>
      </c>
      <c r="B905" s="464" t="s">
        <v>1626</v>
      </c>
      <c r="C905" s="499" t="s">
        <v>215</v>
      </c>
      <c r="D905" s="499" t="s">
        <v>244</v>
      </c>
      <c r="E905" s="2"/>
      <c r="F905" s="2"/>
      <c r="G905" s="463">
        <f>G906</f>
        <v>0</v>
      </c>
      <c r="H905" s="204"/>
    </row>
    <row r="906" spans="1:8" s="462" customFormat="1" ht="31.5" hidden="1" x14ac:dyDescent="0.25">
      <c r="A906" s="465" t="s">
        <v>131</v>
      </c>
      <c r="B906" s="464" t="s">
        <v>1626</v>
      </c>
      <c r="C906" s="499" t="s">
        <v>215</v>
      </c>
      <c r="D906" s="499" t="s">
        <v>244</v>
      </c>
      <c r="E906" s="2">
        <v>200</v>
      </c>
      <c r="F906" s="2"/>
      <c r="G906" s="463">
        <f>G907</f>
        <v>0</v>
      </c>
      <c r="H906" s="204"/>
    </row>
    <row r="907" spans="1:8" s="462" customFormat="1" ht="31.5" hidden="1" x14ac:dyDescent="0.25">
      <c r="A907" s="465" t="s">
        <v>133</v>
      </c>
      <c r="B907" s="464" t="s">
        <v>1626</v>
      </c>
      <c r="C907" s="499" t="s">
        <v>215</v>
      </c>
      <c r="D907" s="499" t="s">
        <v>244</v>
      </c>
      <c r="E907" s="2">
        <v>240</v>
      </c>
      <c r="F907" s="2"/>
      <c r="G907" s="463">
        <f>'Пр.4 ведом.22'!G188</f>
        <v>0</v>
      </c>
      <c r="H907" s="204"/>
    </row>
    <row r="908" spans="1:8" s="462" customFormat="1" ht="15.75" hidden="1" x14ac:dyDescent="0.25">
      <c r="A908" s="29" t="s">
        <v>148</v>
      </c>
      <c r="B908" s="464" t="s">
        <v>1626</v>
      </c>
      <c r="C908" s="499" t="s">
        <v>215</v>
      </c>
      <c r="D908" s="499" t="s">
        <v>244</v>
      </c>
      <c r="E908" s="2">
        <v>240</v>
      </c>
      <c r="F908" s="2">
        <v>902</v>
      </c>
      <c r="G908" s="463">
        <f>G907</f>
        <v>0</v>
      </c>
      <c r="H908" s="204"/>
    </row>
    <row r="909" spans="1:8" s="487" customFormat="1" ht="47.25" hidden="1" x14ac:dyDescent="0.25">
      <c r="A909" s="496" t="s">
        <v>1659</v>
      </c>
      <c r="B909" s="492" t="s">
        <v>1660</v>
      </c>
      <c r="C909" s="499" t="s">
        <v>215</v>
      </c>
      <c r="D909" s="499" t="s">
        <v>244</v>
      </c>
      <c r="E909" s="2"/>
      <c r="F909" s="2"/>
      <c r="G909" s="489">
        <f>G910</f>
        <v>0</v>
      </c>
      <c r="H909" s="204"/>
    </row>
    <row r="910" spans="1:8" s="487" customFormat="1" ht="15.75" hidden="1" x14ac:dyDescent="0.25">
      <c r="A910" s="496" t="s">
        <v>248</v>
      </c>
      <c r="B910" s="492" t="s">
        <v>1660</v>
      </c>
      <c r="C910" s="499" t="s">
        <v>215</v>
      </c>
      <c r="D910" s="499" t="s">
        <v>244</v>
      </c>
      <c r="E910" s="2" t="s">
        <v>249</v>
      </c>
      <c r="F910" s="2"/>
      <c r="G910" s="489">
        <f>G911</f>
        <v>0</v>
      </c>
      <c r="H910" s="204"/>
    </row>
    <row r="911" spans="1:8" s="487" customFormat="1" ht="31.5" hidden="1" x14ac:dyDescent="0.25">
      <c r="A911" s="496" t="s">
        <v>250</v>
      </c>
      <c r="B911" s="492" t="s">
        <v>1660</v>
      </c>
      <c r="C911" s="499" t="s">
        <v>215</v>
      </c>
      <c r="D911" s="499" t="s">
        <v>244</v>
      </c>
      <c r="E911" s="2" t="s">
        <v>251</v>
      </c>
      <c r="F911" s="2"/>
      <c r="G911" s="489">
        <f>'Пр.4 ведом.22'!G194</f>
        <v>0</v>
      </c>
      <c r="H911" s="204"/>
    </row>
    <row r="912" spans="1:8" s="487" customFormat="1" ht="15.75" hidden="1" x14ac:dyDescent="0.25">
      <c r="A912" s="29" t="s">
        <v>148</v>
      </c>
      <c r="B912" s="492" t="s">
        <v>1660</v>
      </c>
      <c r="C912" s="499" t="s">
        <v>215</v>
      </c>
      <c r="D912" s="499" t="s">
        <v>244</v>
      </c>
      <c r="E912" s="2">
        <v>320</v>
      </c>
      <c r="F912" s="2">
        <v>902</v>
      </c>
      <c r="G912" s="489">
        <f>G911</f>
        <v>0</v>
      </c>
      <c r="H912" s="204"/>
    </row>
    <row r="913" spans="1:8" ht="65.25" customHeight="1" x14ac:dyDescent="0.25">
      <c r="A913" s="23" t="s">
        <v>1531</v>
      </c>
      <c r="B913" s="24" t="s">
        <v>711</v>
      </c>
      <c r="C913" s="7"/>
      <c r="D913" s="7"/>
      <c r="E913" s="3"/>
      <c r="F913" s="3"/>
      <c r="G913" s="4">
        <f>G914+G921</f>
        <v>500</v>
      </c>
    </row>
    <row r="914" spans="1:8" s="203" customFormat="1" ht="31.5" x14ac:dyDescent="0.25">
      <c r="A914" s="23" t="s">
        <v>1066</v>
      </c>
      <c r="B914" s="24" t="s">
        <v>1087</v>
      </c>
      <c r="C914" s="7"/>
      <c r="D914" s="7"/>
      <c r="E914" s="3"/>
      <c r="F914" s="3"/>
      <c r="G914" s="4">
        <f>G915</f>
        <v>500</v>
      </c>
      <c r="H914" s="204"/>
    </row>
    <row r="915" spans="1:8" ht="15.75" x14ac:dyDescent="0.25">
      <c r="A915" s="25" t="s">
        <v>390</v>
      </c>
      <c r="B915" s="20" t="s">
        <v>835</v>
      </c>
      <c r="C915" s="40" t="s">
        <v>234</v>
      </c>
      <c r="D915" s="40"/>
      <c r="E915" s="2"/>
      <c r="F915" s="2"/>
      <c r="G915" s="6">
        <f t="shared" ref="G915:G918" si="77">G916</f>
        <v>500</v>
      </c>
    </row>
    <row r="916" spans="1:8" ht="15.75" x14ac:dyDescent="0.25">
      <c r="A916" s="25" t="s">
        <v>541</v>
      </c>
      <c r="B916" s="20" t="s">
        <v>835</v>
      </c>
      <c r="C916" s="40" t="s">
        <v>234</v>
      </c>
      <c r="D916" s="40" t="s">
        <v>215</v>
      </c>
      <c r="E916" s="2"/>
      <c r="F916" s="2"/>
      <c r="G916" s="6">
        <f t="shared" si="77"/>
        <v>500</v>
      </c>
    </row>
    <row r="917" spans="1:8" ht="47.25" x14ac:dyDescent="0.25">
      <c r="A917" s="80" t="s">
        <v>693</v>
      </c>
      <c r="B917" s="20" t="s">
        <v>835</v>
      </c>
      <c r="C917" s="40" t="s">
        <v>234</v>
      </c>
      <c r="D917" s="40" t="s">
        <v>215</v>
      </c>
      <c r="E917" s="2"/>
      <c r="F917" s="2"/>
      <c r="G917" s="6">
        <f t="shared" si="77"/>
        <v>500</v>
      </c>
    </row>
    <row r="918" spans="1:8" ht="31.5" x14ac:dyDescent="0.25">
      <c r="A918" s="25" t="s">
        <v>131</v>
      </c>
      <c r="B918" s="20" t="s">
        <v>835</v>
      </c>
      <c r="C918" s="40" t="s">
        <v>234</v>
      </c>
      <c r="D918" s="40" t="s">
        <v>215</v>
      </c>
      <c r="E918" s="2">
        <v>200</v>
      </c>
      <c r="F918" s="2"/>
      <c r="G918" s="6">
        <f t="shared" si="77"/>
        <v>500</v>
      </c>
    </row>
    <row r="919" spans="1:8" ht="31.5" x14ac:dyDescent="0.25">
      <c r="A919" s="25" t="s">
        <v>133</v>
      </c>
      <c r="B919" s="20" t="s">
        <v>835</v>
      </c>
      <c r="C919" s="40" t="s">
        <v>234</v>
      </c>
      <c r="D919" s="40" t="s">
        <v>215</v>
      </c>
      <c r="E919" s="2">
        <v>240</v>
      </c>
      <c r="F919" s="2"/>
      <c r="G919" s="6">
        <f>'Пр.4 ведом.22'!G1094</f>
        <v>500</v>
      </c>
    </row>
    <row r="920" spans="1:8" ht="34.5" customHeight="1" x14ac:dyDescent="0.25">
      <c r="A920" s="45" t="s">
        <v>623</v>
      </c>
      <c r="B920" s="20" t="s">
        <v>835</v>
      </c>
      <c r="C920" s="40" t="s">
        <v>234</v>
      </c>
      <c r="D920" s="40" t="s">
        <v>215</v>
      </c>
      <c r="E920" s="2">
        <v>240</v>
      </c>
      <c r="F920" s="2">
        <v>908</v>
      </c>
      <c r="G920" s="6">
        <f t="shared" ref="G920" si="78">G913</f>
        <v>500</v>
      </c>
    </row>
    <row r="921" spans="1:8" s="656" customFormat="1" ht="110.25" hidden="1" x14ac:dyDescent="0.25">
      <c r="A921" s="668" t="s">
        <v>1681</v>
      </c>
      <c r="B921" s="665" t="s">
        <v>1682</v>
      </c>
      <c r="C921" s="658"/>
      <c r="D921" s="658"/>
      <c r="E921" s="666"/>
      <c r="F921" s="666"/>
      <c r="G921" s="659">
        <f>G922</f>
        <v>0</v>
      </c>
    </row>
    <row r="922" spans="1:8" s="656" customFormat="1" ht="15.75" hidden="1" x14ac:dyDescent="0.25">
      <c r="A922" s="650" t="s">
        <v>390</v>
      </c>
      <c r="B922" s="653" t="s">
        <v>1683</v>
      </c>
      <c r="C922" s="654" t="s">
        <v>234</v>
      </c>
      <c r="D922" s="654"/>
      <c r="E922" s="661"/>
      <c r="F922" s="661"/>
      <c r="G922" s="660">
        <f t="shared" ref="G922:G925" si="79">G923</f>
        <v>0</v>
      </c>
    </row>
    <row r="923" spans="1:8" s="656" customFormat="1" ht="15.75" hidden="1" x14ac:dyDescent="0.25">
      <c r="A923" s="650" t="s">
        <v>541</v>
      </c>
      <c r="B923" s="653" t="s">
        <v>1683</v>
      </c>
      <c r="C923" s="654" t="s">
        <v>234</v>
      </c>
      <c r="D923" s="654" t="s">
        <v>215</v>
      </c>
      <c r="E923" s="661"/>
      <c r="F923" s="661"/>
      <c r="G923" s="660">
        <f t="shared" si="79"/>
        <v>0</v>
      </c>
    </row>
    <row r="924" spans="1:8" s="656" customFormat="1" ht="94.5" hidden="1" x14ac:dyDescent="0.25">
      <c r="A924" s="669" t="s">
        <v>1704</v>
      </c>
      <c r="B924" s="653" t="s">
        <v>1683</v>
      </c>
      <c r="C924" s="654" t="s">
        <v>234</v>
      </c>
      <c r="D924" s="654" t="s">
        <v>215</v>
      </c>
      <c r="E924" s="661"/>
      <c r="F924" s="661"/>
      <c r="G924" s="660">
        <f t="shared" si="79"/>
        <v>0</v>
      </c>
    </row>
    <row r="925" spans="1:8" s="656" customFormat="1" ht="31.5" hidden="1" x14ac:dyDescent="0.25">
      <c r="A925" s="650" t="s">
        <v>131</v>
      </c>
      <c r="B925" s="653" t="s">
        <v>1683</v>
      </c>
      <c r="C925" s="654" t="s">
        <v>234</v>
      </c>
      <c r="D925" s="654" t="s">
        <v>215</v>
      </c>
      <c r="E925" s="661">
        <v>200</v>
      </c>
      <c r="F925" s="661"/>
      <c r="G925" s="660">
        <f t="shared" si="79"/>
        <v>0</v>
      </c>
    </row>
    <row r="926" spans="1:8" s="656" customFormat="1" ht="31.5" hidden="1" x14ac:dyDescent="0.25">
      <c r="A926" s="650" t="s">
        <v>133</v>
      </c>
      <c r="B926" s="653" t="s">
        <v>1683</v>
      </c>
      <c r="C926" s="654" t="s">
        <v>234</v>
      </c>
      <c r="D926" s="654" t="s">
        <v>215</v>
      </c>
      <c r="E926" s="661">
        <v>240</v>
      </c>
      <c r="F926" s="661"/>
      <c r="G926" s="660">
        <f>'Пр.4 ведом.22'!G1098</f>
        <v>0</v>
      </c>
    </row>
    <row r="927" spans="1:8" s="656" customFormat="1" ht="34.5" hidden="1" customHeight="1" x14ac:dyDescent="0.25">
      <c r="A927" s="657" t="s">
        <v>623</v>
      </c>
      <c r="B927" s="653" t="s">
        <v>1683</v>
      </c>
      <c r="C927" s="654" t="s">
        <v>234</v>
      </c>
      <c r="D927" s="654" t="s">
        <v>215</v>
      </c>
      <c r="E927" s="661">
        <v>240</v>
      </c>
      <c r="F927" s="661">
        <v>908</v>
      </c>
      <c r="G927" s="660">
        <f>'Пр.4 ведом.22'!G1098</f>
        <v>0</v>
      </c>
    </row>
    <row r="928" spans="1:8" s="185" customFormat="1" ht="63" hidden="1" x14ac:dyDescent="0.25">
      <c r="A928" s="58" t="s">
        <v>1529</v>
      </c>
      <c r="B928" s="24" t="s">
        <v>782</v>
      </c>
      <c r="C928" s="7"/>
      <c r="D928" s="7"/>
      <c r="E928" s="3"/>
      <c r="F928" s="3"/>
      <c r="G928" s="4">
        <f>G930</f>
        <v>0</v>
      </c>
      <c r="H928" s="207"/>
    </row>
    <row r="929" spans="1:8" s="185" customFormat="1" ht="31.5" hidden="1" x14ac:dyDescent="0.25">
      <c r="A929" s="23" t="s">
        <v>930</v>
      </c>
      <c r="B929" s="24" t="s">
        <v>1020</v>
      </c>
      <c r="C929" s="7"/>
      <c r="D929" s="7"/>
      <c r="E929" s="3"/>
      <c r="F929" s="3"/>
      <c r="G929" s="4">
        <f>G930</f>
        <v>0</v>
      </c>
      <c r="H929" s="207"/>
    </row>
    <row r="930" spans="1:8" ht="15.75" hidden="1" x14ac:dyDescent="0.25">
      <c r="A930" s="45" t="s">
        <v>117</v>
      </c>
      <c r="B930" s="20" t="s">
        <v>1020</v>
      </c>
      <c r="C930" s="40" t="s">
        <v>118</v>
      </c>
      <c r="D930" s="40"/>
      <c r="E930" s="2"/>
      <c r="F930" s="2"/>
      <c r="G930" s="6">
        <f>G931</f>
        <v>0</v>
      </c>
    </row>
    <row r="931" spans="1:8" ht="15.75" hidden="1" x14ac:dyDescent="0.25">
      <c r="A931" s="45" t="s">
        <v>139</v>
      </c>
      <c r="B931" s="20" t="s">
        <v>1020</v>
      </c>
      <c r="C931" s="40" t="s">
        <v>118</v>
      </c>
      <c r="D931" s="40" t="s">
        <v>140</v>
      </c>
      <c r="E931" s="2"/>
      <c r="F931" s="2"/>
      <c r="G931" s="6">
        <f>G932</f>
        <v>0</v>
      </c>
    </row>
    <row r="932" spans="1:8" ht="31.5" hidden="1" x14ac:dyDescent="0.25">
      <c r="A932" s="45" t="s">
        <v>790</v>
      </c>
      <c r="B932" s="20" t="s">
        <v>1021</v>
      </c>
      <c r="C932" s="40" t="s">
        <v>118</v>
      </c>
      <c r="D932" s="40" t="s">
        <v>140</v>
      </c>
      <c r="E932" s="2"/>
      <c r="F932" s="2"/>
      <c r="G932" s="6">
        <f>G933</f>
        <v>0</v>
      </c>
    </row>
    <row r="933" spans="1:8" ht="31.5" hidden="1" x14ac:dyDescent="0.25">
      <c r="A933" s="45" t="s">
        <v>131</v>
      </c>
      <c r="B933" s="20" t="s">
        <v>1021</v>
      </c>
      <c r="C933" s="40" t="s">
        <v>118</v>
      </c>
      <c r="D933" s="40" t="s">
        <v>140</v>
      </c>
      <c r="E933" s="2">
        <v>200</v>
      </c>
      <c r="F933" s="2"/>
      <c r="G933" s="6">
        <f>G934</f>
        <v>0</v>
      </c>
    </row>
    <row r="934" spans="1:8" ht="31.5" hidden="1" x14ac:dyDescent="0.25">
      <c r="A934" s="45" t="s">
        <v>133</v>
      </c>
      <c r="B934" s="20" t="s">
        <v>1021</v>
      </c>
      <c r="C934" s="40" t="s">
        <v>118</v>
      </c>
      <c r="D934" s="40" t="s">
        <v>140</v>
      </c>
      <c r="E934" s="2">
        <v>240</v>
      </c>
      <c r="F934" s="2"/>
      <c r="G934" s="6">
        <f>'Пр.4 ведом.22'!G568</f>
        <v>0</v>
      </c>
    </row>
    <row r="935" spans="1:8" ht="36.75" hidden="1" customHeight="1" x14ac:dyDescent="0.25">
      <c r="A935" s="45" t="s">
        <v>1385</v>
      </c>
      <c r="B935" s="20" t="s">
        <v>1021</v>
      </c>
      <c r="C935" s="40" t="s">
        <v>118</v>
      </c>
      <c r="D935" s="40" t="s">
        <v>140</v>
      </c>
      <c r="E935" s="2">
        <v>240</v>
      </c>
      <c r="F935" s="2">
        <v>905</v>
      </c>
      <c r="G935" s="6">
        <f>G928</f>
        <v>0</v>
      </c>
    </row>
    <row r="936" spans="1:8" ht="68.25" customHeight="1" x14ac:dyDescent="0.25">
      <c r="A936" s="41" t="s">
        <v>1365</v>
      </c>
      <c r="B936" s="24" t="s">
        <v>817</v>
      </c>
      <c r="C936" s="7"/>
      <c r="D936" s="7"/>
      <c r="E936" s="3"/>
      <c r="F936" s="3"/>
      <c r="G936" s="4">
        <f>G938</f>
        <v>45</v>
      </c>
    </row>
    <row r="937" spans="1:8" s="203" customFormat="1" ht="47.25" x14ac:dyDescent="0.25">
      <c r="A937" s="213" t="s">
        <v>854</v>
      </c>
      <c r="B937" s="24" t="s">
        <v>1075</v>
      </c>
      <c r="C937" s="7"/>
      <c r="D937" s="7"/>
      <c r="E937" s="3"/>
      <c r="F937" s="3"/>
      <c r="G937" s="4">
        <f>G938</f>
        <v>45</v>
      </c>
      <c r="H937" s="204"/>
    </row>
    <row r="938" spans="1:8" ht="15.75" x14ac:dyDescent="0.25">
      <c r="A938" s="45" t="s">
        <v>117</v>
      </c>
      <c r="B938" s="20" t="s">
        <v>1075</v>
      </c>
      <c r="C938" s="40" t="s">
        <v>118</v>
      </c>
      <c r="D938" s="40"/>
      <c r="E938" s="2"/>
      <c r="F938" s="2"/>
      <c r="G938" s="6">
        <f>G939</f>
        <v>45</v>
      </c>
    </row>
    <row r="939" spans="1:8" ht="15.75" x14ac:dyDescent="0.25">
      <c r="A939" s="45" t="s">
        <v>139</v>
      </c>
      <c r="B939" s="20" t="s">
        <v>1075</v>
      </c>
      <c r="C939" s="40" t="s">
        <v>118</v>
      </c>
      <c r="D939" s="40" t="s">
        <v>140</v>
      </c>
      <c r="E939" s="2"/>
      <c r="F939" s="2"/>
      <c r="G939" s="6">
        <f>G940</f>
        <v>45</v>
      </c>
    </row>
    <row r="940" spans="1:8" ht="31.5" x14ac:dyDescent="0.25">
      <c r="A940" s="97" t="s">
        <v>171</v>
      </c>
      <c r="B940" s="20" t="s">
        <v>855</v>
      </c>
      <c r="C940" s="40" t="s">
        <v>118</v>
      </c>
      <c r="D940" s="40" t="s">
        <v>140</v>
      </c>
      <c r="E940" s="2"/>
      <c r="F940" s="2"/>
      <c r="G940" s="6">
        <f>G941</f>
        <v>45</v>
      </c>
    </row>
    <row r="941" spans="1:8" ht="31.5" x14ac:dyDescent="0.25">
      <c r="A941" s="45" t="s">
        <v>131</v>
      </c>
      <c r="B941" s="20" t="s">
        <v>855</v>
      </c>
      <c r="C941" s="40" t="s">
        <v>118</v>
      </c>
      <c r="D941" s="40" t="s">
        <v>140</v>
      </c>
      <c r="E941" s="2">
        <v>200</v>
      </c>
      <c r="F941" s="2"/>
      <c r="G941" s="6">
        <f>G942</f>
        <v>45</v>
      </c>
    </row>
    <row r="942" spans="1:8" ht="31.5" x14ac:dyDescent="0.25">
      <c r="A942" s="45" t="s">
        <v>133</v>
      </c>
      <c r="B942" s="20" t="s">
        <v>855</v>
      </c>
      <c r="C942" s="40" t="s">
        <v>118</v>
      </c>
      <c r="D942" s="40" t="s">
        <v>140</v>
      </c>
      <c r="E942" s="2">
        <v>240</v>
      </c>
      <c r="F942" s="2"/>
      <c r="G942" s="6">
        <f>'Пр.4 ведом.22'!G152</f>
        <v>45</v>
      </c>
    </row>
    <row r="943" spans="1:8" ht="23.25" customHeight="1" x14ac:dyDescent="0.25">
      <c r="A943" s="29" t="s">
        <v>148</v>
      </c>
      <c r="B943" s="20" t="s">
        <v>855</v>
      </c>
      <c r="C943" s="40" t="s">
        <v>118</v>
      </c>
      <c r="D943" s="40" t="s">
        <v>140</v>
      </c>
      <c r="E943" s="2">
        <v>240</v>
      </c>
      <c r="F943" s="2">
        <v>902</v>
      </c>
      <c r="G943" s="6">
        <f>G936</f>
        <v>45</v>
      </c>
    </row>
    <row r="944" spans="1:8" ht="63" x14ac:dyDescent="0.25">
      <c r="A944" s="41" t="s">
        <v>1814</v>
      </c>
      <c r="B944" s="24" t="s">
        <v>818</v>
      </c>
      <c r="C944" s="7"/>
      <c r="D944" s="7"/>
      <c r="E944" s="3"/>
      <c r="F944" s="3"/>
      <c r="G944" s="4">
        <f>G946</f>
        <v>80</v>
      </c>
    </row>
    <row r="945" spans="1:14" s="203" customFormat="1" ht="31.5" x14ac:dyDescent="0.25">
      <c r="A945" s="58" t="s">
        <v>856</v>
      </c>
      <c r="B945" s="24" t="s">
        <v>864</v>
      </c>
      <c r="C945" s="7"/>
      <c r="D945" s="7"/>
      <c r="E945" s="3"/>
      <c r="F945" s="3"/>
      <c r="G945" s="4">
        <f>G946</f>
        <v>80</v>
      </c>
      <c r="H945" s="204"/>
    </row>
    <row r="946" spans="1:14" ht="15.75" x14ac:dyDescent="0.25">
      <c r="A946" s="45" t="s">
        <v>117</v>
      </c>
      <c r="B946" s="20" t="s">
        <v>864</v>
      </c>
      <c r="C946" s="40" t="s">
        <v>118</v>
      </c>
      <c r="D946" s="40"/>
      <c r="E946" s="2"/>
      <c r="F946" s="2"/>
      <c r="G946" s="6">
        <f>G947</f>
        <v>80</v>
      </c>
    </row>
    <row r="947" spans="1:14" ht="15.75" x14ac:dyDescent="0.25">
      <c r="A947" s="45" t="s">
        <v>139</v>
      </c>
      <c r="B947" s="20" t="s">
        <v>864</v>
      </c>
      <c r="C947" s="40" t="s">
        <v>118</v>
      </c>
      <c r="D947" s="40" t="s">
        <v>140</v>
      </c>
      <c r="E947" s="2"/>
      <c r="F947" s="2"/>
      <c r="G947" s="6">
        <f>G948</f>
        <v>80</v>
      </c>
    </row>
    <row r="948" spans="1:14" ht="15.75" x14ac:dyDescent="0.25">
      <c r="A948" s="45" t="s">
        <v>175</v>
      </c>
      <c r="B948" s="20" t="s">
        <v>857</v>
      </c>
      <c r="C948" s="40" t="s">
        <v>118</v>
      </c>
      <c r="D948" s="40" t="s">
        <v>140</v>
      </c>
      <c r="E948" s="2"/>
      <c r="F948" s="2"/>
      <c r="G948" s="6">
        <f>G949</f>
        <v>80</v>
      </c>
    </row>
    <row r="949" spans="1:14" ht="31.5" x14ac:dyDescent="0.25">
      <c r="A949" s="45" t="s">
        <v>131</v>
      </c>
      <c r="B949" s="20" t="s">
        <v>857</v>
      </c>
      <c r="C949" s="40" t="s">
        <v>118</v>
      </c>
      <c r="D949" s="40" t="s">
        <v>140</v>
      </c>
      <c r="E949" s="2">
        <v>200</v>
      </c>
      <c r="F949" s="2"/>
      <c r="G949" s="6">
        <f>G950</f>
        <v>80</v>
      </c>
    </row>
    <row r="950" spans="1:14" ht="31.5" x14ac:dyDescent="0.25">
      <c r="A950" s="45" t="s">
        <v>133</v>
      </c>
      <c r="B950" s="20" t="s">
        <v>857</v>
      </c>
      <c r="C950" s="40" t="s">
        <v>118</v>
      </c>
      <c r="D950" s="40" t="s">
        <v>140</v>
      </c>
      <c r="E950" s="2">
        <v>240</v>
      </c>
      <c r="F950" s="2"/>
      <c r="G950" s="6">
        <f>'Пр.4 ведом.22'!G157</f>
        <v>80</v>
      </c>
    </row>
    <row r="951" spans="1:14" ht="23.25" customHeight="1" x14ac:dyDescent="0.25">
      <c r="A951" s="29" t="s">
        <v>148</v>
      </c>
      <c r="B951" s="20" t="s">
        <v>857</v>
      </c>
      <c r="C951" s="40" t="s">
        <v>118</v>
      </c>
      <c r="D951" s="40" t="s">
        <v>140</v>
      </c>
      <c r="E951" s="2">
        <v>240</v>
      </c>
      <c r="F951" s="2">
        <v>902</v>
      </c>
      <c r="G951" s="6">
        <f>G944</f>
        <v>80</v>
      </c>
    </row>
    <row r="952" spans="1:14" s="203" customFormat="1" ht="47.25" x14ac:dyDescent="0.25">
      <c r="A952" s="23" t="s">
        <v>1528</v>
      </c>
      <c r="B952" s="24" t="s">
        <v>1141</v>
      </c>
      <c r="C952" s="40"/>
      <c r="D952" s="40"/>
      <c r="E952" s="2"/>
      <c r="F952" s="2"/>
      <c r="G952" s="4">
        <f t="shared" ref="G952:G958" si="80">G953</f>
        <v>204</v>
      </c>
      <c r="H952" s="204"/>
    </row>
    <row r="953" spans="1:14" s="203" customFormat="1" ht="31.5" x14ac:dyDescent="0.25">
      <c r="A953" s="23" t="s">
        <v>1142</v>
      </c>
      <c r="B953" s="24" t="s">
        <v>1143</v>
      </c>
      <c r="C953" s="40"/>
      <c r="D953" s="40"/>
      <c r="E953" s="2"/>
      <c r="F953" s="2"/>
      <c r="G953" s="4">
        <f t="shared" si="80"/>
        <v>204</v>
      </c>
      <c r="H953" s="204"/>
    </row>
    <row r="954" spans="1:14" s="203" customFormat="1" ht="15.75" x14ac:dyDescent="0.25">
      <c r="A954" s="29" t="s">
        <v>390</v>
      </c>
      <c r="B954" s="20" t="s">
        <v>1143</v>
      </c>
      <c r="C954" s="40" t="s">
        <v>234</v>
      </c>
      <c r="D954" s="40"/>
      <c r="E954" s="2"/>
      <c r="F954" s="2"/>
      <c r="G954" s="6">
        <f t="shared" si="80"/>
        <v>204</v>
      </c>
      <c r="H954" s="204"/>
    </row>
    <row r="955" spans="1:14" s="203" customFormat="1" ht="15.75" x14ac:dyDescent="0.25">
      <c r="A955" s="29" t="s">
        <v>517</v>
      </c>
      <c r="B955" s="20" t="s">
        <v>1143</v>
      </c>
      <c r="C955" s="40" t="s">
        <v>234</v>
      </c>
      <c r="D955" s="40" t="s">
        <v>213</v>
      </c>
      <c r="E955" s="2"/>
      <c r="F955" s="2"/>
      <c r="G955" s="6">
        <f t="shared" si="80"/>
        <v>204</v>
      </c>
      <c r="H955" s="204"/>
    </row>
    <row r="956" spans="1:14" s="203" customFormat="1" ht="15.75" x14ac:dyDescent="0.25">
      <c r="A956" s="29" t="s">
        <v>1145</v>
      </c>
      <c r="B956" s="20" t="s">
        <v>1144</v>
      </c>
      <c r="C956" s="40" t="s">
        <v>234</v>
      </c>
      <c r="D956" s="40" t="s">
        <v>213</v>
      </c>
      <c r="E956" s="2"/>
      <c r="F956" s="2"/>
      <c r="G956" s="6">
        <f t="shared" si="80"/>
        <v>204</v>
      </c>
      <c r="H956" s="204"/>
    </row>
    <row r="957" spans="1:14" s="203" customFormat="1" ht="31.5" x14ac:dyDescent="0.25">
      <c r="A957" s="45" t="s">
        <v>131</v>
      </c>
      <c r="B957" s="20" t="s">
        <v>1144</v>
      </c>
      <c r="C957" s="40" t="s">
        <v>234</v>
      </c>
      <c r="D957" s="40" t="s">
        <v>213</v>
      </c>
      <c r="E957" s="2">
        <v>200</v>
      </c>
      <c r="F957" s="2"/>
      <c r="G957" s="6">
        <f t="shared" si="80"/>
        <v>204</v>
      </c>
      <c r="H957" s="204"/>
    </row>
    <row r="958" spans="1:14" s="203" customFormat="1" ht="31.5" x14ac:dyDescent="0.25">
      <c r="A958" s="45" t="s">
        <v>133</v>
      </c>
      <c r="B958" s="20" t="s">
        <v>1144</v>
      </c>
      <c r="C958" s="40" t="s">
        <v>234</v>
      </c>
      <c r="D958" s="40" t="s">
        <v>213</v>
      </c>
      <c r="E958" s="2">
        <v>240</v>
      </c>
      <c r="F958" s="2"/>
      <c r="G958" s="6">
        <f t="shared" si="80"/>
        <v>204</v>
      </c>
      <c r="H958" s="204"/>
    </row>
    <row r="959" spans="1:14" s="203" customFormat="1" ht="31.5" x14ac:dyDescent="0.25">
      <c r="A959" s="45" t="s">
        <v>623</v>
      </c>
      <c r="B959" s="20" t="s">
        <v>1144</v>
      </c>
      <c r="C959" s="40" t="s">
        <v>234</v>
      </c>
      <c r="D959" s="40" t="s">
        <v>213</v>
      </c>
      <c r="E959" s="2">
        <v>240</v>
      </c>
      <c r="F959" s="2">
        <v>908</v>
      </c>
      <c r="G959" s="6">
        <f>'Пр.4 ведом.22'!G1036</f>
        <v>204</v>
      </c>
      <c r="H959" s="204"/>
    </row>
    <row r="960" spans="1:14" ht="15.75" x14ac:dyDescent="0.25">
      <c r="A960" s="72" t="s">
        <v>657</v>
      </c>
      <c r="B960" s="72"/>
      <c r="C960" s="72"/>
      <c r="D960" s="72"/>
      <c r="E960" s="72"/>
      <c r="F960" s="72"/>
      <c r="G960" s="120">
        <f>G944+G936+G928+G913+G844+G817+G752+G679+G632+G487+G411+G403+G369+G361+G147+G30+G9+G767+G952</f>
        <v>518584.88999999996</v>
      </c>
      <c r="H960" s="205"/>
      <c r="I960" s="22"/>
      <c r="N960" s="232"/>
    </row>
    <row r="962" spans="7:7" x14ac:dyDescent="0.25">
      <c r="G962" s="115">
        <f>'Пр.4 ведом.22'!G1230</f>
        <v>518584.89</v>
      </c>
    </row>
    <row r="963" spans="7:7" x14ac:dyDescent="0.25">
      <c r="G963" s="115">
        <f>G962-G960</f>
        <v>0</v>
      </c>
    </row>
  </sheetData>
  <mergeCells count="4">
    <mergeCell ref="A5:G5"/>
    <mergeCell ref="F3:G3"/>
    <mergeCell ref="F2:G2"/>
    <mergeCell ref="F1:G1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534"/>
  <sheetViews>
    <sheetView topLeftCell="A527" zoomScaleNormal="100" workbookViewId="0">
      <selection activeCell="I531" sqref="I531"/>
    </sheetView>
  </sheetViews>
  <sheetFormatPr defaultRowHeight="15" x14ac:dyDescent="0.25"/>
  <cols>
    <col min="1" max="1" width="38" style="1" customWidth="1"/>
    <col min="2" max="2" width="17.42578125" style="1" customWidth="1"/>
    <col min="3" max="3" width="8.28515625" style="1" customWidth="1"/>
    <col min="4" max="4" width="7.28515625" customWidth="1"/>
    <col min="5" max="5" width="8.7109375" customWidth="1"/>
    <col min="7" max="7" width="15.42578125" style="1" customWidth="1"/>
    <col min="9" max="9" width="9.140625" style="106"/>
  </cols>
  <sheetData>
    <row r="1" spans="1:8" ht="15.75" x14ac:dyDescent="0.25">
      <c r="D1" s="1"/>
      <c r="F1" s="57" t="s">
        <v>616</v>
      </c>
    </row>
    <row r="2" spans="1:8" ht="15.75" x14ac:dyDescent="0.25">
      <c r="D2" s="1"/>
      <c r="F2" s="57" t="s">
        <v>591</v>
      </c>
    </row>
    <row r="3" spans="1:8" ht="15.75" x14ac:dyDescent="0.25">
      <c r="D3" s="1"/>
      <c r="F3" s="57" t="s">
        <v>738</v>
      </c>
    </row>
    <row r="4" spans="1:8" ht="15.75" x14ac:dyDescent="0.25">
      <c r="D4" s="1"/>
      <c r="E4" s="1"/>
      <c r="F4" s="62"/>
      <c r="G4" s="63"/>
    </row>
    <row r="5" spans="1:8" ht="38.25" customHeight="1" x14ac:dyDescent="0.25">
      <c r="A5" s="746" t="s">
        <v>714</v>
      </c>
      <c r="B5" s="746"/>
      <c r="C5" s="746"/>
      <c r="D5" s="746"/>
      <c r="E5" s="746"/>
      <c r="F5" s="746"/>
      <c r="G5" s="746"/>
    </row>
    <row r="6" spans="1:8" ht="16.5" x14ac:dyDescent="0.25">
      <c r="A6" s="171"/>
      <c r="B6" s="171"/>
      <c r="C6" s="171"/>
      <c r="D6" s="171"/>
      <c r="E6" s="171"/>
      <c r="F6" s="171"/>
      <c r="G6" s="171"/>
    </row>
    <row r="7" spans="1:8" ht="15.75" x14ac:dyDescent="0.25">
      <c r="A7" s="62"/>
      <c r="B7" s="62"/>
      <c r="C7" s="62"/>
      <c r="D7" s="62"/>
      <c r="E7" s="64"/>
      <c r="F7" s="64"/>
      <c r="G7" s="65" t="s">
        <v>1</v>
      </c>
    </row>
    <row r="8" spans="1:8" ht="31.5" x14ac:dyDescent="0.25">
      <c r="A8" s="66" t="s">
        <v>592</v>
      </c>
      <c r="B8" s="66" t="s">
        <v>617</v>
      </c>
      <c r="C8" s="66" t="s">
        <v>618</v>
      </c>
      <c r="D8" s="66" t="s">
        <v>619</v>
      </c>
      <c r="E8" s="66" t="s">
        <v>620</v>
      </c>
      <c r="F8" s="66" t="s">
        <v>621</v>
      </c>
      <c r="G8" s="5" t="s">
        <v>4</v>
      </c>
    </row>
    <row r="9" spans="1:8" ht="15.75" x14ac:dyDescent="0.25">
      <c r="A9" s="66">
        <v>1</v>
      </c>
      <c r="B9" s="66">
        <v>2</v>
      </c>
      <c r="C9" s="66">
        <v>3</v>
      </c>
      <c r="D9" s="66">
        <v>4</v>
      </c>
      <c r="E9" s="66">
        <v>5</v>
      </c>
      <c r="F9" s="66">
        <v>6</v>
      </c>
      <c r="G9" s="5">
        <v>7</v>
      </c>
    </row>
    <row r="10" spans="1:8" ht="78.75" x14ac:dyDescent="0.25">
      <c r="A10" s="58" t="s">
        <v>622</v>
      </c>
      <c r="B10" s="7" t="s">
        <v>510</v>
      </c>
      <c r="C10" s="7"/>
      <c r="D10" s="7"/>
      <c r="E10" s="7"/>
      <c r="F10" s="7"/>
      <c r="G10" s="4" t="e">
        <f>G13</f>
        <v>#REF!</v>
      </c>
    </row>
    <row r="11" spans="1:8" ht="15.75" x14ac:dyDescent="0.25">
      <c r="A11" s="29" t="s">
        <v>232</v>
      </c>
      <c r="B11" s="40" t="s">
        <v>510</v>
      </c>
      <c r="C11" s="40" t="s">
        <v>150</v>
      </c>
      <c r="D11" s="40"/>
      <c r="E11" s="40"/>
      <c r="F11" s="40"/>
      <c r="G11" s="6" t="e">
        <f>G12</f>
        <v>#REF!</v>
      </c>
    </row>
    <row r="12" spans="1:8" ht="31.5" x14ac:dyDescent="0.25">
      <c r="A12" s="29" t="s">
        <v>508</v>
      </c>
      <c r="B12" s="40" t="s">
        <v>510</v>
      </c>
      <c r="C12" s="40" t="s">
        <v>150</v>
      </c>
      <c r="D12" s="40" t="s">
        <v>219</v>
      </c>
      <c r="E12" s="40"/>
      <c r="F12" s="40"/>
      <c r="G12" s="6" t="e">
        <f>G13</f>
        <v>#REF!</v>
      </c>
    </row>
    <row r="13" spans="1:8" ht="15.75" x14ac:dyDescent="0.25">
      <c r="A13" s="29" t="s">
        <v>511</v>
      </c>
      <c r="B13" s="40" t="s">
        <v>512</v>
      </c>
      <c r="C13" s="40" t="s">
        <v>150</v>
      </c>
      <c r="D13" s="40" t="s">
        <v>219</v>
      </c>
      <c r="E13" s="40"/>
      <c r="F13" s="40"/>
      <c r="G13" s="6" t="e">
        <f>G14+G16</f>
        <v>#REF!</v>
      </c>
    </row>
    <row r="14" spans="1:8" ht="47.25" x14ac:dyDescent="0.25">
      <c r="A14" s="29" t="s">
        <v>131</v>
      </c>
      <c r="B14" s="40" t="s">
        <v>512</v>
      </c>
      <c r="C14" s="40" t="s">
        <v>150</v>
      </c>
      <c r="D14" s="40" t="s">
        <v>219</v>
      </c>
      <c r="E14" s="40" t="s">
        <v>132</v>
      </c>
      <c r="F14" s="40"/>
      <c r="G14" s="6" t="e">
        <f>G15</f>
        <v>#REF!</v>
      </c>
    </row>
    <row r="15" spans="1:8" ht="47.25" x14ac:dyDescent="0.25">
      <c r="A15" s="29" t="s">
        <v>133</v>
      </c>
      <c r="B15" s="40" t="s">
        <v>512</v>
      </c>
      <c r="C15" s="40" t="s">
        <v>150</v>
      </c>
      <c r="D15" s="40" t="s">
        <v>219</v>
      </c>
      <c r="E15" s="40" t="s">
        <v>134</v>
      </c>
      <c r="F15" s="40"/>
      <c r="G15" s="6" t="e">
        <f>'Пр.4 ведом.22'!#REF!</f>
        <v>#REF!</v>
      </c>
      <c r="H15" s="112"/>
    </row>
    <row r="16" spans="1:8" ht="15.75" x14ac:dyDescent="0.25">
      <c r="A16" s="25" t="s">
        <v>135</v>
      </c>
      <c r="B16" s="40" t="s">
        <v>512</v>
      </c>
      <c r="C16" s="40" t="s">
        <v>150</v>
      </c>
      <c r="D16" s="40" t="s">
        <v>219</v>
      </c>
      <c r="E16" s="40" t="s">
        <v>145</v>
      </c>
      <c r="F16" s="40"/>
      <c r="G16" s="6" t="e">
        <f>G17</f>
        <v>#REF!</v>
      </c>
    </row>
    <row r="17" spans="1:8" ht="31.5" x14ac:dyDescent="0.25">
      <c r="A17" s="25" t="s">
        <v>137</v>
      </c>
      <c r="B17" s="40" t="s">
        <v>512</v>
      </c>
      <c r="C17" s="40" t="s">
        <v>150</v>
      </c>
      <c r="D17" s="40" t="s">
        <v>219</v>
      </c>
      <c r="E17" s="40" t="s">
        <v>138</v>
      </c>
      <c r="F17" s="40"/>
      <c r="G17" s="6" t="e">
        <f>'Пр.4 ведом.22'!#REF!</f>
        <v>#REF!</v>
      </c>
      <c r="H17" s="112"/>
    </row>
    <row r="18" spans="1:8" ht="47.25" x14ac:dyDescent="0.25">
      <c r="A18" s="45" t="s">
        <v>623</v>
      </c>
      <c r="B18" s="40" t="s">
        <v>510</v>
      </c>
      <c r="C18" s="40" t="s">
        <v>150</v>
      </c>
      <c r="D18" s="40" t="s">
        <v>219</v>
      </c>
      <c r="E18" s="40"/>
      <c r="F18" s="40" t="s">
        <v>624</v>
      </c>
      <c r="G18" s="6" t="e">
        <f>G13</f>
        <v>#REF!</v>
      </c>
    </row>
    <row r="19" spans="1:8" ht="78.75" x14ac:dyDescent="0.25">
      <c r="A19" s="58" t="s">
        <v>343</v>
      </c>
      <c r="B19" s="7" t="s">
        <v>344</v>
      </c>
      <c r="C19" s="7"/>
      <c r="D19" s="7"/>
      <c r="E19" s="7"/>
      <c r="F19" s="7"/>
      <c r="G19" s="59" t="e">
        <f>G20+G32+G39+G46+G55+G62+G69+G95</f>
        <v>#REF!</v>
      </c>
    </row>
    <row r="20" spans="1:8" ht="47.25" x14ac:dyDescent="0.25">
      <c r="A20" s="58" t="s">
        <v>625</v>
      </c>
      <c r="B20" s="7" t="s">
        <v>346</v>
      </c>
      <c r="C20" s="7"/>
      <c r="D20" s="7"/>
      <c r="E20" s="7"/>
      <c r="F20" s="7"/>
      <c r="G20" s="59" t="e">
        <f>G21</f>
        <v>#REF!</v>
      </c>
    </row>
    <row r="21" spans="1:8" ht="15.75" x14ac:dyDescent="0.25">
      <c r="A21" s="45" t="s">
        <v>243</v>
      </c>
      <c r="B21" s="40" t="s">
        <v>346</v>
      </c>
      <c r="C21" s="40" t="s">
        <v>244</v>
      </c>
      <c r="D21" s="40"/>
      <c r="E21" s="40"/>
      <c r="F21" s="40"/>
      <c r="G21" s="10" t="e">
        <f>G22</f>
        <v>#REF!</v>
      </c>
    </row>
    <row r="22" spans="1:8" ht="15.75" x14ac:dyDescent="0.25">
      <c r="A22" s="45" t="s">
        <v>252</v>
      </c>
      <c r="B22" s="40" t="s">
        <v>346</v>
      </c>
      <c r="C22" s="40" t="s">
        <v>244</v>
      </c>
      <c r="D22" s="40" t="s">
        <v>215</v>
      </c>
      <c r="E22" s="40"/>
      <c r="F22" s="40"/>
      <c r="G22" s="10" t="e">
        <f>G23+G28</f>
        <v>#REF!</v>
      </c>
    </row>
    <row r="23" spans="1:8" ht="47.25" x14ac:dyDescent="0.25">
      <c r="A23" s="29" t="s">
        <v>157</v>
      </c>
      <c r="B23" s="40" t="s">
        <v>626</v>
      </c>
      <c r="C23" s="40" t="s">
        <v>244</v>
      </c>
      <c r="D23" s="40" t="s">
        <v>215</v>
      </c>
      <c r="E23" s="40"/>
      <c r="F23" s="40"/>
      <c r="G23" s="10" t="e">
        <f>G26</f>
        <v>#REF!</v>
      </c>
    </row>
    <row r="24" spans="1:8" ht="110.25" hidden="1" x14ac:dyDescent="0.25">
      <c r="A24" s="25" t="s">
        <v>127</v>
      </c>
      <c r="B24" s="40" t="s">
        <v>626</v>
      </c>
      <c r="C24" s="40" t="s">
        <v>244</v>
      </c>
      <c r="D24" s="40" t="s">
        <v>215</v>
      </c>
      <c r="E24" s="40" t="s">
        <v>128</v>
      </c>
      <c r="F24" s="40"/>
      <c r="G24" s="10">
        <f>G25</f>
        <v>0</v>
      </c>
    </row>
    <row r="25" spans="1:8" ht="47.25" hidden="1" x14ac:dyDescent="0.25">
      <c r="A25" s="25" t="s">
        <v>129</v>
      </c>
      <c r="B25" s="40" t="s">
        <v>626</v>
      </c>
      <c r="C25" s="40" t="s">
        <v>244</v>
      </c>
      <c r="D25" s="40" t="s">
        <v>215</v>
      </c>
      <c r="E25" s="40" t="s">
        <v>130</v>
      </c>
      <c r="F25" s="40"/>
      <c r="G25" s="10"/>
    </row>
    <row r="26" spans="1:8" ht="47.25" x14ac:dyDescent="0.25">
      <c r="A26" s="29" t="s">
        <v>131</v>
      </c>
      <c r="B26" s="40" t="s">
        <v>626</v>
      </c>
      <c r="C26" s="40" t="s">
        <v>244</v>
      </c>
      <c r="D26" s="40" t="s">
        <v>215</v>
      </c>
      <c r="E26" s="40" t="s">
        <v>132</v>
      </c>
      <c r="F26" s="40"/>
      <c r="G26" s="10" t="e">
        <f>G27</f>
        <v>#REF!</v>
      </c>
    </row>
    <row r="27" spans="1:8" ht="47.25" x14ac:dyDescent="0.25">
      <c r="A27" s="29" t="s">
        <v>133</v>
      </c>
      <c r="B27" s="40" t="s">
        <v>626</v>
      </c>
      <c r="C27" s="40" t="s">
        <v>244</v>
      </c>
      <c r="D27" s="40" t="s">
        <v>215</v>
      </c>
      <c r="E27" s="40" t="s">
        <v>134</v>
      </c>
      <c r="F27" s="40"/>
      <c r="G27" s="6" t="e">
        <f>'Пр.4 ведом.22'!#REF!</f>
        <v>#REF!</v>
      </c>
    </row>
    <row r="28" spans="1:8" ht="47.25" x14ac:dyDescent="0.25">
      <c r="A28" s="25" t="s">
        <v>350</v>
      </c>
      <c r="B28" s="20" t="s">
        <v>351</v>
      </c>
      <c r="C28" s="40" t="s">
        <v>244</v>
      </c>
      <c r="D28" s="40" t="s">
        <v>215</v>
      </c>
      <c r="E28" s="40"/>
      <c r="F28" s="40"/>
      <c r="G28" s="10" t="e">
        <f>G29</f>
        <v>#REF!</v>
      </c>
    </row>
    <row r="29" spans="1:8" ht="63" x14ac:dyDescent="0.25">
      <c r="A29" s="25" t="s">
        <v>272</v>
      </c>
      <c r="B29" s="20" t="s">
        <v>351</v>
      </c>
      <c r="C29" s="40" t="s">
        <v>244</v>
      </c>
      <c r="D29" s="40" t="s">
        <v>215</v>
      </c>
      <c r="E29" s="40" t="s">
        <v>273</v>
      </c>
      <c r="F29" s="40"/>
      <c r="G29" s="10" t="e">
        <f>G30</f>
        <v>#REF!</v>
      </c>
    </row>
    <row r="30" spans="1:8" ht="15.75" x14ac:dyDescent="0.25">
      <c r="A30" s="25" t="s">
        <v>274</v>
      </c>
      <c r="B30" s="20" t="s">
        <v>351</v>
      </c>
      <c r="C30" s="40" t="s">
        <v>244</v>
      </c>
      <c r="D30" s="40" t="s">
        <v>215</v>
      </c>
      <c r="E30" s="40" t="s">
        <v>275</v>
      </c>
      <c r="F30" s="40"/>
      <c r="G30" s="10" t="e">
        <f>'Пр.4 ведом.22'!#REF!</f>
        <v>#REF!</v>
      </c>
      <c r="H30" s="112"/>
    </row>
    <row r="31" spans="1:8" ht="63" x14ac:dyDescent="0.25">
      <c r="A31" s="45" t="s">
        <v>261</v>
      </c>
      <c r="B31" s="20" t="s">
        <v>346</v>
      </c>
      <c r="C31" s="40" t="s">
        <v>244</v>
      </c>
      <c r="D31" s="40" t="s">
        <v>215</v>
      </c>
      <c r="E31" s="40"/>
      <c r="F31" s="40" t="s">
        <v>627</v>
      </c>
      <c r="G31" s="6" t="e">
        <f>G20</f>
        <v>#REF!</v>
      </c>
    </row>
    <row r="32" spans="1:8" ht="47.25" x14ac:dyDescent="0.25">
      <c r="A32" s="58" t="s">
        <v>628</v>
      </c>
      <c r="B32" s="7" t="s">
        <v>353</v>
      </c>
      <c r="C32" s="7"/>
      <c r="D32" s="7"/>
      <c r="E32" s="7"/>
      <c r="F32" s="7"/>
      <c r="G32" s="59" t="e">
        <f>G33</f>
        <v>#REF!</v>
      </c>
    </row>
    <row r="33" spans="1:7" ht="15.75" x14ac:dyDescent="0.25">
      <c r="A33" s="45" t="s">
        <v>243</v>
      </c>
      <c r="B33" s="40" t="s">
        <v>353</v>
      </c>
      <c r="C33" s="40" t="s">
        <v>244</v>
      </c>
      <c r="D33" s="40"/>
      <c r="E33" s="40"/>
      <c r="F33" s="40"/>
      <c r="G33" s="10" t="e">
        <f>G34</f>
        <v>#REF!</v>
      </c>
    </row>
    <row r="34" spans="1:7" ht="15.75" x14ac:dyDescent="0.25">
      <c r="A34" s="45" t="s">
        <v>252</v>
      </c>
      <c r="B34" s="40" t="s">
        <v>353</v>
      </c>
      <c r="C34" s="40" t="s">
        <v>244</v>
      </c>
      <c r="D34" s="40" t="s">
        <v>215</v>
      </c>
      <c r="E34" s="40"/>
      <c r="F34" s="40"/>
      <c r="G34" s="10" t="e">
        <f>G35</f>
        <v>#REF!</v>
      </c>
    </row>
    <row r="35" spans="1:7" ht="31.5" x14ac:dyDescent="0.25">
      <c r="A35" s="25" t="s">
        <v>614</v>
      </c>
      <c r="B35" s="20" t="s">
        <v>615</v>
      </c>
      <c r="C35" s="40" t="s">
        <v>244</v>
      </c>
      <c r="D35" s="40" t="s">
        <v>215</v>
      </c>
      <c r="E35" s="40"/>
      <c r="F35" s="40"/>
      <c r="G35" s="10" t="e">
        <f>G36</f>
        <v>#REF!</v>
      </c>
    </row>
    <row r="36" spans="1:7" ht="31.5" x14ac:dyDescent="0.25">
      <c r="A36" s="29" t="s">
        <v>248</v>
      </c>
      <c r="B36" s="20" t="s">
        <v>615</v>
      </c>
      <c r="C36" s="40" t="s">
        <v>244</v>
      </c>
      <c r="D36" s="40" t="s">
        <v>215</v>
      </c>
      <c r="E36" s="40" t="s">
        <v>249</v>
      </c>
      <c r="F36" s="40"/>
      <c r="G36" s="10" t="e">
        <f>G37</f>
        <v>#REF!</v>
      </c>
    </row>
    <row r="37" spans="1:7" ht="47.25" x14ac:dyDescent="0.25">
      <c r="A37" s="29" t="s">
        <v>250</v>
      </c>
      <c r="B37" s="20" t="s">
        <v>615</v>
      </c>
      <c r="C37" s="40" t="s">
        <v>244</v>
      </c>
      <c r="D37" s="40" t="s">
        <v>215</v>
      </c>
      <c r="E37" s="40" t="s">
        <v>251</v>
      </c>
      <c r="F37" s="40"/>
      <c r="G37" s="10" t="e">
        <f>'Пр.4 ведом.22'!#REF!</f>
        <v>#REF!</v>
      </c>
    </row>
    <row r="38" spans="1:7" ht="63" x14ac:dyDescent="0.25">
      <c r="A38" s="45" t="s">
        <v>261</v>
      </c>
      <c r="B38" s="20" t="s">
        <v>353</v>
      </c>
      <c r="C38" s="40" t="s">
        <v>244</v>
      </c>
      <c r="D38" s="40" t="s">
        <v>215</v>
      </c>
      <c r="E38" s="40"/>
      <c r="F38" s="40" t="s">
        <v>627</v>
      </c>
      <c r="G38" s="10" t="e">
        <f>G32</f>
        <v>#REF!</v>
      </c>
    </row>
    <row r="39" spans="1:7" ht="47.25" x14ac:dyDescent="0.25">
      <c r="A39" s="58" t="s">
        <v>629</v>
      </c>
      <c r="B39" s="7" t="s">
        <v>356</v>
      </c>
      <c r="C39" s="7"/>
      <c r="D39" s="7"/>
      <c r="E39" s="7"/>
      <c r="F39" s="7"/>
      <c r="G39" s="59" t="e">
        <f>G40</f>
        <v>#REF!</v>
      </c>
    </row>
    <row r="40" spans="1:7" ht="15.75" x14ac:dyDescent="0.25">
      <c r="A40" s="45" t="s">
        <v>243</v>
      </c>
      <c r="B40" s="40" t="s">
        <v>356</v>
      </c>
      <c r="C40" s="40" t="s">
        <v>244</v>
      </c>
      <c r="D40" s="40"/>
      <c r="E40" s="40"/>
      <c r="F40" s="40"/>
      <c r="G40" s="10" t="e">
        <f>G41</f>
        <v>#REF!</v>
      </c>
    </row>
    <row r="41" spans="1:7" ht="15.75" x14ac:dyDescent="0.25">
      <c r="A41" s="45" t="s">
        <v>252</v>
      </c>
      <c r="B41" s="40" t="s">
        <v>356</v>
      </c>
      <c r="C41" s="40" t="s">
        <v>244</v>
      </c>
      <c r="D41" s="40" t="s">
        <v>215</v>
      </c>
      <c r="E41" s="40"/>
      <c r="F41" s="40"/>
      <c r="G41" s="10" t="e">
        <f>G42</f>
        <v>#REF!</v>
      </c>
    </row>
    <row r="42" spans="1:7" ht="47.25" x14ac:dyDescent="0.25">
      <c r="A42" s="29" t="s">
        <v>157</v>
      </c>
      <c r="B42" s="40" t="s">
        <v>630</v>
      </c>
      <c r="C42" s="40" t="s">
        <v>244</v>
      </c>
      <c r="D42" s="40" t="s">
        <v>215</v>
      </c>
      <c r="E42" s="40"/>
      <c r="F42" s="40"/>
      <c r="G42" s="10" t="e">
        <f>G43</f>
        <v>#REF!</v>
      </c>
    </row>
    <row r="43" spans="1:7" ht="31.5" x14ac:dyDescent="0.25">
      <c r="A43" s="29" t="s">
        <v>248</v>
      </c>
      <c r="B43" s="40" t="s">
        <v>630</v>
      </c>
      <c r="C43" s="40" t="s">
        <v>244</v>
      </c>
      <c r="D43" s="40" t="s">
        <v>215</v>
      </c>
      <c r="E43" s="40" t="s">
        <v>249</v>
      </c>
      <c r="F43" s="40"/>
      <c r="G43" s="10" t="e">
        <f>G44</f>
        <v>#REF!</v>
      </c>
    </row>
    <row r="44" spans="1:7" ht="31.5" x14ac:dyDescent="0.25">
      <c r="A44" s="29" t="s">
        <v>348</v>
      </c>
      <c r="B44" s="40" t="s">
        <v>630</v>
      </c>
      <c r="C44" s="40" t="s">
        <v>244</v>
      </c>
      <c r="D44" s="40" t="s">
        <v>215</v>
      </c>
      <c r="E44" s="40" t="s">
        <v>349</v>
      </c>
      <c r="F44" s="40"/>
      <c r="G44" s="10" t="e">
        <f>'Пр.4 ведом.22'!#REF!</f>
        <v>#REF!</v>
      </c>
    </row>
    <row r="45" spans="1:7" ht="63" x14ac:dyDescent="0.25">
      <c r="A45" s="45" t="s">
        <v>261</v>
      </c>
      <c r="B45" s="40" t="s">
        <v>356</v>
      </c>
      <c r="C45" s="40" t="s">
        <v>244</v>
      </c>
      <c r="D45" s="40" t="s">
        <v>215</v>
      </c>
      <c r="E45" s="40"/>
      <c r="F45" s="40" t="s">
        <v>627</v>
      </c>
      <c r="G45" s="10" t="e">
        <f>G39</f>
        <v>#REF!</v>
      </c>
    </row>
    <row r="46" spans="1:7" ht="31.5" x14ac:dyDescent="0.25">
      <c r="A46" s="58" t="s">
        <v>631</v>
      </c>
      <c r="B46" s="7" t="s">
        <v>359</v>
      </c>
      <c r="C46" s="7"/>
      <c r="D46" s="7"/>
      <c r="E46" s="7"/>
      <c r="F46" s="7"/>
      <c r="G46" s="59" t="e">
        <f>G47</f>
        <v>#REF!</v>
      </c>
    </row>
    <row r="47" spans="1:7" ht="15.75" x14ac:dyDescent="0.25">
      <c r="A47" s="45" t="s">
        <v>243</v>
      </c>
      <c r="B47" s="40" t="s">
        <v>359</v>
      </c>
      <c r="C47" s="40" t="s">
        <v>244</v>
      </c>
      <c r="D47" s="40"/>
      <c r="E47" s="40"/>
      <c r="F47" s="40"/>
      <c r="G47" s="10" t="e">
        <f>G48</f>
        <v>#REF!</v>
      </c>
    </row>
    <row r="48" spans="1:7" ht="15.75" x14ac:dyDescent="0.25">
      <c r="A48" s="45" t="s">
        <v>252</v>
      </c>
      <c r="B48" s="40" t="s">
        <v>359</v>
      </c>
      <c r="C48" s="40" t="s">
        <v>244</v>
      </c>
      <c r="D48" s="40" t="s">
        <v>215</v>
      </c>
      <c r="E48" s="40"/>
      <c r="F48" s="40"/>
      <c r="G48" s="10" t="e">
        <f>G49</f>
        <v>#REF!</v>
      </c>
    </row>
    <row r="49" spans="1:7" ht="47.25" x14ac:dyDescent="0.25">
      <c r="A49" s="29" t="s">
        <v>157</v>
      </c>
      <c r="B49" s="40" t="s">
        <v>632</v>
      </c>
      <c r="C49" s="40" t="s">
        <v>244</v>
      </c>
      <c r="D49" s="40" t="s">
        <v>215</v>
      </c>
      <c r="E49" s="40"/>
      <c r="F49" s="40"/>
      <c r="G49" s="10" t="e">
        <f>G50+G52</f>
        <v>#REF!</v>
      </c>
    </row>
    <row r="50" spans="1:7" ht="47.25" x14ac:dyDescent="0.25">
      <c r="A50" s="29" t="s">
        <v>131</v>
      </c>
      <c r="B50" s="40" t="s">
        <v>632</v>
      </c>
      <c r="C50" s="40" t="s">
        <v>244</v>
      </c>
      <c r="D50" s="40" t="s">
        <v>215</v>
      </c>
      <c r="E50" s="40" t="s">
        <v>132</v>
      </c>
      <c r="F50" s="40"/>
      <c r="G50" s="10" t="e">
        <f>G51</f>
        <v>#REF!</v>
      </c>
    </row>
    <row r="51" spans="1:7" ht="47.25" x14ac:dyDescent="0.25">
      <c r="A51" s="29" t="s">
        <v>133</v>
      </c>
      <c r="B51" s="40" t="s">
        <v>632</v>
      </c>
      <c r="C51" s="40" t="s">
        <v>244</v>
      </c>
      <c r="D51" s="40" t="s">
        <v>215</v>
      </c>
      <c r="E51" s="40" t="s">
        <v>134</v>
      </c>
      <c r="F51" s="40"/>
      <c r="G51" s="10" t="e">
        <f>'Пр.4 ведом.22'!#REF!</f>
        <v>#REF!</v>
      </c>
    </row>
    <row r="52" spans="1:7" ht="31.5" x14ac:dyDescent="0.25">
      <c r="A52" s="29" t="s">
        <v>248</v>
      </c>
      <c r="B52" s="40" t="s">
        <v>632</v>
      </c>
      <c r="C52" s="40" t="s">
        <v>244</v>
      </c>
      <c r="D52" s="40" t="s">
        <v>215</v>
      </c>
      <c r="E52" s="40" t="s">
        <v>249</v>
      </c>
      <c r="F52" s="40"/>
      <c r="G52" s="10" t="e">
        <f>G53</f>
        <v>#REF!</v>
      </c>
    </row>
    <row r="53" spans="1:7" ht="31.5" x14ac:dyDescent="0.25">
      <c r="A53" s="29" t="s">
        <v>348</v>
      </c>
      <c r="B53" s="40" t="s">
        <v>632</v>
      </c>
      <c r="C53" s="40" t="s">
        <v>244</v>
      </c>
      <c r="D53" s="40" t="s">
        <v>215</v>
      </c>
      <c r="E53" s="40" t="s">
        <v>349</v>
      </c>
      <c r="F53" s="40"/>
      <c r="G53" s="10" t="e">
        <f>'Пр.4 ведом.22'!#REF!</f>
        <v>#REF!</v>
      </c>
    </row>
    <row r="54" spans="1:7" ht="63" x14ac:dyDescent="0.25">
      <c r="A54" s="45" t="s">
        <v>261</v>
      </c>
      <c r="B54" s="40" t="s">
        <v>359</v>
      </c>
      <c r="C54" s="40" t="s">
        <v>244</v>
      </c>
      <c r="D54" s="40" t="s">
        <v>215</v>
      </c>
      <c r="E54" s="40"/>
      <c r="F54" s="40" t="s">
        <v>627</v>
      </c>
      <c r="G54" s="10" t="e">
        <f>G46</f>
        <v>#REF!</v>
      </c>
    </row>
    <row r="55" spans="1:7" ht="47.25" x14ac:dyDescent="0.25">
      <c r="A55" s="58" t="s">
        <v>633</v>
      </c>
      <c r="B55" s="7" t="s">
        <v>362</v>
      </c>
      <c r="C55" s="7"/>
      <c r="D55" s="7"/>
      <c r="E55" s="7"/>
      <c r="F55" s="7"/>
      <c r="G55" s="59" t="e">
        <f>G56</f>
        <v>#REF!</v>
      </c>
    </row>
    <row r="56" spans="1:7" ht="15.75" x14ac:dyDescent="0.25">
      <c r="A56" s="45" t="s">
        <v>243</v>
      </c>
      <c r="B56" s="40" t="s">
        <v>362</v>
      </c>
      <c r="C56" s="40" t="s">
        <v>244</v>
      </c>
      <c r="D56" s="40"/>
      <c r="E56" s="40"/>
      <c r="F56" s="40"/>
      <c r="G56" s="10" t="e">
        <f>G57</f>
        <v>#REF!</v>
      </c>
    </row>
    <row r="57" spans="1:7" ht="21.75" customHeight="1" x14ac:dyDescent="0.25">
      <c r="A57" s="45" t="s">
        <v>252</v>
      </c>
      <c r="B57" s="40" t="s">
        <v>362</v>
      </c>
      <c r="C57" s="40" t="s">
        <v>244</v>
      </c>
      <c r="D57" s="40" t="s">
        <v>215</v>
      </c>
      <c r="E57" s="40"/>
      <c r="F57" s="40"/>
      <c r="G57" s="10" t="e">
        <f>G58</f>
        <v>#REF!</v>
      </c>
    </row>
    <row r="58" spans="1:7" ht="47.25" x14ac:dyDescent="0.25">
      <c r="A58" s="29" t="s">
        <v>157</v>
      </c>
      <c r="B58" s="40" t="s">
        <v>634</v>
      </c>
      <c r="C58" s="40" t="s">
        <v>244</v>
      </c>
      <c r="D58" s="40" t="s">
        <v>215</v>
      </c>
      <c r="E58" s="40"/>
      <c r="F58" s="40"/>
      <c r="G58" s="10" t="e">
        <f>G59</f>
        <v>#REF!</v>
      </c>
    </row>
    <row r="59" spans="1:7" ht="31.5" x14ac:dyDescent="0.25">
      <c r="A59" s="29" t="s">
        <v>248</v>
      </c>
      <c r="B59" s="40" t="s">
        <v>634</v>
      </c>
      <c r="C59" s="40" t="s">
        <v>244</v>
      </c>
      <c r="D59" s="40" t="s">
        <v>215</v>
      </c>
      <c r="E59" s="40" t="s">
        <v>249</v>
      </c>
      <c r="F59" s="40"/>
      <c r="G59" s="10" t="e">
        <f>G60</f>
        <v>#REF!</v>
      </c>
    </row>
    <row r="60" spans="1:7" ht="31.5" x14ac:dyDescent="0.25">
      <c r="A60" s="29" t="s">
        <v>348</v>
      </c>
      <c r="B60" s="40" t="s">
        <v>634</v>
      </c>
      <c r="C60" s="40" t="s">
        <v>244</v>
      </c>
      <c r="D60" s="40" t="s">
        <v>215</v>
      </c>
      <c r="E60" s="40" t="s">
        <v>349</v>
      </c>
      <c r="F60" s="40"/>
      <c r="G60" s="10" t="e">
        <f>'Пр.4 ведом.22'!#REF!</f>
        <v>#REF!</v>
      </c>
    </row>
    <row r="61" spans="1:7" ht="63" x14ac:dyDescent="0.25">
      <c r="A61" s="45" t="s">
        <v>261</v>
      </c>
      <c r="B61" s="40" t="s">
        <v>362</v>
      </c>
      <c r="C61" s="40" t="s">
        <v>244</v>
      </c>
      <c r="D61" s="40" t="s">
        <v>215</v>
      </c>
      <c r="E61" s="40"/>
      <c r="F61" s="40" t="s">
        <v>627</v>
      </c>
      <c r="G61" s="10" t="e">
        <f>G55</f>
        <v>#REF!</v>
      </c>
    </row>
    <row r="62" spans="1:7" ht="78.75" x14ac:dyDescent="0.25">
      <c r="A62" s="58" t="s">
        <v>364</v>
      </c>
      <c r="B62" s="7" t="s">
        <v>365</v>
      </c>
      <c r="C62" s="7"/>
      <c r="D62" s="7"/>
      <c r="E62" s="7"/>
      <c r="F62" s="7"/>
      <c r="G62" s="59" t="e">
        <f>G63</f>
        <v>#REF!</v>
      </c>
    </row>
    <row r="63" spans="1:7" ht="15.75" x14ac:dyDescent="0.25">
      <c r="A63" s="45" t="s">
        <v>243</v>
      </c>
      <c r="B63" s="40" t="s">
        <v>365</v>
      </c>
      <c r="C63" s="40" t="s">
        <v>244</v>
      </c>
      <c r="D63" s="40"/>
      <c r="E63" s="40"/>
      <c r="F63" s="40"/>
      <c r="G63" s="10" t="e">
        <f>G64</f>
        <v>#REF!</v>
      </c>
    </row>
    <row r="64" spans="1:7" ht="15.75" x14ac:dyDescent="0.25">
      <c r="A64" s="45" t="s">
        <v>252</v>
      </c>
      <c r="B64" s="40" t="s">
        <v>365</v>
      </c>
      <c r="C64" s="40" t="s">
        <v>244</v>
      </c>
      <c r="D64" s="40" t="s">
        <v>215</v>
      </c>
      <c r="E64" s="40"/>
      <c r="F64" s="40"/>
      <c r="G64" s="10" t="e">
        <f>G65</f>
        <v>#REF!</v>
      </c>
    </row>
    <row r="65" spans="1:7" ht="42.75" customHeight="1" x14ac:dyDescent="0.25">
      <c r="A65" s="29" t="s">
        <v>157</v>
      </c>
      <c r="B65" s="40" t="s">
        <v>635</v>
      </c>
      <c r="C65" s="40" t="s">
        <v>244</v>
      </c>
      <c r="D65" s="40" t="s">
        <v>215</v>
      </c>
      <c r="E65" s="40"/>
      <c r="F65" s="40"/>
      <c r="G65" s="10" t="e">
        <f>G66</f>
        <v>#REF!</v>
      </c>
    </row>
    <row r="66" spans="1:7" ht="47.25" x14ac:dyDescent="0.25">
      <c r="A66" s="29" t="s">
        <v>131</v>
      </c>
      <c r="B66" s="40" t="s">
        <v>635</v>
      </c>
      <c r="C66" s="40" t="s">
        <v>244</v>
      </c>
      <c r="D66" s="40" t="s">
        <v>215</v>
      </c>
      <c r="E66" s="40" t="s">
        <v>132</v>
      </c>
      <c r="F66" s="40"/>
      <c r="G66" s="10" t="e">
        <f>G67</f>
        <v>#REF!</v>
      </c>
    </row>
    <row r="67" spans="1:7" ht="47.25" x14ac:dyDescent="0.25">
      <c r="A67" s="29" t="s">
        <v>133</v>
      </c>
      <c r="B67" s="40" t="s">
        <v>635</v>
      </c>
      <c r="C67" s="40" t="s">
        <v>244</v>
      </c>
      <c r="D67" s="40" t="s">
        <v>215</v>
      </c>
      <c r="E67" s="40" t="s">
        <v>134</v>
      </c>
      <c r="F67" s="40"/>
      <c r="G67" s="10" t="e">
        <f>'Пр.4 ведом.22'!#REF!</f>
        <v>#REF!</v>
      </c>
    </row>
    <row r="68" spans="1:7" ht="63" x14ac:dyDescent="0.25">
      <c r="A68" s="45" t="s">
        <v>261</v>
      </c>
      <c r="B68" s="40" t="s">
        <v>365</v>
      </c>
      <c r="C68" s="40" t="s">
        <v>244</v>
      </c>
      <c r="D68" s="40" t="s">
        <v>215</v>
      </c>
      <c r="E68" s="40"/>
      <c r="F68" s="40" t="s">
        <v>627</v>
      </c>
      <c r="G68" s="10" t="e">
        <f>G62</f>
        <v>#REF!</v>
      </c>
    </row>
    <row r="69" spans="1:7" ht="94.5" x14ac:dyDescent="0.25">
      <c r="A69" s="41" t="s">
        <v>367</v>
      </c>
      <c r="B69" s="7" t="s">
        <v>368</v>
      </c>
      <c r="C69" s="7"/>
      <c r="D69" s="7"/>
      <c r="E69" s="7"/>
      <c r="F69" s="7"/>
      <c r="G69" s="59" t="e">
        <f>G70</f>
        <v>#REF!</v>
      </c>
    </row>
    <row r="70" spans="1:7" ht="15.75" x14ac:dyDescent="0.25">
      <c r="A70" s="45" t="s">
        <v>243</v>
      </c>
      <c r="B70" s="40" t="s">
        <v>368</v>
      </c>
      <c r="C70" s="40" t="s">
        <v>244</v>
      </c>
      <c r="D70" s="40"/>
      <c r="E70" s="40"/>
      <c r="F70" s="40"/>
      <c r="G70" s="10" t="e">
        <f>G71</f>
        <v>#REF!</v>
      </c>
    </row>
    <row r="71" spans="1:7" ht="15.75" x14ac:dyDescent="0.25">
      <c r="A71" s="45" t="s">
        <v>252</v>
      </c>
      <c r="B71" s="40" t="s">
        <v>368</v>
      </c>
      <c r="C71" s="40" t="s">
        <v>244</v>
      </c>
      <c r="D71" s="40" t="s">
        <v>215</v>
      </c>
      <c r="E71" s="40"/>
      <c r="F71" s="40"/>
      <c r="G71" s="10" t="e">
        <f>G72+G90+G81+G85+G77</f>
        <v>#REF!</v>
      </c>
    </row>
    <row r="72" spans="1:7" ht="45" customHeight="1" x14ac:dyDescent="0.25">
      <c r="A72" s="29" t="s">
        <v>157</v>
      </c>
      <c r="B72" s="40" t="s">
        <v>370</v>
      </c>
      <c r="C72" s="40" t="s">
        <v>244</v>
      </c>
      <c r="D72" s="40" t="s">
        <v>215</v>
      </c>
      <c r="E72" s="40"/>
      <c r="F72" s="40"/>
      <c r="G72" s="10" t="e">
        <f>G75+G73</f>
        <v>#REF!</v>
      </c>
    </row>
    <row r="73" spans="1:7" ht="47.25" hidden="1" x14ac:dyDescent="0.25">
      <c r="A73" s="29" t="s">
        <v>131</v>
      </c>
      <c r="B73" s="40" t="s">
        <v>368</v>
      </c>
      <c r="C73" s="40" t="s">
        <v>244</v>
      </c>
      <c r="D73" s="40" t="s">
        <v>215</v>
      </c>
      <c r="E73" s="40" t="s">
        <v>132</v>
      </c>
      <c r="F73" s="40"/>
      <c r="G73" s="10">
        <f>G74</f>
        <v>0</v>
      </c>
    </row>
    <row r="74" spans="1:7" ht="47.25" hidden="1" x14ac:dyDescent="0.25">
      <c r="A74" s="29" t="s">
        <v>133</v>
      </c>
      <c r="B74" s="40" t="s">
        <v>368</v>
      </c>
      <c r="C74" s="40" t="s">
        <v>244</v>
      </c>
      <c r="D74" s="40" t="s">
        <v>215</v>
      </c>
      <c r="E74" s="40" t="s">
        <v>134</v>
      </c>
      <c r="F74" s="40"/>
      <c r="G74" s="10"/>
    </row>
    <row r="75" spans="1:7" ht="63" x14ac:dyDescent="0.25">
      <c r="A75" s="25" t="s">
        <v>272</v>
      </c>
      <c r="B75" s="40" t="s">
        <v>370</v>
      </c>
      <c r="C75" s="40" t="s">
        <v>244</v>
      </c>
      <c r="D75" s="40" t="s">
        <v>215</v>
      </c>
      <c r="E75" s="40" t="s">
        <v>273</v>
      </c>
      <c r="F75" s="40"/>
      <c r="G75" s="10" t="e">
        <f>G76</f>
        <v>#REF!</v>
      </c>
    </row>
    <row r="76" spans="1:7" ht="72.75" customHeight="1" x14ac:dyDescent="0.25">
      <c r="A76" s="25" t="s">
        <v>371</v>
      </c>
      <c r="B76" s="40" t="s">
        <v>370</v>
      </c>
      <c r="C76" s="40" t="s">
        <v>244</v>
      </c>
      <c r="D76" s="40" t="s">
        <v>215</v>
      </c>
      <c r="E76" s="40" t="s">
        <v>372</v>
      </c>
      <c r="F76" s="40"/>
      <c r="G76" s="10" t="e">
        <f>'Пр.4 ведом.22'!#REF!</f>
        <v>#REF!</v>
      </c>
    </row>
    <row r="77" spans="1:7" ht="63" x14ac:dyDescent="0.25">
      <c r="A77" s="25" t="s">
        <v>375</v>
      </c>
      <c r="B77" s="20" t="s">
        <v>376</v>
      </c>
      <c r="C77" s="40" t="s">
        <v>244</v>
      </c>
      <c r="D77" s="40" t="s">
        <v>215</v>
      </c>
      <c r="E77" s="40"/>
      <c r="F77" s="40"/>
      <c r="G77" s="10" t="e">
        <f>G78</f>
        <v>#REF!</v>
      </c>
    </row>
    <row r="78" spans="1:7" ht="31.5" x14ac:dyDescent="0.25">
      <c r="A78" s="25" t="s">
        <v>248</v>
      </c>
      <c r="B78" s="20" t="s">
        <v>376</v>
      </c>
      <c r="C78" s="40" t="s">
        <v>244</v>
      </c>
      <c r="D78" s="40" t="s">
        <v>215</v>
      </c>
      <c r="E78" s="40" t="s">
        <v>249</v>
      </c>
      <c r="F78" s="40"/>
      <c r="G78" s="10" t="e">
        <f>G79</f>
        <v>#REF!</v>
      </c>
    </row>
    <row r="79" spans="1:7" ht="47.25" x14ac:dyDescent="0.25">
      <c r="A79" s="25" t="s">
        <v>250</v>
      </c>
      <c r="B79" s="20" t="s">
        <v>376</v>
      </c>
      <c r="C79" s="40" t="s">
        <v>244</v>
      </c>
      <c r="D79" s="40" t="s">
        <v>215</v>
      </c>
      <c r="E79" s="40" t="s">
        <v>251</v>
      </c>
      <c r="F79" s="40"/>
      <c r="G79" s="10" t="e">
        <f>'Пр.4 ведом.22'!#REF!</f>
        <v>#REF!</v>
      </c>
    </row>
    <row r="80" spans="1:7" ht="63" x14ac:dyDescent="0.25">
      <c r="A80" s="45" t="s">
        <v>261</v>
      </c>
      <c r="B80" s="20" t="s">
        <v>368</v>
      </c>
      <c r="C80" s="40" t="s">
        <v>244</v>
      </c>
      <c r="D80" s="40" t="s">
        <v>215</v>
      </c>
      <c r="E80" s="40"/>
      <c r="F80" s="9" t="s">
        <v>627</v>
      </c>
      <c r="G80" s="10" t="e">
        <f>G69</f>
        <v>#REF!</v>
      </c>
    </row>
    <row r="81" spans="1:7" ht="173.25" hidden="1" x14ac:dyDescent="0.25">
      <c r="A81" s="25" t="s">
        <v>373</v>
      </c>
      <c r="B81" s="20" t="s">
        <v>374</v>
      </c>
      <c r="C81" s="40" t="s">
        <v>244</v>
      </c>
      <c r="D81" s="40" t="s">
        <v>215</v>
      </c>
      <c r="E81" s="40"/>
      <c r="F81" s="9"/>
      <c r="G81" s="10">
        <f>G82</f>
        <v>0</v>
      </c>
    </row>
    <row r="82" spans="1:7" ht="15.75" hidden="1" x14ac:dyDescent="0.25">
      <c r="A82" s="25" t="s">
        <v>135</v>
      </c>
      <c r="B82" s="20" t="s">
        <v>374</v>
      </c>
      <c r="C82" s="40" t="s">
        <v>244</v>
      </c>
      <c r="D82" s="40" t="s">
        <v>215</v>
      </c>
      <c r="E82" s="40" t="s">
        <v>145</v>
      </c>
      <c r="F82" s="9"/>
      <c r="G82" s="10">
        <f>G83</f>
        <v>0</v>
      </c>
    </row>
    <row r="83" spans="1:7" ht="78.75" hidden="1" x14ac:dyDescent="0.25">
      <c r="A83" s="25" t="s">
        <v>184</v>
      </c>
      <c r="B83" s="20" t="s">
        <v>374</v>
      </c>
      <c r="C83" s="40" t="s">
        <v>244</v>
      </c>
      <c r="D83" s="40" t="s">
        <v>215</v>
      </c>
      <c r="E83" s="40" t="s">
        <v>160</v>
      </c>
      <c r="F83" s="9"/>
      <c r="G83" s="10"/>
    </row>
    <row r="84" spans="1:7" ht="63" hidden="1" x14ac:dyDescent="0.25">
      <c r="A84" s="45" t="s">
        <v>261</v>
      </c>
      <c r="B84" s="20" t="s">
        <v>374</v>
      </c>
      <c r="C84" s="40" t="s">
        <v>244</v>
      </c>
      <c r="D84" s="40" t="s">
        <v>215</v>
      </c>
      <c r="E84" s="40"/>
      <c r="F84" s="9" t="s">
        <v>627</v>
      </c>
      <c r="G84" s="10">
        <f>G83</f>
        <v>0</v>
      </c>
    </row>
    <row r="85" spans="1:7" ht="63" hidden="1" x14ac:dyDescent="0.25">
      <c r="A85" s="25" t="s">
        <v>375</v>
      </c>
      <c r="B85" s="20" t="s">
        <v>376</v>
      </c>
      <c r="C85" s="40" t="s">
        <v>244</v>
      </c>
      <c r="D85" s="40" t="s">
        <v>215</v>
      </c>
      <c r="E85" s="40"/>
      <c r="F85" s="9"/>
      <c r="G85" s="10">
        <f>G86</f>
        <v>0</v>
      </c>
    </row>
    <row r="86" spans="1:7" ht="31.5" hidden="1" x14ac:dyDescent="0.25">
      <c r="A86" s="29" t="s">
        <v>248</v>
      </c>
      <c r="B86" s="20" t="s">
        <v>376</v>
      </c>
      <c r="C86" s="40" t="s">
        <v>244</v>
      </c>
      <c r="D86" s="40" t="s">
        <v>215</v>
      </c>
      <c r="E86" s="40" t="s">
        <v>249</v>
      </c>
      <c r="F86" s="9"/>
      <c r="G86" s="10">
        <f>G87</f>
        <v>0</v>
      </c>
    </row>
    <row r="87" spans="1:7" ht="47.25" hidden="1" x14ac:dyDescent="0.25">
      <c r="A87" s="29" t="s">
        <v>250</v>
      </c>
      <c r="B87" s="20" t="s">
        <v>376</v>
      </c>
      <c r="C87" s="40" t="s">
        <v>244</v>
      </c>
      <c r="D87" s="40" t="s">
        <v>215</v>
      </c>
      <c r="E87" s="40" t="s">
        <v>251</v>
      </c>
      <c r="F87" s="9"/>
      <c r="G87" s="10"/>
    </row>
    <row r="88" spans="1:7" ht="63" hidden="1" x14ac:dyDescent="0.25">
      <c r="A88" s="45" t="s">
        <v>261</v>
      </c>
      <c r="B88" s="20" t="s">
        <v>376</v>
      </c>
      <c r="C88" s="40" t="s">
        <v>244</v>
      </c>
      <c r="D88" s="40" t="s">
        <v>215</v>
      </c>
      <c r="E88" s="40"/>
      <c r="F88" s="9" t="s">
        <v>627</v>
      </c>
      <c r="G88" s="10">
        <f>G85</f>
        <v>0</v>
      </c>
    </row>
    <row r="89" spans="1:7" ht="47.25" hidden="1" x14ac:dyDescent="0.25">
      <c r="A89" s="29" t="s">
        <v>377</v>
      </c>
      <c r="B89" s="20" t="s">
        <v>378</v>
      </c>
      <c r="C89" s="40" t="s">
        <v>244</v>
      </c>
      <c r="D89" s="40" t="s">
        <v>215</v>
      </c>
      <c r="E89" s="40"/>
      <c r="F89" s="40"/>
      <c r="G89" s="10">
        <f>G90</f>
        <v>0</v>
      </c>
    </row>
    <row r="90" spans="1:7" ht="47.25" hidden="1" x14ac:dyDescent="0.25">
      <c r="A90" s="29" t="s">
        <v>131</v>
      </c>
      <c r="B90" s="20" t="s">
        <v>378</v>
      </c>
      <c r="C90" s="40" t="s">
        <v>244</v>
      </c>
      <c r="D90" s="40" t="s">
        <v>215</v>
      </c>
      <c r="E90" s="40" t="s">
        <v>132</v>
      </c>
      <c r="F90" s="40"/>
      <c r="G90" s="10">
        <f>G91</f>
        <v>0</v>
      </c>
    </row>
    <row r="91" spans="1:7" ht="47.25" hidden="1" x14ac:dyDescent="0.25">
      <c r="A91" s="29" t="s">
        <v>133</v>
      </c>
      <c r="B91" s="20" t="s">
        <v>378</v>
      </c>
      <c r="C91" s="40" t="s">
        <v>244</v>
      </c>
      <c r="D91" s="40" t="s">
        <v>215</v>
      </c>
      <c r="E91" s="40" t="s">
        <v>134</v>
      </c>
      <c r="F91" s="40"/>
      <c r="G91" s="10">
        <v>0</v>
      </c>
    </row>
    <row r="92" spans="1:7" ht="15.75" hidden="1" x14ac:dyDescent="0.25">
      <c r="A92" s="29" t="s">
        <v>135</v>
      </c>
      <c r="B92" s="20" t="s">
        <v>378</v>
      </c>
      <c r="C92" s="40" t="s">
        <v>244</v>
      </c>
      <c r="D92" s="40" t="s">
        <v>215</v>
      </c>
      <c r="E92" s="40" t="s">
        <v>145</v>
      </c>
      <c r="F92" s="40"/>
      <c r="G92" s="10"/>
    </row>
    <row r="93" spans="1:7" ht="78.75" hidden="1" x14ac:dyDescent="0.25">
      <c r="A93" s="29" t="s">
        <v>184</v>
      </c>
      <c r="B93" s="20" t="s">
        <v>378</v>
      </c>
      <c r="C93" s="40" t="s">
        <v>244</v>
      </c>
      <c r="D93" s="40" t="s">
        <v>215</v>
      </c>
      <c r="E93" s="40" t="s">
        <v>160</v>
      </c>
      <c r="F93" s="40"/>
      <c r="G93" s="10"/>
    </row>
    <row r="94" spans="1:7" ht="63" hidden="1" x14ac:dyDescent="0.25">
      <c r="A94" s="45" t="s">
        <v>261</v>
      </c>
      <c r="B94" s="20" t="s">
        <v>378</v>
      </c>
      <c r="C94" s="40" t="s">
        <v>244</v>
      </c>
      <c r="D94" s="40" t="s">
        <v>215</v>
      </c>
      <c r="E94" s="40"/>
      <c r="F94" s="9" t="s">
        <v>627</v>
      </c>
      <c r="G94" s="10">
        <f>G89</f>
        <v>0</v>
      </c>
    </row>
    <row r="95" spans="1:7" ht="141.75" x14ac:dyDescent="0.25">
      <c r="A95" s="41" t="s">
        <v>380</v>
      </c>
      <c r="B95" s="7" t="s">
        <v>381</v>
      </c>
      <c r="C95" s="7"/>
      <c r="D95" s="7"/>
      <c r="E95" s="7"/>
      <c r="F95" s="8"/>
      <c r="G95" s="59" t="e">
        <f>G96</f>
        <v>#REF!</v>
      </c>
    </row>
    <row r="96" spans="1:7" ht="15.75" x14ac:dyDescent="0.25">
      <c r="A96" s="45" t="s">
        <v>243</v>
      </c>
      <c r="B96" s="40" t="s">
        <v>381</v>
      </c>
      <c r="C96" s="40" t="s">
        <v>244</v>
      </c>
      <c r="D96" s="40"/>
      <c r="E96" s="40"/>
      <c r="F96" s="9"/>
      <c r="G96" s="10" t="e">
        <f>G97</f>
        <v>#REF!</v>
      </c>
    </row>
    <row r="97" spans="1:7" ht="24.75" customHeight="1" x14ac:dyDescent="0.25">
      <c r="A97" s="45" t="s">
        <v>252</v>
      </c>
      <c r="B97" s="40" t="s">
        <v>381</v>
      </c>
      <c r="C97" s="40" t="s">
        <v>244</v>
      </c>
      <c r="D97" s="40" t="s">
        <v>215</v>
      </c>
      <c r="E97" s="40"/>
      <c r="F97" s="9"/>
      <c r="G97" s="10" t="e">
        <f>G98</f>
        <v>#REF!</v>
      </c>
    </row>
    <row r="98" spans="1:7" ht="47.25" x14ac:dyDescent="0.25">
      <c r="A98" s="29" t="s">
        <v>157</v>
      </c>
      <c r="B98" s="40" t="s">
        <v>382</v>
      </c>
      <c r="C98" s="40" t="s">
        <v>244</v>
      </c>
      <c r="D98" s="40" t="s">
        <v>215</v>
      </c>
      <c r="E98" s="40"/>
      <c r="F98" s="9"/>
      <c r="G98" s="10" t="e">
        <f>G99</f>
        <v>#REF!</v>
      </c>
    </row>
    <row r="99" spans="1:7" ht="47.25" x14ac:dyDescent="0.25">
      <c r="A99" s="29" t="s">
        <v>131</v>
      </c>
      <c r="B99" s="40" t="s">
        <v>382</v>
      </c>
      <c r="C99" s="40" t="s">
        <v>244</v>
      </c>
      <c r="D99" s="40" t="s">
        <v>215</v>
      </c>
      <c r="E99" s="40" t="s">
        <v>132</v>
      </c>
      <c r="F99" s="9"/>
      <c r="G99" s="10" t="e">
        <f>G100</f>
        <v>#REF!</v>
      </c>
    </row>
    <row r="100" spans="1:7" ht="47.25" x14ac:dyDescent="0.25">
      <c r="A100" s="29" t="s">
        <v>133</v>
      </c>
      <c r="B100" s="40" t="s">
        <v>382</v>
      </c>
      <c r="C100" s="40" t="s">
        <v>244</v>
      </c>
      <c r="D100" s="40" t="s">
        <v>215</v>
      </c>
      <c r="E100" s="40" t="s">
        <v>134</v>
      </c>
      <c r="F100" s="9"/>
      <c r="G100" s="10" t="e">
        <f>'Пр.4 ведом.22'!#REF!</f>
        <v>#REF!</v>
      </c>
    </row>
    <row r="101" spans="1:7" ht="63" x14ac:dyDescent="0.25">
      <c r="A101" s="45" t="s">
        <v>261</v>
      </c>
      <c r="B101" s="40" t="s">
        <v>381</v>
      </c>
      <c r="C101" s="40" t="s">
        <v>244</v>
      </c>
      <c r="D101" s="40" t="s">
        <v>215</v>
      </c>
      <c r="E101" s="40"/>
      <c r="F101" s="9" t="s">
        <v>627</v>
      </c>
      <c r="G101" s="10" t="e">
        <f>G95</f>
        <v>#REF!</v>
      </c>
    </row>
    <row r="102" spans="1:7" ht="63" x14ac:dyDescent="0.25">
      <c r="A102" s="58" t="s">
        <v>426</v>
      </c>
      <c r="B102" s="7" t="s">
        <v>406</v>
      </c>
      <c r="C102" s="7"/>
      <c r="D102" s="7"/>
      <c r="E102" s="7"/>
      <c r="F102" s="7"/>
      <c r="G102" s="59" t="e">
        <f>G103+G118+G163+G188+G210</f>
        <v>#REF!</v>
      </c>
    </row>
    <row r="103" spans="1:7" ht="47.25" x14ac:dyDescent="0.25">
      <c r="A103" s="41" t="s">
        <v>407</v>
      </c>
      <c r="B103" s="7" t="s">
        <v>408</v>
      </c>
      <c r="C103" s="7"/>
      <c r="D103" s="7"/>
      <c r="E103" s="7"/>
      <c r="F103" s="7"/>
      <c r="G103" s="59" t="e">
        <f>G104</f>
        <v>#REF!</v>
      </c>
    </row>
    <row r="104" spans="1:7" ht="15.75" x14ac:dyDescent="0.25">
      <c r="A104" s="29" t="s">
        <v>263</v>
      </c>
      <c r="B104" s="40" t="s">
        <v>408</v>
      </c>
      <c r="C104" s="40" t="s">
        <v>264</v>
      </c>
      <c r="D104" s="40"/>
      <c r="E104" s="40"/>
      <c r="F104" s="40"/>
      <c r="G104" s="10" t="e">
        <f>G105+G109+G113</f>
        <v>#REF!</v>
      </c>
    </row>
    <row r="105" spans="1:7" ht="15.75" x14ac:dyDescent="0.25">
      <c r="A105" s="45" t="s">
        <v>404</v>
      </c>
      <c r="B105" s="40" t="s">
        <v>408</v>
      </c>
      <c r="C105" s="40" t="s">
        <v>264</v>
      </c>
      <c r="D105" s="40" t="s">
        <v>118</v>
      </c>
      <c r="E105" s="40"/>
      <c r="F105" s="40"/>
      <c r="G105" s="10" t="e">
        <f>G106</f>
        <v>#REF!</v>
      </c>
    </row>
    <row r="106" spans="1:7" ht="63" x14ac:dyDescent="0.25">
      <c r="A106" s="29" t="s">
        <v>409</v>
      </c>
      <c r="B106" s="40" t="s">
        <v>410</v>
      </c>
      <c r="C106" s="40" t="s">
        <v>264</v>
      </c>
      <c r="D106" s="40" t="s">
        <v>118</v>
      </c>
      <c r="E106" s="40"/>
      <c r="F106" s="40"/>
      <c r="G106" s="10" t="e">
        <f>G107</f>
        <v>#REF!</v>
      </c>
    </row>
    <row r="107" spans="1:7" ht="63" x14ac:dyDescent="0.25">
      <c r="A107" s="29" t="s">
        <v>272</v>
      </c>
      <c r="B107" s="40" t="s">
        <v>410</v>
      </c>
      <c r="C107" s="40" t="s">
        <v>264</v>
      </c>
      <c r="D107" s="40" t="s">
        <v>118</v>
      </c>
      <c r="E107" s="40" t="s">
        <v>273</v>
      </c>
      <c r="F107" s="40"/>
      <c r="G107" s="10" t="e">
        <f>G108</f>
        <v>#REF!</v>
      </c>
    </row>
    <row r="108" spans="1:7" ht="15.75" x14ac:dyDescent="0.25">
      <c r="A108" s="29" t="s">
        <v>274</v>
      </c>
      <c r="B108" s="40" t="s">
        <v>410</v>
      </c>
      <c r="C108" s="40" t="s">
        <v>264</v>
      </c>
      <c r="D108" s="40" t="s">
        <v>118</v>
      </c>
      <c r="E108" s="40" t="s">
        <v>275</v>
      </c>
      <c r="F108" s="40"/>
      <c r="G108" s="6" t="e">
        <f>'Пр.4 ведом.22'!#REF!</f>
        <v>#REF!</v>
      </c>
    </row>
    <row r="109" spans="1:7" ht="15.75" x14ac:dyDescent="0.25">
      <c r="A109" s="29" t="s">
        <v>425</v>
      </c>
      <c r="B109" s="40" t="s">
        <v>408</v>
      </c>
      <c r="C109" s="40" t="s">
        <v>264</v>
      </c>
      <c r="D109" s="40" t="s">
        <v>213</v>
      </c>
      <c r="E109" s="40"/>
      <c r="F109" s="40"/>
      <c r="G109" s="10" t="e">
        <f>G110</f>
        <v>#REF!</v>
      </c>
    </row>
    <row r="110" spans="1:7" ht="57.75" customHeight="1" x14ac:dyDescent="0.25">
      <c r="A110" s="29" t="s">
        <v>427</v>
      </c>
      <c r="B110" s="40" t="s">
        <v>428</v>
      </c>
      <c r="C110" s="40" t="s">
        <v>264</v>
      </c>
      <c r="D110" s="40" t="s">
        <v>213</v>
      </c>
      <c r="E110" s="40"/>
      <c r="F110" s="40"/>
      <c r="G110" s="10" t="e">
        <f>G111</f>
        <v>#REF!</v>
      </c>
    </row>
    <row r="111" spans="1:7" ht="70.5" customHeight="1" x14ac:dyDescent="0.25">
      <c r="A111" s="29" t="s">
        <v>272</v>
      </c>
      <c r="B111" s="40" t="s">
        <v>428</v>
      </c>
      <c r="C111" s="40" t="s">
        <v>264</v>
      </c>
      <c r="D111" s="40" t="s">
        <v>213</v>
      </c>
      <c r="E111" s="40" t="s">
        <v>273</v>
      </c>
      <c r="F111" s="40"/>
      <c r="G111" s="10" t="e">
        <f>G112</f>
        <v>#REF!</v>
      </c>
    </row>
    <row r="112" spans="1:7" ht="15.75" x14ac:dyDescent="0.25">
      <c r="A112" s="29" t="s">
        <v>274</v>
      </c>
      <c r="B112" s="40" t="s">
        <v>428</v>
      </c>
      <c r="C112" s="40" t="s">
        <v>264</v>
      </c>
      <c r="D112" s="40" t="s">
        <v>213</v>
      </c>
      <c r="E112" s="40" t="s">
        <v>275</v>
      </c>
      <c r="F112" s="40"/>
      <c r="G112" s="6" t="e">
        <f>'Пр.4 ведом.22'!#REF!</f>
        <v>#REF!</v>
      </c>
    </row>
    <row r="113" spans="1:7" ht="15.75" x14ac:dyDescent="0.25">
      <c r="A113" s="29" t="s">
        <v>265</v>
      </c>
      <c r="B113" s="40" t="s">
        <v>408</v>
      </c>
      <c r="C113" s="40" t="s">
        <v>264</v>
      </c>
      <c r="D113" s="40" t="s">
        <v>215</v>
      </c>
      <c r="E113" s="40"/>
      <c r="F113" s="40"/>
      <c r="G113" s="6" t="e">
        <f>G114</f>
        <v>#REF!</v>
      </c>
    </row>
    <row r="114" spans="1:7" ht="63" x14ac:dyDescent="0.25">
      <c r="A114" s="29" t="s">
        <v>270</v>
      </c>
      <c r="B114" s="40" t="s">
        <v>429</v>
      </c>
      <c r="C114" s="40" t="s">
        <v>264</v>
      </c>
      <c r="D114" s="40" t="s">
        <v>215</v>
      </c>
      <c r="E114" s="7"/>
      <c r="F114" s="7"/>
      <c r="G114" s="10" t="e">
        <f>G115</f>
        <v>#REF!</v>
      </c>
    </row>
    <row r="115" spans="1:7" ht="63" x14ac:dyDescent="0.25">
      <c r="A115" s="29" t="s">
        <v>272</v>
      </c>
      <c r="B115" s="40" t="s">
        <v>429</v>
      </c>
      <c r="C115" s="40" t="s">
        <v>264</v>
      </c>
      <c r="D115" s="40" t="s">
        <v>215</v>
      </c>
      <c r="E115" s="40" t="s">
        <v>273</v>
      </c>
      <c r="F115" s="40"/>
      <c r="G115" s="10" t="e">
        <f>G116</f>
        <v>#REF!</v>
      </c>
    </row>
    <row r="116" spans="1:7" ht="15.75" x14ac:dyDescent="0.25">
      <c r="A116" s="29" t="s">
        <v>274</v>
      </c>
      <c r="B116" s="40" t="s">
        <v>429</v>
      </c>
      <c r="C116" s="40" t="s">
        <v>264</v>
      </c>
      <c r="D116" s="40" t="s">
        <v>215</v>
      </c>
      <c r="E116" s="40" t="s">
        <v>275</v>
      </c>
      <c r="F116" s="40"/>
      <c r="G116" s="6" t="e">
        <f>'Пр.4 ведом.22'!#REF!</f>
        <v>#REF!</v>
      </c>
    </row>
    <row r="117" spans="1:7" ht="47.25" x14ac:dyDescent="0.25">
      <c r="A117" s="29" t="s">
        <v>403</v>
      </c>
      <c r="B117" s="40" t="s">
        <v>408</v>
      </c>
      <c r="C117" s="40" t="s">
        <v>264</v>
      </c>
      <c r="D117" s="40" t="s">
        <v>215</v>
      </c>
      <c r="E117" s="40"/>
      <c r="F117" s="40" t="s">
        <v>636</v>
      </c>
      <c r="G117" s="6" t="e">
        <f>G103</f>
        <v>#REF!</v>
      </c>
    </row>
    <row r="118" spans="1:7" ht="47.25" x14ac:dyDescent="0.25">
      <c r="A118" s="41" t="s">
        <v>411</v>
      </c>
      <c r="B118" s="7" t="s">
        <v>412</v>
      </c>
      <c r="C118" s="7"/>
      <c r="D118" s="7"/>
      <c r="E118" s="7"/>
      <c r="F118" s="7"/>
      <c r="G118" s="59" t="e">
        <f>G119</f>
        <v>#REF!</v>
      </c>
    </row>
    <row r="119" spans="1:7" ht="15.75" x14ac:dyDescent="0.25">
      <c r="A119" s="29" t="s">
        <v>263</v>
      </c>
      <c r="B119" s="40" t="s">
        <v>412</v>
      </c>
      <c r="C119" s="40" t="s">
        <v>264</v>
      </c>
      <c r="D119" s="40"/>
      <c r="E119" s="40"/>
      <c r="F119" s="40"/>
      <c r="G119" s="10" t="e">
        <f>G120</f>
        <v>#REF!</v>
      </c>
    </row>
    <row r="120" spans="1:7" ht="15.75" x14ac:dyDescent="0.25">
      <c r="A120" s="45" t="s">
        <v>404</v>
      </c>
      <c r="B120" s="40" t="s">
        <v>412</v>
      </c>
      <c r="C120" s="40" t="s">
        <v>264</v>
      </c>
      <c r="D120" s="40" t="s">
        <v>118</v>
      </c>
      <c r="E120" s="40"/>
      <c r="F120" s="40"/>
      <c r="G120" s="10" t="e">
        <f>G133+G130</f>
        <v>#REF!</v>
      </c>
    </row>
    <row r="121" spans="1:7" ht="57.75" hidden="1" customHeight="1" x14ac:dyDescent="0.25">
      <c r="A121" s="29" t="s">
        <v>595</v>
      </c>
      <c r="B121" s="40" t="s">
        <v>596</v>
      </c>
      <c r="C121" s="40" t="s">
        <v>264</v>
      </c>
      <c r="D121" s="40" t="s">
        <v>118</v>
      </c>
      <c r="E121" s="40"/>
      <c r="F121" s="40"/>
      <c r="G121" s="10">
        <f>G122</f>
        <v>0</v>
      </c>
    </row>
    <row r="122" spans="1:7" ht="63" hidden="1" x14ac:dyDescent="0.25">
      <c r="A122" s="29" t="s">
        <v>272</v>
      </c>
      <c r="B122" s="40" t="s">
        <v>596</v>
      </c>
      <c r="C122" s="40" t="s">
        <v>264</v>
      </c>
      <c r="D122" s="40" t="s">
        <v>118</v>
      </c>
      <c r="E122" s="40" t="s">
        <v>273</v>
      </c>
      <c r="F122" s="40"/>
      <c r="G122" s="10">
        <f>G123</f>
        <v>0</v>
      </c>
    </row>
    <row r="123" spans="1:7" ht="15.75" hidden="1" x14ac:dyDescent="0.25">
      <c r="A123" s="29" t="s">
        <v>274</v>
      </c>
      <c r="B123" s="40" t="s">
        <v>596</v>
      </c>
      <c r="C123" s="40" t="s">
        <v>264</v>
      </c>
      <c r="D123" s="40" t="s">
        <v>118</v>
      </c>
      <c r="E123" s="40" t="s">
        <v>275</v>
      </c>
      <c r="F123" s="40"/>
      <c r="G123" s="10"/>
    </row>
    <row r="124" spans="1:7" ht="47.25" hidden="1" x14ac:dyDescent="0.25">
      <c r="A124" s="29" t="s">
        <v>403</v>
      </c>
      <c r="B124" s="40" t="s">
        <v>596</v>
      </c>
      <c r="C124" s="40" t="s">
        <v>264</v>
      </c>
      <c r="D124" s="40" t="s">
        <v>118</v>
      </c>
      <c r="E124" s="40"/>
      <c r="F124" s="40" t="s">
        <v>636</v>
      </c>
      <c r="G124" s="10">
        <v>0</v>
      </c>
    </row>
    <row r="125" spans="1:7" ht="47.25" hidden="1" x14ac:dyDescent="0.25">
      <c r="A125" s="29" t="s">
        <v>278</v>
      </c>
      <c r="B125" s="40" t="s">
        <v>597</v>
      </c>
      <c r="C125" s="40" t="s">
        <v>264</v>
      </c>
      <c r="D125" s="40" t="s">
        <v>118</v>
      </c>
      <c r="E125" s="40"/>
      <c r="F125" s="40"/>
      <c r="G125" s="10">
        <f>G126</f>
        <v>0</v>
      </c>
    </row>
    <row r="126" spans="1:7" ht="63" hidden="1" x14ac:dyDescent="0.25">
      <c r="A126" s="29" t="s">
        <v>272</v>
      </c>
      <c r="B126" s="40" t="s">
        <v>597</v>
      </c>
      <c r="C126" s="40" t="s">
        <v>264</v>
      </c>
      <c r="D126" s="40" t="s">
        <v>118</v>
      </c>
      <c r="E126" s="40" t="s">
        <v>273</v>
      </c>
      <c r="F126" s="40"/>
      <c r="G126" s="10">
        <f>G127</f>
        <v>0</v>
      </c>
    </row>
    <row r="127" spans="1:7" ht="15.75" hidden="1" x14ac:dyDescent="0.25">
      <c r="A127" s="29" t="s">
        <v>274</v>
      </c>
      <c r="B127" s="40" t="s">
        <v>597</v>
      </c>
      <c r="C127" s="40" t="s">
        <v>264</v>
      </c>
      <c r="D127" s="40" t="s">
        <v>118</v>
      </c>
      <c r="E127" s="40" t="s">
        <v>275</v>
      </c>
      <c r="F127" s="40"/>
      <c r="G127" s="10"/>
    </row>
    <row r="128" spans="1:7" ht="47.25" hidden="1" x14ac:dyDescent="0.25">
      <c r="A128" s="29" t="s">
        <v>403</v>
      </c>
      <c r="B128" s="40" t="s">
        <v>597</v>
      </c>
      <c r="C128" s="40" t="s">
        <v>264</v>
      </c>
      <c r="D128" s="40" t="s">
        <v>118</v>
      </c>
      <c r="E128" s="40"/>
      <c r="F128" s="40" t="s">
        <v>636</v>
      </c>
      <c r="G128" s="10">
        <v>0</v>
      </c>
    </row>
    <row r="129" spans="1:8" ht="31.5" x14ac:dyDescent="0.25">
      <c r="A129" s="29" t="s">
        <v>280</v>
      </c>
      <c r="B129" s="40" t="s">
        <v>414</v>
      </c>
      <c r="C129" s="40" t="s">
        <v>264</v>
      </c>
      <c r="D129" s="40" t="s">
        <v>118</v>
      </c>
      <c r="E129" s="40"/>
      <c r="F129" s="40"/>
      <c r="G129" s="10" t="e">
        <f>G130</f>
        <v>#REF!</v>
      </c>
    </row>
    <row r="130" spans="1:8" ht="63" x14ac:dyDescent="0.25">
      <c r="A130" s="29" t="s">
        <v>272</v>
      </c>
      <c r="B130" s="40" t="s">
        <v>414</v>
      </c>
      <c r="C130" s="40" t="s">
        <v>264</v>
      </c>
      <c r="D130" s="40" t="s">
        <v>118</v>
      </c>
      <c r="E130" s="40" t="s">
        <v>273</v>
      </c>
      <c r="F130" s="40"/>
      <c r="G130" s="10" t="e">
        <f>G131</f>
        <v>#REF!</v>
      </c>
    </row>
    <row r="131" spans="1:8" ht="15.75" x14ac:dyDescent="0.25">
      <c r="A131" s="29" t="s">
        <v>274</v>
      </c>
      <c r="B131" s="40" t="s">
        <v>414</v>
      </c>
      <c r="C131" s="40" t="s">
        <v>264</v>
      </c>
      <c r="D131" s="40" t="s">
        <v>118</v>
      </c>
      <c r="E131" s="40" t="s">
        <v>275</v>
      </c>
      <c r="F131" s="40"/>
      <c r="G131" s="157" t="e">
        <f>'Пр.4 ведом.22'!#REF!</f>
        <v>#REF!</v>
      </c>
      <c r="H131" s="158" t="s">
        <v>725</v>
      </c>
    </row>
    <row r="132" spans="1:8" ht="47.25" hidden="1" x14ac:dyDescent="0.25">
      <c r="A132" s="29" t="s">
        <v>403</v>
      </c>
      <c r="B132" s="40" t="s">
        <v>414</v>
      </c>
      <c r="C132" s="40" t="s">
        <v>264</v>
      </c>
      <c r="D132" s="40" t="s">
        <v>118</v>
      </c>
      <c r="E132" s="40"/>
      <c r="F132" s="40" t="s">
        <v>636</v>
      </c>
      <c r="G132" s="10"/>
    </row>
    <row r="133" spans="1:8" ht="63" x14ac:dyDescent="0.25">
      <c r="A133" s="29" t="s">
        <v>415</v>
      </c>
      <c r="B133" s="40" t="s">
        <v>416</v>
      </c>
      <c r="C133" s="40" t="s">
        <v>264</v>
      </c>
      <c r="D133" s="40" t="s">
        <v>118</v>
      </c>
      <c r="E133" s="40"/>
      <c r="F133" s="40"/>
      <c r="G133" s="10" t="e">
        <f>G134</f>
        <v>#REF!</v>
      </c>
    </row>
    <row r="134" spans="1:8" ht="65.25" customHeight="1" x14ac:dyDescent="0.25">
      <c r="A134" s="29" t="s">
        <v>272</v>
      </c>
      <c r="B134" s="40" t="s">
        <v>416</v>
      </c>
      <c r="C134" s="40" t="s">
        <v>264</v>
      </c>
      <c r="D134" s="40" t="s">
        <v>118</v>
      </c>
      <c r="E134" s="40" t="s">
        <v>273</v>
      </c>
      <c r="F134" s="40"/>
      <c r="G134" s="10" t="e">
        <f>G135</f>
        <v>#REF!</v>
      </c>
    </row>
    <row r="135" spans="1:8" ht="15.75" x14ac:dyDescent="0.25">
      <c r="A135" s="29" t="s">
        <v>274</v>
      </c>
      <c r="B135" s="40" t="s">
        <v>416</v>
      </c>
      <c r="C135" s="40" t="s">
        <v>264</v>
      </c>
      <c r="D135" s="40" t="s">
        <v>118</v>
      </c>
      <c r="E135" s="40" t="s">
        <v>275</v>
      </c>
      <c r="F135" s="40"/>
      <c r="G135" s="6" t="e">
        <f>'Пр.4 ведом.22'!#REF!</f>
        <v>#REF!</v>
      </c>
    </row>
    <row r="136" spans="1:8" ht="47.25" x14ac:dyDescent="0.25">
      <c r="A136" s="29" t="s">
        <v>403</v>
      </c>
      <c r="B136" s="40" t="s">
        <v>412</v>
      </c>
      <c r="C136" s="40" t="s">
        <v>264</v>
      </c>
      <c r="D136" s="40" t="s">
        <v>118</v>
      </c>
      <c r="E136" s="40"/>
      <c r="F136" s="40" t="s">
        <v>636</v>
      </c>
      <c r="G136" s="6" t="e">
        <f>G118+G131</f>
        <v>#REF!</v>
      </c>
    </row>
    <row r="137" spans="1:8" ht="31.5" hidden="1" x14ac:dyDescent="0.25">
      <c r="A137" s="29" t="s">
        <v>284</v>
      </c>
      <c r="B137" s="40" t="s">
        <v>600</v>
      </c>
      <c r="C137" s="40" t="s">
        <v>264</v>
      </c>
      <c r="D137" s="40" t="s">
        <v>118</v>
      </c>
      <c r="E137" s="40"/>
      <c r="F137" s="40"/>
      <c r="G137" s="10">
        <f>G138</f>
        <v>0</v>
      </c>
    </row>
    <row r="138" spans="1:8" ht="63" hidden="1" x14ac:dyDescent="0.25">
      <c r="A138" s="29" t="s">
        <v>272</v>
      </c>
      <c r="B138" s="40" t="s">
        <v>600</v>
      </c>
      <c r="C138" s="40" t="s">
        <v>264</v>
      </c>
      <c r="D138" s="40" t="s">
        <v>118</v>
      </c>
      <c r="E138" s="40" t="s">
        <v>273</v>
      </c>
      <c r="F138" s="40"/>
      <c r="G138" s="10">
        <f>G139</f>
        <v>0</v>
      </c>
    </row>
    <row r="139" spans="1:8" ht="15.75" hidden="1" x14ac:dyDescent="0.25">
      <c r="A139" s="29" t="s">
        <v>274</v>
      </c>
      <c r="B139" s="40" t="s">
        <v>600</v>
      </c>
      <c r="C139" s="40" t="s">
        <v>264</v>
      </c>
      <c r="D139" s="40" t="s">
        <v>118</v>
      </c>
      <c r="E139" s="40" t="s">
        <v>275</v>
      </c>
      <c r="F139" s="40"/>
      <c r="G139" s="10"/>
    </row>
    <row r="140" spans="1:8" ht="47.25" hidden="1" x14ac:dyDescent="0.25">
      <c r="A140" s="29" t="s">
        <v>403</v>
      </c>
      <c r="B140" s="40" t="s">
        <v>600</v>
      </c>
      <c r="C140" s="40" t="s">
        <v>264</v>
      </c>
      <c r="D140" s="40" t="s">
        <v>118</v>
      </c>
      <c r="E140" s="40"/>
      <c r="F140" s="40" t="s">
        <v>636</v>
      </c>
      <c r="G140" s="10">
        <v>0</v>
      </c>
    </row>
    <row r="141" spans="1:8" ht="47.25" x14ac:dyDescent="0.25">
      <c r="A141" s="41" t="s">
        <v>430</v>
      </c>
      <c r="B141" s="7" t="s">
        <v>431</v>
      </c>
      <c r="C141" s="7"/>
      <c r="D141" s="7"/>
      <c r="E141" s="7"/>
      <c r="F141" s="7"/>
      <c r="G141" s="4" t="e">
        <f>G162</f>
        <v>#REF!</v>
      </c>
    </row>
    <row r="142" spans="1:8" ht="70.5" hidden="1" customHeight="1" x14ac:dyDescent="0.25">
      <c r="A142" s="29" t="s">
        <v>595</v>
      </c>
      <c r="B142" s="40" t="s">
        <v>601</v>
      </c>
      <c r="C142" s="40" t="s">
        <v>264</v>
      </c>
      <c r="D142" s="40" t="s">
        <v>213</v>
      </c>
      <c r="E142" s="40"/>
      <c r="F142" s="40"/>
      <c r="G142" s="10">
        <f>G143</f>
        <v>0</v>
      </c>
    </row>
    <row r="143" spans="1:8" ht="63" hidden="1" x14ac:dyDescent="0.25">
      <c r="A143" s="29" t="s">
        <v>272</v>
      </c>
      <c r="B143" s="40" t="s">
        <v>601</v>
      </c>
      <c r="C143" s="40" t="s">
        <v>264</v>
      </c>
      <c r="D143" s="40" t="s">
        <v>213</v>
      </c>
      <c r="E143" s="40" t="s">
        <v>273</v>
      </c>
      <c r="F143" s="40"/>
      <c r="G143" s="10">
        <f>G145</f>
        <v>0</v>
      </c>
    </row>
    <row r="144" spans="1:8" ht="18.75" hidden="1" customHeight="1" x14ac:dyDescent="0.25">
      <c r="A144" s="29" t="s">
        <v>274</v>
      </c>
      <c r="B144" s="40" t="s">
        <v>601</v>
      </c>
      <c r="C144" s="40" t="s">
        <v>264</v>
      </c>
      <c r="D144" s="40" t="s">
        <v>213</v>
      </c>
      <c r="E144" s="40" t="s">
        <v>275</v>
      </c>
      <c r="F144" s="40"/>
      <c r="G144" s="10"/>
    </row>
    <row r="145" spans="1:7" ht="47.25" hidden="1" x14ac:dyDescent="0.25">
      <c r="A145" s="29" t="s">
        <v>403</v>
      </c>
      <c r="B145" s="40" t="s">
        <v>601</v>
      </c>
      <c r="C145" s="40" t="s">
        <v>264</v>
      </c>
      <c r="D145" s="40" t="s">
        <v>213</v>
      </c>
      <c r="E145" s="40"/>
      <c r="F145" s="40" t="s">
        <v>636</v>
      </c>
      <c r="G145" s="10"/>
    </row>
    <row r="146" spans="1:7" ht="78.75" hidden="1" x14ac:dyDescent="0.25">
      <c r="A146" s="25" t="s">
        <v>432</v>
      </c>
      <c r="B146" s="40" t="s">
        <v>433</v>
      </c>
      <c r="C146" s="40" t="s">
        <v>264</v>
      </c>
      <c r="D146" s="40" t="s">
        <v>213</v>
      </c>
      <c r="E146" s="40"/>
      <c r="F146" s="40"/>
      <c r="G146" s="10">
        <f>G147</f>
        <v>0</v>
      </c>
    </row>
    <row r="147" spans="1:7" ht="63" hidden="1" x14ac:dyDescent="0.25">
      <c r="A147" s="29" t="s">
        <v>272</v>
      </c>
      <c r="B147" s="40" t="s">
        <v>433</v>
      </c>
      <c r="C147" s="40" t="s">
        <v>264</v>
      </c>
      <c r="D147" s="40" t="s">
        <v>213</v>
      </c>
      <c r="E147" s="40" t="s">
        <v>273</v>
      </c>
      <c r="F147" s="40"/>
      <c r="G147" s="10">
        <f>G148</f>
        <v>0</v>
      </c>
    </row>
    <row r="148" spans="1:7" ht="15.75" hidden="1" x14ac:dyDescent="0.25">
      <c r="A148" s="29" t="s">
        <v>274</v>
      </c>
      <c r="B148" s="40" t="s">
        <v>433</v>
      </c>
      <c r="C148" s="40" t="s">
        <v>264</v>
      </c>
      <c r="D148" s="40" t="s">
        <v>213</v>
      </c>
      <c r="E148" s="40" t="s">
        <v>275</v>
      </c>
      <c r="F148" s="40"/>
      <c r="G148" s="10"/>
    </row>
    <row r="149" spans="1:7" ht="54.75" hidden="1" customHeight="1" x14ac:dyDescent="0.25">
      <c r="A149" s="29" t="s">
        <v>403</v>
      </c>
      <c r="B149" s="40" t="s">
        <v>433</v>
      </c>
      <c r="C149" s="40" t="s">
        <v>264</v>
      </c>
      <c r="D149" s="40" t="s">
        <v>213</v>
      </c>
      <c r="E149" s="40"/>
      <c r="F149" s="40" t="s">
        <v>636</v>
      </c>
      <c r="G149" s="10">
        <f>G146</f>
        <v>0</v>
      </c>
    </row>
    <row r="150" spans="1:7" ht="31.5" hidden="1" x14ac:dyDescent="0.25">
      <c r="A150" s="25" t="s">
        <v>434</v>
      </c>
      <c r="B150" s="20" t="s">
        <v>435</v>
      </c>
      <c r="C150" s="40" t="s">
        <v>264</v>
      </c>
      <c r="D150" s="40" t="s">
        <v>213</v>
      </c>
      <c r="E150" s="40"/>
      <c r="F150" s="40"/>
      <c r="G150" s="10">
        <f>G151</f>
        <v>0</v>
      </c>
    </row>
    <row r="151" spans="1:7" ht="65.25" hidden="1" customHeight="1" x14ac:dyDescent="0.25">
      <c r="A151" s="25" t="s">
        <v>272</v>
      </c>
      <c r="B151" s="20" t="s">
        <v>435</v>
      </c>
      <c r="C151" s="40" t="s">
        <v>264</v>
      </c>
      <c r="D151" s="40" t="s">
        <v>213</v>
      </c>
      <c r="E151" s="40" t="s">
        <v>273</v>
      </c>
      <c r="F151" s="40"/>
      <c r="G151" s="10">
        <f>G152</f>
        <v>0</v>
      </c>
    </row>
    <row r="152" spans="1:7" ht="15.75" hidden="1" x14ac:dyDescent="0.25">
      <c r="A152" s="25" t="s">
        <v>274</v>
      </c>
      <c r="B152" s="20" t="s">
        <v>435</v>
      </c>
      <c r="C152" s="40" t="s">
        <v>264</v>
      </c>
      <c r="D152" s="40" t="s">
        <v>213</v>
      </c>
      <c r="E152" s="40" t="s">
        <v>275</v>
      </c>
      <c r="F152" s="40"/>
      <c r="G152" s="10"/>
    </row>
    <row r="153" spans="1:7" ht="47.25" hidden="1" x14ac:dyDescent="0.25">
      <c r="A153" s="29" t="s">
        <v>403</v>
      </c>
      <c r="B153" s="20" t="s">
        <v>435</v>
      </c>
      <c r="C153" s="40" t="s">
        <v>264</v>
      </c>
      <c r="D153" s="40" t="s">
        <v>213</v>
      </c>
      <c r="E153" s="40"/>
      <c r="F153" s="40" t="s">
        <v>636</v>
      </c>
      <c r="G153" s="10">
        <f>G150</f>
        <v>0</v>
      </c>
    </row>
    <row r="154" spans="1:7" ht="63" hidden="1" x14ac:dyDescent="0.25">
      <c r="A154" s="25" t="s">
        <v>438</v>
      </c>
      <c r="B154" s="20" t="s">
        <v>439</v>
      </c>
      <c r="C154" s="40" t="s">
        <v>264</v>
      </c>
      <c r="D154" s="40" t="s">
        <v>213</v>
      </c>
      <c r="E154" s="40"/>
      <c r="F154" s="40"/>
      <c r="G154" s="10">
        <f>G155</f>
        <v>0</v>
      </c>
    </row>
    <row r="155" spans="1:7" ht="63" hidden="1" x14ac:dyDescent="0.25">
      <c r="A155" s="29" t="s">
        <v>272</v>
      </c>
      <c r="B155" s="20" t="s">
        <v>439</v>
      </c>
      <c r="C155" s="40" t="s">
        <v>264</v>
      </c>
      <c r="D155" s="40" t="s">
        <v>213</v>
      </c>
      <c r="E155" s="40" t="s">
        <v>273</v>
      </c>
      <c r="F155" s="40"/>
      <c r="G155" s="10">
        <f>G156</f>
        <v>0</v>
      </c>
    </row>
    <row r="156" spans="1:7" ht="15.75" hidden="1" x14ac:dyDescent="0.25">
      <c r="A156" s="29" t="s">
        <v>274</v>
      </c>
      <c r="B156" s="20" t="s">
        <v>439</v>
      </c>
      <c r="C156" s="40" t="s">
        <v>264</v>
      </c>
      <c r="D156" s="40" t="s">
        <v>213</v>
      </c>
      <c r="E156" s="40" t="s">
        <v>275</v>
      </c>
      <c r="F156" s="40"/>
      <c r="G156" s="10"/>
    </row>
    <row r="157" spans="1:7" ht="47.25" hidden="1" x14ac:dyDescent="0.25">
      <c r="A157" s="29" t="s">
        <v>403</v>
      </c>
      <c r="B157" s="20" t="s">
        <v>439</v>
      </c>
      <c r="C157" s="40" t="s">
        <v>264</v>
      </c>
      <c r="D157" s="40" t="s">
        <v>213</v>
      </c>
      <c r="E157" s="40"/>
      <c r="F157" s="40" t="s">
        <v>636</v>
      </c>
      <c r="G157" s="10">
        <f>G156</f>
        <v>0</v>
      </c>
    </row>
    <row r="158" spans="1:7" ht="47.25" hidden="1" x14ac:dyDescent="0.25">
      <c r="A158" s="25" t="s">
        <v>603</v>
      </c>
      <c r="B158" s="20" t="s">
        <v>442</v>
      </c>
      <c r="C158" s="40" t="s">
        <v>264</v>
      </c>
      <c r="D158" s="40" t="s">
        <v>213</v>
      </c>
      <c r="E158" s="40"/>
      <c r="F158" s="40"/>
      <c r="G158" s="10">
        <f>G159</f>
        <v>0</v>
      </c>
    </row>
    <row r="159" spans="1:7" ht="63" hidden="1" x14ac:dyDescent="0.25">
      <c r="A159" s="25" t="s">
        <v>272</v>
      </c>
      <c r="B159" s="20" t="s">
        <v>442</v>
      </c>
      <c r="C159" s="40" t="s">
        <v>264</v>
      </c>
      <c r="D159" s="40" t="s">
        <v>213</v>
      </c>
      <c r="E159" s="40" t="s">
        <v>273</v>
      </c>
      <c r="F159" s="40"/>
      <c r="G159" s="10">
        <f>G160</f>
        <v>0</v>
      </c>
    </row>
    <row r="160" spans="1:7" ht="15.75" hidden="1" x14ac:dyDescent="0.25">
      <c r="A160" s="25" t="s">
        <v>274</v>
      </c>
      <c r="B160" s="20" t="s">
        <v>442</v>
      </c>
      <c r="C160" s="40" t="s">
        <v>264</v>
      </c>
      <c r="D160" s="40" t="s">
        <v>213</v>
      </c>
      <c r="E160" s="40" t="s">
        <v>275</v>
      </c>
      <c r="F160" s="40"/>
      <c r="G160" s="10"/>
    </row>
    <row r="161" spans="1:8" ht="47.25" hidden="1" x14ac:dyDescent="0.25">
      <c r="A161" s="29" t="s">
        <v>403</v>
      </c>
      <c r="B161" s="20" t="s">
        <v>442</v>
      </c>
      <c r="C161" s="40" t="s">
        <v>264</v>
      </c>
      <c r="D161" s="40" t="s">
        <v>213</v>
      </c>
      <c r="E161" s="40"/>
      <c r="F161" s="40" t="s">
        <v>636</v>
      </c>
      <c r="G161" s="10">
        <f>G159</f>
        <v>0</v>
      </c>
    </row>
    <row r="162" spans="1:8" ht="15.75" x14ac:dyDescent="0.25">
      <c r="A162" s="29" t="s">
        <v>263</v>
      </c>
      <c r="B162" s="40" t="s">
        <v>431</v>
      </c>
      <c r="C162" s="40" t="s">
        <v>264</v>
      </c>
      <c r="D162" s="40"/>
      <c r="E162" s="40"/>
      <c r="F162" s="40"/>
      <c r="G162" s="10" t="e">
        <f>G163</f>
        <v>#REF!</v>
      </c>
    </row>
    <row r="163" spans="1:8" ht="15.75" x14ac:dyDescent="0.25">
      <c r="A163" s="29" t="s">
        <v>425</v>
      </c>
      <c r="B163" s="40" t="s">
        <v>431</v>
      </c>
      <c r="C163" s="40" t="s">
        <v>264</v>
      </c>
      <c r="D163" s="40" t="s">
        <v>213</v>
      </c>
      <c r="E163" s="40"/>
      <c r="F163" s="40"/>
      <c r="G163" s="10" t="e">
        <f>G164+G167+G173+G170+G176</f>
        <v>#REF!</v>
      </c>
    </row>
    <row r="164" spans="1:8" ht="78.75" x14ac:dyDescent="0.25">
      <c r="A164" s="29" t="s">
        <v>602</v>
      </c>
      <c r="B164" s="20" t="s">
        <v>437</v>
      </c>
      <c r="C164" s="40" t="s">
        <v>264</v>
      </c>
      <c r="D164" s="40" t="s">
        <v>213</v>
      </c>
      <c r="E164" s="40"/>
      <c r="F164" s="40"/>
      <c r="G164" s="10" t="e">
        <f>G165</f>
        <v>#REF!</v>
      </c>
    </row>
    <row r="165" spans="1:8" ht="63" x14ac:dyDescent="0.25">
      <c r="A165" s="29" t="s">
        <v>272</v>
      </c>
      <c r="B165" s="20" t="s">
        <v>437</v>
      </c>
      <c r="C165" s="40" t="s">
        <v>264</v>
      </c>
      <c r="D165" s="40" t="s">
        <v>213</v>
      </c>
      <c r="E165" s="40" t="s">
        <v>273</v>
      </c>
      <c r="F165" s="40"/>
      <c r="G165" s="10" t="e">
        <f>G166</f>
        <v>#REF!</v>
      </c>
    </row>
    <row r="166" spans="1:8" ht="24" customHeight="1" x14ac:dyDescent="0.25">
      <c r="A166" s="29" t="s">
        <v>274</v>
      </c>
      <c r="B166" s="20" t="s">
        <v>437</v>
      </c>
      <c r="C166" s="40" t="s">
        <v>264</v>
      </c>
      <c r="D166" s="40" t="s">
        <v>213</v>
      </c>
      <c r="E166" s="40" t="s">
        <v>275</v>
      </c>
      <c r="F166" s="40"/>
      <c r="G166" s="6" t="e">
        <f>'Пр.4 ведом.22'!#REF!</f>
        <v>#REF!</v>
      </c>
    </row>
    <row r="167" spans="1:8" ht="63" x14ac:dyDescent="0.25">
      <c r="A167" s="25" t="s">
        <v>438</v>
      </c>
      <c r="B167" s="20" t="s">
        <v>439</v>
      </c>
      <c r="C167" s="40" t="s">
        <v>264</v>
      </c>
      <c r="D167" s="40" t="s">
        <v>213</v>
      </c>
      <c r="E167" s="40"/>
      <c r="F167" s="40"/>
      <c r="G167" s="6" t="e">
        <f>G168</f>
        <v>#REF!</v>
      </c>
    </row>
    <row r="168" spans="1:8" ht="63" x14ac:dyDescent="0.25">
      <c r="A168" s="25" t="s">
        <v>272</v>
      </c>
      <c r="B168" s="20" t="s">
        <v>439</v>
      </c>
      <c r="C168" s="40" t="s">
        <v>264</v>
      </c>
      <c r="D168" s="40" t="s">
        <v>213</v>
      </c>
      <c r="E168" s="40" t="s">
        <v>273</v>
      </c>
      <c r="F168" s="40"/>
      <c r="G168" s="6" t="e">
        <f>G169</f>
        <v>#REF!</v>
      </c>
    </row>
    <row r="169" spans="1:8" ht="15.75" x14ac:dyDescent="0.25">
      <c r="A169" s="25" t="s">
        <v>274</v>
      </c>
      <c r="B169" s="20" t="s">
        <v>439</v>
      </c>
      <c r="C169" s="40" t="s">
        <v>264</v>
      </c>
      <c r="D169" s="40" t="s">
        <v>213</v>
      </c>
      <c r="E169" s="40" t="s">
        <v>275</v>
      </c>
      <c r="F169" s="40"/>
      <c r="G169" s="6" t="e">
        <f>'Пр.4 ведом.22'!#REF!</f>
        <v>#REF!</v>
      </c>
    </row>
    <row r="170" spans="1:8" ht="47.25" x14ac:dyDescent="0.25">
      <c r="A170" s="25" t="s">
        <v>278</v>
      </c>
      <c r="B170" s="40" t="s">
        <v>442</v>
      </c>
      <c r="C170" s="40" t="s">
        <v>264</v>
      </c>
      <c r="D170" s="40" t="s">
        <v>213</v>
      </c>
      <c r="E170" s="40"/>
      <c r="F170" s="40"/>
      <c r="G170" s="6" t="e">
        <f>G171</f>
        <v>#REF!</v>
      </c>
    </row>
    <row r="171" spans="1:8" ht="63" x14ac:dyDescent="0.25">
      <c r="A171" s="25" t="s">
        <v>272</v>
      </c>
      <c r="B171" s="40" t="s">
        <v>442</v>
      </c>
      <c r="C171" s="40" t="s">
        <v>264</v>
      </c>
      <c r="D171" s="40" t="s">
        <v>213</v>
      </c>
      <c r="E171" s="40" t="s">
        <v>273</v>
      </c>
      <c r="F171" s="40"/>
      <c r="G171" s="6" t="e">
        <f>G172</f>
        <v>#REF!</v>
      </c>
    </row>
    <row r="172" spans="1:8" ht="15.75" x14ac:dyDescent="0.25">
      <c r="A172" s="25" t="s">
        <v>274</v>
      </c>
      <c r="B172" s="40" t="s">
        <v>442</v>
      </c>
      <c r="C172" s="40" t="s">
        <v>264</v>
      </c>
      <c r="D172" s="40" t="s">
        <v>213</v>
      </c>
      <c r="E172" s="40" t="s">
        <v>275</v>
      </c>
      <c r="F172" s="40"/>
      <c r="G172" s="6" t="e">
        <f>'Пр.4 ведом.22'!#REF!</f>
        <v>#REF!</v>
      </c>
      <c r="H172" s="112"/>
    </row>
    <row r="173" spans="1:8" ht="47.25" x14ac:dyDescent="0.25">
      <c r="A173" s="29" t="s">
        <v>282</v>
      </c>
      <c r="B173" s="40" t="s">
        <v>444</v>
      </c>
      <c r="C173" s="40" t="s">
        <v>264</v>
      </c>
      <c r="D173" s="40" t="s">
        <v>213</v>
      </c>
      <c r="E173" s="40"/>
      <c r="F173" s="40"/>
      <c r="G173" s="10" t="e">
        <f>G174</f>
        <v>#REF!</v>
      </c>
    </row>
    <row r="174" spans="1:8" ht="63" x14ac:dyDescent="0.25">
      <c r="A174" s="29" t="s">
        <v>272</v>
      </c>
      <c r="B174" s="40" t="s">
        <v>444</v>
      </c>
      <c r="C174" s="40" t="s">
        <v>264</v>
      </c>
      <c r="D174" s="40" t="s">
        <v>213</v>
      </c>
      <c r="E174" s="40" t="s">
        <v>273</v>
      </c>
      <c r="F174" s="40"/>
      <c r="G174" s="10" t="e">
        <f>G175</f>
        <v>#REF!</v>
      </c>
    </row>
    <row r="175" spans="1:8" ht="26.45" customHeight="1" x14ac:dyDescent="0.25">
      <c r="A175" s="29" t="s">
        <v>274</v>
      </c>
      <c r="B175" s="40" t="s">
        <v>444</v>
      </c>
      <c r="C175" s="40" t="s">
        <v>264</v>
      </c>
      <c r="D175" s="40" t="s">
        <v>213</v>
      </c>
      <c r="E175" s="40" t="s">
        <v>275</v>
      </c>
      <c r="F175" s="40"/>
      <c r="G175" s="10" t="e">
        <f>'Пр.4 ведом.22'!#REF!</f>
        <v>#REF!</v>
      </c>
    </row>
    <row r="176" spans="1:8" ht="31.5" x14ac:dyDescent="0.25">
      <c r="A176" s="29" t="s">
        <v>284</v>
      </c>
      <c r="B176" s="40" t="s">
        <v>445</v>
      </c>
      <c r="C176" s="40" t="s">
        <v>264</v>
      </c>
      <c r="D176" s="40" t="s">
        <v>213</v>
      </c>
      <c r="E176" s="40"/>
      <c r="F176" s="40"/>
      <c r="G176" s="10" t="e">
        <f>G177</f>
        <v>#REF!</v>
      </c>
    </row>
    <row r="177" spans="1:7" ht="63" x14ac:dyDescent="0.25">
      <c r="A177" s="29" t="s">
        <v>272</v>
      </c>
      <c r="B177" s="40" t="s">
        <v>445</v>
      </c>
      <c r="C177" s="40" t="s">
        <v>264</v>
      </c>
      <c r="D177" s="40" t="s">
        <v>213</v>
      </c>
      <c r="E177" s="40" t="s">
        <v>273</v>
      </c>
      <c r="F177" s="40"/>
      <c r="G177" s="10" t="e">
        <f>G178</f>
        <v>#REF!</v>
      </c>
    </row>
    <row r="178" spans="1:7" ht="26.45" customHeight="1" x14ac:dyDescent="0.25">
      <c r="A178" s="29" t="s">
        <v>274</v>
      </c>
      <c r="B178" s="40" t="s">
        <v>445</v>
      </c>
      <c r="C178" s="40" t="s">
        <v>264</v>
      </c>
      <c r="D178" s="40" t="s">
        <v>213</v>
      </c>
      <c r="E178" s="40" t="s">
        <v>275</v>
      </c>
      <c r="F178" s="40"/>
      <c r="G178" s="10" t="e">
        <f>'Пр.4 ведом.22'!#REF!</f>
        <v>#REF!</v>
      </c>
    </row>
    <row r="179" spans="1:7" ht="47.25" x14ac:dyDescent="0.25">
      <c r="A179" s="29" t="s">
        <v>403</v>
      </c>
      <c r="B179" s="40" t="s">
        <v>431</v>
      </c>
      <c r="C179" s="40" t="s">
        <v>264</v>
      </c>
      <c r="D179" s="40" t="s">
        <v>213</v>
      </c>
      <c r="E179" s="40"/>
      <c r="F179" s="40" t="s">
        <v>636</v>
      </c>
      <c r="G179" s="10" t="e">
        <f>G141</f>
        <v>#REF!</v>
      </c>
    </row>
    <row r="180" spans="1:7" ht="31.5" hidden="1" x14ac:dyDescent="0.25">
      <c r="A180" s="29" t="s">
        <v>284</v>
      </c>
      <c r="B180" s="40" t="s">
        <v>604</v>
      </c>
      <c r="C180" s="40" t="s">
        <v>264</v>
      </c>
      <c r="D180" s="40" t="s">
        <v>213</v>
      </c>
      <c r="E180" s="40"/>
      <c r="F180" s="40"/>
      <c r="G180" s="10">
        <f>G181</f>
        <v>0</v>
      </c>
    </row>
    <row r="181" spans="1:7" ht="63" hidden="1" x14ac:dyDescent="0.25">
      <c r="A181" s="29" t="s">
        <v>272</v>
      </c>
      <c r="B181" s="40" t="s">
        <v>604</v>
      </c>
      <c r="C181" s="40" t="s">
        <v>264</v>
      </c>
      <c r="D181" s="40" t="s">
        <v>213</v>
      </c>
      <c r="E181" s="40" t="s">
        <v>273</v>
      </c>
      <c r="F181" s="40"/>
      <c r="G181" s="10">
        <f>G182</f>
        <v>0</v>
      </c>
    </row>
    <row r="182" spans="1:7" ht="15.75" hidden="1" x14ac:dyDescent="0.25">
      <c r="A182" s="29" t="s">
        <v>274</v>
      </c>
      <c r="B182" s="40" t="s">
        <v>604</v>
      </c>
      <c r="C182" s="40" t="s">
        <v>264</v>
      </c>
      <c r="D182" s="40" t="s">
        <v>213</v>
      </c>
      <c r="E182" s="40" t="s">
        <v>275</v>
      </c>
      <c r="F182" s="40"/>
      <c r="G182" s="10"/>
    </row>
    <row r="183" spans="1:7" ht="47.25" hidden="1" x14ac:dyDescent="0.25">
      <c r="A183" s="29" t="s">
        <v>403</v>
      </c>
      <c r="B183" s="40" t="s">
        <v>604</v>
      </c>
      <c r="C183" s="40" t="s">
        <v>264</v>
      </c>
      <c r="D183" s="40" t="s">
        <v>213</v>
      </c>
      <c r="E183" s="40"/>
      <c r="F183" s="40" t="s">
        <v>636</v>
      </c>
      <c r="G183" s="10">
        <v>0</v>
      </c>
    </row>
    <row r="184" spans="1:7" ht="47.25" hidden="1" x14ac:dyDescent="0.25">
      <c r="A184" s="29" t="s">
        <v>637</v>
      </c>
      <c r="B184" s="40" t="s">
        <v>605</v>
      </c>
      <c r="C184" s="40" t="s">
        <v>264</v>
      </c>
      <c r="D184" s="40" t="s">
        <v>213</v>
      </c>
      <c r="E184" s="40"/>
      <c r="F184" s="40"/>
      <c r="G184" s="10">
        <f>G185</f>
        <v>0</v>
      </c>
    </row>
    <row r="185" spans="1:7" ht="63" hidden="1" x14ac:dyDescent="0.25">
      <c r="A185" s="29" t="s">
        <v>272</v>
      </c>
      <c r="B185" s="40" t="s">
        <v>605</v>
      </c>
      <c r="C185" s="40" t="s">
        <v>264</v>
      </c>
      <c r="D185" s="40" t="s">
        <v>213</v>
      </c>
      <c r="E185" s="40" t="s">
        <v>273</v>
      </c>
      <c r="F185" s="40"/>
      <c r="G185" s="10">
        <f>G186</f>
        <v>0</v>
      </c>
    </row>
    <row r="186" spans="1:7" ht="15.75" hidden="1" x14ac:dyDescent="0.25">
      <c r="A186" s="29" t="s">
        <v>274</v>
      </c>
      <c r="B186" s="40" t="s">
        <v>605</v>
      </c>
      <c r="C186" s="40" t="s">
        <v>264</v>
      </c>
      <c r="D186" s="40" t="s">
        <v>213</v>
      </c>
      <c r="E186" s="40" t="s">
        <v>275</v>
      </c>
      <c r="F186" s="40"/>
      <c r="G186" s="10"/>
    </row>
    <row r="187" spans="1:7" ht="47.25" hidden="1" x14ac:dyDescent="0.25">
      <c r="A187" s="29" t="s">
        <v>403</v>
      </c>
      <c r="B187" s="40" t="s">
        <v>605</v>
      </c>
      <c r="C187" s="40" t="s">
        <v>264</v>
      </c>
      <c r="D187" s="40" t="s">
        <v>213</v>
      </c>
      <c r="E187" s="40"/>
      <c r="F187" s="40" t="s">
        <v>636</v>
      </c>
      <c r="G187" s="10">
        <v>0</v>
      </c>
    </row>
    <row r="188" spans="1:7" ht="45.75" customHeight="1" x14ac:dyDescent="0.25">
      <c r="A188" s="41" t="s">
        <v>446</v>
      </c>
      <c r="B188" s="7" t="s">
        <v>447</v>
      </c>
      <c r="C188" s="7"/>
      <c r="D188" s="7"/>
      <c r="E188" s="7"/>
      <c r="F188" s="7"/>
      <c r="G188" s="59" t="e">
        <f>G189</f>
        <v>#REF!</v>
      </c>
    </row>
    <row r="189" spans="1:7" ht="21.2" customHeight="1" x14ac:dyDescent="0.25">
      <c r="A189" s="29" t="s">
        <v>263</v>
      </c>
      <c r="B189" s="40" t="s">
        <v>447</v>
      </c>
      <c r="C189" s="40" t="s">
        <v>264</v>
      </c>
      <c r="D189" s="40"/>
      <c r="E189" s="40"/>
      <c r="F189" s="40"/>
      <c r="G189" s="10" t="e">
        <f>G190</f>
        <v>#REF!</v>
      </c>
    </row>
    <row r="190" spans="1:7" ht="22.7" customHeight="1" x14ac:dyDescent="0.25">
      <c r="A190" s="29" t="s">
        <v>265</v>
      </c>
      <c r="B190" s="40" t="s">
        <v>447</v>
      </c>
      <c r="C190" s="40" t="s">
        <v>264</v>
      </c>
      <c r="D190" s="40" t="s">
        <v>215</v>
      </c>
      <c r="E190" s="40"/>
      <c r="F190" s="40"/>
      <c r="G190" s="10" t="e">
        <f>G191</f>
        <v>#REF!</v>
      </c>
    </row>
    <row r="191" spans="1:7" ht="31.5" x14ac:dyDescent="0.25">
      <c r="A191" s="45" t="s">
        <v>701</v>
      </c>
      <c r="B191" s="20" t="s">
        <v>702</v>
      </c>
      <c r="C191" s="40" t="s">
        <v>264</v>
      </c>
      <c r="D191" s="40" t="s">
        <v>215</v>
      </c>
      <c r="E191" s="40"/>
      <c r="F191" s="40"/>
      <c r="G191" s="10" t="e">
        <f>G192</f>
        <v>#REF!</v>
      </c>
    </row>
    <row r="192" spans="1:7" ht="63" x14ac:dyDescent="0.25">
      <c r="A192" s="29" t="s">
        <v>272</v>
      </c>
      <c r="B192" s="20" t="s">
        <v>702</v>
      </c>
      <c r="C192" s="40" t="s">
        <v>264</v>
      </c>
      <c r="D192" s="40" t="s">
        <v>215</v>
      </c>
      <c r="E192" s="40" t="s">
        <v>273</v>
      </c>
      <c r="F192" s="40"/>
      <c r="G192" s="10" t="e">
        <f>G193</f>
        <v>#REF!</v>
      </c>
    </row>
    <row r="193" spans="1:8" ht="15.75" x14ac:dyDescent="0.25">
      <c r="A193" s="29" t="s">
        <v>274</v>
      </c>
      <c r="B193" s="20" t="s">
        <v>702</v>
      </c>
      <c r="C193" s="40" t="s">
        <v>264</v>
      </c>
      <c r="D193" s="40" t="s">
        <v>215</v>
      </c>
      <c r="E193" s="40" t="s">
        <v>275</v>
      </c>
      <c r="F193" s="40"/>
      <c r="G193" s="10" t="e">
        <f>'Пр.4 ведом.22'!#REF!</f>
        <v>#REF!</v>
      </c>
      <c r="H193" s="112"/>
    </row>
    <row r="194" spans="1:8" ht="47.25" x14ac:dyDescent="0.25">
      <c r="A194" s="29" t="s">
        <v>403</v>
      </c>
      <c r="B194" s="20" t="s">
        <v>702</v>
      </c>
      <c r="C194" s="40" t="s">
        <v>264</v>
      </c>
      <c r="D194" s="40" t="s">
        <v>215</v>
      </c>
      <c r="E194" s="40"/>
      <c r="F194" s="40" t="s">
        <v>636</v>
      </c>
      <c r="G194" s="10" t="e">
        <f>G189</f>
        <v>#REF!</v>
      </c>
    </row>
    <row r="195" spans="1:8" ht="47.25" hidden="1" x14ac:dyDescent="0.25">
      <c r="A195" s="29" t="s">
        <v>638</v>
      </c>
      <c r="B195" s="40" t="s">
        <v>606</v>
      </c>
      <c r="C195" s="40" t="s">
        <v>264</v>
      </c>
      <c r="D195" s="40" t="s">
        <v>213</v>
      </c>
      <c r="E195" s="40"/>
      <c r="F195" s="40"/>
      <c r="G195" s="10">
        <f>G199</f>
        <v>0</v>
      </c>
    </row>
    <row r="196" spans="1:8" ht="63" hidden="1" x14ac:dyDescent="0.25">
      <c r="A196" s="29" t="s">
        <v>272</v>
      </c>
      <c r="B196" s="40" t="s">
        <v>606</v>
      </c>
      <c r="C196" s="40" t="s">
        <v>468</v>
      </c>
      <c r="D196" s="40" t="s">
        <v>639</v>
      </c>
      <c r="E196" s="40" t="s">
        <v>273</v>
      </c>
      <c r="F196" s="40"/>
      <c r="G196" s="10">
        <f>G197</f>
        <v>0</v>
      </c>
    </row>
    <row r="197" spans="1:8" ht="15.75" hidden="1" x14ac:dyDescent="0.25">
      <c r="A197" s="29" t="s">
        <v>274</v>
      </c>
      <c r="B197" s="40" t="s">
        <v>606</v>
      </c>
      <c r="C197" s="40" t="s">
        <v>468</v>
      </c>
      <c r="D197" s="40" t="s">
        <v>639</v>
      </c>
      <c r="E197" s="40" t="s">
        <v>275</v>
      </c>
      <c r="F197" s="40"/>
      <c r="G197" s="10">
        <f>G198</f>
        <v>0</v>
      </c>
    </row>
    <row r="198" spans="1:8" ht="31.5" hidden="1" x14ac:dyDescent="0.25">
      <c r="A198" s="29" t="s">
        <v>598</v>
      </c>
      <c r="B198" s="40" t="s">
        <v>606</v>
      </c>
      <c r="C198" s="40" t="s">
        <v>468</v>
      </c>
      <c r="D198" s="40" t="s">
        <v>639</v>
      </c>
      <c r="E198" s="40" t="s">
        <v>599</v>
      </c>
      <c r="F198" s="40"/>
      <c r="G198" s="10">
        <f>G199</f>
        <v>0</v>
      </c>
    </row>
    <row r="199" spans="1:8" ht="47.25" hidden="1" x14ac:dyDescent="0.25">
      <c r="A199" s="29" t="s">
        <v>403</v>
      </c>
      <c r="B199" s="40" t="s">
        <v>606</v>
      </c>
      <c r="C199" s="40" t="s">
        <v>264</v>
      </c>
      <c r="D199" s="40" t="s">
        <v>213</v>
      </c>
      <c r="E199" s="40"/>
      <c r="F199" s="40" t="s">
        <v>636</v>
      </c>
      <c r="G199" s="10"/>
    </row>
    <row r="200" spans="1:8" ht="47.25" hidden="1" x14ac:dyDescent="0.25">
      <c r="A200" s="29" t="s">
        <v>640</v>
      </c>
      <c r="B200" s="20" t="s">
        <v>448</v>
      </c>
      <c r="C200" s="40" t="s">
        <v>264</v>
      </c>
      <c r="D200" s="40" t="s">
        <v>213</v>
      </c>
      <c r="E200" s="40"/>
      <c r="F200" s="40"/>
      <c r="G200" s="10">
        <f>G201</f>
        <v>0</v>
      </c>
    </row>
    <row r="201" spans="1:8" ht="31.5" hidden="1" x14ac:dyDescent="0.25">
      <c r="A201" s="29" t="s">
        <v>280</v>
      </c>
      <c r="B201" s="20" t="s">
        <v>448</v>
      </c>
      <c r="C201" s="40" t="s">
        <v>264</v>
      </c>
      <c r="D201" s="40" t="s">
        <v>213</v>
      </c>
      <c r="E201" s="40" t="s">
        <v>273</v>
      </c>
      <c r="F201" s="40"/>
      <c r="G201" s="10">
        <f>G202</f>
        <v>0</v>
      </c>
    </row>
    <row r="202" spans="1:8" ht="15.75" hidden="1" x14ac:dyDescent="0.25">
      <c r="A202" s="29" t="s">
        <v>274</v>
      </c>
      <c r="B202" s="20" t="s">
        <v>448</v>
      </c>
      <c r="C202" s="40" t="s">
        <v>264</v>
      </c>
      <c r="D202" s="40" t="s">
        <v>213</v>
      </c>
      <c r="E202" s="40" t="s">
        <v>275</v>
      </c>
      <c r="F202" s="40"/>
      <c r="G202" s="10"/>
    </row>
    <row r="203" spans="1:8" ht="31.5" hidden="1" x14ac:dyDescent="0.25">
      <c r="A203" s="29" t="s">
        <v>598</v>
      </c>
      <c r="B203" s="20" t="s">
        <v>448</v>
      </c>
      <c r="C203" s="40" t="s">
        <v>264</v>
      </c>
      <c r="D203" s="40" t="s">
        <v>213</v>
      </c>
      <c r="E203" s="40" t="s">
        <v>599</v>
      </c>
      <c r="F203" s="40"/>
      <c r="G203" s="10"/>
    </row>
    <row r="204" spans="1:8" ht="47.25" hidden="1" x14ac:dyDescent="0.25">
      <c r="A204" s="29" t="s">
        <v>403</v>
      </c>
      <c r="B204" s="20" t="s">
        <v>448</v>
      </c>
      <c r="C204" s="40" t="s">
        <v>264</v>
      </c>
      <c r="D204" s="40" t="s">
        <v>213</v>
      </c>
      <c r="E204" s="40"/>
      <c r="F204" s="40" t="s">
        <v>636</v>
      </c>
      <c r="G204" s="6">
        <f>G200</f>
        <v>0</v>
      </c>
    </row>
    <row r="205" spans="1:8" ht="47.25" hidden="1" x14ac:dyDescent="0.25">
      <c r="A205" s="29" t="s">
        <v>603</v>
      </c>
      <c r="B205" s="40" t="s">
        <v>449</v>
      </c>
      <c r="C205" s="40" t="s">
        <v>264</v>
      </c>
      <c r="D205" s="40" t="s">
        <v>213</v>
      </c>
      <c r="E205" s="40"/>
      <c r="F205" s="40"/>
      <c r="G205" s="10">
        <f>G206</f>
        <v>0</v>
      </c>
    </row>
    <row r="206" spans="1:8" ht="63" hidden="1" x14ac:dyDescent="0.25">
      <c r="A206" s="29" t="s">
        <v>272</v>
      </c>
      <c r="B206" s="40" t="s">
        <v>449</v>
      </c>
      <c r="C206" s="40" t="s">
        <v>264</v>
      </c>
      <c r="D206" s="40" t="s">
        <v>213</v>
      </c>
      <c r="E206" s="40" t="s">
        <v>273</v>
      </c>
      <c r="F206" s="40"/>
      <c r="G206" s="10">
        <f>G207</f>
        <v>0</v>
      </c>
    </row>
    <row r="207" spans="1:8" ht="15.75" hidden="1" x14ac:dyDescent="0.25">
      <c r="A207" s="29" t="s">
        <v>274</v>
      </c>
      <c r="B207" s="40" t="s">
        <v>449</v>
      </c>
      <c r="C207" s="40" t="s">
        <v>264</v>
      </c>
      <c r="D207" s="40" t="s">
        <v>213</v>
      </c>
      <c r="E207" s="40" t="s">
        <v>275</v>
      </c>
      <c r="F207" s="40" t="s">
        <v>636</v>
      </c>
      <c r="G207" s="10"/>
    </row>
    <row r="208" spans="1:8" ht="15.75" hidden="1" x14ac:dyDescent="0.25">
      <c r="A208" s="29"/>
      <c r="B208" s="40"/>
      <c r="C208" s="40"/>
      <c r="D208" s="40"/>
      <c r="E208" s="40"/>
      <c r="F208" s="40"/>
      <c r="G208" s="10"/>
    </row>
    <row r="209" spans="1:7" ht="15.75" hidden="1" x14ac:dyDescent="0.25">
      <c r="A209" s="29"/>
      <c r="B209" s="40"/>
      <c r="C209" s="40"/>
      <c r="D209" s="40"/>
      <c r="E209" s="40"/>
      <c r="F209" s="40"/>
      <c r="G209" s="10"/>
    </row>
    <row r="210" spans="1:7" ht="47.25" x14ac:dyDescent="0.25">
      <c r="A210" s="41" t="s">
        <v>467</v>
      </c>
      <c r="B210" s="7" t="s">
        <v>469</v>
      </c>
      <c r="C210" s="7"/>
      <c r="D210" s="7"/>
      <c r="E210" s="7"/>
      <c r="F210" s="7"/>
      <c r="G210" s="59" t="e">
        <f>G211</f>
        <v>#REF!</v>
      </c>
    </row>
    <row r="211" spans="1:7" ht="15.75" x14ac:dyDescent="0.25">
      <c r="A211" s="29" t="s">
        <v>263</v>
      </c>
      <c r="B211" s="40" t="s">
        <v>469</v>
      </c>
      <c r="C211" s="40" t="s">
        <v>264</v>
      </c>
      <c r="D211" s="40"/>
      <c r="E211" s="40"/>
      <c r="F211" s="40"/>
      <c r="G211" s="10" t="e">
        <f>G212</f>
        <v>#REF!</v>
      </c>
    </row>
    <row r="212" spans="1:7" ht="31.5" x14ac:dyDescent="0.25">
      <c r="A212" s="29" t="s">
        <v>466</v>
      </c>
      <c r="B212" s="40" t="s">
        <v>469</v>
      </c>
      <c r="C212" s="40" t="s">
        <v>264</v>
      </c>
      <c r="D212" s="40" t="s">
        <v>264</v>
      </c>
      <c r="E212" s="40"/>
      <c r="F212" s="40"/>
      <c r="G212" s="10" t="e">
        <f>G213</f>
        <v>#REF!</v>
      </c>
    </row>
    <row r="213" spans="1:7" ht="47.25" x14ac:dyDescent="0.25">
      <c r="A213" s="25" t="s">
        <v>609</v>
      </c>
      <c r="B213" s="20" t="s">
        <v>471</v>
      </c>
      <c r="C213" s="40" t="s">
        <v>264</v>
      </c>
      <c r="D213" s="40" t="s">
        <v>264</v>
      </c>
      <c r="E213" s="40"/>
      <c r="F213" s="40"/>
      <c r="G213" s="10" t="e">
        <f>G214</f>
        <v>#REF!</v>
      </c>
    </row>
    <row r="214" spans="1:7" ht="63" x14ac:dyDescent="0.25">
      <c r="A214" s="29" t="s">
        <v>272</v>
      </c>
      <c r="B214" s="20" t="s">
        <v>471</v>
      </c>
      <c r="C214" s="40" t="s">
        <v>264</v>
      </c>
      <c r="D214" s="40" t="s">
        <v>264</v>
      </c>
      <c r="E214" s="40" t="s">
        <v>273</v>
      </c>
      <c r="F214" s="40"/>
      <c r="G214" s="10" t="e">
        <f>G215</f>
        <v>#REF!</v>
      </c>
    </row>
    <row r="215" spans="1:7" ht="15.75" x14ac:dyDescent="0.25">
      <c r="A215" s="29" t="s">
        <v>274</v>
      </c>
      <c r="B215" s="20" t="s">
        <v>471</v>
      </c>
      <c r="C215" s="40" t="s">
        <v>264</v>
      </c>
      <c r="D215" s="40" t="s">
        <v>264</v>
      </c>
      <c r="E215" s="40" t="s">
        <v>275</v>
      </c>
      <c r="F215" s="40"/>
      <c r="G215" s="10" t="e">
        <f>'Пр.4 ведом.22'!#REF!</f>
        <v>#REF!</v>
      </c>
    </row>
    <row r="216" spans="1:7" ht="47.25" x14ac:dyDescent="0.25">
      <c r="A216" s="29" t="s">
        <v>403</v>
      </c>
      <c r="B216" s="20" t="s">
        <v>469</v>
      </c>
      <c r="C216" s="40" t="s">
        <v>264</v>
      </c>
      <c r="D216" s="40" t="s">
        <v>264</v>
      </c>
      <c r="E216" s="40"/>
      <c r="F216" s="40" t="s">
        <v>636</v>
      </c>
      <c r="G216" s="10" t="e">
        <f>G210</f>
        <v>#REF!</v>
      </c>
    </row>
    <row r="217" spans="1:7" ht="78.75" x14ac:dyDescent="0.25">
      <c r="A217" s="58" t="s">
        <v>155</v>
      </c>
      <c r="B217" s="172" t="s">
        <v>156</v>
      </c>
      <c r="C217" s="7"/>
      <c r="D217" s="172"/>
      <c r="E217" s="172"/>
      <c r="F217" s="172"/>
      <c r="G217" s="59" t="e">
        <f>G220</f>
        <v>#REF!</v>
      </c>
    </row>
    <row r="218" spans="1:7" ht="15.75" x14ac:dyDescent="0.25">
      <c r="A218" s="45" t="s">
        <v>117</v>
      </c>
      <c r="B218" s="5" t="s">
        <v>156</v>
      </c>
      <c r="C218" s="40" t="s">
        <v>118</v>
      </c>
      <c r="D218" s="5"/>
      <c r="E218" s="5"/>
      <c r="F218" s="5"/>
      <c r="G218" s="10" t="e">
        <f>G219</f>
        <v>#REF!</v>
      </c>
    </row>
    <row r="219" spans="1:7" ht="31.5" x14ac:dyDescent="0.25">
      <c r="A219" s="67" t="s">
        <v>139</v>
      </c>
      <c r="B219" s="66" t="s">
        <v>156</v>
      </c>
      <c r="C219" s="40" t="s">
        <v>118</v>
      </c>
      <c r="D219" s="66">
        <v>13</v>
      </c>
      <c r="E219" s="66"/>
      <c r="F219" s="66"/>
      <c r="G219" s="10" t="e">
        <f>G220</f>
        <v>#REF!</v>
      </c>
    </row>
    <row r="220" spans="1:7" ht="47.25" x14ac:dyDescent="0.25">
      <c r="A220" s="29" t="s">
        <v>157</v>
      </c>
      <c r="B220" s="66" t="s">
        <v>158</v>
      </c>
      <c r="C220" s="40" t="s">
        <v>118</v>
      </c>
      <c r="D220" s="40" t="s">
        <v>140</v>
      </c>
      <c r="E220" s="40"/>
      <c r="F220" s="40"/>
      <c r="G220" s="10" t="e">
        <f>G221</f>
        <v>#REF!</v>
      </c>
    </row>
    <row r="221" spans="1:7" ht="47.25" x14ac:dyDescent="0.25">
      <c r="A221" s="29" t="s">
        <v>131</v>
      </c>
      <c r="B221" s="66" t="s">
        <v>158</v>
      </c>
      <c r="C221" s="40" t="s">
        <v>118</v>
      </c>
      <c r="D221" s="40" t="s">
        <v>140</v>
      </c>
      <c r="E221" s="40" t="s">
        <v>145</v>
      </c>
      <c r="F221" s="40"/>
      <c r="G221" s="10" t="e">
        <f>G222</f>
        <v>#REF!</v>
      </c>
    </row>
    <row r="222" spans="1:7" ht="78.75" x14ac:dyDescent="0.25">
      <c r="A222" s="29" t="s">
        <v>184</v>
      </c>
      <c r="B222" s="66" t="s">
        <v>158</v>
      </c>
      <c r="C222" s="40" t="s">
        <v>118</v>
      </c>
      <c r="D222" s="40" t="s">
        <v>140</v>
      </c>
      <c r="E222" s="40" t="s">
        <v>160</v>
      </c>
      <c r="F222" s="40"/>
      <c r="G222" s="10" t="e">
        <f>'Пр.4 ведом.22'!#REF!</f>
        <v>#REF!</v>
      </c>
    </row>
    <row r="223" spans="1:7" ht="31.5" x14ac:dyDescent="0.25">
      <c r="A223" s="29" t="s">
        <v>148</v>
      </c>
      <c r="B223" s="66" t="s">
        <v>156</v>
      </c>
      <c r="C223" s="40" t="s">
        <v>118</v>
      </c>
      <c r="D223" s="40" t="s">
        <v>140</v>
      </c>
      <c r="E223" s="40"/>
      <c r="F223" s="40" t="s">
        <v>641</v>
      </c>
      <c r="G223" s="10" t="e">
        <f>G217</f>
        <v>#REF!</v>
      </c>
    </row>
    <row r="224" spans="1:7" ht="73.5" customHeight="1" x14ac:dyDescent="0.25">
      <c r="A224" s="41" t="s">
        <v>161</v>
      </c>
      <c r="B224" s="172" t="s">
        <v>162</v>
      </c>
      <c r="C224" s="7"/>
      <c r="D224" s="7"/>
      <c r="E224" s="7"/>
      <c r="F224" s="7"/>
      <c r="G224" s="59" t="e">
        <f>G225</f>
        <v>#REF!</v>
      </c>
    </row>
    <row r="225" spans="1:7" ht="15.75" x14ac:dyDescent="0.25">
      <c r="A225" s="45" t="s">
        <v>117</v>
      </c>
      <c r="B225" s="5" t="s">
        <v>162</v>
      </c>
      <c r="C225" s="40" t="s">
        <v>118</v>
      </c>
      <c r="D225" s="5"/>
      <c r="E225" s="5"/>
      <c r="F225" s="40"/>
      <c r="G225" s="10" t="e">
        <f>G226</f>
        <v>#REF!</v>
      </c>
    </row>
    <row r="226" spans="1:7" ht="31.5" x14ac:dyDescent="0.25">
      <c r="A226" s="67" t="s">
        <v>139</v>
      </c>
      <c r="B226" s="66" t="s">
        <v>162</v>
      </c>
      <c r="C226" s="40" t="s">
        <v>118</v>
      </c>
      <c r="D226" s="66">
        <v>13</v>
      </c>
      <c r="E226" s="66"/>
      <c r="F226" s="40"/>
      <c r="G226" s="10" t="e">
        <f>G227+G230+G235+G238</f>
        <v>#REF!</v>
      </c>
    </row>
    <row r="227" spans="1:7" ht="31.5" x14ac:dyDescent="0.25">
      <c r="A227" s="29" t="s">
        <v>163</v>
      </c>
      <c r="B227" s="40" t="s">
        <v>164</v>
      </c>
      <c r="C227" s="40" t="s">
        <v>118</v>
      </c>
      <c r="D227" s="40" t="s">
        <v>140</v>
      </c>
      <c r="E227" s="40"/>
      <c r="F227" s="40"/>
      <c r="G227" s="10" t="e">
        <f>G228</f>
        <v>#REF!</v>
      </c>
    </row>
    <row r="228" spans="1:7" ht="47.25" x14ac:dyDescent="0.25">
      <c r="A228" s="29" t="s">
        <v>131</v>
      </c>
      <c r="B228" s="40" t="s">
        <v>164</v>
      </c>
      <c r="C228" s="40" t="s">
        <v>118</v>
      </c>
      <c r="D228" s="40" t="s">
        <v>140</v>
      </c>
      <c r="E228" s="40" t="s">
        <v>132</v>
      </c>
      <c r="F228" s="40"/>
      <c r="G228" s="10" t="e">
        <f>G229</f>
        <v>#REF!</v>
      </c>
    </row>
    <row r="229" spans="1:7" ht="47.25" x14ac:dyDescent="0.25">
      <c r="A229" s="29" t="s">
        <v>133</v>
      </c>
      <c r="B229" s="40" t="s">
        <v>164</v>
      </c>
      <c r="C229" s="40" t="s">
        <v>118</v>
      </c>
      <c r="D229" s="40" t="s">
        <v>140</v>
      </c>
      <c r="E229" s="40" t="s">
        <v>134</v>
      </c>
      <c r="F229" s="40"/>
      <c r="G229" s="10" t="e">
        <f>'Пр.4 ведом.22'!#REF!</f>
        <v>#REF!</v>
      </c>
    </row>
    <row r="230" spans="1:7" ht="78.75" x14ac:dyDescent="0.25">
      <c r="A230" s="97" t="s">
        <v>165</v>
      </c>
      <c r="B230" s="40" t="s">
        <v>166</v>
      </c>
      <c r="C230" s="40" t="s">
        <v>118</v>
      </c>
      <c r="D230" s="40" t="s">
        <v>140</v>
      </c>
      <c r="E230" s="40"/>
      <c r="F230" s="40"/>
      <c r="G230" s="10" t="e">
        <f>G231+G233</f>
        <v>#REF!</v>
      </c>
    </row>
    <row r="231" spans="1:7" ht="110.25" x14ac:dyDescent="0.25">
      <c r="A231" s="29" t="s">
        <v>127</v>
      </c>
      <c r="B231" s="40" t="s">
        <v>166</v>
      </c>
      <c r="C231" s="40" t="s">
        <v>118</v>
      </c>
      <c r="D231" s="40" t="s">
        <v>140</v>
      </c>
      <c r="E231" s="40" t="s">
        <v>128</v>
      </c>
      <c r="F231" s="40"/>
      <c r="G231" s="10" t="e">
        <f>G232</f>
        <v>#REF!</v>
      </c>
    </row>
    <row r="232" spans="1:7" ht="47.25" x14ac:dyDescent="0.25">
      <c r="A232" s="29" t="s">
        <v>129</v>
      </c>
      <c r="B232" s="40" t="s">
        <v>166</v>
      </c>
      <c r="C232" s="40" t="s">
        <v>118</v>
      </c>
      <c r="D232" s="40" t="s">
        <v>140</v>
      </c>
      <c r="E232" s="40" t="s">
        <v>130</v>
      </c>
      <c r="F232" s="40"/>
      <c r="G232" s="10" t="e">
        <f>'Пр.4 ведом.22'!#REF!</f>
        <v>#REF!</v>
      </c>
    </row>
    <row r="233" spans="1:7" ht="47.25" x14ac:dyDescent="0.25">
      <c r="A233" s="29" t="s">
        <v>131</v>
      </c>
      <c r="B233" s="40" t="s">
        <v>166</v>
      </c>
      <c r="C233" s="40" t="s">
        <v>118</v>
      </c>
      <c r="D233" s="40" t="s">
        <v>140</v>
      </c>
      <c r="E233" s="40" t="s">
        <v>132</v>
      </c>
      <c r="F233" s="40"/>
      <c r="G233" s="10" t="e">
        <f>G234</f>
        <v>#REF!</v>
      </c>
    </row>
    <row r="234" spans="1:7" ht="47.25" x14ac:dyDescent="0.25">
      <c r="A234" s="29" t="s">
        <v>133</v>
      </c>
      <c r="B234" s="40" t="s">
        <v>166</v>
      </c>
      <c r="C234" s="40" t="s">
        <v>118</v>
      </c>
      <c r="D234" s="40" t="s">
        <v>140</v>
      </c>
      <c r="E234" s="40" t="s">
        <v>134</v>
      </c>
      <c r="F234" s="40"/>
      <c r="G234" s="10" t="e">
        <f>'Пр.4 ведом.22'!#REF!</f>
        <v>#REF!</v>
      </c>
    </row>
    <row r="235" spans="1:7" ht="63" x14ac:dyDescent="0.25">
      <c r="A235" s="31" t="s">
        <v>695</v>
      </c>
      <c r="B235" s="40" t="s">
        <v>696</v>
      </c>
      <c r="C235" s="40" t="s">
        <v>118</v>
      </c>
      <c r="D235" s="40" t="s">
        <v>140</v>
      </c>
      <c r="E235" s="40"/>
      <c r="F235" s="40"/>
      <c r="G235" s="10" t="e">
        <f>G236</f>
        <v>#REF!</v>
      </c>
    </row>
    <row r="236" spans="1:7" ht="47.25" x14ac:dyDescent="0.25">
      <c r="A236" s="25" t="s">
        <v>131</v>
      </c>
      <c r="B236" s="40" t="s">
        <v>696</v>
      </c>
      <c r="C236" s="40" t="s">
        <v>118</v>
      </c>
      <c r="D236" s="40" t="s">
        <v>140</v>
      </c>
      <c r="E236" s="40" t="s">
        <v>132</v>
      </c>
      <c r="F236" s="40"/>
      <c r="G236" s="10" t="e">
        <f>G237</f>
        <v>#REF!</v>
      </c>
    </row>
    <row r="237" spans="1:7" ht="47.25" x14ac:dyDescent="0.25">
      <c r="A237" s="25" t="s">
        <v>133</v>
      </c>
      <c r="B237" s="40" t="s">
        <v>696</v>
      </c>
      <c r="C237" s="40" t="s">
        <v>118</v>
      </c>
      <c r="D237" s="40" t="s">
        <v>140</v>
      </c>
      <c r="E237" s="40" t="s">
        <v>134</v>
      </c>
      <c r="F237" s="40"/>
      <c r="G237" s="10" t="e">
        <f>'Пр.4 ведом.22'!#REF!</f>
        <v>#REF!</v>
      </c>
    </row>
    <row r="238" spans="1:7" ht="63" x14ac:dyDescent="0.25">
      <c r="A238" s="33" t="s">
        <v>191</v>
      </c>
      <c r="B238" s="40" t="s">
        <v>682</v>
      </c>
      <c r="C238" s="40" t="s">
        <v>118</v>
      </c>
      <c r="D238" s="40" t="s">
        <v>140</v>
      </c>
      <c r="E238" s="40"/>
      <c r="F238" s="40"/>
      <c r="G238" s="10" t="e">
        <f>G239</f>
        <v>#REF!</v>
      </c>
    </row>
    <row r="239" spans="1:7" ht="47.25" x14ac:dyDescent="0.25">
      <c r="A239" s="25" t="s">
        <v>131</v>
      </c>
      <c r="B239" s="40" t="s">
        <v>682</v>
      </c>
      <c r="C239" s="40" t="s">
        <v>118</v>
      </c>
      <c r="D239" s="40" t="s">
        <v>140</v>
      </c>
      <c r="E239" s="40" t="s">
        <v>132</v>
      </c>
      <c r="F239" s="40"/>
      <c r="G239" s="10" t="e">
        <f>G240</f>
        <v>#REF!</v>
      </c>
    </row>
    <row r="240" spans="1:7" ht="47.25" x14ac:dyDescent="0.25">
      <c r="A240" s="25" t="s">
        <v>133</v>
      </c>
      <c r="B240" s="40" t="s">
        <v>682</v>
      </c>
      <c r="C240" s="40" t="s">
        <v>118</v>
      </c>
      <c r="D240" s="40" t="s">
        <v>140</v>
      </c>
      <c r="E240" s="40" t="s">
        <v>134</v>
      </c>
      <c r="F240" s="40"/>
      <c r="G240" s="10" t="e">
        <f>'Пр.4 ведом.22'!#REF!</f>
        <v>#REF!</v>
      </c>
    </row>
    <row r="241" spans="1:7" ht="31.5" x14ac:dyDescent="0.25">
      <c r="A241" s="29" t="s">
        <v>148</v>
      </c>
      <c r="B241" s="40" t="s">
        <v>162</v>
      </c>
      <c r="C241" s="40" t="s">
        <v>118</v>
      </c>
      <c r="D241" s="40" t="s">
        <v>140</v>
      </c>
      <c r="E241" s="40"/>
      <c r="F241" s="40" t="s">
        <v>641</v>
      </c>
      <c r="G241" s="10" t="e">
        <f>G224</f>
        <v>#REF!</v>
      </c>
    </row>
    <row r="242" spans="1:7" ht="94.5" x14ac:dyDescent="0.25">
      <c r="A242" s="41" t="s">
        <v>253</v>
      </c>
      <c r="B242" s="172" t="s">
        <v>254</v>
      </c>
      <c r="C242" s="40"/>
      <c r="D242" s="40"/>
      <c r="E242" s="40"/>
      <c r="F242" s="40"/>
      <c r="G242" s="59" t="e">
        <f>G243</f>
        <v>#REF!</v>
      </c>
    </row>
    <row r="243" spans="1:7" ht="15.75" x14ac:dyDescent="0.25">
      <c r="A243" s="29" t="s">
        <v>243</v>
      </c>
      <c r="B243" s="5" t="s">
        <v>254</v>
      </c>
      <c r="C243" s="40" t="s">
        <v>244</v>
      </c>
      <c r="D243" s="40"/>
      <c r="E243" s="40"/>
      <c r="F243" s="40"/>
      <c r="G243" s="10" t="e">
        <f>G244</f>
        <v>#REF!</v>
      </c>
    </row>
    <row r="244" spans="1:7" ht="22.7" customHeight="1" x14ac:dyDescent="0.25">
      <c r="A244" s="29" t="s">
        <v>252</v>
      </c>
      <c r="B244" s="5" t="s">
        <v>254</v>
      </c>
      <c r="C244" s="40" t="s">
        <v>244</v>
      </c>
      <c r="D244" s="40" t="s">
        <v>215</v>
      </c>
      <c r="E244" s="40"/>
      <c r="F244" s="40"/>
      <c r="G244" s="10" t="e">
        <f>G245</f>
        <v>#REF!</v>
      </c>
    </row>
    <row r="245" spans="1:7" ht="47.25" x14ac:dyDescent="0.25">
      <c r="A245" s="29" t="s">
        <v>157</v>
      </c>
      <c r="B245" s="66" t="s">
        <v>255</v>
      </c>
      <c r="C245" s="40" t="s">
        <v>244</v>
      </c>
      <c r="D245" s="40" t="s">
        <v>215</v>
      </c>
      <c r="E245" s="40"/>
      <c r="F245" s="40"/>
      <c r="G245" s="10" t="e">
        <f>G246</f>
        <v>#REF!</v>
      </c>
    </row>
    <row r="246" spans="1:7" ht="38.25" customHeight="1" x14ac:dyDescent="0.25">
      <c r="A246" s="29" t="s">
        <v>248</v>
      </c>
      <c r="B246" s="66" t="s">
        <v>255</v>
      </c>
      <c r="C246" s="40" t="s">
        <v>244</v>
      </c>
      <c r="D246" s="40" t="s">
        <v>215</v>
      </c>
      <c r="E246" s="40" t="s">
        <v>249</v>
      </c>
      <c r="F246" s="40"/>
      <c r="G246" s="10" t="e">
        <f>G247</f>
        <v>#REF!</v>
      </c>
    </row>
    <row r="247" spans="1:7" ht="47.25" x14ac:dyDescent="0.25">
      <c r="A247" s="29" t="s">
        <v>250</v>
      </c>
      <c r="B247" s="66" t="s">
        <v>255</v>
      </c>
      <c r="C247" s="40" t="s">
        <v>244</v>
      </c>
      <c r="D247" s="40" t="s">
        <v>215</v>
      </c>
      <c r="E247" s="40" t="s">
        <v>251</v>
      </c>
      <c r="F247" s="40"/>
      <c r="G247" s="10" t="e">
        <f>'Пр.4 ведом.22'!#REF!</f>
        <v>#REF!</v>
      </c>
    </row>
    <row r="248" spans="1:7" ht="31.5" x14ac:dyDescent="0.25">
      <c r="A248" s="45" t="s">
        <v>148</v>
      </c>
      <c r="B248" s="66" t="s">
        <v>254</v>
      </c>
      <c r="C248" s="40" t="s">
        <v>244</v>
      </c>
      <c r="D248" s="40" t="s">
        <v>215</v>
      </c>
      <c r="E248" s="40"/>
      <c r="F248" s="40" t="s">
        <v>641</v>
      </c>
      <c r="G248" s="10" t="e">
        <f>G242</f>
        <v>#REF!</v>
      </c>
    </row>
    <row r="249" spans="1:7" ht="141.75" x14ac:dyDescent="0.25">
      <c r="A249" s="41" t="s">
        <v>593</v>
      </c>
      <c r="B249" s="172" t="s">
        <v>168</v>
      </c>
      <c r="C249" s="7"/>
      <c r="D249" s="7"/>
      <c r="E249" s="7"/>
      <c r="F249" s="7"/>
      <c r="G249" s="59" t="e">
        <f>G250+G257+G264</f>
        <v>#REF!</v>
      </c>
    </row>
    <row r="250" spans="1:7" ht="110.25" x14ac:dyDescent="0.25">
      <c r="A250" s="41" t="s">
        <v>169</v>
      </c>
      <c r="B250" s="172" t="s">
        <v>170</v>
      </c>
      <c r="C250" s="7"/>
      <c r="D250" s="7"/>
      <c r="E250" s="7"/>
      <c r="F250" s="7"/>
      <c r="G250" s="59" t="e">
        <f>G251</f>
        <v>#REF!</v>
      </c>
    </row>
    <row r="251" spans="1:7" ht="15.75" x14ac:dyDescent="0.25">
      <c r="A251" s="45" t="s">
        <v>117</v>
      </c>
      <c r="B251" s="5" t="s">
        <v>170</v>
      </c>
      <c r="C251" s="40" t="s">
        <v>118</v>
      </c>
      <c r="D251" s="40"/>
      <c r="E251" s="40"/>
      <c r="F251" s="40"/>
      <c r="G251" s="10" t="e">
        <f>G252</f>
        <v>#REF!</v>
      </c>
    </row>
    <row r="252" spans="1:7" ht="33.75" customHeight="1" x14ac:dyDescent="0.25">
      <c r="A252" s="67" t="s">
        <v>139</v>
      </c>
      <c r="B252" s="5" t="s">
        <v>170</v>
      </c>
      <c r="C252" s="40" t="s">
        <v>118</v>
      </c>
      <c r="D252" s="40" t="s">
        <v>140</v>
      </c>
      <c r="E252" s="40"/>
      <c r="F252" s="40"/>
      <c r="G252" s="10" t="e">
        <f>G253</f>
        <v>#REF!</v>
      </c>
    </row>
    <row r="253" spans="1:7" ht="47.25" x14ac:dyDescent="0.25">
      <c r="A253" s="97" t="s">
        <v>171</v>
      </c>
      <c r="B253" s="5" t="s">
        <v>172</v>
      </c>
      <c r="C253" s="40" t="s">
        <v>118</v>
      </c>
      <c r="D253" s="40" t="s">
        <v>140</v>
      </c>
      <c r="E253" s="40"/>
      <c r="F253" s="40"/>
      <c r="G253" s="10" t="e">
        <f>G254</f>
        <v>#REF!</v>
      </c>
    </row>
    <row r="254" spans="1:7" ht="47.25" x14ac:dyDescent="0.25">
      <c r="A254" s="29" t="s">
        <v>131</v>
      </c>
      <c r="B254" s="5" t="s">
        <v>172</v>
      </c>
      <c r="C254" s="40" t="s">
        <v>118</v>
      </c>
      <c r="D254" s="40" t="s">
        <v>140</v>
      </c>
      <c r="E254" s="40" t="s">
        <v>132</v>
      </c>
      <c r="F254" s="40"/>
      <c r="G254" s="10" t="e">
        <f>G255</f>
        <v>#REF!</v>
      </c>
    </row>
    <row r="255" spans="1:7" ht="47.25" x14ac:dyDescent="0.25">
      <c r="A255" s="29" t="s">
        <v>133</v>
      </c>
      <c r="B255" s="5" t="s">
        <v>172</v>
      </c>
      <c r="C255" s="40" t="s">
        <v>118</v>
      </c>
      <c r="D255" s="40" t="s">
        <v>140</v>
      </c>
      <c r="E255" s="40" t="s">
        <v>134</v>
      </c>
      <c r="F255" s="40"/>
      <c r="G255" s="10" t="e">
        <f>'Пр.4 ведом.22'!#REF!</f>
        <v>#REF!</v>
      </c>
    </row>
    <row r="256" spans="1:7" ht="31.5" x14ac:dyDescent="0.25">
      <c r="A256" s="29" t="s">
        <v>148</v>
      </c>
      <c r="B256" s="5" t="s">
        <v>170</v>
      </c>
      <c r="C256" s="40" t="s">
        <v>118</v>
      </c>
      <c r="D256" s="40" t="s">
        <v>140</v>
      </c>
      <c r="E256" s="40"/>
      <c r="F256" s="40" t="s">
        <v>641</v>
      </c>
      <c r="G256" s="6" t="e">
        <f>G250</f>
        <v>#REF!</v>
      </c>
    </row>
    <row r="257" spans="1:7" ht="94.5" x14ac:dyDescent="0.25">
      <c r="A257" s="41" t="s">
        <v>173</v>
      </c>
      <c r="B257" s="172" t="s">
        <v>174</v>
      </c>
      <c r="C257" s="7"/>
      <c r="D257" s="7"/>
      <c r="E257" s="7"/>
      <c r="F257" s="7"/>
      <c r="G257" s="59" t="e">
        <f>G258</f>
        <v>#REF!</v>
      </c>
    </row>
    <row r="258" spans="1:7" ht="15.75" x14ac:dyDescent="0.25">
      <c r="A258" s="45" t="s">
        <v>117</v>
      </c>
      <c r="B258" s="5" t="s">
        <v>174</v>
      </c>
      <c r="C258" s="40" t="s">
        <v>118</v>
      </c>
      <c r="D258" s="40"/>
      <c r="E258" s="40"/>
      <c r="F258" s="40"/>
      <c r="G258" s="6" t="e">
        <f>G259</f>
        <v>#REF!</v>
      </c>
    </row>
    <row r="259" spans="1:7" ht="31.5" x14ac:dyDescent="0.25">
      <c r="A259" s="67" t="s">
        <v>139</v>
      </c>
      <c r="B259" s="5" t="s">
        <v>174</v>
      </c>
      <c r="C259" s="40" t="s">
        <v>118</v>
      </c>
      <c r="D259" s="40" t="s">
        <v>140</v>
      </c>
      <c r="E259" s="40"/>
      <c r="F259" s="40"/>
      <c r="G259" s="6" t="e">
        <f>G260</f>
        <v>#REF!</v>
      </c>
    </row>
    <row r="260" spans="1:7" ht="31.5" x14ac:dyDescent="0.25">
      <c r="A260" s="45" t="s">
        <v>175</v>
      </c>
      <c r="B260" s="5" t="s">
        <v>176</v>
      </c>
      <c r="C260" s="9" t="s">
        <v>118</v>
      </c>
      <c r="D260" s="9" t="s">
        <v>140</v>
      </c>
      <c r="E260" s="9"/>
      <c r="F260" s="26"/>
      <c r="G260" s="26" t="e">
        <f>G261</f>
        <v>#REF!</v>
      </c>
    </row>
    <row r="261" spans="1:7" ht="47.25" x14ac:dyDescent="0.25">
      <c r="A261" s="25" t="s">
        <v>131</v>
      </c>
      <c r="B261" s="5" t="s">
        <v>176</v>
      </c>
      <c r="C261" s="9" t="s">
        <v>118</v>
      </c>
      <c r="D261" s="9" t="s">
        <v>140</v>
      </c>
      <c r="E261" s="9" t="s">
        <v>132</v>
      </c>
      <c r="F261" s="26"/>
      <c r="G261" s="26" t="e">
        <f>G262</f>
        <v>#REF!</v>
      </c>
    </row>
    <row r="262" spans="1:7" ht="47.25" x14ac:dyDescent="0.25">
      <c r="A262" s="25" t="s">
        <v>133</v>
      </c>
      <c r="B262" s="5" t="s">
        <v>176</v>
      </c>
      <c r="C262" s="9" t="s">
        <v>118</v>
      </c>
      <c r="D262" s="9" t="s">
        <v>140</v>
      </c>
      <c r="E262" s="9" t="s">
        <v>134</v>
      </c>
      <c r="F262" s="26"/>
      <c r="G262" s="26" t="e">
        <f>'Пр.4 ведом.22'!#REF!</f>
        <v>#REF!</v>
      </c>
    </row>
    <row r="263" spans="1:7" ht="31.5" x14ac:dyDescent="0.25">
      <c r="A263" s="29" t="s">
        <v>148</v>
      </c>
      <c r="B263" s="5" t="s">
        <v>174</v>
      </c>
      <c r="C263" s="40" t="s">
        <v>118</v>
      </c>
      <c r="D263" s="40" t="s">
        <v>140</v>
      </c>
      <c r="E263" s="40"/>
      <c r="F263" s="40" t="s">
        <v>641</v>
      </c>
      <c r="G263" s="6" t="e">
        <f>G257</f>
        <v>#REF!</v>
      </c>
    </row>
    <row r="264" spans="1:7" ht="63" x14ac:dyDescent="0.25">
      <c r="A264" s="23" t="s">
        <v>177</v>
      </c>
      <c r="B264" s="172" t="s">
        <v>178</v>
      </c>
      <c r="C264" s="7"/>
      <c r="D264" s="7"/>
      <c r="E264" s="7"/>
      <c r="F264" s="7"/>
      <c r="G264" s="59" t="e">
        <f>G265</f>
        <v>#REF!</v>
      </c>
    </row>
    <row r="265" spans="1:7" ht="15.75" x14ac:dyDescent="0.25">
      <c r="A265" s="45" t="s">
        <v>117</v>
      </c>
      <c r="B265" s="5" t="s">
        <v>178</v>
      </c>
      <c r="C265" s="40" t="s">
        <v>118</v>
      </c>
      <c r="D265" s="40"/>
      <c r="E265" s="40"/>
      <c r="F265" s="40"/>
      <c r="G265" s="10" t="e">
        <f>G266</f>
        <v>#REF!</v>
      </c>
    </row>
    <row r="266" spans="1:7" ht="31.5" x14ac:dyDescent="0.25">
      <c r="A266" s="67" t="s">
        <v>139</v>
      </c>
      <c r="B266" s="5" t="s">
        <v>178</v>
      </c>
      <c r="C266" s="40" t="s">
        <v>118</v>
      </c>
      <c r="D266" s="40" t="s">
        <v>140</v>
      </c>
      <c r="E266" s="40"/>
      <c r="F266" s="40"/>
      <c r="G266" s="10" t="e">
        <f>G267</f>
        <v>#REF!</v>
      </c>
    </row>
    <row r="267" spans="1:7" ht="32.25" customHeight="1" x14ac:dyDescent="0.25">
      <c r="A267" s="45" t="s">
        <v>179</v>
      </c>
      <c r="B267" s="5" t="s">
        <v>180</v>
      </c>
      <c r="C267" s="40" t="s">
        <v>118</v>
      </c>
      <c r="D267" s="40" t="s">
        <v>140</v>
      </c>
      <c r="E267" s="40"/>
      <c r="F267" s="40"/>
      <c r="G267" s="10" t="e">
        <f>G268</f>
        <v>#REF!</v>
      </c>
    </row>
    <row r="268" spans="1:7" ht="47.25" x14ac:dyDescent="0.25">
      <c r="A268" s="29" t="s">
        <v>131</v>
      </c>
      <c r="B268" s="5" t="s">
        <v>180</v>
      </c>
      <c r="C268" s="40" t="s">
        <v>118</v>
      </c>
      <c r="D268" s="40" t="s">
        <v>140</v>
      </c>
      <c r="E268" s="40" t="s">
        <v>132</v>
      </c>
      <c r="F268" s="40"/>
      <c r="G268" s="10" t="e">
        <f>G269</f>
        <v>#REF!</v>
      </c>
    </row>
    <row r="269" spans="1:7" ht="47.25" x14ac:dyDescent="0.25">
      <c r="A269" s="29" t="s">
        <v>133</v>
      </c>
      <c r="B269" s="5" t="s">
        <v>180</v>
      </c>
      <c r="C269" s="40" t="s">
        <v>118</v>
      </c>
      <c r="D269" s="40" t="s">
        <v>140</v>
      </c>
      <c r="E269" s="40" t="s">
        <v>134</v>
      </c>
      <c r="F269" s="40"/>
      <c r="G269" s="10" t="e">
        <f>'Пр.4 ведом.22'!#REF!</f>
        <v>#REF!</v>
      </c>
    </row>
    <row r="270" spans="1:7" ht="31.5" x14ac:dyDescent="0.25">
      <c r="A270" s="29" t="s">
        <v>148</v>
      </c>
      <c r="B270" s="5" t="s">
        <v>178</v>
      </c>
      <c r="C270" s="40" t="s">
        <v>118</v>
      </c>
      <c r="D270" s="40" t="s">
        <v>140</v>
      </c>
      <c r="E270" s="40"/>
      <c r="F270" s="40" t="s">
        <v>641</v>
      </c>
      <c r="G270" s="10" t="e">
        <f>G264</f>
        <v>#REF!</v>
      </c>
    </row>
    <row r="271" spans="1:7" ht="69" customHeight="1" x14ac:dyDescent="0.25">
      <c r="A271" s="41" t="s">
        <v>481</v>
      </c>
      <c r="B271" s="3" t="s">
        <v>482</v>
      </c>
      <c r="C271" s="68"/>
      <c r="D271" s="68"/>
      <c r="E271" s="68"/>
      <c r="F271" s="68"/>
      <c r="G271" s="4" t="e">
        <f>G273+G294+G317</f>
        <v>#REF!</v>
      </c>
    </row>
    <row r="272" spans="1:7" ht="94.5" x14ac:dyDescent="0.25">
      <c r="A272" s="41" t="s">
        <v>642</v>
      </c>
      <c r="B272" s="3" t="s">
        <v>484</v>
      </c>
      <c r="C272" s="69"/>
      <c r="D272" s="69"/>
      <c r="E272" s="69"/>
      <c r="F272" s="69"/>
      <c r="G272" s="59" t="e">
        <f>G273</f>
        <v>#REF!</v>
      </c>
    </row>
    <row r="273" spans="1:7" ht="15.75" x14ac:dyDescent="0.25">
      <c r="A273" s="29" t="s">
        <v>263</v>
      </c>
      <c r="B273" s="40" t="s">
        <v>484</v>
      </c>
      <c r="C273" s="40" t="s">
        <v>264</v>
      </c>
      <c r="D273" s="68"/>
      <c r="E273" s="68"/>
      <c r="F273" s="68"/>
      <c r="G273" s="10" t="e">
        <f>G274</f>
        <v>#REF!</v>
      </c>
    </row>
    <row r="274" spans="1:7" ht="15.75" x14ac:dyDescent="0.25">
      <c r="A274" s="29" t="s">
        <v>265</v>
      </c>
      <c r="B274" s="40" t="s">
        <v>484</v>
      </c>
      <c r="C274" s="40" t="s">
        <v>264</v>
      </c>
      <c r="D274" s="40" t="s">
        <v>215</v>
      </c>
      <c r="E274" s="68"/>
      <c r="F274" s="68"/>
      <c r="G274" s="10" t="e">
        <f>G275+G290</f>
        <v>#REF!</v>
      </c>
    </row>
    <row r="275" spans="1:7" ht="63" x14ac:dyDescent="0.25">
      <c r="A275" s="29" t="s">
        <v>270</v>
      </c>
      <c r="B275" s="40" t="s">
        <v>485</v>
      </c>
      <c r="C275" s="40" t="s">
        <v>264</v>
      </c>
      <c r="D275" s="40" t="s">
        <v>215</v>
      </c>
      <c r="E275" s="68"/>
      <c r="F275" s="68"/>
      <c r="G275" s="10" t="e">
        <f>G276</f>
        <v>#REF!</v>
      </c>
    </row>
    <row r="276" spans="1:7" ht="63" x14ac:dyDescent="0.25">
      <c r="A276" s="29" t="s">
        <v>272</v>
      </c>
      <c r="B276" s="40" t="s">
        <v>485</v>
      </c>
      <c r="C276" s="40" t="s">
        <v>264</v>
      </c>
      <c r="D276" s="40" t="s">
        <v>215</v>
      </c>
      <c r="E276" s="40" t="s">
        <v>273</v>
      </c>
      <c r="F276" s="68"/>
      <c r="G276" s="10" t="e">
        <f>G277</f>
        <v>#REF!</v>
      </c>
    </row>
    <row r="277" spans="1:7" ht="15.75" x14ac:dyDescent="0.25">
      <c r="A277" s="29" t="s">
        <v>274</v>
      </c>
      <c r="B277" s="40" t="s">
        <v>485</v>
      </c>
      <c r="C277" s="40" t="s">
        <v>264</v>
      </c>
      <c r="D277" s="40" t="s">
        <v>215</v>
      </c>
      <c r="E277" s="40" t="s">
        <v>275</v>
      </c>
      <c r="F277" s="68"/>
      <c r="G277" s="10" t="e">
        <f>'Пр.4 ведом.22'!#REF!</f>
        <v>#REF!</v>
      </c>
    </row>
    <row r="278" spans="1:7" ht="78.75" hidden="1" customHeight="1" x14ac:dyDescent="0.25">
      <c r="A278" s="29" t="s">
        <v>595</v>
      </c>
      <c r="B278" s="40" t="s">
        <v>643</v>
      </c>
      <c r="C278" s="40" t="s">
        <v>264</v>
      </c>
      <c r="D278" s="40" t="s">
        <v>215</v>
      </c>
      <c r="E278" s="40"/>
      <c r="F278" s="68"/>
      <c r="G278" s="10">
        <f>G279</f>
        <v>0</v>
      </c>
    </row>
    <row r="279" spans="1:7" ht="63" hidden="1" x14ac:dyDescent="0.25">
      <c r="A279" s="29" t="s">
        <v>272</v>
      </c>
      <c r="B279" s="40" t="s">
        <v>643</v>
      </c>
      <c r="C279" s="40" t="s">
        <v>264</v>
      </c>
      <c r="D279" s="40" t="s">
        <v>215</v>
      </c>
      <c r="E279" s="40" t="s">
        <v>273</v>
      </c>
      <c r="F279" s="68"/>
      <c r="G279" s="10">
        <f>G280</f>
        <v>0</v>
      </c>
    </row>
    <row r="280" spans="1:7" ht="15.75" hidden="1" x14ac:dyDescent="0.25">
      <c r="A280" s="29" t="s">
        <v>274</v>
      </c>
      <c r="B280" s="40" t="s">
        <v>643</v>
      </c>
      <c r="C280" s="40" t="s">
        <v>264</v>
      </c>
      <c r="D280" s="40" t="s">
        <v>215</v>
      </c>
      <c r="E280" s="40" t="s">
        <v>275</v>
      </c>
      <c r="F280" s="68"/>
      <c r="G280" s="10">
        <f>G281</f>
        <v>0</v>
      </c>
    </row>
    <row r="281" spans="1:7" ht="47.25" hidden="1" x14ac:dyDescent="0.25">
      <c r="A281" s="46" t="s">
        <v>480</v>
      </c>
      <c r="B281" s="40" t="s">
        <v>643</v>
      </c>
      <c r="C281" s="40" t="s">
        <v>264</v>
      </c>
      <c r="D281" s="40" t="s">
        <v>215</v>
      </c>
      <c r="E281" s="40"/>
      <c r="F281" s="2">
        <v>907</v>
      </c>
      <c r="G281" s="10">
        <f>1500-1500</f>
        <v>0</v>
      </c>
    </row>
    <row r="282" spans="1:7" ht="47.25" hidden="1" x14ac:dyDescent="0.25">
      <c r="A282" s="29" t="s">
        <v>278</v>
      </c>
      <c r="B282" s="40" t="s">
        <v>644</v>
      </c>
      <c r="C282" s="40" t="s">
        <v>264</v>
      </c>
      <c r="D282" s="40" t="s">
        <v>215</v>
      </c>
      <c r="E282" s="40"/>
      <c r="F282" s="68"/>
      <c r="G282" s="10">
        <f>G283</f>
        <v>0</v>
      </c>
    </row>
    <row r="283" spans="1:7" ht="63" hidden="1" x14ac:dyDescent="0.25">
      <c r="A283" s="29" t="s">
        <v>272</v>
      </c>
      <c r="B283" s="40" t="s">
        <v>644</v>
      </c>
      <c r="C283" s="40" t="s">
        <v>264</v>
      </c>
      <c r="D283" s="40" t="s">
        <v>215</v>
      </c>
      <c r="E283" s="40" t="s">
        <v>273</v>
      </c>
      <c r="F283" s="68"/>
      <c r="G283" s="10">
        <f>G284</f>
        <v>0</v>
      </c>
    </row>
    <row r="284" spans="1:7" ht="15.75" hidden="1" x14ac:dyDescent="0.25">
      <c r="A284" s="29" t="s">
        <v>274</v>
      </c>
      <c r="B284" s="40" t="s">
        <v>644</v>
      </c>
      <c r="C284" s="40" t="s">
        <v>264</v>
      </c>
      <c r="D284" s="40" t="s">
        <v>215</v>
      </c>
      <c r="E284" s="40" t="s">
        <v>275</v>
      </c>
      <c r="F284" s="68"/>
      <c r="G284" s="10"/>
    </row>
    <row r="285" spans="1:7" ht="47.25" hidden="1" x14ac:dyDescent="0.25">
      <c r="A285" s="46" t="s">
        <v>480</v>
      </c>
      <c r="B285" s="40" t="s">
        <v>644</v>
      </c>
      <c r="C285" s="40" t="s">
        <v>264</v>
      </c>
      <c r="D285" s="40" t="s">
        <v>215</v>
      </c>
      <c r="E285" s="40"/>
      <c r="F285" s="2">
        <v>907</v>
      </c>
      <c r="G285" s="10">
        <v>0</v>
      </c>
    </row>
    <row r="286" spans="1:7" ht="31.5" hidden="1" x14ac:dyDescent="0.25">
      <c r="A286" s="29" t="s">
        <v>280</v>
      </c>
      <c r="B286" s="40" t="s">
        <v>645</v>
      </c>
      <c r="C286" s="40" t="s">
        <v>264</v>
      </c>
      <c r="D286" s="40" t="s">
        <v>215</v>
      </c>
      <c r="E286" s="40"/>
      <c r="F286" s="68"/>
      <c r="G286" s="10">
        <f>G287</f>
        <v>0</v>
      </c>
    </row>
    <row r="287" spans="1:7" ht="63" hidden="1" x14ac:dyDescent="0.25">
      <c r="A287" s="29" t="s">
        <v>272</v>
      </c>
      <c r="B287" s="40" t="s">
        <v>645</v>
      </c>
      <c r="C287" s="40" t="s">
        <v>264</v>
      </c>
      <c r="D287" s="40" t="s">
        <v>215</v>
      </c>
      <c r="E287" s="40" t="s">
        <v>273</v>
      </c>
      <c r="F287" s="68"/>
      <c r="G287" s="10">
        <f>G288</f>
        <v>0</v>
      </c>
    </row>
    <row r="288" spans="1:7" ht="15.75" hidden="1" x14ac:dyDescent="0.25">
      <c r="A288" s="29" t="s">
        <v>274</v>
      </c>
      <c r="B288" s="40" t="s">
        <v>645</v>
      </c>
      <c r="C288" s="40" t="s">
        <v>264</v>
      </c>
      <c r="D288" s="40" t="s">
        <v>215</v>
      </c>
      <c r="E288" s="40" t="s">
        <v>275</v>
      </c>
      <c r="F288" s="68"/>
      <c r="G288" s="10"/>
    </row>
    <row r="289" spans="1:7" ht="47.25" hidden="1" x14ac:dyDescent="0.25">
      <c r="A289" s="46" t="s">
        <v>480</v>
      </c>
      <c r="B289" s="40" t="s">
        <v>645</v>
      </c>
      <c r="C289" s="40" t="s">
        <v>264</v>
      </c>
      <c r="D289" s="40" t="s">
        <v>215</v>
      </c>
      <c r="E289" s="40"/>
      <c r="F289" s="2">
        <v>907</v>
      </c>
      <c r="G289" s="10">
        <v>0</v>
      </c>
    </row>
    <row r="290" spans="1:7" ht="47.25" x14ac:dyDescent="0.25">
      <c r="A290" s="29" t="s">
        <v>282</v>
      </c>
      <c r="B290" s="40" t="s">
        <v>488</v>
      </c>
      <c r="C290" s="40" t="s">
        <v>264</v>
      </c>
      <c r="D290" s="40" t="s">
        <v>215</v>
      </c>
      <c r="E290" s="40"/>
      <c r="F290" s="68"/>
      <c r="G290" s="10" t="e">
        <f>G291</f>
        <v>#REF!</v>
      </c>
    </row>
    <row r="291" spans="1:7" ht="63" x14ac:dyDescent="0.25">
      <c r="A291" s="29" t="s">
        <v>272</v>
      </c>
      <c r="B291" s="40" t="s">
        <v>488</v>
      </c>
      <c r="C291" s="40" t="s">
        <v>264</v>
      </c>
      <c r="D291" s="40" t="s">
        <v>215</v>
      </c>
      <c r="E291" s="40" t="s">
        <v>273</v>
      </c>
      <c r="F291" s="68"/>
      <c r="G291" s="10" t="e">
        <f>G292</f>
        <v>#REF!</v>
      </c>
    </row>
    <row r="292" spans="1:7" ht="15.75" x14ac:dyDescent="0.25">
      <c r="A292" s="29" t="s">
        <v>274</v>
      </c>
      <c r="B292" s="40" t="s">
        <v>488</v>
      </c>
      <c r="C292" s="40" t="s">
        <v>264</v>
      </c>
      <c r="D292" s="40" t="s">
        <v>215</v>
      </c>
      <c r="E292" s="40" t="s">
        <v>275</v>
      </c>
      <c r="F292" s="68"/>
      <c r="G292" s="10" t="e">
        <f>'Пр.4 ведом.22'!#REF!</f>
        <v>#REF!</v>
      </c>
    </row>
    <row r="293" spans="1:7" ht="58.7" customHeight="1" x14ac:dyDescent="0.25">
      <c r="A293" s="70" t="s">
        <v>480</v>
      </c>
      <c r="B293" s="40" t="s">
        <v>484</v>
      </c>
      <c r="C293" s="40" t="s">
        <v>264</v>
      </c>
      <c r="D293" s="40" t="s">
        <v>215</v>
      </c>
      <c r="E293" s="40"/>
      <c r="F293" s="2">
        <v>907</v>
      </c>
      <c r="G293" s="10" t="e">
        <f>G272</f>
        <v>#REF!</v>
      </c>
    </row>
    <row r="294" spans="1:7" ht="63" x14ac:dyDescent="0.25">
      <c r="A294" s="58" t="s">
        <v>493</v>
      </c>
      <c r="B294" s="7" t="s">
        <v>494</v>
      </c>
      <c r="C294" s="7"/>
      <c r="D294" s="7"/>
      <c r="E294" s="7"/>
      <c r="F294" s="3"/>
      <c r="G294" s="59" t="e">
        <f>G295</f>
        <v>#REF!</v>
      </c>
    </row>
    <row r="295" spans="1:7" ht="15.75" x14ac:dyDescent="0.25">
      <c r="A295" s="29" t="s">
        <v>490</v>
      </c>
      <c r="B295" s="40" t="s">
        <v>494</v>
      </c>
      <c r="C295" s="2">
        <v>11</v>
      </c>
      <c r="D295" s="68"/>
      <c r="E295" s="68"/>
      <c r="F295" s="68"/>
      <c r="G295" s="10" t="e">
        <f>G296</f>
        <v>#REF!</v>
      </c>
    </row>
    <row r="296" spans="1:7" ht="20.25" customHeight="1" x14ac:dyDescent="0.25">
      <c r="A296" s="29" t="s">
        <v>492</v>
      </c>
      <c r="B296" s="40" t="s">
        <v>494</v>
      </c>
      <c r="C296" s="40" t="s">
        <v>491</v>
      </c>
      <c r="D296" s="40" t="s">
        <v>118</v>
      </c>
      <c r="E296" s="71"/>
      <c r="F296" s="5"/>
      <c r="G296" s="10" t="e">
        <f>G297+G301+G305+G309+G313</f>
        <v>#REF!</v>
      </c>
    </row>
    <row r="297" spans="1:7" ht="47.25" x14ac:dyDescent="0.25">
      <c r="A297" s="29" t="s">
        <v>495</v>
      </c>
      <c r="B297" s="40" t="s">
        <v>496</v>
      </c>
      <c r="C297" s="40" t="s">
        <v>491</v>
      </c>
      <c r="D297" s="40" t="s">
        <v>118</v>
      </c>
      <c r="E297" s="71"/>
      <c r="F297" s="5"/>
      <c r="G297" s="10" t="e">
        <f>G298</f>
        <v>#REF!</v>
      </c>
    </row>
    <row r="298" spans="1:7" ht="65.25" customHeight="1" x14ac:dyDescent="0.25">
      <c r="A298" s="29" t="s">
        <v>272</v>
      </c>
      <c r="B298" s="40" t="s">
        <v>496</v>
      </c>
      <c r="C298" s="40" t="s">
        <v>491</v>
      </c>
      <c r="D298" s="40" t="s">
        <v>118</v>
      </c>
      <c r="E298" s="40" t="s">
        <v>273</v>
      </c>
      <c r="F298" s="5"/>
      <c r="G298" s="10" t="e">
        <f>G299</f>
        <v>#REF!</v>
      </c>
    </row>
    <row r="299" spans="1:7" ht="15.75" x14ac:dyDescent="0.25">
      <c r="A299" s="29" t="s">
        <v>274</v>
      </c>
      <c r="B299" s="40" t="s">
        <v>496</v>
      </c>
      <c r="C299" s="40" t="s">
        <v>491</v>
      </c>
      <c r="D299" s="40" t="s">
        <v>118</v>
      </c>
      <c r="E299" s="40" t="s">
        <v>275</v>
      </c>
      <c r="F299" s="5"/>
      <c r="G299" s="10" t="e">
        <f>'Пр.4 ведом.22'!#REF!</f>
        <v>#REF!</v>
      </c>
    </row>
    <row r="300" spans="1:7" ht="47.25" hidden="1" x14ac:dyDescent="0.25">
      <c r="A300" s="46" t="s">
        <v>480</v>
      </c>
      <c r="B300" s="40" t="s">
        <v>494</v>
      </c>
      <c r="C300" s="40" t="s">
        <v>491</v>
      </c>
      <c r="D300" s="40" t="s">
        <v>118</v>
      </c>
      <c r="E300" s="40"/>
      <c r="F300" s="5">
        <v>907</v>
      </c>
      <c r="G300" s="10" t="e">
        <f>G294</f>
        <v>#REF!</v>
      </c>
    </row>
    <row r="301" spans="1:7" ht="63" hidden="1" x14ac:dyDescent="0.25">
      <c r="A301" s="29" t="s">
        <v>595</v>
      </c>
      <c r="B301" s="40" t="s">
        <v>646</v>
      </c>
      <c r="C301" s="40" t="s">
        <v>491</v>
      </c>
      <c r="D301" s="40" t="s">
        <v>118</v>
      </c>
      <c r="E301" s="40"/>
      <c r="F301" s="5"/>
      <c r="G301" s="10">
        <f>G302</f>
        <v>0</v>
      </c>
    </row>
    <row r="302" spans="1:7" ht="63" hidden="1" x14ac:dyDescent="0.25">
      <c r="A302" s="29" t="s">
        <v>272</v>
      </c>
      <c r="B302" s="40" t="s">
        <v>646</v>
      </c>
      <c r="C302" s="40" t="s">
        <v>491</v>
      </c>
      <c r="D302" s="40" t="s">
        <v>118</v>
      </c>
      <c r="E302" s="40" t="s">
        <v>273</v>
      </c>
      <c r="F302" s="5"/>
      <c r="G302" s="10">
        <f>G303</f>
        <v>0</v>
      </c>
    </row>
    <row r="303" spans="1:7" ht="15.75" hidden="1" x14ac:dyDescent="0.25">
      <c r="A303" s="29" t="s">
        <v>274</v>
      </c>
      <c r="B303" s="40" t="s">
        <v>646</v>
      </c>
      <c r="C303" s="40" t="s">
        <v>491</v>
      </c>
      <c r="D303" s="40" t="s">
        <v>118</v>
      </c>
      <c r="E303" s="40" t="s">
        <v>275</v>
      </c>
      <c r="F303" s="5"/>
      <c r="G303" s="10">
        <f>G304</f>
        <v>0</v>
      </c>
    </row>
    <row r="304" spans="1:7" ht="47.25" hidden="1" x14ac:dyDescent="0.25">
      <c r="A304" s="70" t="s">
        <v>480</v>
      </c>
      <c r="B304" s="40" t="s">
        <v>646</v>
      </c>
      <c r="C304" s="40" t="s">
        <v>491</v>
      </c>
      <c r="D304" s="40" t="s">
        <v>118</v>
      </c>
      <c r="E304" s="40"/>
      <c r="F304" s="5">
        <v>907</v>
      </c>
      <c r="G304" s="10">
        <f>1500-1500</f>
        <v>0</v>
      </c>
    </row>
    <row r="305" spans="1:8" ht="47.25" x14ac:dyDescent="0.25">
      <c r="A305" s="29" t="s">
        <v>278</v>
      </c>
      <c r="B305" s="40" t="s">
        <v>497</v>
      </c>
      <c r="C305" s="40" t="s">
        <v>491</v>
      </c>
      <c r="D305" s="40" t="s">
        <v>118</v>
      </c>
      <c r="E305" s="40"/>
      <c r="F305" s="5"/>
      <c r="G305" s="10" t="e">
        <f>G306</f>
        <v>#REF!</v>
      </c>
    </row>
    <row r="306" spans="1:8" ht="63" x14ac:dyDescent="0.25">
      <c r="A306" s="29" t="s">
        <v>272</v>
      </c>
      <c r="B306" s="40" t="s">
        <v>497</v>
      </c>
      <c r="C306" s="40" t="s">
        <v>491</v>
      </c>
      <c r="D306" s="40" t="s">
        <v>118</v>
      </c>
      <c r="E306" s="40" t="s">
        <v>273</v>
      </c>
      <c r="F306" s="5"/>
      <c r="G306" s="10" t="e">
        <f>G307</f>
        <v>#REF!</v>
      </c>
    </row>
    <row r="307" spans="1:8" ht="15.75" x14ac:dyDescent="0.25">
      <c r="A307" s="29" t="s">
        <v>274</v>
      </c>
      <c r="B307" s="40" t="s">
        <v>497</v>
      </c>
      <c r="C307" s="40" t="s">
        <v>491</v>
      </c>
      <c r="D307" s="40" t="s">
        <v>118</v>
      </c>
      <c r="E307" s="40" t="s">
        <v>275</v>
      </c>
      <c r="F307" s="5"/>
      <c r="G307" s="157" t="e">
        <f>'Пр.4 ведом.22'!#REF!</f>
        <v>#REF!</v>
      </c>
      <c r="H307" s="158" t="s">
        <v>731</v>
      </c>
    </row>
    <row r="308" spans="1:8" ht="47.25" x14ac:dyDescent="0.25">
      <c r="A308" s="46" t="s">
        <v>480</v>
      </c>
      <c r="B308" s="40" t="s">
        <v>494</v>
      </c>
      <c r="C308" s="40" t="s">
        <v>491</v>
      </c>
      <c r="D308" s="40" t="s">
        <v>118</v>
      </c>
      <c r="E308" s="40"/>
      <c r="F308" s="5">
        <v>907</v>
      </c>
      <c r="G308" s="10" t="e">
        <f>G299+G307</f>
        <v>#REF!</v>
      </c>
    </row>
    <row r="309" spans="1:8" ht="31.5" hidden="1" x14ac:dyDescent="0.25">
      <c r="A309" s="29" t="s">
        <v>280</v>
      </c>
      <c r="B309" s="40" t="s">
        <v>647</v>
      </c>
      <c r="C309" s="40" t="s">
        <v>491</v>
      </c>
      <c r="D309" s="40" t="s">
        <v>118</v>
      </c>
      <c r="E309" s="40"/>
      <c r="F309" s="5"/>
      <c r="G309" s="10">
        <f>G310</f>
        <v>0</v>
      </c>
    </row>
    <row r="310" spans="1:8" ht="63" hidden="1" x14ac:dyDescent="0.25">
      <c r="A310" s="29" t="s">
        <v>272</v>
      </c>
      <c r="B310" s="40" t="s">
        <v>647</v>
      </c>
      <c r="C310" s="40" t="s">
        <v>491</v>
      </c>
      <c r="D310" s="40" t="s">
        <v>118</v>
      </c>
      <c r="E310" s="40" t="s">
        <v>273</v>
      </c>
      <c r="F310" s="5"/>
      <c r="G310" s="10">
        <f>G311</f>
        <v>0</v>
      </c>
    </row>
    <row r="311" spans="1:8" ht="15.75" hidden="1" x14ac:dyDescent="0.25">
      <c r="A311" s="29" t="s">
        <v>274</v>
      </c>
      <c r="B311" s="40" t="s">
        <v>647</v>
      </c>
      <c r="C311" s="40" t="s">
        <v>491</v>
      </c>
      <c r="D311" s="40" t="s">
        <v>118</v>
      </c>
      <c r="E311" s="40" t="s">
        <v>275</v>
      </c>
      <c r="F311" s="5"/>
      <c r="G311" s="10"/>
    </row>
    <row r="312" spans="1:8" ht="47.25" hidden="1" x14ac:dyDescent="0.25">
      <c r="A312" s="46" t="s">
        <v>480</v>
      </c>
      <c r="B312" s="40" t="s">
        <v>647</v>
      </c>
      <c r="C312" s="40" t="s">
        <v>491</v>
      </c>
      <c r="D312" s="40" t="s">
        <v>118</v>
      </c>
      <c r="E312" s="40"/>
      <c r="F312" s="5">
        <v>907</v>
      </c>
      <c r="G312" s="10">
        <v>0</v>
      </c>
    </row>
    <row r="313" spans="1:8" ht="71.45" hidden="1" customHeight="1" x14ac:dyDescent="0.25">
      <c r="A313" s="29" t="s">
        <v>284</v>
      </c>
      <c r="B313" s="40" t="s">
        <v>648</v>
      </c>
      <c r="C313" s="40" t="s">
        <v>491</v>
      </c>
      <c r="D313" s="40" t="s">
        <v>118</v>
      </c>
      <c r="E313" s="40"/>
      <c r="F313" s="5"/>
      <c r="G313" s="10">
        <f>G314</f>
        <v>0</v>
      </c>
    </row>
    <row r="314" spans="1:8" ht="63" hidden="1" x14ac:dyDescent="0.25">
      <c r="A314" s="29" t="s">
        <v>272</v>
      </c>
      <c r="B314" s="40" t="s">
        <v>648</v>
      </c>
      <c r="C314" s="40" t="s">
        <v>491</v>
      </c>
      <c r="D314" s="40" t="s">
        <v>118</v>
      </c>
      <c r="E314" s="40" t="s">
        <v>273</v>
      </c>
      <c r="F314" s="5"/>
      <c r="G314" s="10">
        <f>G315</f>
        <v>0</v>
      </c>
    </row>
    <row r="315" spans="1:8" ht="15.75" hidden="1" x14ac:dyDescent="0.25">
      <c r="A315" s="29" t="s">
        <v>274</v>
      </c>
      <c r="B315" s="40" t="s">
        <v>648</v>
      </c>
      <c r="C315" s="40" t="s">
        <v>491</v>
      </c>
      <c r="D315" s="40" t="s">
        <v>118</v>
      </c>
      <c r="E315" s="40" t="s">
        <v>275</v>
      </c>
      <c r="F315" s="5"/>
      <c r="G315" s="10"/>
    </row>
    <row r="316" spans="1:8" ht="47.25" hidden="1" x14ac:dyDescent="0.25">
      <c r="A316" s="46" t="s">
        <v>480</v>
      </c>
      <c r="B316" s="40" t="s">
        <v>648</v>
      </c>
      <c r="C316" s="40" t="s">
        <v>491</v>
      </c>
      <c r="D316" s="40" t="s">
        <v>118</v>
      </c>
      <c r="E316" s="40"/>
      <c r="F316" s="5">
        <v>907</v>
      </c>
      <c r="G316" s="10">
        <v>0</v>
      </c>
    </row>
    <row r="317" spans="1:8" ht="63" x14ac:dyDescent="0.25">
      <c r="A317" s="58" t="s">
        <v>501</v>
      </c>
      <c r="B317" s="7" t="s">
        <v>502</v>
      </c>
      <c r="C317" s="7"/>
      <c r="D317" s="7"/>
      <c r="E317" s="7"/>
      <c r="F317" s="172"/>
      <c r="G317" s="4" t="e">
        <f>G318</f>
        <v>#REF!</v>
      </c>
    </row>
    <row r="318" spans="1:8" ht="15.75" x14ac:dyDescent="0.25">
      <c r="A318" s="29" t="s">
        <v>490</v>
      </c>
      <c r="B318" s="40" t="s">
        <v>502</v>
      </c>
      <c r="C318" s="2">
        <v>11</v>
      </c>
      <c r="D318" s="40"/>
      <c r="E318" s="40"/>
      <c r="F318" s="5"/>
      <c r="G318" s="6" t="e">
        <f>G319</f>
        <v>#REF!</v>
      </c>
    </row>
    <row r="319" spans="1:8" ht="31.5" x14ac:dyDescent="0.25">
      <c r="A319" s="25" t="s">
        <v>500</v>
      </c>
      <c r="B319" s="40" t="s">
        <v>502</v>
      </c>
      <c r="C319" s="40" t="s">
        <v>491</v>
      </c>
      <c r="D319" s="40" t="s">
        <v>234</v>
      </c>
      <c r="E319" s="40"/>
      <c r="F319" s="5"/>
      <c r="G319" s="6" t="e">
        <f>G320</f>
        <v>#REF!</v>
      </c>
    </row>
    <row r="320" spans="1:8" ht="47.25" x14ac:dyDescent="0.25">
      <c r="A320" s="29" t="s">
        <v>157</v>
      </c>
      <c r="B320" s="40" t="s">
        <v>503</v>
      </c>
      <c r="C320" s="40" t="s">
        <v>491</v>
      </c>
      <c r="D320" s="40" t="s">
        <v>234</v>
      </c>
      <c r="E320" s="40"/>
      <c r="F320" s="5"/>
      <c r="G320" s="6" t="e">
        <f>G323+G321</f>
        <v>#REF!</v>
      </c>
    </row>
    <row r="321" spans="1:7" ht="110.25" x14ac:dyDescent="0.25">
      <c r="A321" s="25" t="s">
        <v>127</v>
      </c>
      <c r="B321" s="40" t="s">
        <v>503</v>
      </c>
      <c r="C321" s="40" t="s">
        <v>491</v>
      </c>
      <c r="D321" s="40" t="s">
        <v>234</v>
      </c>
      <c r="E321" s="40" t="s">
        <v>128</v>
      </c>
      <c r="F321" s="5"/>
      <c r="G321" s="6" t="e">
        <f>G322</f>
        <v>#REF!</v>
      </c>
    </row>
    <row r="322" spans="1:7" ht="55.5" customHeight="1" x14ac:dyDescent="0.25">
      <c r="A322" s="25" t="s">
        <v>129</v>
      </c>
      <c r="B322" s="40" t="s">
        <v>503</v>
      </c>
      <c r="C322" s="40" t="s">
        <v>491</v>
      </c>
      <c r="D322" s="40" t="s">
        <v>234</v>
      </c>
      <c r="E322" s="40" t="s">
        <v>130</v>
      </c>
      <c r="F322" s="5"/>
      <c r="G322" s="6" t="e">
        <f>'Пр.4 ведом.22'!#REF!</f>
        <v>#REF!</v>
      </c>
    </row>
    <row r="323" spans="1:7" ht="47.25" x14ac:dyDescent="0.25">
      <c r="A323" s="29" t="s">
        <v>131</v>
      </c>
      <c r="B323" s="40" t="s">
        <v>503</v>
      </c>
      <c r="C323" s="40" t="s">
        <v>491</v>
      </c>
      <c r="D323" s="40" t="s">
        <v>234</v>
      </c>
      <c r="E323" s="40" t="s">
        <v>132</v>
      </c>
      <c r="F323" s="5"/>
      <c r="G323" s="6" t="e">
        <f>G324</f>
        <v>#REF!</v>
      </c>
    </row>
    <row r="324" spans="1:7" ht="47.25" x14ac:dyDescent="0.25">
      <c r="A324" s="29" t="s">
        <v>133</v>
      </c>
      <c r="B324" s="40" t="s">
        <v>503</v>
      </c>
      <c r="C324" s="40" t="s">
        <v>491</v>
      </c>
      <c r="D324" s="40" t="s">
        <v>234</v>
      </c>
      <c r="E324" s="40" t="s">
        <v>134</v>
      </c>
      <c r="F324" s="5"/>
      <c r="G324" s="6" t="e">
        <f>'Пр.4 ведом.22'!#REF!</f>
        <v>#REF!</v>
      </c>
    </row>
    <row r="325" spans="1:7" ht="47.25" x14ac:dyDescent="0.25">
      <c r="A325" s="70" t="s">
        <v>480</v>
      </c>
      <c r="B325" s="40" t="s">
        <v>502</v>
      </c>
      <c r="C325" s="40" t="s">
        <v>491</v>
      </c>
      <c r="D325" s="40" t="s">
        <v>234</v>
      </c>
      <c r="E325" s="40"/>
      <c r="F325" s="5">
        <v>907</v>
      </c>
      <c r="G325" s="10" t="e">
        <f>G317</f>
        <v>#REF!</v>
      </c>
    </row>
    <row r="326" spans="1:7" ht="63" x14ac:dyDescent="0.25">
      <c r="A326" s="41" t="s">
        <v>266</v>
      </c>
      <c r="B326" s="7" t="s">
        <v>267</v>
      </c>
      <c r="C326" s="72"/>
      <c r="D326" s="72"/>
      <c r="E326" s="72"/>
      <c r="F326" s="3"/>
      <c r="G326" s="59" t="e">
        <f>G327+G353+G374</f>
        <v>#REF!</v>
      </c>
    </row>
    <row r="327" spans="1:7" ht="78.75" x14ac:dyDescent="0.25">
      <c r="A327" s="41" t="s">
        <v>268</v>
      </c>
      <c r="B327" s="7" t="s">
        <v>269</v>
      </c>
      <c r="C327" s="72"/>
      <c r="D327" s="72"/>
      <c r="E327" s="72"/>
      <c r="F327" s="3"/>
      <c r="G327" s="59" t="e">
        <f>G328</f>
        <v>#REF!</v>
      </c>
    </row>
    <row r="328" spans="1:7" ht="15.75" x14ac:dyDescent="0.25">
      <c r="A328" s="29" t="s">
        <v>263</v>
      </c>
      <c r="B328" s="40" t="s">
        <v>269</v>
      </c>
      <c r="C328" s="40" t="s">
        <v>264</v>
      </c>
      <c r="D328" s="72"/>
      <c r="E328" s="72"/>
      <c r="F328" s="3"/>
      <c r="G328" s="10" t="e">
        <f>G329</f>
        <v>#REF!</v>
      </c>
    </row>
    <row r="329" spans="1:7" ht="15.75" x14ac:dyDescent="0.25">
      <c r="A329" s="29" t="s">
        <v>425</v>
      </c>
      <c r="B329" s="40" t="s">
        <v>269</v>
      </c>
      <c r="C329" s="40" t="s">
        <v>264</v>
      </c>
      <c r="D329" s="40" t="s">
        <v>215</v>
      </c>
      <c r="E329" s="72"/>
      <c r="F329" s="3"/>
      <c r="G329" s="10" t="e">
        <f>G330+G345</f>
        <v>#REF!</v>
      </c>
    </row>
    <row r="330" spans="1:7" ht="63" x14ac:dyDescent="0.25">
      <c r="A330" s="29" t="s">
        <v>270</v>
      </c>
      <c r="B330" s="40" t="s">
        <v>271</v>
      </c>
      <c r="C330" s="40" t="s">
        <v>264</v>
      </c>
      <c r="D330" s="40" t="s">
        <v>215</v>
      </c>
      <c r="E330" s="72"/>
      <c r="F330" s="3"/>
      <c r="G330" s="10" t="e">
        <f>G331</f>
        <v>#REF!</v>
      </c>
    </row>
    <row r="331" spans="1:7" ht="63" x14ac:dyDescent="0.25">
      <c r="A331" s="29" t="s">
        <v>272</v>
      </c>
      <c r="B331" s="40" t="s">
        <v>271</v>
      </c>
      <c r="C331" s="40" t="s">
        <v>264</v>
      </c>
      <c r="D331" s="40" t="s">
        <v>215</v>
      </c>
      <c r="E331" s="40" t="s">
        <v>273</v>
      </c>
      <c r="F331" s="3"/>
      <c r="G331" s="10" t="e">
        <f>G332</f>
        <v>#REF!</v>
      </c>
    </row>
    <row r="332" spans="1:7" ht="15.75" x14ac:dyDescent="0.25">
      <c r="A332" s="29" t="s">
        <v>274</v>
      </c>
      <c r="B332" s="40" t="s">
        <v>271</v>
      </c>
      <c r="C332" s="40" t="s">
        <v>264</v>
      </c>
      <c r="D332" s="40" t="s">
        <v>215</v>
      </c>
      <c r="E332" s="40" t="s">
        <v>275</v>
      </c>
      <c r="F332" s="3"/>
      <c r="G332" s="6" t="e">
        <f>'Пр.4 ведом.22'!#REF!</f>
        <v>#REF!</v>
      </c>
    </row>
    <row r="333" spans="1:7" ht="63" hidden="1" x14ac:dyDescent="0.25">
      <c r="A333" s="29" t="s">
        <v>276</v>
      </c>
      <c r="B333" s="40" t="s">
        <v>649</v>
      </c>
      <c r="C333" s="40" t="s">
        <v>264</v>
      </c>
      <c r="D333" s="40" t="s">
        <v>215</v>
      </c>
      <c r="E333" s="40"/>
      <c r="F333" s="3"/>
      <c r="G333" s="10">
        <f>G334</f>
        <v>0</v>
      </c>
    </row>
    <row r="334" spans="1:7" ht="63" hidden="1" x14ac:dyDescent="0.25">
      <c r="A334" s="29" t="s">
        <v>272</v>
      </c>
      <c r="B334" s="40" t="s">
        <v>649</v>
      </c>
      <c r="C334" s="40" t="s">
        <v>264</v>
      </c>
      <c r="D334" s="40" t="s">
        <v>215</v>
      </c>
      <c r="E334" s="40" t="s">
        <v>273</v>
      </c>
      <c r="F334" s="3"/>
      <c r="G334" s="10">
        <f>G335</f>
        <v>0</v>
      </c>
    </row>
    <row r="335" spans="1:7" ht="15.75" hidden="1" x14ac:dyDescent="0.25">
      <c r="A335" s="29" t="s">
        <v>274</v>
      </c>
      <c r="B335" s="40" t="s">
        <v>649</v>
      </c>
      <c r="C335" s="40" t="s">
        <v>264</v>
      </c>
      <c r="D335" s="40" t="s">
        <v>215</v>
      </c>
      <c r="E335" s="40" t="s">
        <v>275</v>
      </c>
      <c r="F335" s="3"/>
      <c r="G335" s="10"/>
    </row>
    <row r="336" spans="1:7" ht="63" hidden="1" x14ac:dyDescent="0.25">
      <c r="A336" s="45" t="s">
        <v>261</v>
      </c>
      <c r="B336" s="40" t="s">
        <v>649</v>
      </c>
      <c r="C336" s="40" t="s">
        <v>264</v>
      </c>
      <c r="D336" s="40" t="s">
        <v>215</v>
      </c>
      <c r="E336" s="40"/>
      <c r="F336" s="2">
        <v>903</v>
      </c>
      <c r="G336" s="10">
        <v>0</v>
      </c>
    </row>
    <row r="337" spans="1:7" ht="47.25" hidden="1" x14ac:dyDescent="0.25">
      <c r="A337" s="29" t="s">
        <v>278</v>
      </c>
      <c r="B337" s="40" t="s">
        <v>650</v>
      </c>
      <c r="C337" s="40" t="s">
        <v>264</v>
      </c>
      <c r="D337" s="40" t="s">
        <v>215</v>
      </c>
      <c r="E337" s="40"/>
      <c r="F337" s="3"/>
      <c r="G337" s="10">
        <f>G338</f>
        <v>0</v>
      </c>
    </row>
    <row r="338" spans="1:7" ht="63" hidden="1" x14ac:dyDescent="0.25">
      <c r="A338" s="29" t="s">
        <v>272</v>
      </c>
      <c r="B338" s="40" t="s">
        <v>650</v>
      </c>
      <c r="C338" s="40" t="s">
        <v>264</v>
      </c>
      <c r="D338" s="40" t="s">
        <v>215</v>
      </c>
      <c r="E338" s="40" t="s">
        <v>273</v>
      </c>
      <c r="F338" s="3"/>
      <c r="G338" s="10">
        <f>G339</f>
        <v>0</v>
      </c>
    </row>
    <row r="339" spans="1:7" ht="15.75" hidden="1" x14ac:dyDescent="0.25">
      <c r="A339" s="29" t="s">
        <v>274</v>
      </c>
      <c r="B339" s="40" t="s">
        <v>650</v>
      </c>
      <c r="C339" s="40" t="s">
        <v>264</v>
      </c>
      <c r="D339" s="40" t="s">
        <v>215</v>
      </c>
      <c r="E339" s="40" t="s">
        <v>275</v>
      </c>
      <c r="F339" s="3"/>
      <c r="G339" s="10"/>
    </row>
    <row r="340" spans="1:7" ht="63" hidden="1" x14ac:dyDescent="0.25">
      <c r="A340" s="45" t="s">
        <v>261</v>
      </c>
      <c r="B340" s="40" t="s">
        <v>650</v>
      </c>
      <c r="C340" s="40" t="s">
        <v>264</v>
      </c>
      <c r="D340" s="40" t="s">
        <v>215</v>
      </c>
      <c r="E340" s="40"/>
      <c r="F340" s="2">
        <v>903</v>
      </c>
      <c r="G340" s="10">
        <v>0</v>
      </c>
    </row>
    <row r="341" spans="1:7" ht="31.5" hidden="1" x14ac:dyDescent="0.25">
      <c r="A341" s="29" t="s">
        <v>280</v>
      </c>
      <c r="B341" s="40" t="s">
        <v>651</v>
      </c>
      <c r="C341" s="40" t="s">
        <v>264</v>
      </c>
      <c r="D341" s="40" t="s">
        <v>215</v>
      </c>
      <c r="E341" s="40"/>
      <c r="F341" s="3"/>
      <c r="G341" s="10">
        <f>G342</f>
        <v>0</v>
      </c>
    </row>
    <row r="342" spans="1:7" ht="69" hidden="1" customHeight="1" x14ac:dyDescent="0.25">
      <c r="A342" s="29" t="s">
        <v>272</v>
      </c>
      <c r="B342" s="40" t="s">
        <v>651</v>
      </c>
      <c r="C342" s="40" t="s">
        <v>264</v>
      </c>
      <c r="D342" s="40" t="s">
        <v>215</v>
      </c>
      <c r="E342" s="40" t="s">
        <v>273</v>
      </c>
      <c r="F342" s="3"/>
      <c r="G342" s="10">
        <f>G343</f>
        <v>0</v>
      </c>
    </row>
    <row r="343" spans="1:7" ht="15.75" hidden="1" x14ac:dyDescent="0.25">
      <c r="A343" s="29" t="s">
        <v>274</v>
      </c>
      <c r="B343" s="40" t="s">
        <v>651</v>
      </c>
      <c r="C343" s="40" t="s">
        <v>264</v>
      </c>
      <c r="D343" s="40" t="s">
        <v>215</v>
      </c>
      <c r="E343" s="40" t="s">
        <v>275</v>
      </c>
      <c r="F343" s="3"/>
      <c r="G343" s="10"/>
    </row>
    <row r="344" spans="1:7" ht="63" hidden="1" x14ac:dyDescent="0.25">
      <c r="A344" s="45" t="s">
        <v>261</v>
      </c>
      <c r="B344" s="40" t="s">
        <v>651</v>
      </c>
      <c r="C344" s="40" t="s">
        <v>264</v>
      </c>
      <c r="D344" s="40" t="s">
        <v>215</v>
      </c>
      <c r="E344" s="40"/>
      <c r="F344" s="2">
        <v>903</v>
      </c>
      <c r="G344" s="10">
        <v>0</v>
      </c>
    </row>
    <row r="345" spans="1:7" ht="47.25" x14ac:dyDescent="0.25">
      <c r="A345" s="29" t="s">
        <v>282</v>
      </c>
      <c r="B345" s="40" t="s">
        <v>283</v>
      </c>
      <c r="C345" s="40" t="s">
        <v>264</v>
      </c>
      <c r="D345" s="40" t="s">
        <v>215</v>
      </c>
      <c r="E345" s="40"/>
      <c r="F345" s="3"/>
      <c r="G345" s="10" t="e">
        <f>G346</f>
        <v>#REF!</v>
      </c>
    </row>
    <row r="346" spans="1:7" ht="63" x14ac:dyDescent="0.25">
      <c r="A346" s="29" t="s">
        <v>272</v>
      </c>
      <c r="B346" s="40" t="s">
        <v>283</v>
      </c>
      <c r="C346" s="40" t="s">
        <v>264</v>
      </c>
      <c r="D346" s="40" t="s">
        <v>215</v>
      </c>
      <c r="E346" s="40" t="s">
        <v>273</v>
      </c>
      <c r="F346" s="3"/>
      <c r="G346" s="10" t="e">
        <f>G347</f>
        <v>#REF!</v>
      </c>
    </row>
    <row r="347" spans="1:7" ht="15.75" x14ac:dyDescent="0.25">
      <c r="A347" s="29" t="s">
        <v>274</v>
      </c>
      <c r="B347" s="40" t="s">
        <v>283</v>
      </c>
      <c r="C347" s="40" t="s">
        <v>264</v>
      </c>
      <c r="D347" s="40" t="s">
        <v>215</v>
      </c>
      <c r="E347" s="40" t="s">
        <v>275</v>
      </c>
      <c r="F347" s="3"/>
      <c r="G347" s="6" t="e">
        <f>'Пр.4 ведом.22'!#REF!</f>
        <v>#REF!</v>
      </c>
    </row>
    <row r="348" spans="1:7" ht="63" x14ac:dyDescent="0.25">
      <c r="A348" s="45" t="s">
        <v>261</v>
      </c>
      <c r="B348" s="40" t="s">
        <v>269</v>
      </c>
      <c r="C348" s="40" t="s">
        <v>264</v>
      </c>
      <c r="D348" s="40" t="s">
        <v>215</v>
      </c>
      <c r="E348" s="40"/>
      <c r="F348" s="2">
        <v>903</v>
      </c>
      <c r="G348" s="10" t="e">
        <f>G327</f>
        <v>#REF!</v>
      </c>
    </row>
    <row r="349" spans="1:7" ht="47.25" hidden="1" x14ac:dyDescent="0.25">
      <c r="A349" s="29" t="s">
        <v>607</v>
      </c>
      <c r="B349" s="40" t="s">
        <v>608</v>
      </c>
      <c r="C349" s="40" t="s">
        <v>264</v>
      </c>
      <c r="D349" s="40" t="s">
        <v>213</v>
      </c>
      <c r="E349" s="40"/>
      <c r="F349" s="3"/>
      <c r="G349" s="10">
        <f>G350</f>
        <v>0</v>
      </c>
    </row>
    <row r="350" spans="1:7" ht="63" hidden="1" x14ac:dyDescent="0.25">
      <c r="A350" s="29" t="s">
        <v>272</v>
      </c>
      <c r="B350" s="40" t="s">
        <v>608</v>
      </c>
      <c r="C350" s="40" t="s">
        <v>264</v>
      </c>
      <c r="D350" s="40" t="s">
        <v>213</v>
      </c>
      <c r="E350" s="40" t="s">
        <v>273</v>
      </c>
      <c r="F350" s="3"/>
      <c r="G350" s="10">
        <f>G351</f>
        <v>0</v>
      </c>
    </row>
    <row r="351" spans="1:7" ht="15.75" hidden="1" x14ac:dyDescent="0.25">
      <c r="A351" s="29" t="s">
        <v>274</v>
      </c>
      <c r="B351" s="40" t="s">
        <v>608</v>
      </c>
      <c r="C351" s="40" t="s">
        <v>264</v>
      </c>
      <c r="D351" s="40" t="s">
        <v>213</v>
      </c>
      <c r="E351" s="40" t="s">
        <v>275</v>
      </c>
      <c r="F351" s="3"/>
      <c r="G351" s="10"/>
    </row>
    <row r="352" spans="1:7" ht="63" hidden="1" x14ac:dyDescent="0.25">
      <c r="A352" s="45" t="s">
        <v>261</v>
      </c>
      <c r="B352" s="40" t="s">
        <v>608</v>
      </c>
      <c r="C352" s="40" t="s">
        <v>264</v>
      </c>
      <c r="D352" s="40" t="s">
        <v>213</v>
      </c>
      <c r="E352" s="72"/>
      <c r="F352" s="2">
        <v>903</v>
      </c>
      <c r="G352" s="10">
        <v>0</v>
      </c>
    </row>
    <row r="353" spans="1:7" ht="79.5" customHeight="1" x14ac:dyDescent="0.25">
      <c r="A353" s="41" t="s">
        <v>301</v>
      </c>
      <c r="B353" s="7" t="s">
        <v>302</v>
      </c>
      <c r="C353" s="7"/>
      <c r="D353" s="7"/>
      <c r="E353" s="72"/>
      <c r="F353" s="3"/>
      <c r="G353" s="59" t="e">
        <f>G354</f>
        <v>#REF!</v>
      </c>
    </row>
    <row r="354" spans="1:7" ht="15.75" x14ac:dyDescent="0.25">
      <c r="A354" s="73" t="s">
        <v>298</v>
      </c>
      <c r="B354" s="40" t="s">
        <v>302</v>
      </c>
      <c r="C354" s="40" t="s">
        <v>299</v>
      </c>
      <c r="D354" s="73"/>
      <c r="E354" s="73"/>
      <c r="F354" s="2"/>
      <c r="G354" s="10" t="e">
        <f>G355</f>
        <v>#REF!</v>
      </c>
    </row>
    <row r="355" spans="1:7" ht="15.75" x14ac:dyDescent="0.25">
      <c r="A355" s="73" t="s">
        <v>300</v>
      </c>
      <c r="B355" s="40" t="s">
        <v>302</v>
      </c>
      <c r="C355" s="40" t="s">
        <v>299</v>
      </c>
      <c r="D355" s="40" t="s">
        <v>118</v>
      </c>
      <c r="E355" s="73"/>
      <c r="F355" s="2"/>
      <c r="G355" s="10" t="e">
        <f>G356+G363+G366</f>
        <v>#REF!</v>
      </c>
    </row>
    <row r="356" spans="1:7" ht="63" x14ac:dyDescent="0.25">
      <c r="A356" s="29" t="s">
        <v>303</v>
      </c>
      <c r="B356" s="40" t="s">
        <v>304</v>
      </c>
      <c r="C356" s="40" t="s">
        <v>299</v>
      </c>
      <c r="D356" s="40" t="s">
        <v>118</v>
      </c>
      <c r="E356" s="73"/>
      <c r="F356" s="2"/>
      <c r="G356" s="10" t="e">
        <f>G357</f>
        <v>#REF!</v>
      </c>
    </row>
    <row r="357" spans="1:7" ht="63" x14ac:dyDescent="0.25">
      <c r="A357" s="29" t="s">
        <v>272</v>
      </c>
      <c r="B357" s="40" t="s">
        <v>304</v>
      </c>
      <c r="C357" s="40" t="s">
        <v>299</v>
      </c>
      <c r="D357" s="40" t="s">
        <v>118</v>
      </c>
      <c r="E357" s="40" t="s">
        <v>273</v>
      </c>
      <c r="F357" s="2"/>
      <c r="G357" s="10" t="e">
        <f>G358</f>
        <v>#REF!</v>
      </c>
    </row>
    <row r="358" spans="1:7" ht="15.75" x14ac:dyDescent="0.25">
      <c r="A358" s="29" t="s">
        <v>274</v>
      </c>
      <c r="B358" s="40" t="s">
        <v>304</v>
      </c>
      <c r="C358" s="40" t="s">
        <v>299</v>
      </c>
      <c r="D358" s="40" t="s">
        <v>118</v>
      </c>
      <c r="E358" s="40" t="s">
        <v>275</v>
      </c>
      <c r="F358" s="2"/>
      <c r="G358" s="10" t="e">
        <f>'Пр.4 ведом.22'!#REF!</f>
        <v>#REF!</v>
      </c>
    </row>
    <row r="359" spans="1:7" ht="63" hidden="1" x14ac:dyDescent="0.25">
      <c r="A359" s="29" t="s">
        <v>276</v>
      </c>
      <c r="B359" s="40" t="s">
        <v>610</v>
      </c>
      <c r="C359" s="40" t="s">
        <v>299</v>
      </c>
      <c r="D359" s="40" t="s">
        <v>118</v>
      </c>
      <c r="E359" s="40"/>
      <c r="F359" s="2"/>
      <c r="G359" s="10">
        <f>G360</f>
        <v>0</v>
      </c>
    </row>
    <row r="360" spans="1:7" ht="63" hidden="1" x14ac:dyDescent="0.25">
      <c r="A360" s="29" t="s">
        <v>272</v>
      </c>
      <c r="B360" s="40" t="s">
        <v>610</v>
      </c>
      <c r="C360" s="40" t="s">
        <v>299</v>
      </c>
      <c r="D360" s="40" t="s">
        <v>118</v>
      </c>
      <c r="E360" s="40" t="s">
        <v>273</v>
      </c>
      <c r="F360" s="2"/>
      <c r="G360" s="10">
        <f>G361</f>
        <v>0</v>
      </c>
    </row>
    <row r="361" spans="1:7" ht="15.75" hidden="1" x14ac:dyDescent="0.25">
      <c r="A361" s="29" t="s">
        <v>274</v>
      </c>
      <c r="B361" s="40" t="s">
        <v>610</v>
      </c>
      <c r="C361" s="40" t="s">
        <v>299</v>
      </c>
      <c r="D361" s="40" t="s">
        <v>118</v>
      </c>
      <c r="E361" s="40" t="s">
        <v>275</v>
      </c>
      <c r="F361" s="2"/>
      <c r="G361" s="10"/>
    </row>
    <row r="362" spans="1:7" ht="63" hidden="1" x14ac:dyDescent="0.25">
      <c r="A362" s="45" t="s">
        <v>261</v>
      </c>
      <c r="B362" s="40" t="s">
        <v>610</v>
      </c>
      <c r="C362" s="40" t="s">
        <v>299</v>
      </c>
      <c r="D362" s="40" t="s">
        <v>118</v>
      </c>
      <c r="E362" s="40"/>
      <c r="F362" s="2">
        <v>903</v>
      </c>
      <c r="G362" s="10">
        <v>0</v>
      </c>
    </row>
    <row r="363" spans="1:7" ht="31.5" x14ac:dyDescent="0.25">
      <c r="A363" s="29" t="s">
        <v>612</v>
      </c>
      <c r="B363" s="40" t="s">
        <v>306</v>
      </c>
      <c r="C363" s="40" t="s">
        <v>299</v>
      </c>
      <c r="D363" s="40" t="s">
        <v>118</v>
      </c>
      <c r="E363" s="40"/>
      <c r="F363" s="2"/>
      <c r="G363" s="10" t="e">
        <f>G364</f>
        <v>#REF!</v>
      </c>
    </row>
    <row r="364" spans="1:7" ht="71.45" customHeight="1" x14ac:dyDescent="0.25">
      <c r="A364" s="29" t="s">
        <v>272</v>
      </c>
      <c r="B364" s="40" t="s">
        <v>306</v>
      </c>
      <c r="C364" s="40" t="s">
        <v>299</v>
      </c>
      <c r="D364" s="40" t="s">
        <v>118</v>
      </c>
      <c r="E364" s="40" t="s">
        <v>273</v>
      </c>
      <c r="F364" s="2"/>
      <c r="G364" s="10" t="e">
        <f>G365</f>
        <v>#REF!</v>
      </c>
    </row>
    <row r="365" spans="1:7" ht="15.75" x14ac:dyDescent="0.25">
      <c r="A365" s="29" t="s">
        <v>274</v>
      </c>
      <c r="B365" s="40" t="s">
        <v>306</v>
      </c>
      <c r="C365" s="40" t="s">
        <v>299</v>
      </c>
      <c r="D365" s="40" t="s">
        <v>118</v>
      </c>
      <c r="E365" s="40" t="s">
        <v>275</v>
      </c>
      <c r="F365" s="2"/>
      <c r="G365" s="10" t="e">
        <f>'Пр.4 ведом.22'!#REF!</f>
        <v>#REF!</v>
      </c>
    </row>
    <row r="366" spans="1:7" ht="31.5" x14ac:dyDescent="0.25">
      <c r="A366" s="29" t="s">
        <v>307</v>
      </c>
      <c r="B366" s="40" t="s">
        <v>308</v>
      </c>
      <c r="C366" s="40" t="s">
        <v>299</v>
      </c>
      <c r="D366" s="40" t="s">
        <v>118</v>
      </c>
      <c r="E366" s="40"/>
      <c r="F366" s="2"/>
      <c r="G366" s="10" t="e">
        <f>G367</f>
        <v>#REF!</v>
      </c>
    </row>
    <row r="367" spans="1:7" ht="63" x14ac:dyDescent="0.25">
      <c r="A367" s="29" t="s">
        <v>272</v>
      </c>
      <c r="B367" s="40" t="s">
        <v>308</v>
      </c>
      <c r="C367" s="40" t="s">
        <v>299</v>
      </c>
      <c r="D367" s="40" t="s">
        <v>118</v>
      </c>
      <c r="E367" s="40" t="s">
        <v>273</v>
      </c>
      <c r="F367" s="2"/>
      <c r="G367" s="10" t="e">
        <f>G368</f>
        <v>#REF!</v>
      </c>
    </row>
    <row r="368" spans="1:7" ht="15.75" x14ac:dyDescent="0.25">
      <c r="A368" s="29" t="s">
        <v>274</v>
      </c>
      <c r="B368" s="40" t="s">
        <v>308</v>
      </c>
      <c r="C368" s="40" t="s">
        <v>299</v>
      </c>
      <c r="D368" s="40" t="s">
        <v>118</v>
      </c>
      <c r="E368" s="40" t="s">
        <v>275</v>
      </c>
      <c r="F368" s="2"/>
      <c r="G368" s="10" t="e">
        <f>'Пр.4 ведом.22'!#REF!</f>
        <v>#REF!</v>
      </c>
    </row>
    <row r="369" spans="1:7" ht="63" x14ac:dyDescent="0.25">
      <c r="A369" s="45" t="s">
        <v>261</v>
      </c>
      <c r="B369" s="40" t="s">
        <v>302</v>
      </c>
      <c r="C369" s="40" t="s">
        <v>299</v>
      </c>
      <c r="D369" s="40" t="s">
        <v>118</v>
      </c>
      <c r="E369" s="40"/>
      <c r="F369" s="2">
        <v>903</v>
      </c>
      <c r="G369" s="10" t="e">
        <f>G353</f>
        <v>#REF!</v>
      </c>
    </row>
    <row r="370" spans="1:7" ht="31.5" hidden="1" x14ac:dyDescent="0.25">
      <c r="A370" s="29" t="s">
        <v>284</v>
      </c>
      <c r="B370" s="40" t="s">
        <v>611</v>
      </c>
      <c r="C370" s="40" t="s">
        <v>299</v>
      </c>
      <c r="D370" s="40" t="s">
        <v>118</v>
      </c>
      <c r="E370" s="40"/>
      <c r="F370" s="2"/>
      <c r="G370" s="10">
        <f>G371</f>
        <v>0</v>
      </c>
    </row>
    <row r="371" spans="1:7" ht="63" hidden="1" x14ac:dyDescent="0.25">
      <c r="A371" s="29" t="s">
        <v>272</v>
      </c>
      <c r="B371" s="40" t="s">
        <v>611</v>
      </c>
      <c r="C371" s="40" t="s">
        <v>299</v>
      </c>
      <c r="D371" s="40" t="s">
        <v>118</v>
      </c>
      <c r="E371" s="40" t="s">
        <v>273</v>
      </c>
      <c r="F371" s="2"/>
      <c r="G371" s="10">
        <f>G372</f>
        <v>0</v>
      </c>
    </row>
    <row r="372" spans="1:7" ht="15.75" hidden="1" x14ac:dyDescent="0.25">
      <c r="A372" s="29" t="s">
        <v>274</v>
      </c>
      <c r="B372" s="40" t="s">
        <v>611</v>
      </c>
      <c r="C372" s="40" t="s">
        <v>299</v>
      </c>
      <c r="D372" s="40" t="s">
        <v>118</v>
      </c>
      <c r="E372" s="40" t="s">
        <v>275</v>
      </c>
      <c r="F372" s="2"/>
      <c r="G372" s="10"/>
    </row>
    <row r="373" spans="1:7" ht="63" hidden="1" x14ac:dyDescent="0.25">
      <c r="A373" s="45" t="s">
        <v>261</v>
      </c>
      <c r="B373" s="40" t="s">
        <v>611</v>
      </c>
      <c r="C373" s="40" t="s">
        <v>299</v>
      </c>
      <c r="D373" s="40" t="s">
        <v>118</v>
      </c>
      <c r="E373" s="40"/>
      <c r="F373" s="2">
        <v>903</v>
      </c>
      <c r="G373" s="10">
        <v>0</v>
      </c>
    </row>
    <row r="374" spans="1:7" ht="63" x14ac:dyDescent="0.25">
      <c r="A374" s="41" t="s">
        <v>312</v>
      </c>
      <c r="B374" s="7" t="s">
        <v>313</v>
      </c>
      <c r="C374" s="7"/>
      <c r="D374" s="7"/>
      <c r="E374" s="7"/>
      <c r="F374" s="75"/>
      <c r="G374" s="59" t="e">
        <f>G375</f>
        <v>#REF!</v>
      </c>
    </row>
    <row r="375" spans="1:7" ht="15.75" x14ac:dyDescent="0.25">
      <c r="A375" s="73" t="s">
        <v>298</v>
      </c>
      <c r="B375" s="40" t="s">
        <v>313</v>
      </c>
      <c r="C375" s="40" t="s">
        <v>299</v>
      </c>
      <c r="D375" s="40"/>
      <c r="E375" s="7"/>
      <c r="F375" s="75"/>
      <c r="G375" s="10" t="e">
        <f>G376</f>
        <v>#REF!</v>
      </c>
    </row>
    <row r="376" spans="1:7" ht="15.75" x14ac:dyDescent="0.25">
      <c r="A376" s="73" t="s">
        <v>300</v>
      </c>
      <c r="B376" s="40" t="s">
        <v>313</v>
      </c>
      <c r="C376" s="40" t="s">
        <v>299</v>
      </c>
      <c r="D376" s="40" t="s">
        <v>118</v>
      </c>
      <c r="E376" s="7"/>
      <c r="F376" s="75"/>
      <c r="G376" s="10" t="e">
        <f>G377+G396+G401+G380</f>
        <v>#REF!</v>
      </c>
    </row>
    <row r="377" spans="1:7" ht="63" x14ac:dyDescent="0.25">
      <c r="A377" s="29" t="s">
        <v>303</v>
      </c>
      <c r="B377" s="40" t="s">
        <v>314</v>
      </c>
      <c r="C377" s="40" t="s">
        <v>299</v>
      </c>
      <c r="D377" s="40" t="s">
        <v>118</v>
      </c>
      <c r="E377" s="40"/>
      <c r="F377" s="74"/>
      <c r="G377" s="10" t="e">
        <f>G378</f>
        <v>#REF!</v>
      </c>
    </row>
    <row r="378" spans="1:7" ht="63" x14ac:dyDescent="0.25">
      <c r="A378" s="29" t="s">
        <v>272</v>
      </c>
      <c r="B378" s="40" t="s">
        <v>314</v>
      </c>
      <c r="C378" s="40" t="s">
        <v>299</v>
      </c>
      <c r="D378" s="40" t="s">
        <v>118</v>
      </c>
      <c r="E378" s="40" t="s">
        <v>273</v>
      </c>
      <c r="F378" s="74"/>
      <c r="G378" s="10" t="e">
        <f>G379</f>
        <v>#REF!</v>
      </c>
    </row>
    <row r="379" spans="1:7" ht="15.75" x14ac:dyDescent="0.25">
      <c r="A379" s="29" t="s">
        <v>274</v>
      </c>
      <c r="B379" s="40" t="s">
        <v>314</v>
      </c>
      <c r="C379" s="40" t="s">
        <v>299</v>
      </c>
      <c r="D379" s="40" t="s">
        <v>118</v>
      </c>
      <c r="E379" s="40" t="s">
        <v>275</v>
      </c>
      <c r="F379" s="74"/>
      <c r="G379" s="6" t="e">
        <f>'Пр.4 ведом.22'!#REF!</f>
        <v>#REF!</v>
      </c>
    </row>
    <row r="380" spans="1:7" ht="63" x14ac:dyDescent="0.25">
      <c r="A380" s="29" t="s">
        <v>276</v>
      </c>
      <c r="B380" s="40" t="s">
        <v>317</v>
      </c>
      <c r="C380" s="40" t="s">
        <v>299</v>
      </c>
      <c r="D380" s="40" t="s">
        <v>118</v>
      </c>
      <c r="E380" s="40"/>
      <c r="F380" s="74"/>
      <c r="G380" s="10" t="e">
        <f>G381</f>
        <v>#REF!</v>
      </c>
    </row>
    <row r="381" spans="1:7" ht="63" x14ac:dyDescent="0.25">
      <c r="A381" s="29" t="s">
        <v>272</v>
      </c>
      <c r="B381" s="40" t="s">
        <v>317</v>
      </c>
      <c r="C381" s="40" t="s">
        <v>299</v>
      </c>
      <c r="D381" s="40" t="s">
        <v>118</v>
      </c>
      <c r="E381" s="40" t="s">
        <v>273</v>
      </c>
      <c r="F381" s="74"/>
      <c r="G381" s="10" t="e">
        <f>G382</f>
        <v>#REF!</v>
      </c>
    </row>
    <row r="382" spans="1:7" ht="15.75" x14ac:dyDescent="0.25">
      <c r="A382" s="29" t="s">
        <v>274</v>
      </c>
      <c r="B382" s="40" t="s">
        <v>317</v>
      </c>
      <c r="C382" s="40" t="s">
        <v>299</v>
      </c>
      <c r="D382" s="40" t="s">
        <v>118</v>
      </c>
      <c r="E382" s="40" t="s">
        <v>275</v>
      </c>
      <c r="F382" s="74"/>
      <c r="G382" s="10" t="e">
        <f>'Пр.4 ведом.22'!#REF!</f>
        <v>#REF!</v>
      </c>
    </row>
    <row r="383" spans="1:7" ht="63" hidden="1" x14ac:dyDescent="0.25">
      <c r="A383" s="45" t="s">
        <v>261</v>
      </c>
      <c r="B383" s="40" t="s">
        <v>652</v>
      </c>
      <c r="C383" s="40" t="s">
        <v>299</v>
      </c>
      <c r="D383" s="40" t="s">
        <v>118</v>
      </c>
      <c r="E383" s="40"/>
      <c r="F383" s="2">
        <v>903</v>
      </c>
      <c r="G383" s="10" t="e">
        <f>G380</f>
        <v>#REF!</v>
      </c>
    </row>
    <row r="384" spans="1:7" ht="47.25" hidden="1" x14ac:dyDescent="0.25">
      <c r="A384" s="25" t="s">
        <v>278</v>
      </c>
      <c r="B384" s="40" t="s">
        <v>318</v>
      </c>
      <c r="C384" s="40" t="s">
        <v>299</v>
      </c>
      <c r="D384" s="40" t="s">
        <v>118</v>
      </c>
      <c r="E384" s="40"/>
      <c r="F384" s="74"/>
      <c r="G384" s="10">
        <f>G385</f>
        <v>0</v>
      </c>
    </row>
    <row r="385" spans="1:7" ht="63" hidden="1" x14ac:dyDescent="0.25">
      <c r="A385" s="29" t="s">
        <v>272</v>
      </c>
      <c r="B385" s="40" t="s">
        <v>318</v>
      </c>
      <c r="C385" s="40" t="s">
        <v>299</v>
      </c>
      <c r="D385" s="40" t="s">
        <v>118</v>
      </c>
      <c r="E385" s="40" t="s">
        <v>273</v>
      </c>
      <c r="F385" s="74"/>
      <c r="G385" s="10">
        <f>G386</f>
        <v>0</v>
      </c>
    </row>
    <row r="386" spans="1:7" ht="35.450000000000003" hidden="1" customHeight="1" x14ac:dyDescent="0.25">
      <c r="A386" s="29" t="s">
        <v>274</v>
      </c>
      <c r="B386" s="40" t="s">
        <v>318</v>
      </c>
      <c r="C386" s="40" t="s">
        <v>299</v>
      </c>
      <c r="D386" s="40" t="s">
        <v>118</v>
      </c>
      <c r="E386" s="40" t="s">
        <v>275</v>
      </c>
      <c r="F386" s="74"/>
      <c r="G386" s="10"/>
    </row>
    <row r="387" spans="1:7" ht="63" hidden="1" x14ac:dyDescent="0.25">
      <c r="A387" s="45" t="s">
        <v>261</v>
      </c>
      <c r="B387" s="40" t="s">
        <v>318</v>
      </c>
      <c r="C387" s="40" t="s">
        <v>299</v>
      </c>
      <c r="D387" s="40" t="s">
        <v>118</v>
      </c>
      <c r="E387" s="40"/>
      <c r="F387" s="2">
        <v>903</v>
      </c>
      <c r="G387" s="10">
        <f>G384</f>
        <v>0</v>
      </c>
    </row>
    <row r="388" spans="1:7" ht="31.5" hidden="1" x14ac:dyDescent="0.25">
      <c r="A388" s="29" t="s">
        <v>653</v>
      </c>
      <c r="B388" s="40" t="s">
        <v>319</v>
      </c>
      <c r="C388" s="40" t="s">
        <v>299</v>
      </c>
      <c r="D388" s="40" t="s">
        <v>118</v>
      </c>
      <c r="E388" s="40"/>
      <c r="F388" s="74"/>
      <c r="G388" s="10">
        <f>G389</f>
        <v>0</v>
      </c>
    </row>
    <row r="389" spans="1:7" ht="63" hidden="1" x14ac:dyDescent="0.25">
      <c r="A389" s="29" t="s">
        <v>272</v>
      </c>
      <c r="B389" s="40" t="s">
        <v>319</v>
      </c>
      <c r="C389" s="40" t="s">
        <v>299</v>
      </c>
      <c r="D389" s="40" t="s">
        <v>118</v>
      </c>
      <c r="E389" s="40" t="s">
        <v>273</v>
      </c>
      <c r="F389" s="74"/>
      <c r="G389" s="10">
        <f>G390</f>
        <v>0</v>
      </c>
    </row>
    <row r="390" spans="1:7" ht="15.75" hidden="1" x14ac:dyDescent="0.25">
      <c r="A390" s="29" t="s">
        <v>274</v>
      </c>
      <c r="B390" s="40" t="s">
        <v>319</v>
      </c>
      <c r="C390" s="40" t="s">
        <v>299</v>
      </c>
      <c r="D390" s="40" t="s">
        <v>118</v>
      </c>
      <c r="E390" s="40" t="s">
        <v>275</v>
      </c>
      <c r="F390" s="74"/>
      <c r="G390" s="10"/>
    </row>
    <row r="391" spans="1:7" ht="63" hidden="1" x14ac:dyDescent="0.25">
      <c r="A391" s="45" t="s">
        <v>261</v>
      </c>
      <c r="B391" s="40" t="s">
        <v>319</v>
      </c>
      <c r="C391" s="40" t="s">
        <v>299</v>
      </c>
      <c r="D391" s="40" t="s">
        <v>118</v>
      </c>
      <c r="E391" s="40"/>
      <c r="F391" s="2">
        <v>903</v>
      </c>
      <c r="G391" s="10">
        <f>G388</f>
        <v>0</v>
      </c>
    </row>
    <row r="392" spans="1:7" ht="31.5" hidden="1" x14ac:dyDescent="0.25">
      <c r="A392" s="29" t="s">
        <v>284</v>
      </c>
      <c r="B392" s="40" t="s">
        <v>613</v>
      </c>
      <c r="C392" s="40" t="s">
        <v>299</v>
      </c>
      <c r="D392" s="40" t="s">
        <v>118</v>
      </c>
      <c r="E392" s="40"/>
      <c r="F392" s="74"/>
      <c r="G392" s="10">
        <f>G393</f>
        <v>0</v>
      </c>
    </row>
    <row r="393" spans="1:7" ht="63" hidden="1" x14ac:dyDescent="0.25">
      <c r="A393" s="29" t="s">
        <v>272</v>
      </c>
      <c r="B393" s="40" t="s">
        <v>613</v>
      </c>
      <c r="C393" s="40" t="s">
        <v>299</v>
      </c>
      <c r="D393" s="40" t="s">
        <v>118</v>
      </c>
      <c r="E393" s="40" t="s">
        <v>273</v>
      </c>
      <c r="F393" s="74"/>
      <c r="G393" s="10">
        <f>G394</f>
        <v>0</v>
      </c>
    </row>
    <row r="394" spans="1:7" ht="15.75" hidden="1" x14ac:dyDescent="0.25">
      <c r="A394" s="29" t="s">
        <v>274</v>
      </c>
      <c r="B394" s="40" t="s">
        <v>613</v>
      </c>
      <c r="C394" s="40" t="s">
        <v>299</v>
      </c>
      <c r="D394" s="40" t="s">
        <v>118</v>
      </c>
      <c r="E394" s="40" t="s">
        <v>275</v>
      </c>
      <c r="F394" s="74"/>
      <c r="G394" s="10"/>
    </row>
    <row r="395" spans="1:7" ht="63" hidden="1" x14ac:dyDescent="0.25">
      <c r="A395" s="45" t="s">
        <v>261</v>
      </c>
      <c r="B395" s="40" t="s">
        <v>613</v>
      </c>
      <c r="C395" s="40" t="s">
        <v>299</v>
      </c>
      <c r="D395" s="40" t="s">
        <v>118</v>
      </c>
      <c r="E395" s="40"/>
      <c r="F395" s="2">
        <v>903</v>
      </c>
      <c r="G395" s="10">
        <f>G392</f>
        <v>0</v>
      </c>
    </row>
    <row r="396" spans="1:7" ht="31.5" x14ac:dyDescent="0.25">
      <c r="A396" s="76" t="s">
        <v>654</v>
      </c>
      <c r="B396" s="40" t="s">
        <v>316</v>
      </c>
      <c r="C396" s="40" t="s">
        <v>299</v>
      </c>
      <c r="D396" s="40" t="s">
        <v>118</v>
      </c>
      <c r="E396" s="40"/>
      <c r="F396" s="2"/>
      <c r="G396" s="10" t="e">
        <f>G397+G399</f>
        <v>#REF!</v>
      </c>
    </row>
    <row r="397" spans="1:7" ht="47.25" hidden="1" x14ac:dyDescent="0.25">
      <c r="A397" s="29" t="s">
        <v>131</v>
      </c>
      <c r="B397" s="40" t="s">
        <v>316</v>
      </c>
      <c r="C397" s="40" t="s">
        <v>299</v>
      </c>
      <c r="D397" s="40" t="s">
        <v>118</v>
      </c>
      <c r="E397" s="40" t="s">
        <v>132</v>
      </c>
      <c r="F397" s="2"/>
      <c r="G397" s="10">
        <f>G398</f>
        <v>0</v>
      </c>
    </row>
    <row r="398" spans="1:7" ht="47.25" hidden="1" x14ac:dyDescent="0.25">
      <c r="A398" s="29" t="s">
        <v>133</v>
      </c>
      <c r="B398" s="40" t="s">
        <v>316</v>
      </c>
      <c r="C398" s="40" t="s">
        <v>299</v>
      </c>
      <c r="D398" s="40" t="s">
        <v>118</v>
      </c>
      <c r="E398" s="40" t="s">
        <v>134</v>
      </c>
      <c r="F398" s="2"/>
      <c r="G398" s="10">
        <v>0</v>
      </c>
    </row>
    <row r="399" spans="1:7" ht="62.45" customHeight="1" x14ac:dyDescent="0.25">
      <c r="A399" s="29" t="s">
        <v>272</v>
      </c>
      <c r="B399" s="40" t="s">
        <v>316</v>
      </c>
      <c r="C399" s="40" t="s">
        <v>299</v>
      </c>
      <c r="D399" s="40" t="s">
        <v>118</v>
      </c>
      <c r="E399" s="40" t="s">
        <v>273</v>
      </c>
      <c r="F399" s="2"/>
      <c r="G399" s="10" t="e">
        <f>G400</f>
        <v>#REF!</v>
      </c>
    </row>
    <row r="400" spans="1:7" ht="15.75" x14ac:dyDescent="0.25">
      <c r="A400" s="29" t="s">
        <v>274</v>
      </c>
      <c r="B400" s="40" t="s">
        <v>316</v>
      </c>
      <c r="C400" s="40" t="s">
        <v>299</v>
      </c>
      <c r="D400" s="40" t="s">
        <v>118</v>
      </c>
      <c r="E400" s="40" t="s">
        <v>275</v>
      </c>
      <c r="F400" s="2"/>
      <c r="G400" s="10" t="e">
        <f>'Пр.4 ведом.22'!#REF!</f>
        <v>#REF!</v>
      </c>
    </row>
    <row r="401" spans="1:7" ht="15.75" x14ac:dyDescent="0.25">
      <c r="A401" s="25" t="s">
        <v>683</v>
      </c>
      <c r="B401" s="20" t="s">
        <v>684</v>
      </c>
      <c r="C401" s="40" t="s">
        <v>299</v>
      </c>
      <c r="D401" s="40" t="s">
        <v>118</v>
      </c>
      <c r="E401" s="40"/>
      <c r="F401" s="2"/>
      <c r="G401" s="10" t="e">
        <f>G402</f>
        <v>#REF!</v>
      </c>
    </row>
    <row r="402" spans="1:7" ht="63" x14ac:dyDescent="0.25">
      <c r="A402" s="25" t="s">
        <v>272</v>
      </c>
      <c r="B402" s="20" t="s">
        <v>684</v>
      </c>
      <c r="C402" s="40" t="s">
        <v>299</v>
      </c>
      <c r="D402" s="40" t="s">
        <v>118</v>
      </c>
      <c r="E402" s="40" t="s">
        <v>273</v>
      </c>
      <c r="F402" s="2"/>
      <c r="G402" s="10" t="e">
        <f>G403</f>
        <v>#REF!</v>
      </c>
    </row>
    <row r="403" spans="1:7" ht="15.75" x14ac:dyDescent="0.25">
      <c r="A403" s="25" t="s">
        <v>274</v>
      </c>
      <c r="B403" s="20" t="s">
        <v>684</v>
      </c>
      <c r="C403" s="40" t="s">
        <v>299</v>
      </c>
      <c r="D403" s="40" t="s">
        <v>118</v>
      </c>
      <c r="E403" s="40" t="s">
        <v>275</v>
      </c>
      <c r="F403" s="2"/>
      <c r="G403" s="10" t="e">
        <f>'Пр.4 ведом.22'!#REF!</f>
        <v>#REF!</v>
      </c>
    </row>
    <row r="404" spans="1:7" ht="63" x14ac:dyDescent="0.25">
      <c r="A404" s="45" t="s">
        <v>261</v>
      </c>
      <c r="B404" s="40" t="s">
        <v>313</v>
      </c>
      <c r="C404" s="40" t="s">
        <v>299</v>
      </c>
      <c r="D404" s="40" t="s">
        <v>118</v>
      </c>
      <c r="E404" s="40"/>
      <c r="F404" s="2">
        <v>903</v>
      </c>
      <c r="G404" s="10" t="e">
        <f>G374</f>
        <v>#REF!</v>
      </c>
    </row>
    <row r="405" spans="1:7" ht="47.25" hidden="1" x14ac:dyDescent="0.25">
      <c r="A405" s="60" t="s">
        <v>321</v>
      </c>
      <c r="B405" s="40" t="s">
        <v>322</v>
      </c>
      <c r="C405" s="40" t="s">
        <v>299</v>
      </c>
      <c r="D405" s="40" t="s">
        <v>118</v>
      </c>
      <c r="E405" s="40"/>
      <c r="F405" s="2"/>
      <c r="G405" s="10">
        <f>G406</f>
        <v>0</v>
      </c>
    </row>
    <row r="406" spans="1:7" ht="63" hidden="1" x14ac:dyDescent="0.25">
      <c r="A406" s="29" t="s">
        <v>272</v>
      </c>
      <c r="B406" s="40" t="s">
        <v>322</v>
      </c>
      <c r="C406" s="40" t="s">
        <v>299</v>
      </c>
      <c r="D406" s="40" t="s">
        <v>118</v>
      </c>
      <c r="E406" s="40" t="s">
        <v>273</v>
      </c>
      <c r="F406" s="2"/>
      <c r="G406" s="10"/>
    </row>
    <row r="407" spans="1:7" ht="15.75" hidden="1" x14ac:dyDescent="0.25">
      <c r="A407" s="29" t="s">
        <v>274</v>
      </c>
      <c r="B407" s="40" t="s">
        <v>322</v>
      </c>
      <c r="C407" s="40" t="s">
        <v>299</v>
      </c>
      <c r="D407" s="40" t="s">
        <v>118</v>
      </c>
      <c r="E407" s="40" t="s">
        <v>275</v>
      </c>
      <c r="F407" s="2"/>
      <c r="G407" s="10"/>
    </row>
    <row r="408" spans="1:7" ht="63" hidden="1" x14ac:dyDescent="0.25">
      <c r="A408" s="45" t="s">
        <v>261</v>
      </c>
      <c r="B408" s="40" t="s">
        <v>322</v>
      </c>
      <c r="C408" s="40" t="s">
        <v>299</v>
      </c>
      <c r="D408" s="40" t="s">
        <v>118</v>
      </c>
      <c r="E408" s="40"/>
      <c r="F408" s="2">
        <v>903</v>
      </c>
      <c r="G408" s="10">
        <f>G407</f>
        <v>0</v>
      </c>
    </row>
    <row r="409" spans="1:7" ht="78.75" x14ac:dyDescent="0.25">
      <c r="A409" s="41" t="s">
        <v>323</v>
      </c>
      <c r="B409" s="7" t="s">
        <v>324</v>
      </c>
      <c r="C409" s="72"/>
      <c r="D409" s="72"/>
      <c r="E409" s="72"/>
      <c r="F409" s="72"/>
      <c r="G409" s="59" t="e">
        <f>G410</f>
        <v>#REF!</v>
      </c>
    </row>
    <row r="410" spans="1:7" ht="15.75" x14ac:dyDescent="0.25">
      <c r="A410" s="73" t="s">
        <v>298</v>
      </c>
      <c r="B410" s="40" t="s">
        <v>324</v>
      </c>
      <c r="C410" s="40" t="s">
        <v>299</v>
      </c>
      <c r="D410" s="73"/>
      <c r="E410" s="73"/>
      <c r="F410" s="73"/>
      <c r="G410" s="10" t="e">
        <f>G411</f>
        <v>#REF!</v>
      </c>
    </row>
    <row r="411" spans="1:7" ht="15.75" x14ac:dyDescent="0.25">
      <c r="A411" s="73" t="s">
        <v>300</v>
      </c>
      <c r="B411" s="40" t="s">
        <v>324</v>
      </c>
      <c r="C411" s="40" t="s">
        <v>299</v>
      </c>
      <c r="D411" s="40" t="s">
        <v>118</v>
      </c>
      <c r="E411" s="73"/>
      <c r="F411" s="73"/>
      <c r="G411" s="10" t="e">
        <f>G412</f>
        <v>#REF!</v>
      </c>
    </row>
    <row r="412" spans="1:7" ht="63" x14ac:dyDescent="0.25">
      <c r="A412" s="29" t="s">
        <v>325</v>
      </c>
      <c r="B412" s="40" t="s">
        <v>326</v>
      </c>
      <c r="C412" s="40" t="s">
        <v>299</v>
      </c>
      <c r="D412" s="40" t="s">
        <v>118</v>
      </c>
      <c r="E412" s="73"/>
      <c r="F412" s="73"/>
      <c r="G412" s="10" t="e">
        <f>G413</f>
        <v>#REF!</v>
      </c>
    </row>
    <row r="413" spans="1:7" ht="63" x14ac:dyDescent="0.25">
      <c r="A413" s="25" t="s">
        <v>272</v>
      </c>
      <c r="B413" s="40" t="s">
        <v>326</v>
      </c>
      <c r="C413" s="40" t="s">
        <v>299</v>
      </c>
      <c r="D413" s="40" t="s">
        <v>118</v>
      </c>
      <c r="E413" s="40" t="s">
        <v>273</v>
      </c>
      <c r="F413" s="73"/>
      <c r="G413" s="10" t="e">
        <f>G414</f>
        <v>#REF!</v>
      </c>
    </row>
    <row r="414" spans="1:7" ht="15.75" x14ac:dyDescent="0.25">
      <c r="A414" s="25" t="s">
        <v>274</v>
      </c>
      <c r="B414" s="40" t="s">
        <v>326</v>
      </c>
      <c r="C414" s="40" t="s">
        <v>299</v>
      </c>
      <c r="D414" s="40" t="s">
        <v>118</v>
      </c>
      <c r="E414" s="40" t="s">
        <v>275</v>
      </c>
      <c r="F414" s="73"/>
      <c r="G414" s="10" t="e">
        <f>'Пр.4 ведом.22'!#REF!</f>
        <v>#REF!</v>
      </c>
    </row>
    <row r="415" spans="1:7" ht="63" hidden="1" x14ac:dyDescent="0.25">
      <c r="A415" s="45" t="s">
        <v>655</v>
      </c>
      <c r="B415" s="40" t="s">
        <v>326</v>
      </c>
      <c r="C415" s="40" t="s">
        <v>299</v>
      </c>
      <c r="D415" s="40" t="s">
        <v>118</v>
      </c>
      <c r="E415" s="40"/>
      <c r="F415" s="73"/>
      <c r="G415" s="10">
        <f>G416</f>
        <v>0</v>
      </c>
    </row>
    <row r="416" spans="1:7" ht="63" hidden="1" x14ac:dyDescent="0.25">
      <c r="A416" s="29" t="s">
        <v>272</v>
      </c>
      <c r="B416" s="40" t="s">
        <v>326</v>
      </c>
      <c r="C416" s="40" t="s">
        <v>299</v>
      </c>
      <c r="D416" s="40" t="s">
        <v>118</v>
      </c>
      <c r="E416" s="40" t="s">
        <v>273</v>
      </c>
      <c r="F416" s="73"/>
      <c r="G416" s="10">
        <f>G417</f>
        <v>0</v>
      </c>
    </row>
    <row r="417" spans="1:7" ht="15.75" hidden="1" x14ac:dyDescent="0.25">
      <c r="A417" s="29" t="s">
        <v>274</v>
      </c>
      <c r="B417" s="40" t="s">
        <v>326</v>
      </c>
      <c r="C417" s="40" t="s">
        <v>299</v>
      </c>
      <c r="D417" s="40" t="s">
        <v>118</v>
      </c>
      <c r="E417" s="40" t="s">
        <v>275</v>
      </c>
      <c r="F417" s="73"/>
      <c r="G417" s="10"/>
    </row>
    <row r="418" spans="1:7" ht="63" x14ac:dyDescent="0.25">
      <c r="A418" s="45" t="s">
        <v>261</v>
      </c>
      <c r="B418" s="40" t="s">
        <v>324</v>
      </c>
      <c r="C418" s="40" t="s">
        <v>299</v>
      </c>
      <c r="D418" s="40" t="s">
        <v>118</v>
      </c>
      <c r="E418" s="73"/>
      <c r="F418" s="2">
        <v>903</v>
      </c>
      <c r="G418" s="10" t="e">
        <f>G409</f>
        <v>#REF!</v>
      </c>
    </row>
    <row r="419" spans="1:7" ht="63" x14ac:dyDescent="0.25">
      <c r="A419" s="41" t="s">
        <v>542</v>
      </c>
      <c r="B419" s="7" t="s">
        <v>543</v>
      </c>
      <c r="C419" s="2"/>
      <c r="D419" s="2"/>
      <c r="E419" s="2"/>
      <c r="F419" s="2"/>
      <c r="G419" s="59" t="e">
        <f>G420+G433</f>
        <v>#REF!</v>
      </c>
    </row>
    <row r="420" spans="1:7" ht="78.75" x14ac:dyDescent="0.25">
      <c r="A420" s="41" t="s">
        <v>544</v>
      </c>
      <c r="B420" s="7" t="s">
        <v>545</v>
      </c>
      <c r="C420" s="7"/>
      <c r="D420" s="7"/>
      <c r="E420" s="3"/>
      <c r="F420" s="3"/>
      <c r="G420" s="59" t="e">
        <f>G421</f>
        <v>#REF!</v>
      </c>
    </row>
    <row r="421" spans="1:7" ht="15.75" x14ac:dyDescent="0.25">
      <c r="A421" s="73" t="s">
        <v>390</v>
      </c>
      <c r="B421" s="40" t="s">
        <v>545</v>
      </c>
      <c r="C421" s="40" t="s">
        <v>234</v>
      </c>
      <c r="D421" s="40"/>
      <c r="E421" s="2"/>
      <c r="F421" s="2"/>
      <c r="G421" s="10" t="e">
        <f>G422</f>
        <v>#REF!</v>
      </c>
    </row>
    <row r="422" spans="1:7" ht="15.75" x14ac:dyDescent="0.25">
      <c r="A422" s="73" t="s">
        <v>541</v>
      </c>
      <c r="B422" s="40" t="s">
        <v>545</v>
      </c>
      <c r="C422" s="40" t="s">
        <v>234</v>
      </c>
      <c r="D422" s="40" t="s">
        <v>215</v>
      </c>
      <c r="E422" s="2"/>
      <c r="F422" s="2"/>
      <c r="G422" s="10" t="e">
        <f>G423+G426+G429</f>
        <v>#REF!</v>
      </c>
    </row>
    <row r="423" spans="1:7" ht="31.5" x14ac:dyDescent="0.25">
      <c r="A423" s="25" t="s">
        <v>546</v>
      </c>
      <c r="B423" s="20" t="s">
        <v>547</v>
      </c>
      <c r="C423" s="40" t="s">
        <v>234</v>
      </c>
      <c r="D423" s="40" t="s">
        <v>215</v>
      </c>
      <c r="E423" s="2"/>
      <c r="F423" s="2"/>
      <c r="G423" s="10" t="e">
        <f>G424</f>
        <v>#REF!</v>
      </c>
    </row>
    <row r="424" spans="1:7" ht="51" customHeight="1" x14ac:dyDescent="0.25">
      <c r="A424" s="25" t="s">
        <v>131</v>
      </c>
      <c r="B424" s="20" t="s">
        <v>547</v>
      </c>
      <c r="C424" s="40" t="s">
        <v>234</v>
      </c>
      <c r="D424" s="40" t="s">
        <v>215</v>
      </c>
      <c r="E424" s="2">
        <v>200</v>
      </c>
      <c r="F424" s="2"/>
      <c r="G424" s="10" t="e">
        <f>G425</f>
        <v>#REF!</v>
      </c>
    </row>
    <row r="425" spans="1:7" ht="47.25" x14ac:dyDescent="0.25">
      <c r="A425" s="25" t="s">
        <v>133</v>
      </c>
      <c r="B425" s="20" t="s">
        <v>547</v>
      </c>
      <c r="C425" s="40" t="s">
        <v>234</v>
      </c>
      <c r="D425" s="40" t="s">
        <v>215</v>
      </c>
      <c r="E425" s="2">
        <v>240</v>
      </c>
      <c r="F425" s="2"/>
      <c r="G425" s="10" t="e">
        <f>'Пр.4 ведом.22'!#REF!</f>
        <v>#REF!</v>
      </c>
    </row>
    <row r="426" spans="1:7" ht="31.7" customHeight="1" x14ac:dyDescent="0.25">
      <c r="A426" s="25" t="s">
        <v>548</v>
      </c>
      <c r="B426" s="20" t="s">
        <v>549</v>
      </c>
      <c r="C426" s="40" t="s">
        <v>234</v>
      </c>
      <c r="D426" s="40" t="s">
        <v>215</v>
      </c>
      <c r="E426" s="2"/>
      <c r="F426" s="2"/>
      <c r="G426" s="10" t="e">
        <f>G427</f>
        <v>#REF!</v>
      </c>
    </row>
    <row r="427" spans="1:7" ht="47.25" x14ac:dyDescent="0.25">
      <c r="A427" s="25" t="s">
        <v>131</v>
      </c>
      <c r="B427" s="20" t="s">
        <v>549</v>
      </c>
      <c r="C427" s="40" t="s">
        <v>234</v>
      </c>
      <c r="D427" s="40" t="s">
        <v>215</v>
      </c>
      <c r="E427" s="2">
        <v>200</v>
      </c>
      <c r="F427" s="2"/>
      <c r="G427" s="10" t="e">
        <f>G428</f>
        <v>#REF!</v>
      </c>
    </row>
    <row r="428" spans="1:7" ht="47.25" x14ac:dyDescent="0.25">
      <c r="A428" s="25" t="s">
        <v>133</v>
      </c>
      <c r="B428" s="20" t="s">
        <v>549</v>
      </c>
      <c r="C428" s="40" t="s">
        <v>234</v>
      </c>
      <c r="D428" s="40" t="s">
        <v>215</v>
      </c>
      <c r="E428" s="2">
        <v>240</v>
      </c>
      <c r="F428" s="2"/>
      <c r="G428" s="10" t="e">
        <f>'Пр.4 ведом.22'!#REF!</f>
        <v>#REF!</v>
      </c>
    </row>
    <row r="429" spans="1:7" ht="31.5" x14ac:dyDescent="0.25">
      <c r="A429" s="25" t="s">
        <v>550</v>
      </c>
      <c r="B429" s="20" t="s">
        <v>551</v>
      </c>
      <c r="C429" s="40" t="s">
        <v>234</v>
      </c>
      <c r="D429" s="40" t="s">
        <v>215</v>
      </c>
      <c r="E429" s="2"/>
      <c r="F429" s="2"/>
      <c r="G429" s="10" t="e">
        <f>G430</f>
        <v>#REF!</v>
      </c>
    </row>
    <row r="430" spans="1:7" ht="47.25" x14ac:dyDescent="0.25">
      <c r="A430" s="25" t="s">
        <v>131</v>
      </c>
      <c r="B430" s="20" t="s">
        <v>551</v>
      </c>
      <c r="C430" s="40" t="s">
        <v>234</v>
      </c>
      <c r="D430" s="40" t="s">
        <v>215</v>
      </c>
      <c r="E430" s="2">
        <v>200</v>
      </c>
      <c r="F430" s="2"/>
      <c r="G430" s="10" t="e">
        <f>G431</f>
        <v>#REF!</v>
      </c>
    </row>
    <row r="431" spans="1:7" ht="47.25" x14ac:dyDescent="0.25">
      <c r="A431" s="25" t="s">
        <v>133</v>
      </c>
      <c r="B431" s="20" t="s">
        <v>551</v>
      </c>
      <c r="C431" s="40" t="s">
        <v>234</v>
      </c>
      <c r="D431" s="40" t="s">
        <v>215</v>
      </c>
      <c r="E431" s="2">
        <v>240</v>
      </c>
      <c r="F431" s="2"/>
      <c r="G431" s="10" t="e">
        <f>'Пр.4 ведом.22'!#REF!</f>
        <v>#REF!</v>
      </c>
    </row>
    <row r="432" spans="1:7" ht="47.25" x14ac:dyDescent="0.25">
      <c r="A432" s="45" t="s">
        <v>623</v>
      </c>
      <c r="B432" s="40" t="s">
        <v>545</v>
      </c>
      <c r="C432" s="40" t="s">
        <v>234</v>
      </c>
      <c r="D432" s="40" t="s">
        <v>215</v>
      </c>
      <c r="E432" s="2"/>
      <c r="F432" s="2">
        <v>908</v>
      </c>
      <c r="G432" s="10" t="e">
        <f>G420</f>
        <v>#REF!</v>
      </c>
    </row>
    <row r="433" spans="1:7" ht="63" x14ac:dyDescent="0.25">
      <c r="A433" s="23" t="s">
        <v>552</v>
      </c>
      <c r="B433" s="7" t="s">
        <v>553</v>
      </c>
      <c r="C433" s="7"/>
      <c r="D433" s="7"/>
      <c r="E433" s="3"/>
      <c r="F433" s="3"/>
      <c r="G433" s="59" t="e">
        <f>G434</f>
        <v>#REF!</v>
      </c>
    </row>
    <row r="434" spans="1:7" ht="15.75" x14ac:dyDescent="0.25">
      <c r="A434" s="73" t="s">
        <v>390</v>
      </c>
      <c r="B434" s="40" t="s">
        <v>553</v>
      </c>
      <c r="C434" s="40" t="s">
        <v>234</v>
      </c>
      <c r="D434" s="40"/>
      <c r="E434" s="2"/>
      <c r="F434" s="2"/>
      <c r="G434" s="10" t="e">
        <f>G435</f>
        <v>#REF!</v>
      </c>
    </row>
    <row r="435" spans="1:7" ht="15.75" x14ac:dyDescent="0.25">
      <c r="A435" s="73" t="s">
        <v>541</v>
      </c>
      <c r="B435" s="40" t="s">
        <v>553</v>
      </c>
      <c r="C435" s="40" t="s">
        <v>234</v>
      </c>
      <c r="D435" s="40" t="s">
        <v>215</v>
      </c>
      <c r="E435" s="2"/>
      <c r="F435" s="2"/>
      <c r="G435" s="10" t="e">
        <f>G436+G441+G444+G447</f>
        <v>#REF!</v>
      </c>
    </row>
    <row r="436" spans="1:7" ht="31.5" x14ac:dyDescent="0.25">
      <c r="A436" s="25" t="s">
        <v>550</v>
      </c>
      <c r="B436" s="20" t="s">
        <v>554</v>
      </c>
      <c r="C436" s="40" t="s">
        <v>234</v>
      </c>
      <c r="D436" s="40" t="s">
        <v>215</v>
      </c>
      <c r="E436" s="2"/>
      <c r="F436" s="2"/>
      <c r="G436" s="10" t="e">
        <f>G437+G439</f>
        <v>#REF!</v>
      </c>
    </row>
    <row r="437" spans="1:7" ht="110.25" x14ac:dyDescent="0.25">
      <c r="A437" s="25" t="s">
        <v>127</v>
      </c>
      <c r="B437" s="20" t="s">
        <v>554</v>
      </c>
      <c r="C437" s="40" t="s">
        <v>234</v>
      </c>
      <c r="D437" s="40" t="s">
        <v>215</v>
      </c>
      <c r="E437" s="2">
        <v>100</v>
      </c>
      <c r="F437" s="2"/>
      <c r="G437" s="10" t="e">
        <f>G438</f>
        <v>#REF!</v>
      </c>
    </row>
    <row r="438" spans="1:7" ht="31.5" x14ac:dyDescent="0.25">
      <c r="A438" s="46" t="s">
        <v>342</v>
      </c>
      <c r="B438" s="20" t="s">
        <v>554</v>
      </c>
      <c r="C438" s="40" t="s">
        <v>234</v>
      </c>
      <c r="D438" s="40" t="s">
        <v>215</v>
      </c>
      <c r="E438" s="2">
        <v>110</v>
      </c>
      <c r="F438" s="2"/>
      <c r="G438" s="10" t="e">
        <f>'Пр.4 ведом.22'!#REF!</f>
        <v>#REF!</v>
      </c>
    </row>
    <row r="439" spans="1:7" ht="47.25" x14ac:dyDescent="0.25">
      <c r="A439" s="25" t="s">
        <v>131</v>
      </c>
      <c r="B439" s="20" t="s">
        <v>554</v>
      </c>
      <c r="C439" s="40" t="s">
        <v>234</v>
      </c>
      <c r="D439" s="40" t="s">
        <v>215</v>
      </c>
      <c r="E439" s="2">
        <v>200</v>
      </c>
      <c r="F439" s="2"/>
      <c r="G439" s="10" t="e">
        <f>G440</f>
        <v>#REF!</v>
      </c>
    </row>
    <row r="440" spans="1:7" ht="47.25" x14ac:dyDescent="0.25">
      <c r="A440" s="25" t="s">
        <v>133</v>
      </c>
      <c r="B440" s="20" t="s">
        <v>554</v>
      </c>
      <c r="C440" s="40" t="s">
        <v>234</v>
      </c>
      <c r="D440" s="40" t="s">
        <v>215</v>
      </c>
      <c r="E440" s="2">
        <v>240</v>
      </c>
      <c r="F440" s="2"/>
      <c r="G440" s="10" t="e">
        <f>'Пр.4 ведом.22'!#REF!</f>
        <v>#REF!</v>
      </c>
    </row>
    <row r="441" spans="1:7" ht="15.75" x14ac:dyDescent="0.25">
      <c r="A441" s="25" t="s">
        <v>555</v>
      </c>
      <c r="B441" s="20" t="s">
        <v>556</v>
      </c>
      <c r="C441" s="40" t="s">
        <v>234</v>
      </c>
      <c r="D441" s="40" t="s">
        <v>215</v>
      </c>
      <c r="E441" s="2"/>
      <c r="F441" s="2"/>
      <c r="G441" s="10" t="e">
        <f>G442</f>
        <v>#REF!</v>
      </c>
    </row>
    <row r="442" spans="1:7" ht="47.25" x14ac:dyDescent="0.25">
      <c r="A442" s="25" t="s">
        <v>131</v>
      </c>
      <c r="B442" s="20" t="s">
        <v>556</v>
      </c>
      <c r="C442" s="40" t="s">
        <v>234</v>
      </c>
      <c r="D442" s="40" t="s">
        <v>215</v>
      </c>
      <c r="E442" s="2">
        <v>200</v>
      </c>
      <c r="F442" s="2"/>
      <c r="G442" s="10" t="e">
        <f>G443</f>
        <v>#REF!</v>
      </c>
    </row>
    <row r="443" spans="1:7" ht="47.25" x14ac:dyDescent="0.25">
      <c r="A443" s="25" t="s">
        <v>133</v>
      </c>
      <c r="B443" s="20" t="s">
        <v>556</v>
      </c>
      <c r="C443" s="40" t="s">
        <v>234</v>
      </c>
      <c r="D443" s="40" t="s">
        <v>215</v>
      </c>
      <c r="E443" s="2">
        <v>240</v>
      </c>
      <c r="F443" s="2"/>
      <c r="G443" s="10" t="e">
        <f>'Пр.4 ведом.22'!#REF!</f>
        <v>#REF!</v>
      </c>
    </row>
    <row r="444" spans="1:7" ht="63" x14ac:dyDescent="0.25">
      <c r="A444" s="98" t="s">
        <v>557</v>
      </c>
      <c r="B444" s="20" t="s">
        <v>558</v>
      </c>
      <c r="C444" s="40" t="s">
        <v>234</v>
      </c>
      <c r="D444" s="40" t="s">
        <v>215</v>
      </c>
      <c r="E444" s="2"/>
      <c r="F444" s="2"/>
      <c r="G444" s="10" t="e">
        <f>G445</f>
        <v>#REF!</v>
      </c>
    </row>
    <row r="445" spans="1:7" ht="47.25" x14ac:dyDescent="0.25">
      <c r="A445" s="25" t="s">
        <v>131</v>
      </c>
      <c r="B445" s="20" t="s">
        <v>558</v>
      </c>
      <c r="C445" s="40" t="s">
        <v>234</v>
      </c>
      <c r="D445" s="40" t="s">
        <v>215</v>
      </c>
      <c r="E445" s="2">
        <v>200</v>
      </c>
      <c r="F445" s="2"/>
      <c r="G445" s="10" t="e">
        <f>G446</f>
        <v>#REF!</v>
      </c>
    </row>
    <row r="446" spans="1:7" ht="47.25" x14ac:dyDescent="0.25">
      <c r="A446" s="25" t="s">
        <v>133</v>
      </c>
      <c r="B446" s="20" t="s">
        <v>558</v>
      </c>
      <c r="C446" s="40" t="s">
        <v>234</v>
      </c>
      <c r="D446" s="40" t="s">
        <v>215</v>
      </c>
      <c r="E446" s="2">
        <v>240</v>
      </c>
      <c r="F446" s="2"/>
      <c r="G446" s="10" t="e">
        <f>'Пр.4 ведом.22'!#REF!</f>
        <v>#REF!</v>
      </c>
    </row>
    <row r="447" spans="1:7" ht="31.5" x14ac:dyDescent="0.25">
      <c r="A447" s="98" t="s">
        <v>559</v>
      </c>
      <c r="B447" s="20" t="s">
        <v>560</v>
      </c>
      <c r="C447" s="40" t="s">
        <v>234</v>
      </c>
      <c r="D447" s="40" t="s">
        <v>215</v>
      </c>
      <c r="E447" s="2"/>
      <c r="F447" s="2"/>
      <c r="G447" s="10" t="e">
        <f>G448</f>
        <v>#REF!</v>
      </c>
    </row>
    <row r="448" spans="1:7" ht="47.25" x14ac:dyDescent="0.25">
      <c r="A448" s="25" t="s">
        <v>131</v>
      </c>
      <c r="B448" s="20" t="s">
        <v>560</v>
      </c>
      <c r="C448" s="40" t="s">
        <v>234</v>
      </c>
      <c r="D448" s="40" t="s">
        <v>215</v>
      </c>
      <c r="E448" s="2">
        <v>200</v>
      </c>
      <c r="F448" s="2"/>
      <c r="G448" s="10" t="e">
        <f>G449</f>
        <v>#REF!</v>
      </c>
    </row>
    <row r="449" spans="1:7" ht="47.25" x14ac:dyDescent="0.25">
      <c r="A449" s="25" t="s">
        <v>133</v>
      </c>
      <c r="B449" s="20" t="s">
        <v>560</v>
      </c>
      <c r="C449" s="40" t="s">
        <v>234</v>
      </c>
      <c r="D449" s="40" t="s">
        <v>215</v>
      </c>
      <c r="E449" s="2">
        <v>240</v>
      </c>
      <c r="F449" s="2"/>
      <c r="G449" s="10" t="e">
        <f>'Пр.4 ведом.22'!#REF!</f>
        <v>#REF!</v>
      </c>
    </row>
    <row r="450" spans="1:7" ht="47.25" x14ac:dyDescent="0.25">
      <c r="A450" s="45" t="s">
        <v>623</v>
      </c>
      <c r="B450" s="20" t="s">
        <v>553</v>
      </c>
      <c r="C450" s="40" t="s">
        <v>234</v>
      </c>
      <c r="D450" s="40" t="s">
        <v>215</v>
      </c>
      <c r="E450" s="2"/>
      <c r="F450" s="2">
        <v>908</v>
      </c>
      <c r="G450" s="10" t="e">
        <f>G433</f>
        <v>#REF!</v>
      </c>
    </row>
    <row r="451" spans="1:7" ht="78.75" x14ac:dyDescent="0.25">
      <c r="A451" s="34" t="s">
        <v>181</v>
      </c>
      <c r="B451" s="172" t="s">
        <v>182</v>
      </c>
      <c r="C451" s="7"/>
      <c r="D451" s="7"/>
      <c r="E451" s="7"/>
      <c r="F451" s="3"/>
      <c r="G451" s="59" t="e">
        <f>G452</f>
        <v>#REF!</v>
      </c>
    </row>
    <row r="452" spans="1:7" ht="15.75" x14ac:dyDescent="0.25">
      <c r="A452" s="25" t="s">
        <v>117</v>
      </c>
      <c r="B452" s="5" t="s">
        <v>182</v>
      </c>
      <c r="C452" s="40" t="s">
        <v>118</v>
      </c>
      <c r="D452" s="40"/>
      <c r="E452" s="40"/>
      <c r="F452" s="2"/>
      <c r="G452" s="10" t="e">
        <f>G453</f>
        <v>#REF!</v>
      </c>
    </row>
    <row r="453" spans="1:7" ht="31.5" x14ac:dyDescent="0.25">
      <c r="A453" s="25" t="s">
        <v>139</v>
      </c>
      <c r="B453" s="30" t="s">
        <v>182</v>
      </c>
      <c r="C453" s="40" t="s">
        <v>118</v>
      </c>
      <c r="D453" s="40" t="s">
        <v>140</v>
      </c>
      <c r="E453" s="40"/>
      <c r="F453" s="2"/>
      <c r="G453" s="10" t="e">
        <f>G454</f>
        <v>#REF!</v>
      </c>
    </row>
    <row r="454" spans="1:7" ht="47.25" x14ac:dyDescent="0.25">
      <c r="A454" s="29" t="s">
        <v>157</v>
      </c>
      <c r="B454" s="20" t="s">
        <v>183</v>
      </c>
      <c r="C454" s="40" t="s">
        <v>118</v>
      </c>
      <c r="D454" s="40" t="s">
        <v>140</v>
      </c>
      <c r="E454" s="40"/>
      <c r="F454" s="2"/>
      <c r="G454" s="10" t="e">
        <f>G455</f>
        <v>#REF!</v>
      </c>
    </row>
    <row r="455" spans="1:7" ht="47.25" x14ac:dyDescent="0.25">
      <c r="A455" s="29" t="s">
        <v>131</v>
      </c>
      <c r="B455" s="20" t="s">
        <v>183</v>
      </c>
      <c r="C455" s="40" t="s">
        <v>118</v>
      </c>
      <c r="D455" s="40" t="s">
        <v>140</v>
      </c>
      <c r="E455" s="40" t="s">
        <v>145</v>
      </c>
      <c r="F455" s="2"/>
      <c r="G455" s="10" t="e">
        <f>G456</f>
        <v>#REF!</v>
      </c>
    </row>
    <row r="456" spans="1:7" ht="78.75" x14ac:dyDescent="0.25">
      <c r="A456" s="29" t="s">
        <v>184</v>
      </c>
      <c r="B456" s="20" t="s">
        <v>183</v>
      </c>
      <c r="C456" s="40" t="s">
        <v>118</v>
      </c>
      <c r="D456" s="40" t="s">
        <v>140</v>
      </c>
      <c r="E456" s="40" t="s">
        <v>160</v>
      </c>
      <c r="F456" s="2"/>
      <c r="G456" s="10" t="e">
        <f>'Пр.4 ведом.22'!#REF!</f>
        <v>#REF!</v>
      </c>
    </row>
    <row r="457" spans="1:7" ht="31.5" x14ac:dyDescent="0.25">
      <c r="A457" s="29" t="s">
        <v>148</v>
      </c>
      <c r="B457" s="30" t="s">
        <v>182</v>
      </c>
      <c r="C457" s="40" t="s">
        <v>118</v>
      </c>
      <c r="D457" s="40" t="s">
        <v>140</v>
      </c>
      <c r="E457" s="40"/>
      <c r="F457" s="2">
        <v>902</v>
      </c>
      <c r="G457" s="10" t="e">
        <f>G451</f>
        <v>#REF!</v>
      </c>
    </row>
    <row r="458" spans="1:7" ht="94.5" x14ac:dyDescent="0.25">
      <c r="A458" s="41" t="s">
        <v>656</v>
      </c>
      <c r="B458" s="7" t="s">
        <v>518</v>
      </c>
      <c r="C458" s="7"/>
      <c r="D458" s="7"/>
      <c r="E458" s="72"/>
      <c r="F458" s="3"/>
      <c r="G458" s="59" t="e">
        <f>G459</f>
        <v>#REF!</v>
      </c>
    </row>
    <row r="459" spans="1:7" ht="15.75" x14ac:dyDescent="0.25">
      <c r="A459" s="29" t="s">
        <v>390</v>
      </c>
      <c r="B459" s="40" t="s">
        <v>518</v>
      </c>
      <c r="C459" s="40" t="s">
        <v>234</v>
      </c>
      <c r="D459" s="40"/>
      <c r="E459" s="73"/>
      <c r="F459" s="2"/>
      <c r="G459" s="10" t="e">
        <f>G460</f>
        <v>#REF!</v>
      </c>
    </row>
    <row r="460" spans="1:7" ht="15.75" x14ac:dyDescent="0.25">
      <c r="A460" s="29" t="s">
        <v>517</v>
      </c>
      <c r="B460" s="40" t="s">
        <v>518</v>
      </c>
      <c r="C460" s="40" t="s">
        <v>234</v>
      </c>
      <c r="D460" s="40" t="s">
        <v>213</v>
      </c>
      <c r="E460" s="73"/>
      <c r="F460" s="2"/>
      <c r="G460" s="10" t="e">
        <f>G465+G468+G471+G474+G477+G480+G483</f>
        <v>#REF!</v>
      </c>
    </row>
    <row r="461" spans="1:7" ht="63" hidden="1" x14ac:dyDescent="0.25">
      <c r="A461" s="35" t="s">
        <v>519</v>
      </c>
      <c r="B461" s="20" t="s">
        <v>520</v>
      </c>
      <c r="C461" s="40" t="s">
        <v>234</v>
      </c>
      <c r="D461" s="40" t="s">
        <v>213</v>
      </c>
      <c r="E461" s="73"/>
      <c r="F461" s="2"/>
      <c r="G461" s="10">
        <f>G462</f>
        <v>0</v>
      </c>
    </row>
    <row r="462" spans="1:7" ht="47.25" hidden="1" x14ac:dyDescent="0.25">
      <c r="A462" s="29" t="s">
        <v>131</v>
      </c>
      <c r="B462" s="20" t="s">
        <v>520</v>
      </c>
      <c r="C462" s="40" t="s">
        <v>234</v>
      </c>
      <c r="D462" s="40" t="s">
        <v>213</v>
      </c>
      <c r="E462" s="40" t="s">
        <v>132</v>
      </c>
      <c r="F462" s="2"/>
      <c r="G462" s="10">
        <f>G463</f>
        <v>0</v>
      </c>
    </row>
    <row r="463" spans="1:7" ht="47.25" hidden="1" x14ac:dyDescent="0.25">
      <c r="A463" s="29" t="s">
        <v>133</v>
      </c>
      <c r="B463" s="20" t="s">
        <v>520</v>
      </c>
      <c r="C463" s="40" t="s">
        <v>234</v>
      </c>
      <c r="D463" s="40" t="s">
        <v>213</v>
      </c>
      <c r="E463" s="40" t="s">
        <v>134</v>
      </c>
      <c r="F463" s="2"/>
      <c r="G463" s="10"/>
    </row>
    <row r="464" spans="1:7" ht="47.25" hidden="1" x14ac:dyDescent="0.25">
      <c r="A464" s="45" t="s">
        <v>623</v>
      </c>
      <c r="B464" s="20" t="s">
        <v>520</v>
      </c>
      <c r="C464" s="40"/>
      <c r="D464" s="40"/>
      <c r="E464" s="40"/>
      <c r="F464" s="2">
        <v>908</v>
      </c>
      <c r="G464" s="10">
        <f>G461</f>
        <v>0</v>
      </c>
    </row>
    <row r="465" spans="1:7" ht="15.75" x14ac:dyDescent="0.25">
      <c r="A465" s="98" t="s">
        <v>521</v>
      </c>
      <c r="B465" s="20" t="s">
        <v>522</v>
      </c>
      <c r="C465" s="40" t="s">
        <v>234</v>
      </c>
      <c r="D465" s="40" t="s">
        <v>213</v>
      </c>
      <c r="E465" s="40"/>
      <c r="F465" s="2"/>
      <c r="G465" s="10" t="e">
        <f>G466</f>
        <v>#REF!</v>
      </c>
    </row>
    <row r="466" spans="1:7" ht="47.25" x14ac:dyDescent="0.25">
      <c r="A466" s="31" t="s">
        <v>131</v>
      </c>
      <c r="B466" s="20" t="s">
        <v>522</v>
      </c>
      <c r="C466" s="40" t="s">
        <v>234</v>
      </c>
      <c r="D466" s="40" t="s">
        <v>213</v>
      </c>
      <c r="E466" s="40" t="s">
        <v>132</v>
      </c>
      <c r="F466" s="2"/>
      <c r="G466" s="10" t="e">
        <f>G467</f>
        <v>#REF!</v>
      </c>
    </row>
    <row r="467" spans="1:7" ht="47.25" x14ac:dyDescent="0.25">
      <c r="A467" s="31" t="s">
        <v>133</v>
      </c>
      <c r="B467" s="20" t="s">
        <v>522</v>
      </c>
      <c r="C467" s="40" t="s">
        <v>234</v>
      </c>
      <c r="D467" s="40" t="s">
        <v>213</v>
      </c>
      <c r="E467" s="40" t="s">
        <v>134</v>
      </c>
      <c r="F467" s="2"/>
      <c r="G467" s="10" t="e">
        <f>'Пр.4 ведом.22'!#REF!</f>
        <v>#REF!</v>
      </c>
    </row>
    <row r="468" spans="1:7" ht="15.75" x14ac:dyDescent="0.25">
      <c r="A468" s="98" t="s">
        <v>523</v>
      </c>
      <c r="B468" s="20" t="s">
        <v>524</v>
      </c>
      <c r="C468" s="40" t="s">
        <v>234</v>
      </c>
      <c r="D468" s="40" t="s">
        <v>213</v>
      </c>
      <c r="E468" s="40"/>
      <c r="F468" s="2"/>
      <c r="G468" s="10" t="e">
        <f>G469</f>
        <v>#REF!</v>
      </c>
    </row>
    <row r="469" spans="1:7" ht="47.25" x14ac:dyDescent="0.25">
      <c r="A469" s="31" t="s">
        <v>131</v>
      </c>
      <c r="B469" s="20" t="s">
        <v>524</v>
      </c>
      <c r="C469" s="40" t="s">
        <v>234</v>
      </c>
      <c r="D469" s="40" t="s">
        <v>213</v>
      </c>
      <c r="E469" s="40" t="s">
        <v>132</v>
      </c>
      <c r="F469" s="2"/>
      <c r="G469" s="10" t="e">
        <f>G470</f>
        <v>#REF!</v>
      </c>
    </row>
    <row r="470" spans="1:7" ht="47.25" x14ac:dyDescent="0.25">
      <c r="A470" s="31" t="s">
        <v>133</v>
      </c>
      <c r="B470" s="20" t="s">
        <v>524</v>
      </c>
      <c r="C470" s="40" t="s">
        <v>234</v>
      </c>
      <c r="D470" s="40" t="s">
        <v>213</v>
      </c>
      <c r="E470" s="40" t="s">
        <v>134</v>
      </c>
      <c r="F470" s="2"/>
      <c r="G470" s="10" t="e">
        <f>'Пр.4 ведом.22'!#REF!</f>
        <v>#REF!</v>
      </c>
    </row>
    <row r="471" spans="1:7" ht="15.75" x14ac:dyDescent="0.25">
      <c r="A471" s="98" t="s">
        <v>525</v>
      </c>
      <c r="B471" s="20" t="s">
        <v>526</v>
      </c>
      <c r="C471" s="40" t="s">
        <v>234</v>
      </c>
      <c r="D471" s="40" t="s">
        <v>213</v>
      </c>
      <c r="E471" s="40"/>
      <c r="F471" s="2"/>
      <c r="G471" s="10" t="e">
        <f>G472</f>
        <v>#REF!</v>
      </c>
    </row>
    <row r="472" spans="1:7" ht="47.25" x14ac:dyDescent="0.25">
      <c r="A472" s="31" t="s">
        <v>131</v>
      </c>
      <c r="B472" s="20" t="s">
        <v>526</v>
      </c>
      <c r="C472" s="40" t="s">
        <v>234</v>
      </c>
      <c r="D472" s="40" t="s">
        <v>213</v>
      </c>
      <c r="E472" s="40" t="s">
        <v>132</v>
      </c>
      <c r="F472" s="2"/>
      <c r="G472" s="10" t="e">
        <f>G473</f>
        <v>#REF!</v>
      </c>
    </row>
    <row r="473" spans="1:7" ht="47.25" x14ac:dyDescent="0.25">
      <c r="A473" s="31" t="s">
        <v>133</v>
      </c>
      <c r="B473" s="20" t="s">
        <v>526</v>
      </c>
      <c r="C473" s="40" t="s">
        <v>234</v>
      </c>
      <c r="D473" s="40" t="s">
        <v>213</v>
      </c>
      <c r="E473" s="40" t="s">
        <v>134</v>
      </c>
      <c r="F473" s="2"/>
      <c r="G473" s="10" t="e">
        <f>'Пр.4 ведом.22'!#REF!</f>
        <v>#REF!</v>
      </c>
    </row>
    <row r="474" spans="1:7" ht="31.5" x14ac:dyDescent="0.25">
      <c r="A474" s="98" t="s">
        <v>527</v>
      </c>
      <c r="B474" s="20" t="s">
        <v>528</v>
      </c>
      <c r="C474" s="40" t="s">
        <v>234</v>
      </c>
      <c r="D474" s="40" t="s">
        <v>213</v>
      </c>
      <c r="E474" s="40"/>
      <c r="F474" s="2"/>
      <c r="G474" s="10" t="e">
        <f>G475</f>
        <v>#REF!</v>
      </c>
    </row>
    <row r="475" spans="1:7" ht="47.25" x14ac:dyDescent="0.25">
      <c r="A475" s="31" t="s">
        <v>131</v>
      </c>
      <c r="B475" s="20" t="s">
        <v>528</v>
      </c>
      <c r="C475" s="40" t="s">
        <v>234</v>
      </c>
      <c r="D475" s="40" t="s">
        <v>213</v>
      </c>
      <c r="E475" s="40" t="s">
        <v>132</v>
      </c>
      <c r="F475" s="2"/>
      <c r="G475" s="10" t="e">
        <f>G476</f>
        <v>#REF!</v>
      </c>
    </row>
    <row r="476" spans="1:7" ht="47.25" x14ac:dyDescent="0.25">
      <c r="A476" s="31" t="s">
        <v>133</v>
      </c>
      <c r="B476" s="20" t="s">
        <v>528</v>
      </c>
      <c r="C476" s="40" t="s">
        <v>234</v>
      </c>
      <c r="D476" s="40" t="s">
        <v>213</v>
      </c>
      <c r="E476" s="40" t="s">
        <v>134</v>
      </c>
      <c r="F476" s="2"/>
      <c r="G476" s="10" t="e">
        <f>'Пр.4 ведом.22'!#REF!</f>
        <v>#REF!</v>
      </c>
    </row>
    <row r="477" spans="1:7" ht="15.75" x14ac:dyDescent="0.25">
      <c r="A477" s="98" t="s">
        <v>529</v>
      </c>
      <c r="B477" s="20" t="s">
        <v>530</v>
      </c>
      <c r="C477" s="40" t="s">
        <v>234</v>
      </c>
      <c r="D477" s="40" t="s">
        <v>213</v>
      </c>
      <c r="E477" s="40"/>
      <c r="F477" s="2"/>
      <c r="G477" s="10" t="e">
        <f>G478</f>
        <v>#REF!</v>
      </c>
    </row>
    <row r="478" spans="1:7" ht="47.25" x14ac:dyDescent="0.25">
      <c r="A478" s="31" t="s">
        <v>131</v>
      </c>
      <c r="B478" s="20" t="s">
        <v>530</v>
      </c>
      <c r="C478" s="40" t="s">
        <v>234</v>
      </c>
      <c r="D478" s="40" t="s">
        <v>213</v>
      </c>
      <c r="E478" s="40" t="s">
        <v>132</v>
      </c>
      <c r="F478" s="2"/>
      <c r="G478" s="10" t="e">
        <f>G479</f>
        <v>#REF!</v>
      </c>
    </row>
    <row r="479" spans="1:7" ht="47.25" x14ac:dyDescent="0.25">
      <c r="A479" s="31" t="s">
        <v>133</v>
      </c>
      <c r="B479" s="20" t="s">
        <v>530</v>
      </c>
      <c r="C479" s="40" t="s">
        <v>234</v>
      </c>
      <c r="D479" s="40" t="s">
        <v>213</v>
      </c>
      <c r="E479" s="40" t="s">
        <v>134</v>
      </c>
      <c r="F479" s="2"/>
      <c r="G479" s="10" t="e">
        <f>'Пр.4 ведом.22'!#REF!</f>
        <v>#REF!</v>
      </c>
    </row>
    <row r="480" spans="1:7" ht="31.5" hidden="1" x14ac:dyDescent="0.25">
      <c r="A480" s="97" t="s">
        <v>531</v>
      </c>
      <c r="B480" s="20" t="s">
        <v>532</v>
      </c>
      <c r="C480" s="40" t="s">
        <v>234</v>
      </c>
      <c r="D480" s="40" t="s">
        <v>213</v>
      </c>
      <c r="E480" s="40"/>
      <c r="F480" s="2"/>
      <c r="G480" s="10">
        <f>G481</f>
        <v>0</v>
      </c>
    </row>
    <row r="481" spans="1:7" ht="47.25" hidden="1" x14ac:dyDescent="0.25">
      <c r="A481" s="31" t="s">
        <v>131</v>
      </c>
      <c r="B481" s="20" t="s">
        <v>532</v>
      </c>
      <c r="C481" s="40" t="s">
        <v>234</v>
      </c>
      <c r="D481" s="40" t="s">
        <v>213</v>
      </c>
      <c r="E481" s="40"/>
      <c r="F481" s="2"/>
      <c r="G481" s="10">
        <f>G482</f>
        <v>0</v>
      </c>
    </row>
    <row r="482" spans="1:7" ht="47.25" hidden="1" x14ac:dyDescent="0.25">
      <c r="A482" s="31" t="s">
        <v>133</v>
      </c>
      <c r="B482" s="20" t="s">
        <v>532</v>
      </c>
      <c r="C482" s="40" t="s">
        <v>234</v>
      </c>
      <c r="D482" s="40" t="s">
        <v>213</v>
      </c>
      <c r="E482" s="40"/>
      <c r="F482" s="2"/>
      <c r="G482" s="10"/>
    </row>
    <row r="483" spans="1:7" ht="31.5" x14ac:dyDescent="0.25">
      <c r="A483" s="97" t="s">
        <v>533</v>
      </c>
      <c r="B483" s="20" t="s">
        <v>534</v>
      </c>
      <c r="C483" s="40" t="s">
        <v>234</v>
      </c>
      <c r="D483" s="40" t="s">
        <v>213</v>
      </c>
      <c r="E483" s="40"/>
      <c r="F483" s="2"/>
      <c r="G483" s="10" t="e">
        <f>G484</f>
        <v>#REF!</v>
      </c>
    </row>
    <row r="484" spans="1:7" ht="47.25" x14ac:dyDescent="0.3">
      <c r="A484" s="25" t="s">
        <v>131</v>
      </c>
      <c r="B484" s="20" t="s">
        <v>534</v>
      </c>
      <c r="C484" s="40" t="s">
        <v>234</v>
      </c>
      <c r="D484" s="40" t="s">
        <v>213</v>
      </c>
      <c r="E484" s="2">
        <v>200</v>
      </c>
      <c r="F484" s="77"/>
      <c r="G484" s="6" t="e">
        <f>G485</f>
        <v>#REF!</v>
      </c>
    </row>
    <row r="485" spans="1:7" ht="47.25" x14ac:dyDescent="0.3">
      <c r="A485" s="25" t="s">
        <v>133</v>
      </c>
      <c r="B485" s="20" t="s">
        <v>534</v>
      </c>
      <c r="C485" s="40" t="s">
        <v>234</v>
      </c>
      <c r="D485" s="40" t="s">
        <v>213</v>
      </c>
      <c r="E485" s="2">
        <v>240</v>
      </c>
      <c r="F485" s="77"/>
      <c r="G485" s="6" t="e">
        <f>'Пр.4 ведом.22'!#REF!</f>
        <v>#REF!</v>
      </c>
    </row>
    <row r="486" spans="1:7" ht="47.25" x14ac:dyDescent="0.25">
      <c r="A486" s="45" t="s">
        <v>623</v>
      </c>
      <c r="B486" s="20" t="s">
        <v>518</v>
      </c>
      <c r="C486" s="40"/>
      <c r="D486" s="40"/>
      <c r="E486" s="2"/>
      <c r="F486" s="2">
        <v>908</v>
      </c>
      <c r="G486" s="6" t="e">
        <f>G458</f>
        <v>#REF!</v>
      </c>
    </row>
    <row r="487" spans="1:7" ht="63" x14ac:dyDescent="0.25">
      <c r="A487" s="23" t="s">
        <v>334</v>
      </c>
      <c r="B487" s="24" t="s">
        <v>335</v>
      </c>
      <c r="C487" s="7"/>
      <c r="D487" s="7"/>
      <c r="E487" s="3"/>
      <c r="F487" s="3"/>
      <c r="G487" s="4" t="e">
        <f>G488+G499</f>
        <v>#REF!</v>
      </c>
    </row>
    <row r="488" spans="1:7" ht="15.75" x14ac:dyDescent="0.25">
      <c r="A488" s="25" t="s">
        <v>263</v>
      </c>
      <c r="B488" s="20" t="s">
        <v>335</v>
      </c>
      <c r="C488" s="40" t="s">
        <v>264</v>
      </c>
      <c r="D488" s="40"/>
      <c r="E488" s="2"/>
      <c r="F488" s="2"/>
      <c r="G488" s="6" t="e">
        <f>G489</f>
        <v>#REF!</v>
      </c>
    </row>
    <row r="489" spans="1:7" ht="31.5" x14ac:dyDescent="0.25">
      <c r="A489" s="25" t="s">
        <v>295</v>
      </c>
      <c r="B489" s="20" t="s">
        <v>335</v>
      </c>
      <c r="C489" s="40" t="s">
        <v>264</v>
      </c>
      <c r="D489" s="40" t="s">
        <v>219</v>
      </c>
      <c r="E489" s="2"/>
      <c r="F489" s="2"/>
      <c r="G489" s="6" t="e">
        <f>G490+G493</f>
        <v>#REF!</v>
      </c>
    </row>
    <row r="490" spans="1:7" ht="47.25" x14ac:dyDescent="0.25">
      <c r="A490" s="25" t="s">
        <v>336</v>
      </c>
      <c r="B490" s="20" t="s">
        <v>337</v>
      </c>
      <c r="C490" s="40" t="s">
        <v>264</v>
      </c>
      <c r="D490" s="40" t="s">
        <v>219</v>
      </c>
      <c r="E490" s="2"/>
      <c r="F490" s="2"/>
      <c r="G490" s="6" t="e">
        <f>G491</f>
        <v>#REF!</v>
      </c>
    </row>
    <row r="491" spans="1:7" ht="47.25" x14ac:dyDescent="0.25">
      <c r="A491" s="25" t="s">
        <v>131</v>
      </c>
      <c r="B491" s="20" t="s">
        <v>337</v>
      </c>
      <c r="C491" s="40" t="s">
        <v>264</v>
      </c>
      <c r="D491" s="40" t="s">
        <v>219</v>
      </c>
      <c r="E491" s="2">
        <v>200</v>
      </c>
      <c r="F491" s="2"/>
      <c r="G491" s="6" t="e">
        <f>G492</f>
        <v>#REF!</v>
      </c>
    </row>
    <row r="492" spans="1:7" ht="47.25" x14ac:dyDescent="0.25">
      <c r="A492" s="25" t="s">
        <v>133</v>
      </c>
      <c r="B492" s="20" t="s">
        <v>337</v>
      </c>
      <c r="C492" s="40" t="s">
        <v>264</v>
      </c>
      <c r="D492" s="40" t="s">
        <v>219</v>
      </c>
      <c r="E492" s="2">
        <v>240</v>
      </c>
      <c r="F492" s="2"/>
      <c r="G492" s="6" t="e">
        <f>'Пр.4 ведом.22'!#REF!</f>
        <v>#REF!</v>
      </c>
    </row>
    <row r="493" spans="1:7" ht="78.75" x14ac:dyDescent="0.25">
      <c r="A493" s="25" t="s">
        <v>476</v>
      </c>
      <c r="B493" s="20" t="s">
        <v>477</v>
      </c>
      <c r="C493" s="40" t="s">
        <v>264</v>
      </c>
      <c r="D493" s="40" t="s">
        <v>219</v>
      </c>
      <c r="E493" s="2"/>
      <c r="F493" s="2"/>
      <c r="G493" s="6" t="e">
        <f>G494+G496</f>
        <v>#REF!</v>
      </c>
    </row>
    <row r="494" spans="1:7" ht="110.25" x14ac:dyDescent="0.25">
      <c r="A494" s="25" t="s">
        <v>127</v>
      </c>
      <c r="B494" s="20" t="s">
        <v>477</v>
      </c>
      <c r="C494" s="40" t="s">
        <v>264</v>
      </c>
      <c r="D494" s="40" t="s">
        <v>219</v>
      </c>
      <c r="E494" s="2">
        <v>100</v>
      </c>
      <c r="F494" s="2"/>
      <c r="G494" s="6" t="e">
        <f>G495</f>
        <v>#REF!</v>
      </c>
    </row>
    <row r="495" spans="1:7" ht="31.5" x14ac:dyDescent="0.25">
      <c r="A495" s="25" t="s">
        <v>342</v>
      </c>
      <c r="B495" s="20" t="s">
        <v>477</v>
      </c>
      <c r="C495" s="40" t="s">
        <v>264</v>
      </c>
      <c r="D495" s="40" t="s">
        <v>219</v>
      </c>
      <c r="E495" s="2">
        <v>110</v>
      </c>
      <c r="F495" s="2"/>
      <c r="G495" s="6" t="e">
        <f>'Пр.4 ведом.22'!#REF!</f>
        <v>#REF!</v>
      </c>
    </row>
    <row r="496" spans="1:7" ht="47.25" x14ac:dyDescent="0.25">
      <c r="A496" s="25" t="s">
        <v>131</v>
      </c>
      <c r="B496" s="20" t="s">
        <v>477</v>
      </c>
      <c r="C496" s="40" t="s">
        <v>264</v>
      </c>
      <c r="D496" s="40" t="s">
        <v>219</v>
      </c>
      <c r="E496" s="2">
        <v>200</v>
      </c>
      <c r="F496" s="2"/>
      <c r="G496" s="6" t="e">
        <f>G497</f>
        <v>#REF!</v>
      </c>
    </row>
    <row r="497" spans="1:9" ht="47.25" x14ac:dyDescent="0.25">
      <c r="A497" s="25" t="s">
        <v>133</v>
      </c>
      <c r="B497" s="20" t="s">
        <v>477</v>
      </c>
      <c r="C497" s="40" t="s">
        <v>264</v>
      </c>
      <c r="D497" s="40" t="s">
        <v>219</v>
      </c>
      <c r="E497" s="2">
        <v>240</v>
      </c>
      <c r="F497" s="2"/>
      <c r="G497" s="6" t="e">
        <f>'Пр.4 ведом.22'!#REF!</f>
        <v>#REF!</v>
      </c>
    </row>
    <row r="498" spans="1:9" ht="47.25" x14ac:dyDescent="0.25">
      <c r="A498" s="29" t="s">
        <v>403</v>
      </c>
      <c r="B498" s="20" t="s">
        <v>335</v>
      </c>
      <c r="C498" s="40" t="s">
        <v>264</v>
      </c>
      <c r="D498" s="40" t="s">
        <v>219</v>
      </c>
      <c r="E498" s="2"/>
      <c r="F498" s="2">
        <v>906</v>
      </c>
      <c r="G498" s="6" t="e">
        <f>G490+G493</f>
        <v>#REF!</v>
      </c>
    </row>
    <row r="499" spans="1:9" ht="15.75" x14ac:dyDescent="0.25">
      <c r="A499" s="73" t="s">
        <v>298</v>
      </c>
      <c r="B499" s="20" t="s">
        <v>335</v>
      </c>
      <c r="C499" s="40" t="s">
        <v>299</v>
      </c>
      <c r="D499" s="40"/>
      <c r="E499" s="2"/>
      <c r="F499" s="2"/>
      <c r="G499" s="6" t="e">
        <f>G500</f>
        <v>#REF!</v>
      </c>
    </row>
    <row r="500" spans="1:9" ht="31.5" x14ac:dyDescent="0.25">
      <c r="A500" s="25" t="s">
        <v>333</v>
      </c>
      <c r="B500" s="20" t="s">
        <v>335</v>
      </c>
      <c r="C500" s="40" t="s">
        <v>299</v>
      </c>
      <c r="D500" s="40" t="s">
        <v>150</v>
      </c>
      <c r="E500" s="2"/>
      <c r="F500" s="2"/>
      <c r="G500" s="6" t="e">
        <f>G501+G504+G507</f>
        <v>#REF!</v>
      </c>
    </row>
    <row r="501" spans="1:9" ht="47.25" hidden="1" x14ac:dyDescent="0.25">
      <c r="A501" s="25" t="s">
        <v>336</v>
      </c>
      <c r="B501" s="20" t="s">
        <v>337</v>
      </c>
      <c r="C501" s="40" t="s">
        <v>299</v>
      </c>
      <c r="D501" s="40" t="s">
        <v>150</v>
      </c>
      <c r="E501" s="2"/>
      <c r="F501" s="2"/>
      <c r="G501" s="6" t="e">
        <f>G502</f>
        <v>#REF!</v>
      </c>
    </row>
    <row r="502" spans="1:9" ht="47.25" hidden="1" x14ac:dyDescent="0.25">
      <c r="A502" s="25" t="s">
        <v>131</v>
      </c>
      <c r="B502" s="20" t="s">
        <v>337</v>
      </c>
      <c r="C502" s="40" t="s">
        <v>299</v>
      </c>
      <c r="D502" s="40" t="s">
        <v>150</v>
      </c>
      <c r="E502" s="2">
        <v>200</v>
      </c>
      <c r="F502" s="2"/>
      <c r="G502" s="6" t="e">
        <f>G503</f>
        <v>#REF!</v>
      </c>
    </row>
    <row r="503" spans="1:9" ht="47.25" hidden="1" x14ac:dyDescent="0.25">
      <c r="A503" s="25" t="s">
        <v>133</v>
      </c>
      <c r="B503" s="20" t="s">
        <v>337</v>
      </c>
      <c r="C503" s="40" t="s">
        <v>299</v>
      </c>
      <c r="D503" s="40" t="s">
        <v>150</v>
      </c>
      <c r="E503" s="2">
        <v>240</v>
      </c>
      <c r="F503" s="2"/>
      <c r="G503" s="6" t="e">
        <f>'Пр.4 ведом.22'!#REF!</f>
        <v>#REF!</v>
      </c>
    </row>
    <row r="504" spans="1:9" ht="31.5" x14ac:dyDescent="0.25">
      <c r="A504" s="25" t="s">
        <v>338</v>
      </c>
      <c r="B504" s="20" t="s">
        <v>339</v>
      </c>
      <c r="C504" s="40" t="s">
        <v>299</v>
      </c>
      <c r="D504" s="40" t="s">
        <v>150</v>
      </c>
      <c r="E504" s="2"/>
      <c r="F504" s="2"/>
      <c r="G504" s="6" t="e">
        <f>G505</f>
        <v>#REF!</v>
      </c>
    </row>
    <row r="505" spans="1:9" ht="47.25" x14ac:dyDescent="0.25">
      <c r="A505" s="25" t="s">
        <v>131</v>
      </c>
      <c r="B505" s="20" t="s">
        <v>339</v>
      </c>
      <c r="C505" s="40" t="s">
        <v>299</v>
      </c>
      <c r="D505" s="40" t="s">
        <v>150</v>
      </c>
      <c r="E505" s="2">
        <v>200</v>
      </c>
      <c r="F505" s="2"/>
      <c r="G505" s="6" t="e">
        <f>G506</f>
        <v>#REF!</v>
      </c>
    </row>
    <row r="506" spans="1:9" ht="47.25" x14ac:dyDescent="0.25">
      <c r="A506" s="25" t="s">
        <v>133</v>
      </c>
      <c r="B506" s="20" t="s">
        <v>339</v>
      </c>
      <c r="C506" s="40" t="s">
        <v>299</v>
      </c>
      <c r="D506" s="40" t="s">
        <v>150</v>
      </c>
      <c r="E506" s="2">
        <v>240</v>
      </c>
      <c r="F506" s="2"/>
      <c r="G506" s="6" t="e">
        <f>'Пр.4 ведом.22'!#REF!</f>
        <v>#REF!</v>
      </c>
    </row>
    <row r="507" spans="1:9" ht="47.25" x14ac:dyDescent="0.25">
      <c r="A507" s="25" t="s">
        <v>679</v>
      </c>
      <c r="B507" s="20" t="s">
        <v>680</v>
      </c>
      <c r="C507" s="40" t="s">
        <v>299</v>
      </c>
      <c r="D507" s="40" t="s">
        <v>150</v>
      </c>
      <c r="E507" s="2"/>
      <c r="F507" s="2"/>
      <c r="G507" s="6" t="e">
        <f>G508</f>
        <v>#REF!</v>
      </c>
    </row>
    <row r="508" spans="1:9" ht="47.25" x14ac:dyDescent="0.25">
      <c r="A508" s="25" t="s">
        <v>131</v>
      </c>
      <c r="B508" s="20" t="s">
        <v>680</v>
      </c>
      <c r="C508" s="40" t="s">
        <v>299</v>
      </c>
      <c r="D508" s="40" t="s">
        <v>150</v>
      </c>
      <c r="E508" s="2">
        <v>200</v>
      </c>
      <c r="F508" s="2"/>
      <c r="G508" s="6" t="e">
        <f>G509</f>
        <v>#REF!</v>
      </c>
    </row>
    <row r="509" spans="1:9" ht="47.25" x14ac:dyDescent="0.25">
      <c r="A509" s="25" t="s">
        <v>133</v>
      </c>
      <c r="B509" s="20" t="s">
        <v>680</v>
      </c>
      <c r="C509" s="40" t="s">
        <v>299</v>
      </c>
      <c r="D509" s="40" t="s">
        <v>150</v>
      </c>
      <c r="E509" s="2">
        <v>240</v>
      </c>
      <c r="F509" s="2"/>
      <c r="G509" s="6" t="e">
        <f>'Пр.4 ведом.22'!#REF!</f>
        <v>#REF!</v>
      </c>
    </row>
    <row r="510" spans="1:9" ht="63" x14ac:dyDescent="0.25">
      <c r="A510" s="45" t="s">
        <v>261</v>
      </c>
      <c r="B510" s="20" t="s">
        <v>335</v>
      </c>
      <c r="C510" s="40" t="s">
        <v>299</v>
      </c>
      <c r="D510" s="40" t="s">
        <v>150</v>
      </c>
      <c r="E510" s="2"/>
      <c r="F510" s="2">
        <v>903</v>
      </c>
      <c r="G510" s="6" t="e">
        <f>G499</f>
        <v>#REF!</v>
      </c>
    </row>
    <row r="511" spans="1:9" ht="78.75" x14ac:dyDescent="0.25">
      <c r="A511" s="41" t="s">
        <v>707</v>
      </c>
      <c r="B511" s="24" t="s">
        <v>705</v>
      </c>
      <c r="C511" s="7"/>
      <c r="D511" s="7"/>
      <c r="E511" s="3"/>
      <c r="F511" s="3"/>
      <c r="G511" s="4" t="e">
        <f>G512+G521</f>
        <v>#REF!</v>
      </c>
    </row>
    <row r="512" spans="1:9" s="121" customFormat="1" ht="15.75" x14ac:dyDescent="0.25">
      <c r="A512" s="29" t="s">
        <v>117</v>
      </c>
      <c r="B512" s="20" t="s">
        <v>705</v>
      </c>
      <c r="C512" s="40" t="s">
        <v>118</v>
      </c>
      <c r="D512" s="40"/>
      <c r="E512" s="2"/>
      <c r="F512" s="2"/>
      <c r="G512" s="6" t="e">
        <f>G513</f>
        <v>#REF!</v>
      </c>
      <c r="I512" s="122"/>
    </row>
    <row r="513" spans="1:9" s="121" customFormat="1" ht="31.5" x14ac:dyDescent="0.25">
      <c r="A513" s="29" t="s">
        <v>139</v>
      </c>
      <c r="B513" s="20" t="s">
        <v>705</v>
      </c>
      <c r="C513" s="40" t="s">
        <v>118</v>
      </c>
      <c r="D513" s="40" t="s">
        <v>140</v>
      </c>
      <c r="E513" s="2"/>
      <c r="F513" s="2"/>
      <c r="G513" s="6" t="e">
        <f>G514+G517</f>
        <v>#REF!</v>
      </c>
      <c r="I513" s="122"/>
    </row>
    <row r="514" spans="1:9" ht="47.25" x14ac:dyDescent="0.25">
      <c r="A514" s="31" t="s">
        <v>157</v>
      </c>
      <c r="B514" s="20" t="s">
        <v>713</v>
      </c>
      <c r="C514" s="40" t="s">
        <v>118</v>
      </c>
      <c r="D514" s="40" t="s">
        <v>140</v>
      </c>
      <c r="E514" s="2"/>
      <c r="F514" s="2"/>
      <c r="G514" s="6" t="e">
        <f>G515</f>
        <v>#REF!</v>
      </c>
    </row>
    <row r="515" spans="1:9" ht="47.25" x14ac:dyDescent="0.25">
      <c r="A515" s="25" t="s">
        <v>131</v>
      </c>
      <c r="B515" s="20" t="s">
        <v>713</v>
      </c>
      <c r="C515" s="40" t="s">
        <v>118</v>
      </c>
      <c r="D515" s="40" t="s">
        <v>140</v>
      </c>
      <c r="E515" s="2">
        <v>200</v>
      </c>
      <c r="F515" s="2"/>
      <c r="G515" s="6" t="e">
        <f>G516</f>
        <v>#REF!</v>
      </c>
    </row>
    <row r="516" spans="1:9" ht="47.25" x14ac:dyDescent="0.25">
      <c r="A516" s="25" t="s">
        <v>133</v>
      </c>
      <c r="B516" s="20" t="s">
        <v>713</v>
      </c>
      <c r="C516" s="40" t="s">
        <v>118</v>
      </c>
      <c r="D516" s="40" t="s">
        <v>140</v>
      </c>
      <c r="E516" s="2">
        <v>240</v>
      </c>
      <c r="F516" s="2"/>
      <c r="G516" s="6" t="e">
        <f>'Пр.4 ведом.22'!#REF!</f>
        <v>#REF!</v>
      </c>
    </row>
    <row r="517" spans="1:9" ht="66.2" hidden="1" customHeight="1" x14ac:dyDescent="0.25">
      <c r="A517" s="29"/>
      <c r="B517" s="20" t="s">
        <v>706</v>
      </c>
      <c r="C517" s="40" t="s">
        <v>118</v>
      </c>
      <c r="D517" s="40" t="s">
        <v>140</v>
      </c>
      <c r="E517" s="2"/>
      <c r="F517" s="2"/>
      <c r="G517" s="6" t="e">
        <f>G518</f>
        <v>#REF!</v>
      </c>
    </row>
    <row r="518" spans="1:9" ht="47.25" hidden="1" x14ac:dyDescent="0.25">
      <c r="A518" s="25" t="s">
        <v>131</v>
      </c>
      <c r="B518" s="20" t="s">
        <v>706</v>
      </c>
      <c r="C518" s="40" t="s">
        <v>118</v>
      </c>
      <c r="D518" s="40" t="s">
        <v>140</v>
      </c>
      <c r="E518" s="2">
        <v>200</v>
      </c>
      <c r="F518" s="2"/>
      <c r="G518" s="6" t="e">
        <f>G519</f>
        <v>#REF!</v>
      </c>
    </row>
    <row r="519" spans="1:9" ht="47.25" hidden="1" x14ac:dyDescent="0.25">
      <c r="A519" s="25" t="s">
        <v>133</v>
      </c>
      <c r="B519" s="20" t="s">
        <v>706</v>
      </c>
      <c r="C519" s="40" t="s">
        <v>118</v>
      </c>
      <c r="D519" s="40" t="s">
        <v>140</v>
      </c>
      <c r="E519" s="2">
        <v>240</v>
      </c>
      <c r="F519" s="2"/>
      <c r="G519" s="6" t="e">
        <f>'Пр.4 ведом.22'!#REF!</f>
        <v>#REF!</v>
      </c>
    </row>
    <row r="520" spans="1:9" ht="31.5" x14ac:dyDescent="0.25">
      <c r="A520" s="29" t="s">
        <v>148</v>
      </c>
      <c r="B520" s="20" t="s">
        <v>705</v>
      </c>
      <c r="C520" s="40" t="s">
        <v>118</v>
      </c>
      <c r="D520" s="40" t="s">
        <v>140</v>
      </c>
      <c r="E520" s="2"/>
      <c r="F520" s="2">
        <v>902</v>
      </c>
      <c r="G520" s="6" t="e">
        <f>G511</f>
        <v>#REF!</v>
      </c>
    </row>
    <row r="521" spans="1:9" s="121" customFormat="1" ht="15.75" x14ac:dyDescent="0.25">
      <c r="A521" s="25" t="s">
        <v>298</v>
      </c>
      <c r="B521" s="20" t="s">
        <v>705</v>
      </c>
      <c r="C521" s="40" t="s">
        <v>299</v>
      </c>
      <c r="D521" s="40"/>
      <c r="E521" s="2"/>
      <c r="F521" s="2"/>
      <c r="G521" s="6" t="e">
        <f>G522</f>
        <v>#REF!</v>
      </c>
      <c r="I521" s="122"/>
    </row>
    <row r="522" spans="1:9" ht="31.5" x14ac:dyDescent="0.25">
      <c r="A522" s="41" t="s">
        <v>333</v>
      </c>
      <c r="B522" s="20" t="s">
        <v>705</v>
      </c>
      <c r="C522" s="40" t="s">
        <v>299</v>
      </c>
      <c r="D522" s="40" t="s">
        <v>150</v>
      </c>
      <c r="E522" s="2"/>
      <c r="F522" s="2"/>
      <c r="G522" s="6" t="e">
        <f>G523</f>
        <v>#REF!</v>
      </c>
    </row>
    <row r="523" spans="1:9" ht="47.25" x14ac:dyDescent="0.25">
      <c r="A523" s="31" t="s">
        <v>157</v>
      </c>
      <c r="B523" s="20" t="s">
        <v>713</v>
      </c>
      <c r="C523" s="40" t="s">
        <v>299</v>
      </c>
      <c r="D523" s="40" t="s">
        <v>150</v>
      </c>
      <c r="E523" s="2"/>
      <c r="F523" s="2"/>
      <c r="G523" s="6" t="e">
        <f>G524</f>
        <v>#REF!</v>
      </c>
    </row>
    <row r="524" spans="1:9" ht="47.25" x14ac:dyDescent="0.25">
      <c r="A524" s="25" t="s">
        <v>131</v>
      </c>
      <c r="B524" s="20" t="s">
        <v>713</v>
      </c>
      <c r="C524" s="40" t="s">
        <v>299</v>
      </c>
      <c r="D524" s="40" t="s">
        <v>150</v>
      </c>
      <c r="E524" s="2">
        <v>200</v>
      </c>
      <c r="F524" s="2"/>
      <c r="G524" s="6" t="e">
        <f>G525</f>
        <v>#REF!</v>
      </c>
    </row>
    <row r="525" spans="1:9" ht="47.25" x14ac:dyDescent="0.25">
      <c r="A525" s="25" t="s">
        <v>133</v>
      </c>
      <c r="B525" s="20" t="s">
        <v>713</v>
      </c>
      <c r="C525" s="40" t="s">
        <v>299</v>
      </c>
      <c r="D525" s="40" t="s">
        <v>150</v>
      </c>
      <c r="E525" s="2">
        <v>240</v>
      </c>
      <c r="F525" s="2"/>
      <c r="G525" s="6" t="e">
        <f>'Пр.4 ведом.22'!#REF!</f>
        <v>#REF!</v>
      </c>
    </row>
    <row r="526" spans="1:9" ht="63" x14ac:dyDescent="0.25">
      <c r="A526" s="45" t="s">
        <v>261</v>
      </c>
      <c r="B526" s="20" t="s">
        <v>705</v>
      </c>
      <c r="C526" s="40" t="s">
        <v>299</v>
      </c>
      <c r="D526" s="40" t="s">
        <v>150</v>
      </c>
      <c r="E526" s="2"/>
      <c r="F526" s="2">
        <v>903</v>
      </c>
      <c r="G526" s="6" t="e">
        <f>G522</f>
        <v>#REF!</v>
      </c>
    </row>
    <row r="527" spans="1:9" ht="78.75" x14ac:dyDescent="0.25">
      <c r="A527" s="23" t="s">
        <v>709</v>
      </c>
      <c r="B527" s="24" t="s">
        <v>711</v>
      </c>
      <c r="C527" s="7"/>
      <c r="D527" s="7"/>
      <c r="E527" s="3"/>
      <c r="F527" s="3"/>
      <c r="G527" s="4" t="e">
        <f>G528</f>
        <v>#REF!</v>
      </c>
    </row>
    <row r="528" spans="1:9" ht="15.75" x14ac:dyDescent="0.25">
      <c r="A528" s="25" t="s">
        <v>390</v>
      </c>
      <c r="B528" s="20" t="s">
        <v>711</v>
      </c>
      <c r="C528" s="40" t="s">
        <v>234</v>
      </c>
      <c r="D528" s="40"/>
      <c r="E528" s="2"/>
      <c r="F528" s="2"/>
      <c r="G528" s="6" t="e">
        <f>G529</f>
        <v>#REF!</v>
      </c>
    </row>
    <row r="529" spans="1:7" ht="15.75" x14ac:dyDescent="0.25">
      <c r="A529" s="25" t="s">
        <v>541</v>
      </c>
      <c r="B529" s="20" t="s">
        <v>711</v>
      </c>
      <c r="C529" s="40" t="s">
        <v>234</v>
      </c>
      <c r="D529" s="40" t="s">
        <v>215</v>
      </c>
      <c r="E529" s="2"/>
      <c r="F529" s="2"/>
      <c r="G529" s="6" t="e">
        <f>G530</f>
        <v>#REF!</v>
      </c>
    </row>
    <row r="530" spans="1:7" ht="31.5" x14ac:dyDescent="0.25">
      <c r="A530" s="126" t="s">
        <v>710</v>
      </c>
      <c r="B530" s="20" t="s">
        <v>712</v>
      </c>
      <c r="C530" s="40" t="s">
        <v>234</v>
      </c>
      <c r="D530" s="40" t="s">
        <v>215</v>
      </c>
      <c r="E530" s="2"/>
      <c r="F530" s="2"/>
      <c r="G530" s="6" t="e">
        <f>G531</f>
        <v>#REF!</v>
      </c>
    </row>
    <row r="531" spans="1:7" ht="47.25" x14ac:dyDescent="0.25">
      <c r="A531" s="25" t="s">
        <v>131</v>
      </c>
      <c r="B531" s="20" t="s">
        <v>712</v>
      </c>
      <c r="C531" s="40" t="s">
        <v>234</v>
      </c>
      <c r="D531" s="40" t="s">
        <v>215</v>
      </c>
      <c r="E531" s="2">
        <v>200</v>
      </c>
      <c r="F531" s="2"/>
      <c r="G531" s="6" t="e">
        <f>G532</f>
        <v>#REF!</v>
      </c>
    </row>
    <row r="532" spans="1:7" ht="47.25" x14ac:dyDescent="0.25">
      <c r="A532" s="25" t="s">
        <v>133</v>
      </c>
      <c r="B532" s="20" t="s">
        <v>712</v>
      </c>
      <c r="C532" s="40" t="s">
        <v>234</v>
      </c>
      <c r="D532" s="40" t="s">
        <v>215</v>
      </c>
      <c r="E532" s="2">
        <v>240</v>
      </c>
      <c r="F532" s="2"/>
      <c r="G532" s="6" t="e">
        <f>'Пр.4 ведом.22'!#REF!</f>
        <v>#REF!</v>
      </c>
    </row>
    <row r="533" spans="1:7" ht="47.25" x14ac:dyDescent="0.25">
      <c r="A533" s="45" t="s">
        <v>623</v>
      </c>
      <c r="B533" s="20" t="s">
        <v>711</v>
      </c>
      <c r="C533" s="40" t="s">
        <v>234</v>
      </c>
      <c r="D533" s="40" t="s">
        <v>215</v>
      </c>
      <c r="E533" s="2"/>
      <c r="F533" s="2">
        <v>908</v>
      </c>
      <c r="G533" s="6" t="e">
        <f>G527</f>
        <v>#REF!</v>
      </c>
    </row>
    <row r="534" spans="1:7" ht="15.75" x14ac:dyDescent="0.25">
      <c r="A534" s="72" t="s">
        <v>657</v>
      </c>
      <c r="B534" s="72"/>
      <c r="C534" s="72"/>
      <c r="D534" s="78"/>
      <c r="E534" s="78"/>
      <c r="F534" s="78"/>
      <c r="G534" s="120" t="e">
        <f>G10+G19+G102+G217+G224+G242+G249+G271+G326+G409+G419+G451+G458+G487+G511+G527</f>
        <v>#REF!</v>
      </c>
    </row>
  </sheetData>
  <mergeCells count="1">
    <mergeCell ref="A5:G5"/>
  </mergeCells>
  <pageMargins left="0.39370078740157483" right="0.39370078740157483" top="1.1811023622047245" bottom="0.39370078740157483" header="0.31496062992125984" footer="0.31496062992125984"/>
  <pageSetup paperSize="9" scale="8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7"/>
  <sheetViews>
    <sheetView view="pageBreakPreview" topLeftCell="A887" zoomScaleNormal="100" zoomScaleSheetLayoutView="100" workbookViewId="0">
      <selection activeCell="J904" sqref="J904"/>
    </sheetView>
  </sheetViews>
  <sheetFormatPr defaultRowHeight="15" x14ac:dyDescent="0.25"/>
  <cols>
    <col min="1" max="1" width="45.140625" customWidth="1"/>
    <col min="2" max="2" width="15.28515625" customWidth="1"/>
    <col min="3" max="3" width="5.7109375" customWidth="1"/>
    <col min="4" max="4" width="6.7109375" customWidth="1"/>
    <col min="6" max="6" width="8.140625" customWidth="1"/>
    <col min="7" max="7" width="13.42578125" style="22" customWidth="1"/>
    <col min="8" max="8" width="15.5703125" style="22" customWidth="1"/>
  </cols>
  <sheetData>
    <row r="1" spans="1:8" ht="15.75" x14ac:dyDescent="0.25">
      <c r="A1" s="204"/>
      <c r="B1" s="204"/>
      <c r="C1" s="204"/>
      <c r="D1" s="204"/>
      <c r="E1" s="204"/>
      <c r="F1" s="204"/>
      <c r="G1" s="747" t="s">
        <v>1520</v>
      </c>
      <c r="H1" s="747"/>
    </row>
    <row r="2" spans="1:8" ht="15.75" x14ac:dyDescent="0.25">
      <c r="A2" s="204"/>
      <c r="B2" s="204"/>
      <c r="C2" s="204"/>
      <c r="D2" s="204"/>
      <c r="E2" s="204"/>
      <c r="F2" s="204"/>
      <c r="G2" s="747" t="s">
        <v>1519</v>
      </c>
      <c r="H2" s="747"/>
    </row>
    <row r="3" spans="1:8" ht="15.75" x14ac:dyDescent="0.25">
      <c r="A3" s="204"/>
      <c r="B3" s="204"/>
      <c r="C3" s="204"/>
      <c r="D3" s="204"/>
      <c r="E3" s="204"/>
      <c r="F3" s="62"/>
      <c r="G3" s="724" t="s">
        <v>1513</v>
      </c>
      <c r="H3" s="724"/>
    </row>
    <row r="4" spans="1:8" s="203" customFormat="1" ht="15.75" x14ac:dyDescent="0.25">
      <c r="A4" s="204"/>
      <c r="B4" s="204"/>
      <c r="C4" s="204"/>
      <c r="D4" s="204"/>
      <c r="E4" s="204"/>
      <c r="F4" s="62"/>
      <c r="G4" s="115"/>
      <c r="H4" s="274"/>
    </row>
    <row r="5" spans="1:8" ht="44.45" customHeight="1" x14ac:dyDescent="0.25">
      <c r="A5" s="746" t="s">
        <v>1328</v>
      </c>
      <c r="B5" s="746"/>
      <c r="C5" s="746"/>
      <c r="D5" s="746"/>
      <c r="E5" s="746"/>
      <c r="F5" s="746"/>
      <c r="G5" s="746"/>
      <c r="H5" s="746"/>
    </row>
    <row r="6" spans="1:8" ht="16.5" x14ac:dyDescent="0.25">
      <c r="A6" s="242"/>
      <c r="B6" s="242"/>
      <c r="C6" s="242"/>
      <c r="D6" s="242"/>
      <c r="E6" s="242"/>
      <c r="F6" s="242"/>
      <c r="G6" s="115"/>
      <c r="H6" s="115"/>
    </row>
    <row r="7" spans="1:8" ht="15.75" x14ac:dyDescent="0.25">
      <c r="A7" s="62"/>
      <c r="B7" s="62"/>
      <c r="C7" s="62"/>
      <c r="D7" s="62"/>
      <c r="E7" s="64"/>
      <c r="F7" s="64"/>
      <c r="G7" s="115"/>
      <c r="H7" s="275" t="s">
        <v>1</v>
      </c>
    </row>
    <row r="8" spans="1:8" ht="31.5" x14ac:dyDescent="0.25">
      <c r="A8" s="66" t="s">
        <v>592</v>
      </c>
      <c r="B8" s="66" t="s">
        <v>617</v>
      </c>
      <c r="C8" s="66" t="s">
        <v>618</v>
      </c>
      <c r="D8" s="66" t="s">
        <v>619</v>
      </c>
      <c r="E8" s="66" t="s">
        <v>620</v>
      </c>
      <c r="F8" s="66" t="s">
        <v>621</v>
      </c>
      <c r="G8" s="402" t="s">
        <v>1027</v>
      </c>
      <c r="H8" s="392" t="s">
        <v>1290</v>
      </c>
    </row>
    <row r="9" spans="1:8" ht="47.25" x14ac:dyDescent="0.25">
      <c r="A9" s="58" t="s">
        <v>1370</v>
      </c>
      <c r="B9" s="7" t="s">
        <v>510</v>
      </c>
      <c r="C9" s="7"/>
      <c r="D9" s="7"/>
      <c r="E9" s="7"/>
      <c r="F9" s="7"/>
      <c r="G9" s="4">
        <f>G10+G17</f>
        <v>2319</v>
      </c>
      <c r="H9" s="4">
        <f>H10+H17</f>
        <v>2319</v>
      </c>
    </row>
    <row r="10" spans="1:8" ht="36" hidden="1" customHeight="1" x14ac:dyDescent="0.25">
      <c r="A10" s="34" t="s">
        <v>999</v>
      </c>
      <c r="B10" s="7" t="s">
        <v>958</v>
      </c>
      <c r="C10" s="40"/>
      <c r="D10" s="40"/>
      <c r="E10" s="40"/>
      <c r="F10" s="40"/>
      <c r="G10" s="6">
        <f>G13</f>
        <v>0</v>
      </c>
      <c r="H10" s="6">
        <f>H13</f>
        <v>0</v>
      </c>
    </row>
    <row r="11" spans="1:8" ht="15.75" hidden="1" x14ac:dyDescent="0.25">
      <c r="A11" s="29" t="s">
        <v>232</v>
      </c>
      <c r="B11" s="40" t="s">
        <v>958</v>
      </c>
      <c r="C11" s="40" t="s">
        <v>150</v>
      </c>
      <c r="D11" s="40"/>
      <c r="E11" s="40"/>
      <c r="F11" s="40"/>
      <c r="G11" s="6">
        <f t="shared" ref="G11:H11" si="0">G12</f>
        <v>0</v>
      </c>
      <c r="H11" s="6">
        <f t="shared" si="0"/>
        <v>0</v>
      </c>
    </row>
    <row r="12" spans="1:8" ht="15.75" hidden="1" x14ac:dyDescent="0.25">
      <c r="A12" s="29" t="s">
        <v>508</v>
      </c>
      <c r="B12" s="40" t="s">
        <v>958</v>
      </c>
      <c r="C12" s="40" t="s">
        <v>150</v>
      </c>
      <c r="D12" s="40" t="s">
        <v>219</v>
      </c>
      <c r="E12" s="40"/>
      <c r="F12" s="40"/>
      <c r="G12" s="6">
        <f t="shared" ref="G12:H14" si="1">G13</f>
        <v>0</v>
      </c>
      <c r="H12" s="6">
        <f t="shared" si="1"/>
        <v>0</v>
      </c>
    </row>
    <row r="13" spans="1:8" ht="31.5" hidden="1" x14ac:dyDescent="0.25">
      <c r="A13" s="29" t="s">
        <v>1001</v>
      </c>
      <c r="B13" s="40" t="s">
        <v>1000</v>
      </c>
      <c r="C13" s="40" t="s">
        <v>150</v>
      </c>
      <c r="D13" s="40" t="s">
        <v>219</v>
      </c>
      <c r="E13" s="40"/>
      <c r="F13" s="40"/>
      <c r="G13" s="6">
        <f t="shared" si="1"/>
        <v>0</v>
      </c>
      <c r="H13" s="6">
        <f t="shared" si="1"/>
        <v>0</v>
      </c>
    </row>
    <row r="14" spans="1:8" ht="31.5" hidden="1" x14ac:dyDescent="0.25">
      <c r="A14" s="25" t="s">
        <v>131</v>
      </c>
      <c r="B14" s="40" t="s">
        <v>1000</v>
      </c>
      <c r="C14" s="40" t="s">
        <v>150</v>
      </c>
      <c r="D14" s="40" t="s">
        <v>219</v>
      </c>
      <c r="E14" s="40" t="s">
        <v>132</v>
      </c>
      <c r="F14" s="40"/>
      <c r="G14" s="6">
        <f t="shared" si="1"/>
        <v>0</v>
      </c>
      <c r="H14" s="6">
        <f t="shared" si="1"/>
        <v>0</v>
      </c>
    </row>
    <row r="15" spans="1:8" ht="47.25" hidden="1" x14ac:dyDescent="0.25">
      <c r="A15" s="25" t="s">
        <v>133</v>
      </c>
      <c r="B15" s="40" t="s">
        <v>1000</v>
      </c>
      <c r="C15" s="40" t="s">
        <v>150</v>
      </c>
      <c r="D15" s="40" t="s">
        <v>219</v>
      </c>
      <c r="E15" s="40" t="s">
        <v>134</v>
      </c>
      <c r="F15" s="40"/>
      <c r="G15" s="6">
        <f>'пр.6.1.ведом.22-23'!G865</f>
        <v>0</v>
      </c>
      <c r="H15" s="6">
        <f>'пр.6.1.ведом.22-23'!H865</f>
        <v>0</v>
      </c>
    </row>
    <row r="16" spans="1:8" ht="47.25" hidden="1" x14ac:dyDescent="0.25">
      <c r="A16" s="45" t="s">
        <v>623</v>
      </c>
      <c r="B16" s="40" t="s">
        <v>1000</v>
      </c>
      <c r="C16" s="40" t="s">
        <v>150</v>
      </c>
      <c r="D16" s="40" t="s">
        <v>219</v>
      </c>
      <c r="E16" s="40" t="s">
        <v>134</v>
      </c>
      <c r="F16" s="40" t="s">
        <v>624</v>
      </c>
      <c r="G16" s="6">
        <f>G15</f>
        <v>0</v>
      </c>
      <c r="H16" s="6">
        <f>H15</f>
        <v>0</v>
      </c>
    </row>
    <row r="17" spans="1:8" ht="47.25" x14ac:dyDescent="0.25">
      <c r="A17" s="34" t="s">
        <v>1060</v>
      </c>
      <c r="B17" s="24" t="s">
        <v>959</v>
      </c>
      <c r="C17" s="40"/>
      <c r="D17" s="40"/>
      <c r="E17" s="40"/>
      <c r="F17" s="40"/>
      <c r="G17" s="4">
        <f t="shared" ref="G17:H19" si="2">G18</f>
        <v>2319</v>
      </c>
      <c r="H17" s="4">
        <f t="shared" si="2"/>
        <v>2319</v>
      </c>
    </row>
    <row r="18" spans="1:8" ht="15.75" x14ac:dyDescent="0.25">
      <c r="A18" s="29" t="s">
        <v>232</v>
      </c>
      <c r="B18" s="40" t="s">
        <v>959</v>
      </c>
      <c r="C18" s="40" t="s">
        <v>150</v>
      </c>
      <c r="D18" s="40"/>
      <c r="E18" s="40"/>
      <c r="F18" s="40"/>
      <c r="G18" s="6">
        <f t="shared" si="2"/>
        <v>2319</v>
      </c>
      <c r="H18" s="6">
        <f t="shared" si="2"/>
        <v>2319</v>
      </c>
    </row>
    <row r="19" spans="1:8" ht="15.75" x14ac:dyDescent="0.25">
      <c r="A19" s="29" t="s">
        <v>508</v>
      </c>
      <c r="B19" s="40" t="s">
        <v>959</v>
      </c>
      <c r="C19" s="40" t="s">
        <v>150</v>
      </c>
      <c r="D19" s="40" t="s">
        <v>219</v>
      </c>
      <c r="E19" s="40"/>
      <c r="F19" s="40"/>
      <c r="G19" s="6">
        <f t="shared" si="2"/>
        <v>2319</v>
      </c>
      <c r="H19" s="6">
        <f t="shared" si="2"/>
        <v>2319</v>
      </c>
    </row>
    <row r="20" spans="1:8" ht="15.75" x14ac:dyDescent="0.25">
      <c r="A20" s="29" t="s">
        <v>511</v>
      </c>
      <c r="B20" s="40" t="s">
        <v>1002</v>
      </c>
      <c r="C20" s="40" t="s">
        <v>150</v>
      </c>
      <c r="D20" s="40" t="s">
        <v>219</v>
      </c>
      <c r="E20" s="40"/>
      <c r="F20" s="40"/>
      <c r="G20" s="6">
        <f>G24+G27+G21</f>
        <v>2319</v>
      </c>
      <c r="H20" s="6">
        <f>H24+H27+H21</f>
        <v>2319</v>
      </c>
    </row>
    <row r="21" spans="1:8" s="203" customFormat="1" ht="94.5" x14ac:dyDescent="0.25">
      <c r="A21" s="25" t="s">
        <v>127</v>
      </c>
      <c r="B21" s="40" t="s">
        <v>1002</v>
      </c>
      <c r="C21" s="40" t="s">
        <v>150</v>
      </c>
      <c r="D21" s="40" t="s">
        <v>219</v>
      </c>
      <c r="E21" s="40" t="s">
        <v>128</v>
      </c>
      <c r="F21" s="40"/>
      <c r="G21" s="6">
        <f>G22</f>
        <v>1807</v>
      </c>
      <c r="H21" s="6">
        <f>H22</f>
        <v>1807</v>
      </c>
    </row>
    <row r="22" spans="1:8" s="203" customFormat="1" ht="31.5" x14ac:dyDescent="0.25">
      <c r="A22" s="25" t="s">
        <v>342</v>
      </c>
      <c r="B22" s="40" t="s">
        <v>1002</v>
      </c>
      <c r="C22" s="40" t="s">
        <v>150</v>
      </c>
      <c r="D22" s="40" t="s">
        <v>219</v>
      </c>
      <c r="E22" s="40" t="s">
        <v>209</v>
      </c>
      <c r="F22" s="40"/>
      <c r="G22" s="6">
        <f>'пр.6.1.ведом.22-23'!G869</f>
        <v>1807</v>
      </c>
      <c r="H22" s="6">
        <f>'пр.6.1.ведом.22-23'!H869</f>
        <v>1807</v>
      </c>
    </row>
    <row r="23" spans="1:8" s="203" customFormat="1" ht="47.25" x14ac:dyDescent="0.25">
      <c r="A23" s="45" t="s">
        <v>623</v>
      </c>
      <c r="B23" s="40" t="s">
        <v>1002</v>
      </c>
      <c r="C23" s="40" t="s">
        <v>150</v>
      </c>
      <c r="D23" s="40" t="s">
        <v>219</v>
      </c>
      <c r="E23" s="40" t="s">
        <v>209</v>
      </c>
      <c r="F23" s="40" t="s">
        <v>624</v>
      </c>
      <c r="G23" s="6">
        <f>G22</f>
        <v>1807</v>
      </c>
      <c r="H23" s="6">
        <f>H22</f>
        <v>1807</v>
      </c>
    </row>
    <row r="24" spans="1:8" ht="31.5" x14ac:dyDescent="0.25">
      <c r="A24" s="29" t="s">
        <v>131</v>
      </c>
      <c r="B24" s="40" t="s">
        <v>1002</v>
      </c>
      <c r="C24" s="40" t="s">
        <v>150</v>
      </c>
      <c r="D24" s="40" t="s">
        <v>219</v>
      </c>
      <c r="E24" s="40" t="s">
        <v>132</v>
      </c>
      <c r="F24" s="40"/>
      <c r="G24" s="6">
        <f t="shared" ref="G24:H24" si="3">G25</f>
        <v>512</v>
      </c>
      <c r="H24" s="6">
        <f t="shared" si="3"/>
        <v>512</v>
      </c>
    </row>
    <row r="25" spans="1:8" ht="47.25" x14ac:dyDescent="0.25">
      <c r="A25" s="29" t="s">
        <v>133</v>
      </c>
      <c r="B25" s="40" t="s">
        <v>1002</v>
      </c>
      <c r="C25" s="40" t="s">
        <v>150</v>
      </c>
      <c r="D25" s="40" t="s">
        <v>219</v>
      </c>
      <c r="E25" s="40" t="s">
        <v>134</v>
      </c>
      <c r="F25" s="40"/>
      <c r="G25" s="6">
        <f>'пр.6.1.ведом.22-23'!G871</f>
        <v>512</v>
      </c>
      <c r="H25" s="6">
        <f>'пр.6.1.ведом.22-23'!H871</f>
        <v>512</v>
      </c>
    </row>
    <row r="26" spans="1:8" ht="47.25" x14ac:dyDescent="0.25">
      <c r="A26" s="45" t="s">
        <v>623</v>
      </c>
      <c r="B26" s="40" t="s">
        <v>1002</v>
      </c>
      <c r="C26" s="40" t="s">
        <v>150</v>
      </c>
      <c r="D26" s="40" t="s">
        <v>219</v>
      </c>
      <c r="E26" s="40" t="s">
        <v>134</v>
      </c>
      <c r="F26" s="40" t="s">
        <v>624</v>
      </c>
      <c r="G26" s="6">
        <f>G25</f>
        <v>512</v>
      </c>
      <c r="H26" s="6">
        <f>H25</f>
        <v>512</v>
      </c>
    </row>
    <row r="27" spans="1:8" ht="15.75" hidden="1" x14ac:dyDescent="0.25">
      <c r="A27" s="25" t="s">
        <v>135</v>
      </c>
      <c r="B27" s="40" t="s">
        <v>1002</v>
      </c>
      <c r="C27" s="40" t="s">
        <v>150</v>
      </c>
      <c r="D27" s="40" t="s">
        <v>219</v>
      </c>
      <c r="E27" s="40" t="s">
        <v>145</v>
      </c>
      <c r="F27" s="40"/>
      <c r="G27" s="6">
        <f t="shared" ref="G27:H27" si="4">G28</f>
        <v>0</v>
      </c>
      <c r="H27" s="6">
        <f t="shared" si="4"/>
        <v>0</v>
      </c>
    </row>
    <row r="28" spans="1:8" ht="15.75" hidden="1" x14ac:dyDescent="0.25">
      <c r="A28" s="25" t="s">
        <v>137</v>
      </c>
      <c r="B28" s="40" t="s">
        <v>1002</v>
      </c>
      <c r="C28" s="40" t="s">
        <v>150</v>
      </c>
      <c r="D28" s="40" t="s">
        <v>219</v>
      </c>
      <c r="E28" s="40" t="s">
        <v>138</v>
      </c>
      <c r="F28" s="40"/>
      <c r="G28" s="6">
        <f>'пр.6.1.ведом.22-23'!G873</f>
        <v>0</v>
      </c>
      <c r="H28" s="6">
        <f>'пр.6.1.ведом.22-23'!H873</f>
        <v>0</v>
      </c>
    </row>
    <row r="29" spans="1:8" ht="47.25" hidden="1" x14ac:dyDescent="0.25">
      <c r="A29" s="45" t="s">
        <v>623</v>
      </c>
      <c r="B29" s="40" t="s">
        <v>1002</v>
      </c>
      <c r="C29" s="40" t="s">
        <v>150</v>
      </c>
      <c r="D29" s="40" t="s">
        <v>219</v>
      </c>
      <c r="E29" s="40" t="s">
        <v>138</v>
      </c>
      <c r="F29" s="40" t="s">
        <v>624</v>
      </c>
      <c r="G29" s="6">
        <f>G28</f>
        <v>0</v>
      </c>
      <c r="H29" s="6">
        <f>H28</f>
        <v>0</v>
      </c>
    </row>
    <row r="30" spans="1:8" ht="63" x14ac:dyDescent="0.25">
      <c r="A30" s="58" t="s">
        <v>1382</v>
      </c>
      <c r="B30" s="7" t="s">
        <v>344</v>
      </c>
      <c r="C30" s="7"/>
      <c r="D30" s="7"/>
      <c r="E30" s="7"/>
      <c r="F30" s="7"/>
      <c r="G30" s="59">
        <f>G31+G60+G68+G97+G109</f>
        <v>3481.61</v>
      </c>
      <c r="H30" s="59">
        <f>H31+H60+H68+H97+H109</f>
        <v>3896.11</v>
      </c>
    </row>
    <row r="31" spans="1:8" ht="31.5" x14ac:dyDescent="0.25">
      <c r="A31" s="58" t="s">
        <v>625</v>
      </c>
      <c r="B31" s="7" t="s">
        <v>346</v>
      </c>
      <c r="C31" s="7"/>
      <c r="D31" s="7"/>
      <c r="E31" s="7"/>
      <c r="F31" s="7"/>
      <c r="G31" s="59">
        <f>G33+G43+G53</f>
        <v>760</v>
      </c>
      <c r="H31" s="59">
        <f>H33+H43+H53</f>
        <v>825</v>
      </c>
    </row>
    <row r="32" spans="1:8" ht="63" x14ac:dyDescent="0.25">
      <c r="A32" s="211" t="s">
        <v>1029</v>
      </c>
      <c r="B32" s="24" t="s">
        <v>892</v>
      </c>
      <c r="C32" s="7"/>
      <c r="D32" s="7"/>
      <c r="E32" s="40"/>
      <c r="F32" s="40"/>
      <c r="G32" s="59">
        <f>G33</f>
        <v>280</v>
      </c>
      <c r="H32" s="59">
        <f>H33</f>
        <v>280</v>
      </c>
    </row>
    <row r="33" spans="1:8" ht="15.75" x14ac:dyDescent="0.25">
      <c r="A33" s="45" t="s">
        <v>263</v>
      </c>
      <c r="B33" s="40" t="s">
        <v>892</v>
      </c>
      <c r="C33" s="40" t="s">
        <v>264</v>
      </c>
      <c r="D33" s="40"/>
      <c r="E33" s="40"/>
      <c r="F33" s="40"/>
      <c r="G33" s="10">
        <f t="shared" ref="G33:H33" si="5">G34</f>
        <v>280</v>
      </c>
      <c r="H33" s="10">
        <f t="shared" si="5"/>
        <v>280</v>
      </c>
    </row>
    <row r="34" spans="1:8" ht="17.45" customHeight="1" x14ac:dyDescent="0.25">
      <c r="A34" s="45" t="s">
        <v>466</v>
      </c>
      <c r="B34" s="40" t="s">
        <v>892</v>
      </c>
      <c r="C34" s="40" t="s">
        <v>264</v>
      </c>
      <c r="D34" s="40" t="s">
        <v>264</v>
      </c>
      <c r="E34" s="40"/>
      <c r="F34" s="40"/>
      <c r="G34" s="10">
        <f>G35+G39</f>
        <v>280</v>
      </c>
      <c r="H34" s="10">
        <f>H35+H39</f>
        <v>280</v>
      </c>
    </row>
    <row r="35" spans="1:8" ht="31.5" x14ac:dyDescent="0.25">
      <c r="A35" s="98" t="s">
        <v>1035</v>
      </c>
      <c r="B35" s="20" t="s">
        <v>893</v>
      </c>
      <c r="C35" s="40" t="s">
        <v>264</v>
      </c>
      <c r="D35" s="40" t="s">
        <v>264</v>
      </c>
      <c r="E35" s="40"/>
      <c r="F35" s="40"/>
      <c r="G35" s="10">
        <f>G36</f>
        <v>280</v>
      </c>
      <c r="H35" s="10">
        <f>H36</f>
        <v>280</v>
      </c>
    </row>
    <row r="36" spans="1:8" ht="94.5" x14ac:dyDescent="0.25">
      <c r="A36" s="25" t="s">
        <v>127</v>
      </c>
      <c r="B36" s="20" t="s">
        <v>893</v>
      </c>
      <c r="C36" s="40" t="s">
        <v>264</v>
      </c>
      <c r="D36" s="40" t="s">
        <v>264</v>
      </c>
      <c r="E36" s="40" t="s">
        <v>128</v>
      </c>
      <c r="F36" s="40"/>
      <c r="G36" s="10">
        <f>G37</f>
        <v>280</v>
      </c>
      <c r="H36" s="10">
        <f>H37</f>
        <v>280</v>
      </c>
    </row>
    <row r="37" spans="1:8" ht="31.5" x14ac:dyDescent="0.25">
      <c r="A37" s="25" t="s">
        <v>342</v>
      </c>
      <c r="B37" s="20" t="s">
        <v>893</v>
      </c>
      <c r="C37" s="40" t="s">
        <v>264</v>
      </c>
      <c r="D37" s="40" t="s">
        <v>264</v>
      </c>
      <c r="E37" s="40" t="s">
        <v>209</v>
      </c>
      <c r="F37" s="40"/>
      <c r="G37" s="10">
        <f>'пр.6.1.ведом.22-23'!G343</f>
        <v>280</v>
      </c>
      <c r="H37" s="10">
        <f>'пр.6.1.ведом.22-23'!H343</f>
        <v>280</v>
      </c>
    </row>
    <row r="38" spans="1:8" ht="47.25" x14ac:dyDescent="0.25">
      <c r="A38" s="45" t="s">
        <v>261</v>
      </c>
      <c r="B38" s="20" t="s">
        <v>893</v>
      </c>
      <c r="C38" s="40" t="s">
        <v>264</v>
      </c>
      <c r="D38" s="40" t="s">
        <v>264</v>
      </c>
      <c r="E38" s="40" t="s">
        <v>209</v>
      </c>
      <c r="F38" s="40" t="s">
        <v>627</v>
      </c>
      <c r="G38" s="6">
        <f>G37</f>
        <v>280</v>
      </c>
      <c r="H38" s="6">
        <f>H37</f>
        <v>280</v>
      </c>
    </row>
    <row r="39" spans="1:8" ht="31.5" hidden="1" x14ac:dyDescent="0.25">
      <c r="A39" s="25" t="s">
        <v>1030</v>
      </c>
      <c r="B39" s="20" t="s">
        <v>1046</v>
      </c>
      <c r="C39" s="40" t="s">
        <v>264</v>
      </c>
      <c r="D39" s="40" t="s">
        <v>264</v>
      </c>
      <c r="E39" s="40"/>
      <c r="F39" s="40"/>
      <c r="G39" s="10">
        <f>G40</f>
        <v>0</v>
      </c>
      <c r="H39" s="10">
        <f>H40</f>
        <v>0</v>
      </c>
    </row>
    <row r="40" spans="1:8" ht="31.5" hidden="1" x14ac:dyDescent="0.25">
      <c r="A40" s="25" t="s">
        <v>131</v>
      </c>
      <c r="B40" s="20" t="s">
        <v>1046</v>
      </c>
      <c r="C40" s="40" t="s">
        <v>264</v>
      </c>
      <c r="D40" s="40" t="s">
        <v>264</v>
      </c>
      <c r="E40" s="40" t="s">
        <v>132</v>
      </c>
      <c r="F40" s="40"/>
      <c r="G40" s="10">
        <f>G41</f>
        <v>0</v>
      </c>
      <c r="H40" s="10">
        <f>H41</f>
        <v>0</v>
      </c>
    </row>
    <row r="41" spans="1:8" ht="47.25" hidden="1" x14ac:dyDescent="0.25">
      <c r="A41" s="25" t="s">
        <v>133</v>
      </c>
      <c r="B41" s="20" t="s">
        <v>1046</v>
      </c>
      <c r="C41" s="40" t="s">
        <v>264</v>
      </c>
      <c r="D41" s="40" t="s">
        <v>264</v>
      </c>
      <c r="E41" s="40" t="s">
        <v>134</v>
      </c>
      <c r="F41" s="40"/>
      <c r="G41" s="10">
        <f>'пр.6.1.ведом.22-23'!G346</f>
        <v>0</v>
      </c>
      <c r="H41" s="10">
        <f>'пр.6.1.ведом.22-23'!H346</f>
        <v>0</v>
      </c>
    </row>
    <row r="42" spans="1:8" ht="47.25" hidden="1" x14ac:dyDescent="0.25">
      <c r="A42" s="45" t="s">
        <v>261</v>
      </c>
      <c r="B42" s="20" t="s">
        <v>1046</v>
      </c>
      <c r="C42" s="40" t="s">
        <v>264</v>
      </c>
      <c r="D42" s="40" t="s">
        <v>264</v>
      </c>
      <c r="E42" s="40" t="s">
        <v>134</v>
      </c>
      <c r="F42" s="40" t="s">
        <v>627</v>
      </c>
      <c r="G42" s="6">
        <f>G41</f>
        <v>0</v>
      </c>
      <c r="H42" s="6">
        <f>H41</f>
        <v>0</v>
      </c>
    </row>
    <row r="43" spans="1:8" ht="78.75" x14ac:dyDescent="0.25">
      <c r="A43" s="23" t="s">
        <v>1031</v>
      </c>
      <c r="B43" s="24" t="s">
        <v>894</v>
      </c>
      <c r="C43" s="40"/>
      <c r="D43" s="40"/>
      <c r="E43" s="40"/>
      <c r="F43" s="40"/>
      <c r="G43" s="59">
        <f>G44</f>
        <v>455</v>
      </c>
      <c r="H43" s="59">
        <f>H44</f>
        <v>520</v>
      </c>
    </row>
    <row r="44" spans="1:8" ht="15.75" x14ac:dyDescent="0.25">
      <c r="A44" s="45" t="s">
        <v>263</v>
      </c>
      <c r="B44" s="40" t="s">
        <v>894</v>
      </c>
      <c r="C44" s="40" t="s">
        <v>264</v>
      </c>
      <c r="D44" s="40"/>
      <c r="E44" s="40"/>
      <c r="F44" s="40"/>
      <c r="G44" s="10">
        <f>G45</f>
        <v>455</v>
      </c>
      <c r="H44" s="10">
        <f>H45</f>
        <v>520</v>
      </c>
    </row>
    <row r="45" spans="1:8" ht="21.75" customHeight="1" x14ac:dyDescent="0.25">
      <c r="A45" s="45" t="s">
        <v>466</v>
      </c>
      <c r="B45" s="40" t="s">
        <v>894</v>
      </c>
      <c r="C45" s="40" t="s">
        <v>264</v>
      </c>
      <c r="D45" s="40" t="s">
        <v>264</v>
      </c>
      <c r="E45" s="40"/>
      <c r="F45" s="40"/>
      <c r="G45" s="10">
        <f>G46+G50</f>
        <v>455</v>
      </c>
      <c r="H45" s="10">
        <f>H46+H50</f>
        <v>520</v>
      </c>
    </row>
    <row r="46" spans="1:8" ht="31.5" x14ac:dyDescent="0.25">
      <c r="A46" s="25" t="s">
        <v>1032</v>
      </c>
      <c r="B46" s="20" t="s">
        <v>901</v>
      </c>
      <c r="C46" s="40" t="s">
        <v>264</v>
      </c>
      <c r="D46" s="40" t="s">
        <v>264</v>
      </c>
      <c r="E46" s="40"/>
      <c r="F46" s="40"/>
      <c r="G46" s="10">
        <f>G47</f>
        <v>40</v>
      </c>
      <c r="H46" s="10">
        <f>H47</f>
        <v>40</v>
      </c>
    </row>
    <row r="47" spans="1:8" ht="94.5" x14ac:dyDescent="0.25">
      <c r="A47" s="25" t="s">
        <v>127</v>
      </c>
      <c r="B47" s="20" t="s">
        <v>901</v>
      </c>
      <c r="C47" s="40" t="s">
        <v>264</v>
      </c>
      <c r="D47" s="40" t="s">
        <v>264</v>
      </c>
      <c r="E47" s="40" t="s">
        <v>128</v>
      </c>
      <c r="F47" s="40"/>
      <c r="G47" s="10">
        <f t="shared" ref="G47:H47" si="6">G48</f>
        <v>40</v>
      </c>
      <c r="H47" s="10">
        <f t="shared" si="6"/>
        <v>40</v>
      </c>
    </row>
    <row r="48" spans="1:8" ht="31.5" x14ac:dyDescent="0.25">
      <c r="A48" s="25" t="s">
        <v>342</v>
      </c>
      <c r="B48" s="20" t="s">
        <v>901</v>
      </c>
      <c r="C48" s="40" t="s">
        <v>264</v>
      </c>
      <c r="D48" s="40" t="s">
        <v>264</v>
      </c>
      <c r="E48" s="40" t="s">
        <v>209</v>
      </c>
      <c r="F48" s="40"/>
      <c r="G48" s="10">
        <f>'пр.6.1.ведом.22-23'!G350</f>
        <v>40</v>
      </c>
      <c r="H48" s="10">
        <f>'пр.6.1.ведом.22-23'!H350</f>
        <v>40</v>
      </c>
    </row>
    <row r="49" spans="1:8" ht="47.25" x14ac:dyDescent="0.25">
      <c r="A49" s="45" t="s">
        <v>261</v>
      </c>
      <c r="B49" s="20" t="s">
        <v>901</v>
      </c>
      <c r="C49" s="40" t="s">
        <v>264</v>
      </c>
      <c r="D49" s="40" t="s">
        <v>264</v>
      </c>
      <c r="E49" s="40" t="s">
        <v>209</v>
      </c>
      <c r="F49" s="40" t="s">
        <v>627</v>
      </c>
      <c r="G49" s="6">
        <f>G48</f>
        <v>40</v>
      </c>
      <c r="H49" s="6">
        <f>H48</f>
        <v>40</v>
      </c>
    </row>
    <row r="50" spans="1:8" ht="31.5" x14ac:dyDescent="0.25">
      <c r="A50" s="25" t="s">
        <v>131</v>
      </c>
      <c r="B50" s="20" t="s">
        <v>901</v>
      </c>
      <c r="C50" s="40" t="s">
        <v>264</v>
      </c>
      <c r="D50" s="40" t="s">
        <v>264</v>
      </c>
      <c r="E50" s="40" t="s">
        <v>132</v>
      </c>
      <c r="F50" s="40"/>
      <c r="G50" s="10">
        <f t="shared" ref="G50:H50" si="7">G51</f>
        <v>415</v>
      </c>
      <c r="H50" s="10">
        <f t="shared" si="7"/>
        <v>480</v>
      </c>
    </row>
    <row r="51" spans="1:8" ht="47.25" x14ac:dyDescent="0.25">
      <c r="A51" s="25" t="s">
        <v>133</v>
      </c>
      <c r="B51" s="20" t="s">
        <v>901</v>
      </c>
      <c r="C51" s="40" t="s">
        <v>264</v>
      </c>
      <c r="D51" s="40" t="s">
        <v>264</v>
      </c>
      <c r="E51" s="40" t="s">
        <v>134</v>
      </c>
      <c r="F51" s="40"/>
      <c r="G51" s="6">
        <f>'пр.6.1.ведом.22-23'!G352</f>
        <v>415</v>
      </c>
      <c r="H51" s="6">
        <f>'пр.6.1.ведом.22-23'!H352</f>
        <v>480</v>
      </c>
    </row>
    <row r="52" spans="1:8" ht="47.25" x14ac:dyDescent="0.25">
      <c r="A52" s="45" t="s">
        <v>261</v>
      </c>
      <c r="B52" s="20" t="s">
        <v>901</v>
      </c>
      <c r="C52" s="40" t="s">
        <v>264</v>
      </c>
      <c r="D52" s="40" t="s">
        <v>264</v>
      </c>
      <c r="E52" s="40" t="s">
        <v>134</v>
      </c>
      <c r="F52" s="40" t="s">
        <v>627</v>
      </c>
      <c r="G52" s="6">
        <f>G51</f>
        <v>415</v>
      </c>
      <c r="H52" s="6">
        <f>H51</f>
        <v>480</v>
      </c>
    </row>
    <row r="53" spans="1:8" ht="47.25" x14ac:dyDescent="0.25">
      <c r="A53" s="23" t="s">
        <v>1037</v>
      </c>
      <c r="B53" s="24" t="s">
        <v>1033</v>
      </c>
      <c r="C53" s="40"/>
      <c r="D53" s="40"/>
      <c r="E53" s="40"/>
      <c r="F53" s="40"/>
      <c r="G53" s="4">
        <f>G56</f>
        <v>25</v>
      </c>
      <c r="H53" s="4">
        <f>H56</f>
        <v>25</v>
      </c>
    </row>
    <row r="54" spans="1:8" ht="15.75" x14ac:dyDescent="0.25">
      <c r="A54" s="45" t="s">
        <v>263</v>
      </c>
      <c r="B54" s="40" t="s">
        <v>1033</v>
      </c>
      <c r="C54" s="40" t="s">
        <v>264</v>
      </c>
      <c r="D54" s="40"/>
      <c r="E54" s="40"/>
      <c r="F54" s="40"/>
      <c r="G54" s="10">
        <f>G55</f>
        <v>25</v>
      </c>
      <c r="H54" s="10">
        <f>H55</f>
        <v>25</v>
      </c>
    </row>
    <row r="55" spans="1:8" ht="20.25" customHeight="1" x14ac:dyDescent="0.25">
      <c r="A55" s="45" t="s">
        <v>466</v>
      </c>
      <c r="B55" s="40" t="s">
        <v>1033</v>
      </c>
      <c r="C55" s="40" t="s">
        <v>264</v>
      </c>
      <c r="D55" s="40" t="s">
        <v>264</v>
      </c>
      <c r="E55" s="40"/>
      <c r="F55" s="40"/>
      <c r="G55" s="10">
        <f>G56</f>
        <v>25</v>
      </c>
      <c r="H55" s="10">
        <f>H56</f>
        <v>25</v>
      </c>
    </row>
    <row r="56" spans="1:8" ht="63" x14ac:dyDescent="0.25">
      <c r="A56" s="231" t="s">
        <v>1034</v>
      </c>
      <c r="B56" s="20" t="s">
        <v>1047</v>
      </c>
      <c r="C56" s="40" t="s">
        <v>264</v>
      </c>
      <c r="D56" s="40" t="s">
        <v>264</v>
      </c>
      <c r="E56" s="20"/>
      <c r="F56" s="40"/>
      <c r="G56" s="6">
        <f t="shared" ref="G56:H56" si="8">G57</f>
        <v>25</v>
      </c>
      <c r="H56" s="6">
        <f t="shared" si="8"/>
        <v>25</v>
      </c>
    </row>
    <row r="57" spans="1:8" ht="31.5" x14ac:dyDescent="0.25">
      <c r="A57" s="25" t="s">
        <v>248</v>
      </c>
      <c r="B57" s="20" t="s">
        <v>1047</v>
      </c>
      <c r="C57" s="40" t="s">
        <v>264</v>
      </c>
      <c r="D57" s="40" t="s">
        <v>264</v>
      </c>
      <c r="E57" s="20" t="s">
        <v>249</v>
      </c>
      <c r="F57" s="40"/>
      <c r="G57" s="6">
        <f>G58</f>
        <v>25</v>
      </c>
      <c r="H57" s="6">
        <f>H58</f>
        <v>25</v>
      </c>
    </row>
    <row r="58" spans="1:8" ht="31.5" x14ac:dyDescent="0.25">
      <c r="A58" s="25" t="s">
        <v>1196</v>
      </c>
      <c r="B58" s="20" t="s">
        <v>1047</v>
      </c>
      <c r="C58" s="40" t="s">
        <v>264</v>
      </c>
      <c r="D58" s="40" t="s">
        <v>264</v>
      </c>
      <c r="E58" s="20" t="s">
        <v>349</v>
      </c>
      <c r="F58" s="40"/>
      <c r="G58" s="10">
        <f>'пр.6.1.ведом.22-23'!G356</f>
        <v>25</v>
      </c>
      <c r="H58" s="10">
        <f>'пр.6.1.ведом.22-23'!H356</f>
        <v>25</v>
      </c>
    </row>
    <row r="59" spans="1:8" ht="47.25" x14ac:dyDescent="0.25">
      <c r="A59" s="45" t="s">
        <v>261</v>
      </c>
      <c r="B59" s="20" t="s">
        <v>1047</v>
      </c>
      <c r="C59" s="40" t="s">
        <v>264</v>
      </c>
      <c r="D59" s="40" t="s">
        <v>264</v>
      </c>
      <c r="E59" s="40" t="s">
        <v>349</v>
      </c>
      <c r="F59" s="40" t="s">
        <v>627</v>
      </c>
      <c r="G59" s="6">
        <f>G58</f>
        <v>25</v>
      </c>
      <c r="H59" s="6">
        <f>H58</f>
        <v>25</v>
      </c>
    </row>
    <row r="60" spans="1:8" ht="47.25" hidden="1" x14ac:dyDescent="0.25">
      <c r="A60" s="58" t="s">
        <v>1383</v>
      </c>
      <c r="B60" s="7" t="s">
        <v>353</v>
      </c>
      <c r="C60" s="7"/>
      <c r="D60" s="7"/>
      <c r="E60" s="7"/>
      <c r="F60" s="7"/>
      <c r="G60" s="59">
        <f>G61</f>
        <v>294.61</v>
      </c>
      <c r="H60" s="59">
        <f>H61</f>
        <v>289.11</v>
      </c>
    </row>
    <row r="61" spans="1:8" ht="31.5" hidden="1" x14ac:dyDescent="0.25">
      <c r="A61" s="23" t="s">
        <v>905</v>
      </c>
      <c r="B61" s="24" t="s">
        <v>904</v>
      </c>
      <c r="C61" s="7"/>
      <c r="D61" s="7"/>
      <c r="E61" s="7"/>
      <c r="F61" s="7"/>
      <c r="G61" s="59">
        <f>G62</f>
        <v>294.61</v>
      </c>
      <c r="H61" s="59">
        <f>H62</f>
        <v>289.11</v>
      </c>
    </row>
    <row r="62" spans="1:8" ht="15.75" hidden="1" x14ac:dyDescent="0.25">
      <c r="A62" s="45" t="s">
        <v>243</v>
      </c>
      <c r="B62" s="40" t="s">
        <v>904</v>
      </c>
      <c r="C62" s="40" t="s">
        <v>244</v>
      </c>
      <c r="D62" s="40"/>
      <c r="E62" s="40"/>
      <c r="F62" s="40"/>
      <c r="G62" s="10">
        <f t="shared" ref="G62:H65" si="9">G63</f>
        <v>294.61</v>
      </c>
      <c r="H62" s="10">
        <f t="shared" si="9"/>
        <v>289.11</v>
      </c>
    </row>
    <row r="63" spans="1:8" ht="15.75" hidden="1" x14ac:dyDescent="0.25">
      <c r="A63" s="45" t="s">
        <v>252</v>
      </c>
      <c r="B63" s="40" t="s">
        <v>904</v>
      </c>
      <c r="C63" s="40" t="s">
        <v>244</v>
      </c>
      <c r="D63" s="40" t="s">
        <v>215</v>
      </c>
      <c r="E63" s="40"/>
      <c r="F63" s="40"/>
      <c r="G63" s="10">
        <f>G64</f>
        <v>294.61</v>
      </c>
      <c r="H63" s="10">
        <f>H64</f>
        <v>289.11</v>
      </c>
    </row>
    <row r="64" spans="1:8" ht="31.5" hidden="1" x14ac:dyDescent="0.25">
      <c r="A64" s="25" t="s">
        <v>824</v>
      </c>
      <c r="B64" s="20" t="s">
        <v>906</v>
      </c>
      <c r="C64" s="40" t="s">
        <v>244</v>
      </c>
      <c r="D64" s="40" t="s">
        <v>215</v>
      </c>
      <c r="E64" s="40"/>
      <c r="F64" s="40"/>
      <c r="G64" s="10">
        <f t="shared" si="9"/>
        <v>294.61</v>
      </c>
      <c r="H64" s="10">
        <f t="shared" si="9"/>
        <v>289.11</v>
      </c>
    </row>
    <row r="65" spans="1:8" ht="31.5" hidden="1" x14ac:dyDescent="0.25">
      <c r="A65" s="29" t="s">
        <v>248</v>
      </c>
      <c r="B65" s="20" t="s">
        <v>906</v>
      </c>
      <c r="C65" s="40" t="s">
        <v>244</v>
      </c>
      <c r="D65" s="40" t="s">
        <v>215</v>
      </c>
      <c r="E65" s="40" t="s">
        <v>249</v>
      </c>
      <c r="F65" s="40"/>
      <c r="G65" s="10">
        <f t="shared" si="9"/>
        <v>294.61</v>
      </c>
      <c r="H65" s="10">
        <f t="shared" si="9"/>
        <v>289.11</v>
      </c>
    </row>
    <row r="66" spans="1:8" ht="47.25" hidden="1" x14ac:dyDescent="0.25">
      <c r="A66" s="29" t="s">
        <v>250</v>
      </c>
      <c r="B66" s="20" t="s">
        <v>906</v>
      </c>
      <c r="C66" s="40" t="s">
        <v>244</v>
      </c>
      <c r="D66" s="40" t="s">
        <v>215</v>
      </c>
      <c r="E66" s="40" t="s">
        <v>251</v>
      </c>
      <c r="F66" s="40"/>
      <c r="G66" s="10">
        <f>'пр.6.1.ведом.22-23'!G452</f>
        <v>294.61</v>
      </c>
      <c r="H66" s="10">
        <f>'пр.6.1.ведом.22-23'!H452</f>
        <v>289.11</v>
      </c>
    </row>
    <row r="67" spans="1:8" ht="47.25" hidden="1" x14ac:dyDescent="0.25">
      <c r="A67" s="45" t="s">
        <v>261</v>
      </c>
      <c r="B67" s="20" t="s">
        <v>906</v>
      </c>
      <c r="C67" s="40" t="s">
        <v>244</v>
      </c>
      <c r="D67" s="40" t="s">
        <v>215</v>
      </c>
      <c r="E67" s="40" t="s">
        <v>251</v>
      </c>
      <c r="F67" s="40" t="s">
        <v>627</v>
      </c>
      <c r="G67" s="10">
        <f>G66</f>
        <v>294.61</v>
      </c>
      <c r="H67" s="10">
        <f>H66</f>
        <v>289.11</v>
      </c>
    </row>
    <row r="68" spans="1:8" s="203" customFormat="1" ht="63" x14ac:dyDescent="0.25">
      <c r="A68" s="41" t="s">
        <v>367</v>
      </c>
      <c r="B68" s="7" t="s">
        <v>356</v>
      </c>
      <c r="C68" s="7"/>
      <c r="D68" s="7"/>
      <c r="E68" s="7"/>
      <c r="F68" s="7"/>
      <c r="G68" s="59">
        <f>G69+G76+G83+G90</f>
        <v>260</v>
      </c>
      <c r="H68" s="59">
        <f>H69+H76+H83+H90</f>
        <v>260</v>
      </c>
    </row>
    <row r="69" spans="1:8" s="203" customFormat="1" ht="47.25" hidden="1" x14ac:dyDescent="0.25">
      <c r="A69" s="215" t="s">
        <v>1042</v>
      </c>
      <c r="B69" s="24" t="s">
        <v>907</v>
      </c>
      <c r="C69" s="7"/>
      <c r="D69" s="7"/>
      <c r="E69" s="7"/>
      <c r="F69" s="7"/>
      <c r="G69" s="59">
        <f t="shared" ref="G69:H73" si="10">G70</f>
        <v>0</v>
      </c>
      <c r="H69" s="59">
        <f t="shared" si="10"/>
        <v>0</v>
      </c>
    </row>
    <row r="70" spans="1:8" s="203" customFormat="1" ht="15.75" hidden="1" x14ac:dyDescent="0.25">
      <c r="A70" s="45" t="s">
        <v>232</v>
      </c>
      <c r="B70" s="40" t="s">
        <v>907</v>
      </c>
      <c r="C70" s="40" t="s">
        <v>150</v>
      </c>
      <c r="D70" s="40"/>
      <c r="E70" s="40"/>
      <c r="F70" s="40"/>
      <c r="G70" s="10">
        <f t="shared" si="10"/>
        <v>0</v>
      </c>
      <c r="H70" s="10">
        <f t="shared" si="10"/>
        <v>0</v>
      </c>
    </row>
    <row r="71" spans="1:8" s="203" customFormat="1" ht="31.5" hidden="1" x14ac:dyDescent="0.25">
      <c r="A71" s="45" t="s">
        <v>237</v>
      </c>
      <c r="B71" s="40" t="s">
        <v>907</v>
      </c>
      <c r="C71" s="40" t="s">
        <v>150</v>
      </c>
      <c r="D71" s="40" t="s">
        <v>238</v>
      </c>
      <c r="E71" s="40"/>
      <c r="F71" s="40"/>
      <c r="G71" s="10">
        <f t="shared" si="10"/>
        <v>0</v>
      </c>
      <c r="H71" s="10">
        <f t="shared" si="10"/>
        <v>0</v>
      </c>
    </row>
    <row r="72" spans="1:8" s="203" customFormat="1" ht="63" hidden="1" x14ac:dyDescent="0.25">
      <c r="A72" s="25" t="s">
        <v>375</v>
      </c>
      <c r="B72" s="20" t="s">
        <v>1316</v>
      </c>
      <c r="C72" s="40" t="s">
        <v>150</v>
      </c>
      <c r="D72" s="40" t="s">
        <v>238</v>
      </c>
      <c r="E72" s="40"/>
      <c r="F72" s="40"/>
      <c r="G72" s="10">
        <f t="shared" si="10"/>
        <v>0</v>
      </c>
      <c r="H72" s="10">
        <f t="shared" si="10"/>
        <v>0</v>
      </c>
    </row>
    <row r="73" spans="1:8" s="203" customFormat="1" ht="31.5" hidden="1" x14ac:dyDescent="0.25">
      <c r="A73" s="25" t="s">
        <v>248</v>
      </c>
      <c r="B73" s="20" t="s">
        <v>1316</v>
      </c>
      <c r="C73" s="40" t="s">
        <v>150</v>
      </c>
      <c r="D73" s="40" t="s">
        <v>238</v>
      </c>
      <c r="E73" s="40" t="s">
        <v>249</v>
      </c>
      <c r="F73" s="40"/>
      <c r="G73" s="10">
        <f t="shared" si="10"/>
        <v>0</v>
      </c>
      <c r="H73" s="10">
        <f t="shared" si="10"/>
        <v>0</v>
      </c>
    </row>
    <row r="74" spans="1:8" s="203" customFormat="1" ht="47.25" hidden="1" x14ac:dyDescent="0.25">
      <c r="A74" s="25" t="s">
        <v>250</v>
      </c>
      <c r="B74" s="20" t="s">
        <v>1316</v>
      </c>
      <c r="C74" s="40" t="s">
        <v>150</v>
      </c>
      <c r="D74" s="40" t="s">
        <v>238</v>
      </c>
      <c r="E74" s="40" t="s">
        <v>251</v>
      </c>
      <c r="F74" s="40"/>
      <c r="G74" s="10">
        <f>'пр.6.1.ведом.22-23'!G280</f>
        <v>0</v>
      </c>
      <c r="H74" s="10">
        <f>'пр.6.1.ведом.22-23'!H280</f>
        <v>0</v>
      </c>
    </row>
    <row r="75" spans="1:8" s="203" customFormat="1" ht="47.25" hidden="1" x14ac:dyDescent="0.25">
      <c r="A75" s="45" t="s">
        <v>261</v>
      </c>
      <c r="B75" s="20" t="s">
        <v>1316</v>
      </c>
      <c r="C75" s="40" t="s">
        <v>150</v>
      </c>
      <c r="D75" s="40" t="s">
        <v>238</v>
      </c>
      <c r="E75" s="40" t="s">
        <v>251</v>
      </c>
      <c r="F75" s="40" t="s">
        <v>627</v>
      </c>
      <c r="G75" s="10">
        <f>G74</f>
        <v>0</v>
      </c>
      <c r="H75" s="10">
        <f>H74</f>
        <v>0</v>
      </c>
    </row>
    <row r="76" spans="1:8" s="203" customFormat="1" ht="47.25" x14ac:dyDescent="0.25">
      <c r="A76" s="23" t="s">
        <v>1041</v>
      </c>
      <c r="B76" s="7" t="s">
        <v>1199</v>
      </c>
      <c r="C76" s="7"/>
      <c r="D76" s="7"/>
      <c r="E76" s="7"/>
      <c r="F76" s="7"/>
      <c r="G76" s="59">
        <f t="shared" ref="G76:H80" si="11">G77</f>
        <v>260</v>
      </c>
      <c r="H76" s="59">
        <f t="shared" si="11"/>
        <v>260</v>
      </c>
    </row>
    <row r="77" spans="1:8" s="203" customFormat="1" ht="15.75" x14ac:dyDescent="0.25">
      <c r="A77" s="45" t="s">
        <v>232</v>
      </c>
      <c r="B77" s="40" t="s">
        <v>1199</v>
      </c>
      <c r="C77" s="40" t="s">
        <v>150</v>
      </c>
      <c r="D77" s="40"/>
      <c r="E77" s="40"/>
      <c r="F77" s="40"/>
      <c r="G77" s="10">
        <f t="shared" si="11"/>
        <v>260</v>
      </c>
      <c r="H77" s="10">
        <f t="shared" si="11"/>
        <v>260</v>
      </c>
    </row>
    <row r="78" spans="1:8" s="203" customFormat="1" ht="31.5" x14ac:dyDescent="0.25">
      <c r="A78" s="45" t="s">
        <v>237</v>
      </c>
      <c r="B78" s="40" t="s">
        <v>1199</v>
      </c>
      <c r="C78" s="40" t="s">
        <v>150</v>
      </c>
      <c r="D78" s="40" t="s">
        <v>238</v>
      </c>
      <c r="E78" s="40"/>
      <c r="F78" s="40"/>
      <c r="G78" s="10">
        <f t="shared" si="11"/>
        <v>260</v>
      </c>
      <c r="H78" s="10">
        <f t="shared" si="11"/>
        <v>260</v>
      </c>
    </row>
    <row r="79" spans="1:8" s="203" customFormat="1" ht="126" x14ac:dyDescent="0.25">
      <c r="A79" s="25" t="s">
        <v>1501</v>
      </c>
      <c r="B79" s="20" t="s">
        <v>1200</v>
      </c>
      <c r="C79" s="40" t="s">
        <v>150</v>
      </c>
      <c r="D79" s="40" t="s">
        <v>238</v>
      </c>
      <c r="E79" s="40"/>
      <c r="F79" s="40"/>
      <c r="G79" s="10">
        <f t="shared" si="11"/>
        <v>260</v>
      </c>
      <c r="H79" s="10">
        <f t="shared" si="11"/>
        <v>260</v>
      </c>
    </row>
    <row r="80" spans="1:8" s="203" customFormat="1" ht="47.25" x14ac:dyDescent="0.25">
      <c r="A80" s="25" t="s">
        <v>272</v>
      </c>
      <c r="B80" s="20" t="s">
        <v>1200</v>
      </c>
      <c r="C80" s="40" t="s">
        <v>150</v>
      </c>
      <c r="D80" s="40" t="s">
        <v>238</v>
      </c>
      <c r="E80" s="40" t="s">
        <v>273</v>
      </c>
      <c r="F80" s="40"/>
      <c r="G80" s="10">
        <f t="shared" si="11"/>
        <v>260</v>
      </c>
      <c r="H80" s="10">
        <f t="shared" si="11"/>
        <v>260</v>
      </c>
    </row>
    <row r="81" spans="1:8" s="203" customFormat="1" ht="78.75" x14ac:dyDescent="0.25">
      <c r="A81" s="25" t="s">
        <v>1089</v>
      </c>
      <c r="B81" s="20" t="s">
        <v>1200</v>
      </c>
      <c r="C81" s="40" t="s">
        <v>150</v>
      </c>
      <c r="D81" s="40" t="s">
        <v>238</v>
      </c>
      <c r="E81" s="40" t="s">
        <v>372</v>
      </c>
      <c r="F81" s="40"/>
      <c r="G81" s="10">
        <f>'пр.6.1.ведом.22-23'!G284</f>
        <v>260</v>
      </c>
      <c r="H81" s="10">
        <f>'пр.6.1.ведом.22-23'!H284</f>
        <v>260</v>
      </c>
    </row>
    <row r="82" spans="1:8" s="203" customFormat="1" ht="47.25" x14ac:dyDescent="0.25">
      <c r="A82" s="45" t="s">
        <v>261</v>
      </c>
      <c r="B82" s="20" t="s">
        <v>1200</v>
      </c>
      <c r="C82" s="40" t="s">
        <v>150</v>
      </c>
      <c r="D82" s="40" t="s">
        <v>238</v>
      </c>
      <c r="E82" s="40" t="s">
        <v>372</v>
      </c>
      <c r="F82" s="40" t="s">
        <v>627</v>
      </c>
      <c r="G82" s="10">
        <f>G81</f>
        <v>260</v>
      </c>
      <c r="H82" s="10">
        <f>H81</f>
        <v>260</v>
      </c>
    </row>
    <row r="83" spans="1:8" s="203" customFormat="1" ht="31.5" hidden="1" x14ac:dyDescent="0.25">
      <c r="A83" s="23" t="s">
        <v>995</v>
      </c>
      <c r="B83" s="24" t="s">
        <v>1309</v>
      </c>
      <c r="C83" s="7"/>
      <c r="D83" s="7"/>
      <c r="E83" s="7"/>
      <c r="F83" s="7"/>
      <c r="G83" s="59">
        <f t="shared" ref="G83:H87" si="12">G84</f>
        <v>0</v>
      </c>
      <c r="H83" s="59">
        <f t="shared" si="12"/>
        <v>0</v>
      </c>
    </row>
    <row r="84" spans="1:8" s="203" customFormat="1" ht="15.75" hidden="1" x14ac:dyDescent="0.25">
      <c r="A84" s="45" t="s">
        <v>232</v>
      </c>
      <c r="B84" s="40" t="s">
        <v>1309</v>
      </c>
      <c r="C84" s="40" t="s">
        <v>150</v>
      </c>
      <c r="D84" s="40"/>
      <c r="E84" s="40"/>
      <c r="F84" s="40"/>
      <c r="G84" s="10">
        <f t="shared" si="12"/>
        <v>0</v>
      </c>
      <c r="H84" s="10">
        <f t="shared" si="12"/>
        <v>0</v>
      </c>
    </row>
    <row r="85" spans="1:8" s="203" customFormat="1" ht="31.5" hidden="1" x14ac:dyDescent="0.25">
      <c r="A85" s="45" t="s">
        <v>237</v>
      </c>
      <c r="B85" s="40" t="s">
        <v>1309</v>
      </c>
      <c r="C85" s="40" t="s">
        <v>150</v>
      </c>
      <c r="D85" s="40" t="s">
        <v>238</v>
      </c>
      <c r="E85" s="40"/>
      <c r="F85" s="40"/>
      <c r="G85" s="10">
        <f t="shared" si="12"/>
        <v>0</v>
      </c>
      <c r="H85" s="10">
        <f t="shared" si="12"/>
        <v>0</v>
      </c>
    </row>
    <row r="86" spans="1:8" s="203" customFormat="1" ht="47.25" hidden="1" x14ac:dyDescent="0.25">
      <c r="A86" s="252" t="s">
        <v>1043</v>
      </c>
      <c r="B86" s="20" t="s">
        <v>1310</v>
      </c>
      <c r="C86" s="40" t="s">
        <v>150</v>
      </c>
      <c r="D86" s="40" t="s">
        <v>238</v>
      </c>
      <c r="E86" s="40"/>
      <c r="F86" s="40"/>
      <c r="G86" s="10">
        <f t="shared" si="12"/>
        <v>0</v>
      </c>
      <c r="H86" s="10">
        <f t="shared" si="12"/>
        <v>0</v>
      </c>
    </row>
    <row r="87" spans="1:8" s="203" customFormat="1" ht="31.5" hidden="1" x14ac:dyDescent="0.25">
      <c r="A87" s="25" t="s">
        <v>131</v>
      </c>
      <c r="B87" s="20" t="s">
        <v>1310</v>
      </c>
      <c r="C87" s="40" t="s">
        <v>150</v>
      </c>
      <c r="D87" s="40" t="s">
        <v>238</v>
      </c>
      <c r="E87" s="40" t="s">
        <v>132</v>
      </c>
      <c r="F87" s="40"/>
      <c r="G87" s="10">
        <f t="shared" si="12"/>
        <v>0</v>
      </c>
      <c r="H87" s="10">
        <f t="shared" si="12"/>
        <v>0</v>
      </c>
    </row>
    <row r="88" spans="1:8" s="203" customFormat="1" ht="47.25" hidden="1" x14ac:dyDescent="0.25">
      <c r="A88" s="25" t="s">
        <v>133</v>
      </c>
      <c r="B88" s="20" t="s">
        <v>1310</v>
      </c>
      <c r="C88" s="40" t="s">
        <v>150</v>
      </c>
      <c r="D88" s="40" t="s">
        <v>238</v>
      </c>
      <c r="E88" s="40" t="s">
        <v>134</v>
      </c>
      <c r="F88" s="40"/>
      <c r="G88" s="10">
        <f>'пр.6.1.ведом.22-23'!G288</f>
        <v>0</v>
      </c>
      <c r="H88" s="10">
        <f>'пр.6.1.ведом.22-23'!H288</f>
        <v>0</v>
      </c>
    </row>
    <row r="89" spans="1:8" s="203" customFormat="1" ht="47.25" hidden="1" x14ac:dyDescent="0.25">
      <c r="A89" s="45" t="s">
        <v>261</v>
      </c>
      <c r="B89" s="20" t="s">
        <v>1310</v>
      </c>
      <c r="C89" s="40" t="s">
        <v>150</v>
      </c>
      <c r="D89" s="40" t="s">
        <v>238</v>
      </c>
      <c r="E89" s="40" t="s">
        <v>134</v>
      </c>
      <c r="F89" s="9" t="s">
        <v>627</v>
      </c>
      <c r="G89" s="10">
        <f>G88</f>
        <v>0</v>
      </c>
      <c r="H89" s="10">
        <f>H88</f>
        <v>0</v>
      </c>
    </row>
    <row r="90" spans="1:8" s="203" customFormat="1" ht="47.25" hidden="1" x14ac:dyDescent="0.25">
      <c r="A90" s="212" t="s">
        <v>1102</v>
      </c>
      <c r="B90" s="24" t="s">
        <v>1201</v>
      </c>
      <c r="C90" s="7"/>
      <c r="D90" s="7"/>
      <c r="E90" s="7"/>
      <c r="F90" s="7"/>
      <c r="G90" s="59">
        <f t="shared" ref="G90:H94" si="13">G91</f>
        <v>0</v>
      </c>
      <c r="H90" s="59">
        <f t="shared" si="13"/>
        <v>0</v>
      </c>
    </row>
    <row r="91" spans="1:8" s="203" customFormat="1" ht="15.75" hidden="1" x14ac:dyDescent="0.25">
      <c r="A91" s="45" t="s">
        <v>232</v>
      </c>
      <c r="B91" s="40" t="s">
        <v>1201</v>
      </c>
      <c r="C91" s="40" t="s">
        <v>150</v>
      </c>
      <c r="D91" s="40"/>
      <c r="E91" s="40"/>
      <c r="F91" s="40"/>
      <c r="G91" s="10">
        <f t="shared" si="13"/>
        <v>0</v>
      </c>
      <c r="H91" s="10">
        <f t="shared" si="13"/>
        <v>0</v>
      </c>
    </row>
    <row r="92" spans="1:8" s="203" customFormat="1" ht="31.5" hidden="1" x14ac:dyDescent="0.25">
      <c r="A92" s="45" t="s">
        <v>237</v>
      </c>
      <c r="B92" s="40" t="s">
        <v>1201</v>
      </c>
      <c r="C92" s="40" t="s">
        <v>150</v>
      </c>
      <c r="D92" s="40" t="s">
        <v>238</v>
      </c>
      <c r="E92" s="40"/>
      <c r="F92" s="40"/>
      <c r="G92" s="10">
        <f t="shared" si="13"/>
        <v>0</v>
      </c>
      <c r="H92" s="10">
        <f t="shared" si="13"/>
        <v>0</v>
      </c>
    </row>
    <row r="93" spans="1:8" s="203" customFormat="1" ht="31.5" hidden="1" x14ac:dyDescent="0.25">
      <c r="A93" s="231" t="s">
        <v>1103</v>
      </c>
      <c r="B93" s="20" t="s">
        <v>1202</v>
      </c>
      <c r="C93" s="40" t="s">
        <v>150</v>
      </c>
      <c r="D93" s="40" t="s">
        <v>238</v>
      </c>
      <c r="E93" s="40"/>
      <c r="F93" s="40"/>
      <c r="G93" s="10">
        <f t="shared" si="13"/>
        <v>0</v>
      </c>
      <c r="H93" s="10">
        <f t="shared" si="13"/>
        <v>0</v>
      </c>
    </row>
    <row r="94" spans="1:8" s="203" customFormat="1" ht="31.5" hidden="1" x14ac:dyDescent="0.25">
      <c r="A94" s="25" t="s">
        <v>131</v>
      </c>
      <c r="B94" s="20" t="s">
        <v>1202</v>
      </c>
      <c r="C94" s="40" t="s">
        <v>150</v>
      </c>
      <c r="D94" s="40" t="s">
        <v>238</v>
      </c>
      <c r="E94" s="40" t="s">
        <v>132</v>
      </c>
      <c r="F94" s="40"/>
      <c r="G94" s="10">
        <f t="shared" si="13"/>
        <v>0</v>
      </c>
      <c r="H94" s="10">
        <f t="shared" si="13"/>
        <v>0</v>
      </c>
    </row>
    <row r="95" spans="1:8" s="203" customFormat="1" ht="47.25" hidden="1" x14ac:dyDescent="0.25">
      <c r="A95" s="25" t="s">
        <v>133</v>
      </c>
      <c r="B95" s="20" t="s">
        <v>1202</v>
      </c>
      <c r="C95" s="40" t="s">
        <v>150</v>
      </c>
      <c r="D95" s="40" t="s">
        <v>238</v>
      </c>
      <c r="E95" s="40" t="s">
        <v>134</v>
      </c>
      <c r="F95" s="40"/>
      <c r="G95" s="10">
        <f>'пр.6.1.ведом.22-23'!G292</f>
        <v>0</v>
      </c>
      <c r="H95" s="10">
        <f>'пр.6.1.ведом.22-23'!H292</f>
        <v>0</v>
      </c>
    </row>
    <row r="96" spans="1:8" s="203" customFormat="1" ht="47.25" hidden="1" x14ac:dyDescent="0.25">
      <c r="A96" s="45" t="s">
        <v>261</v>
      </c>
      <c r="B96" s="20" t="s">
        <v>1202</v>
      </c>
      <c r="C96" s="40" t="s">
        <v>150</v>
      </c>
      <c r="D96" s="40" t="s">
        <v>238</v>
      </c>
      <c r="E96" s="40" t="s">
        <v>134</v>
      </c>
      <c r="F96" s="9" t="s">
        <v>627</v>
      </c>
      <c r="G96" s="10">
        <f>G95</f>
        <v>0</v>
      </c>
      <c r="H96" s="10">
        <f>H95</f>
        <v>0</v>
      </c>
    </row>
    <row r="97" spans="1:8" s="203" customFormat="1" ht="94.5" x14ac:dyDescent="0.25">
      <c r="A97" s="41" t="s">
        <v>1348</v>
      </c>
      <c r="B97" s="7" t="s">
        <v>359</v>
      </c>
      <c r="C97" s="7"/>
      <c r="D97" s="7"/>
      <c r="E97" s="7"/>
      <c r="F97" s="8"/>
      <c r="G97" s="59">
        <f>G98</f>
        <v>200</v>
      </c>
      <c r="H97" s="59">
        <f>H98</f>
        <v>500</v>
      </c>
    </row>
    <row r="98" spans="1:8" s="203" customFormat="1" ht="63" x14ac:dyDescent="0.25">
      <c r="A98" s="250" t="s">
        <v>1044</v>
      </c>
      <c r="B98" s="7" t="s">
        <v>909</v>
      </c>
      <c r="C98" s="7"/>
      <c r="D98" s="7"/>
      <c r="E98" s="7"/>
      <c r="F98" s="8"/>
      <c r="G98" s="59">
        <f>G99</f>
        <v>200</v>
      </c>
      <c r="H98" s="59">
        <f>H99</f>
        <v>500</v>
      </c>
    </row>
    <row r="99" spans="1:8" s="203" customFormat="1" ht="15.75" x14ac:dyDescent="0.25">
      <c r="A99" s="45" t="s">
        <v>117</v>
      </c>
      <c r="B99" s="40" t="s">
        <v>909</v>
      </c>
      <c r="C99" s="40" t="s">
        <v>118</v>
      </c>
      <c r="D99" s="40"/>
      <c r="E99" s="40"/>
      <c r="F99" s="9"/>
      <c r="G99" s="10">
        <f t="shared" ref="G99:H102" si="14">G100</f>
        <v>200</v>
      </c>
      <c r="H99" s="10">
        <f t="shared" si="14"/>
        <v>500</v>
      </c>
    </row>
    <row r="100" spans="1:8" s="203" customFormat="1" ht="15.75" x14ac:dyDescent="0.25">
      <c r="A100" s="45" t="s">
        <v>139</v>
      </c>
      <c r="B100" s="40" t="s">
        <v>909</v>
      </c>
      <c r="C100" s="40" t="s">
        <v>118</v>
      </c>
      <c r="D100" s="40" t="s">
        <v>140</v>
      </c>
      <c r="E100" s="40"/>
      <c r="F100" s="9"/>
      <c r="G100" s="10">
        <f>G101</f>
        <v>200</v>
      </c>
      <c r="H100" s="10">
        <f>H101</f>
        <v>500</v>
      </c>
    </row>
    <row r="101" spans="1:8" s="203" customFormat="1" ht="47.25" x14ac:dyDescent="0.25">
      <c r="A101" s="98" t="s">
        <v>1045</v>
      </c>
      <c r="B101" s="40" t="s">
        <v>1198</v>
      </c>
      <c r="C101" s="40" t="s">
        <v>118</v>
      </c>
      <c r="D101" s="40" t="s">
        <v>140</v>
      </c>
      <c r="E101" s="40"/>
      <c r="F101" s="9"/>
      <c r="G101" s="10">
        <f t="shared" si="14"/>
        <v>200</v>
      </c>
      <c r="H101" s="10">
        <f t="shared" si="14"/>
        <v>500</v>
      </c>
    </row>
    <row r="102" spans="1:8" s="203" customFormat="1" ht="31.5" x14ac:dyDescent="0.25">
      <c r="A102" s="29" t="s">
        <v>131</v>
      </c>
      <c r="B102" s="40" t="s">
        <v>1198</v>
      </c>
      <c r="C102" s="40" t="s">
        <v>118</v>
      </c>
      <c r="D102" s="40" t="s">
        <v>140</v>
      </c>
      <c r="E102" s="40" t="s">
        <v>132</v>
      </c>
      <c r="F102" s="9"/>
      <c r="G102" s="10">
        <f t="shared" si="14"/>
        <v>200</v>
      </c>
      <c r="H102" s="10">
        <f t="shared" si="14"/>
        <v>500</v>
      </c>
    </row>
    <row r="103" spans="1:8" s="203" customFormat="1" ht="47.25" x14ac:dyDescent="0.25">
      <c r="A103" s="29" t="s">
        <v>133</v>
      </c>
      <c r="B103" s="40" t="s">
        <v>1198</v>
      </c>
      <c r="C103" s="40" t="s">
        <v>118</v>
      </c>
      <c r="D103" s="40" t="s">
        <v>140</v>
      </c>
      <c r="E103" s="40" t="s">
        <v>134</v>
      </c>
      <c r="F103" s="9"/>
      <c r="G103" s="10">
        <f>'пр.6.1.ведом.22-23'!G250</f>
        <v>200</v>
      </c>
      <c r="H103" s="10">
        <f>'пр.6.1.ведом.22-23'!H250</f>
        <v>500</v>
      </c>
    </row>
    <row r="104" spans="1:8" s="203" customFormat="1" ht="47.25" x14ac:dyDescent="0.25">
      <c r="A104" s="45" t="s">
        <v>261</v>
      </c>
      <c r="B104" s="40" t="s">
        <v>1198</v>
      </c>
      <c r="C104" s="40" t="s">
        <v>118</v>
      </c>
      <c r="D104" s="40" t="s">
        <v>140</v>
      </c>
      <c r="E104" s="40" t="s">
        <v>134</v>
      </c>
      <c r="F104" s="9" t="s">
        <v>627</v>
      </c>
      <c r="G104" s="10">
        <f>G103</f>
        <v>200</v>
      </c>
      <c r="H104" s="10">
        <f>H103</f>
        <v>500</v>
      </c>
    </row>
    <row r="105" spans="1:8" s="203" customFormat="1" ht="47.25" hidden="1" x14ac:dyDescent="0.25">
      <c r="A105" s="35" t="s">
        <v>886</v>
      </c>
      <c r="B105" s="20" t="s">
        <v>1297</v>
      </c>
      <c r="C105" s="40" t="s">
        <v>118</v>
      </c>
      <c r="D105" s="40" t="s">
        <v>140</v>
      </c>
      <c r="E105" s="40"/>
      <c r="F105" s="9"/>
      <c r="G105" s="10" t="e">
        <f>G106</f>
        <v>#REF!</v>
      </c>
      <c r="H105" s="10" t="e">
        <f>H106</f>
        <v>#REF!</v>
      </c>
    </row>
    <row r="106" spans="1:8" s="203" customFormat="1" ht="31.5" hidden="1" x14ac:dyDescent="0.25">
      <c r="A106" s="25" t="s">
        <v>131</v>
      </c>
      <c r="B106" s="20" t="s">
        <v>1297</v>
      </c>
      <c r="C106" s="40" t="s">
        <v>118</v>
      </c>
      <c r="D106" s="40" t="s">
        <v>140</v>
      </c>
      <c r="E106" s="40" t="s">
        <v>132</v>
      </c>
      <c r="F106" s="9"/>
      <c r="G106" s="10" t="e">
        <f>G107</f>
        <v>#REF!</v>
      </c>
      <c r="H106" s="10" t="e">
        <f>H107</f>
        <v>#REF!</v>
      </c>
    </row>
    <row r="107" spans="1:8" s="203" customFormat="1" ht="47.25" hidden="1" x14ac:dyDescent="0.25">
      <c r="A107" s="25" t="s">
        <v>133</v>
      </c>
      <c r="B107" s="20" t="s">
        <v>1297</v>
      </c>
      <c r="C107" s="40" t="s">
        <v>118</v>
      </c>
      <c r="D107" s="40" t="s">
        <v>140</v>
      </c>
      <c r="E107" s="40" t="s">
        <v>134</v>
      </c>
      <c r="F107" s="9"/>
      <c r="G107" s="10" t="e">
        <f>'пр.6.1.ведом.22-23'!#REF!</f>
        <v>#REF!</v>
      </c>
      <c r="H107" s="10" t="e">
        <f>'пр.6.1.ведом.22-23'!#REF!</f>
        <v>#REF!</v>
      </c>
    </row>
    <row r="108" spans="1:8" s="203" customFormat="1" ht="47.25" hidden="1" x14ac:dyDescent="0.25">
      <c r="A108" s="45" t="s">
        <v>261</v>
      </c>
      <c r="B108" s="20" t="s">
        <v>1297</v>
      </c>
      <c r="C108" s="40" t="s">
        <v>118</v>
      </c>
      <c r="D108" s="40" t="s">
        <v>140</v>
      </c>
      <c r="E108" s="40" t="s">
        <v>134</v>
      </c>
      <c r="F108" s="9" t="s">
        <v>627</v>
      </c>
      <c r="G108" s="10" t="e">
        <f>G107</f>
        <v>#REF!</v>
      </c>
      <c r="H108" s="10" t="e">
        <f>H107</f>
        <v>#REF!</v>
      </c>
    </row>
    <row r="109" spans="1:8" ht="47.25" x14ac:dyDescent="0.25">
      <c r="A109" s="58" t="s">
        <v>629</v>
      </c>
      <c r="B109" s="7" t="s">
        <v>362</v>
      </c>
      <c r="C109" s="7"/>
      <c r="D109" s="7"/>
      <c r="E109" s="7"/>
      <c r="F109" s="7"/>
      <c r="G109" s="59">
        <f>G110+G117+G127</f>
        <v>1967</v>
      </c>
      <c r="H109" s="59">
        <f>H110+H117+H127</f>
        <v>2022</v>
      </c>
    </row>
    <row r="110" spans="1:8" ht="31.5" x14ac:dyDescent="0.25">
      <c r="A110" s="23" t="s">
        <v>1038</v>
      </c>
      <c r="B110" s="24" t="s">
        <v>913</v>
      </c>
      <c r="C110" s="40"/>
      <c r="D110" s="40"/>
      <c r="E110" s="40"/>
      <c r="F110" s="40"/>
      <c r="G110" s="59">
        <f>G111</f>
        <v>630</v>
      </c>
      <c r="H110" s="59">
        <f>H111</f>
        <v>630</v>
      </c>
    </row>
    <row r="111" spans="1:8" ht="15.75" x14ac:dyDescent="0.25">
      <c r="A111" s="45" t="s">
        <v>243</v>
      </c>
      <c r="B111" s="40" t="s">
        <v>913</v>
      </c>
      <c r="C111" s="40" t="s">
        <v>244</v>
      </c>
      <c r="D111" s="40"/>
      <c r="E111" s="40"/>
      <c r="F111" s="40"/>
      <c r="G111" s="10">
        <f t="shared" ref="G111:H114" si="15">G112</f>
        <v>630</v>
      </c>
      <c r="H111" s="10">
        <f t="shared" si="15"/>
        <v>630</v>
      </c>
    </row>
    <row r="112" spans="1:8" ht="15.75" x14ac:dyDescent="0.25">
      <c r="A112" s="45" t="s">
        <v>252</v>
      </c>
      <c r="B112" s="40" t="s">
        <v>913</v>
      </c>
      <c r="C112" s="40" t="s">
        <v>244</v>
      </c>
      <c r="D112" s="40" t="s">
        <v>215</v>
      </c>
      <c r="E112" s="40"/>
      <c r="F112" s="40"/>
      <c r="G112" s="10">
        <f>G113</f>
        <v>630</v>
      </c>
      <c r="H112" s="10">
        <f>H113</f>
        <v>630</v>
      </c>
    </row>
    <row r="113" spans="1:8" ht="63" x14ac:dyDescent="0.25">
      <c r="A113" s="98" t="s">
        <v>1039</v>
      </c>
      <c r="B113" s="20" t="s">
        <v>1224</v>
      </c>
      <c r="C113" s="40" t="s">
        <v>244</v>
      </c>
      <c r="D113" s="40" t="s">
        <v>215</v>
      </c>
      <c r="E113" s="40"/>
      <c r="F113" s="40"/>
      <c r="G113" s="10">
        <f t="shared" si="15"/>
        <v>630</v>
      </c>
      <c r="H113" s="10">
        <f t="shared" si="15"/>
        <v>630</v>
      </c>
    </row>
    <row r="114" spans="1:8" ht="31.5" x14ac:dyDescent="0.25">
      <c r="A114" s="25" t="s">
        <v>248</v>
      </c>
      <c r="B114" s="20" t="s">
        <v>1224</v>
      </c>
      <c r="C114" s="40" t="s">
        <v>244</v>
      </c>
      <c r="D114" s="40" t="s">
        <v>215</v>
      </c>
      <c r="E114" s="40" t="s">
        <v>249</v>
      </c>
      <c r="F114" s="40"/>
      <c r="G114" s="10">
        <f t="shared" si="15"/>
        <v>630</v>
      </c>
      <c r="H114" s="10">
        <f t="shared" si="15"/>
        <v>630</v>
      </c>
    </row>
    <row r="115" spans="1:8" ht="31.5" x14ac:dyDescent="0.25">
      <c r="A115" s="25" t="s">
        <v>348</v>
      </c>
      <c r="B115" s="20" t="s">
        <v>1224</v>
      </c>
      <c r="C115" s="40" t="s">
        <v>244</v>
      </c>
      <c r="D115" s="40" t="s">
        <v>215</v>
      </c>
      <c r="E115" s="40" t="s">
        <v>349</v>
      </c>
      <c r="F115" s="40"/>
      <c r="G115" s="10">
        <f>'пр.6.1.ведом.22-23'!G457</f>
        <v>630</v>
      </c>
      <c r="H115" s="10">
        <f>'пр.6.1.ведом.22-23'!H457</f>
        <v>630</v>
      </c>
    </row>
    <row r="116" spans="1:8" ht="47.25" x14ac:dyDescent="0.25">
      <c r="A116" s="45" t="s">
        <v>261</v>
      </c>
      <c r="B116" s="20" t="s">
        <v>1224</v>
      </c>
      <c r="C116" s="40" t="s">
        <v>244</v>
      </c>
      <c r="D116" s="40" t="s">
        <v>215</v>
      </c>
      <c r="E116" s="40" t="s">
        <v>349</v>
      </c>
      <c r="F116" s="40" t="s">
        <v>627</v>
      </c>
      <c r="G116" s="10">
        <f>G115</f>
        <v>630</v>
      </c>
      <c r="H116" s="10">
        <f>H115</f>
        <v>630</v>
      </c>
    </row>
    <row r="117" spans="1:8" ht="31.5" x14ac:dyDescent="0.25">
      <c r="A117" s="23" t="s">
        <v>1228</v>
      </c>
      <c r="B117" s="24" t="s">
        <v>1226</v>
      </c>
      <c r="C117" s="7"/>
      <c r="D117" s="7"/>
      <c r="E117" s="7"/>
      <c r="F117" s="7"/>
      <c r="G117" s="59">
        <f>G118</f>
        <v>657</v>
      </c>
      <c r="H117" s="59">
        <f>H118</f>
        <v>657</v>
      </c>
    </row>
    <row r="118" spans="1:8" ht="15.75" x14ac:dyDescent="0.25">
      <c r="A118" s="45" t="s">
        <v>243</v>
      </c>
      <c r="B118" s="40" t="s">
        <v>1226</v>
      </c>
      <c r="C118" s="40" t="s">
        <v>244</v>
      </c>
      <c r="D118" s="40"/>
      <c r="E118" s="40"/>
      <c r="F118" s="40"/>
      <c r="G118" s="10">
        <f t="shared" ref="G118:H118" si="16">G119</f>
        <v>657</v>
      </c>
      <c r="H118" s="10">
        <f t="shared" si="16"/>
        <v>657</v>
      </c>
    </row>
    <row r="119" spans="1:8" ht="15.75" x14ac:dyDescent="0.25">
      <c r="A119" s="45" t="s">
        <v>252</v>
      </c>
      <c r="B119" s="40" t="s">
        <v>1226</v>
      </c>
      <c r="C119" s="40" t="s">
        <v>244</v>
      </c>
      <c r="D119" s="40" t="s">
        <v>215</v>
      </c>
      <c r="E119" s="40"/>
      <c r="F119" s="40"/>
      <c r="G119" s="10">
        <f>G120</f>
        <v>657</v>
      </c>
      <c r="H119" s="10">
        <f>H120</f>
        <v>657</v>
      </c>
    </row>
    <row r="120" spans="1:8" ht="31.5" x14ac:dyDescent="0.25">
      <c r="A120" s="25" t="s">
        <v>1225</v>
      </c>
      <c r="B120" s="20" t="s">
        <v>1227</v>
      </c>
      <c r="C120" s="40" t="s">
        <v>244</v>
      </c>
      <c r="D120" s="40" t="s">
        <v>215</v>
      </c>
      <c r="E120" s="40"/>
      <c r="F120" s="40"/>
      <c r="G120" s="10">
        <f>G121+G124</f>
        <v>657</v>
      </c>
      <c r="H120" s="10">
        <f>H121+H124</f>
        <v>657</v>
      </c>
    </row>
    <row r="121" spans="1:8" ht="31.5" x14ac:dyDescent="0.25">
      <c r="A121" s="25" t="s">
        <v>131</v>
      </c>
      <c r="B121" s="20" t="s">
        <v>1227</v>
      </c>
      <c r="C121" s="40" t="s">
        <v>244</v>
      </c>
      <c r="D121" s="40" t="s">
        <v>215</v>
      </c>
      <c r="E121" s="40" t="s">
        <v>132</v>
      </c>
      <c r="F121" s="40"/>
      <c r="G121" s="10">
        <f>G122</f>
        <v>400</v>
      </c>
      <c r="H121" s="10">
        <f>H122</f>
        <v>400</v>
      </c>
    </row>
    <row r="122" spans="1:8" ht="47.25" x14ac:dyDescent="0.25">
      <c r="A122" s="25" t="s">
        <v>133</v>
      </c>
      <c r="B122" s="20" t="s">
        <v>1227</v>
      </c>
      <c r="C122" s="40" t="s">
        <v>244</v>
      </c>
      <c r="D122" s="40" t="s">
        <v>215</v>
      </c>
      <c r="E122" s="40" t="s">
        <v>134</v>
      </c>
      <c r="F122" s="40"/>
      <c r="G122" s="10">
        <f>'пр.6.1.ведом.22-23'!G461</f>
        <v>400</v>
      </c>
      <c r="H122" s="10">
        <f>'пр.6.1.ведом.22-23'!H461</f>
        <v>400</v>
      </c>
    </row>
    <row r="123" spans="1:8" ht="47.25" x14ac:dyDescent="0.25">
      <c r="A123" s="45" t="s">
        <v>261</v>
      </c>
      <c r="B123" s="20" t="s">
        <v>1227</v>
      </c>
      <c r="C123" s="40" t="s">
        <v>244</v>
      </c>
      <c r="D123" s="40" t="s">
        <v>215</v>
      </c>
      <c r="E123" s="40" t="s">
        <v>134</v>
      </c>
      <c r="F123" s="40" t="s">
        <v>627</v>
      </c>
      <c r="G123" s="10">
        <f>G122</f>
        <v>400</v>
      </c>
      <c r="H123" s="10">
        <f>H122</f>
        <v>400</v>
      </c>
    </row>
    <row r="124" spans="1:8" ht="31.5" x14ac:dyDescent="0.25">
      <c r="A124" s="25" t="s">
        <v>248</v>
      </c>
      <c r="B124" s="20" t="s">
        <v>1227</v>
      </c>
      <c r="C124" s="40" t="s">
        <v>244</v>
      </c>
      <c r="D124" s="40" t="s">
        <v>215</v>
      </c>
      <c r="E124" s="40" t="s">
        <v>249</v>
      </c>
      <c r="F124" s="40"/>
      <c r="G124" s="10">
        <f>G125</f>
        <v>257</v>
      </c>
      <c r="H124" s="10">
        <f>H125</f>
        <v>257</v>
      </c>
    </row>
    <row r="125" spans="1:8" ht="31.5" x14ac:dyDescent="0.25">
      <c r="A125" s="25" t="s">
        <v>348</v>
      </c>
      <c r="B125" s="20" t="s">
        <v>1227</v>
      </c>
      <c r="C125" s="40" t="s">
        <v>244</v>
      </c>
      <c r="D125" s="40" t="s">
        <v>215</v>
      </c>
      <c r="E125" s="40" t="s">
        <v>349</v>
      </c>
      <c r="F125" s="40"/>
      <c r="G125" s="10">
        <f>'пр.6.1.ведом.22-23'!G463</f>
        <v>257</v>
      </c>
      <c r="H125" s="10">
        <f>'пр.6.1.ведом.22-23'!H463</f>
        <v>257</v>
      </c>
    </row>
    <row r="126" spans="1:8" ht="47.25" x14ac:dyDescent="0.25">
      <c r="A126" s="45" t="s">
        <v>261</v>
      </c>
      <c r="B126" s="20" t="s">
        <v>1227</v>
      </c>
      <c r="C126" s="40" t="s">
        <v>244</v>
      </c>
      <c r="D126" s="40" t="s">
        <v>215</v>
      </c>
      <c r="E126" s="40" t="s">
        <v>349</v>
      </c>
      <c r="F126" s="40" t="s">
        <v>627</v>
      </c>
      <c r="G126" s="10">
        <f>G125</f>
        <v>257</v>
      </c>
      <c r="H126" s="10">
        <f>H125</f>
        <v>257</v>
      </c>
    </row>
    <row r="127" spans="1:8" ht="31.5" x14ac:dyDescent="0.25">
      <c r="A127" s="23" t="s">
        <v>997</v>
      </c>
      <c r="B127" s="24" t="s">
        <v>1221</v>
      </c>
      <c r="C127" s="7"/>
      <c r="D127" s="7"/>
      <c r="E127" s="7"/>
      <c r="F127" s="7"/>
      <c r="G127" s="59">
        <f>G134+G128</f>
        <v>680</v>
      </c>
      <c r="H127" s="59">
        <f>H134+H128</f>
        <v>735</v>
      </c>
    </row>
    <row r="128" spans="1:8" ht="15.75" x14ac:dyDescent="0.25">
      <c r="A128" s="25" t="s">
        <v>298</v>
      </c>
      <c r="B128" s="20" t="s">
        <v>1221</v>
      </c>
      <c r="C128" s="40" t="s">
        <v>299</v>
      </c>
      <c r="D128" s="40"/>
      <c r="E128" s="7"/>
      <c r="F128" s="7"/>
      <c r="G128" s="10">
        <f t="shared" ref="G128:H131" si="17">G129</f>
        <v>260</v>
      </c>
      <c r="H128" s="10">
        <f t="shared" si="17"/>
        <v>285</v>
      </c>
    </row>
    <row r="129" spans="1:8" ht="15.75" x14ac:dyDescent="0.25">
      <c r="A129" s="25" t="s">
        <v>300</v>
      </c>
      <c r="B129" s="20" t="s">
        <v>1221</v>
      </c>
      <c r="C129" s="40" t="s">
        <v>299</v>
      </c>
      <c r="D129" s="40" t="s">
        <v>150</v>
      </c>
      <c r="E129" s="7"/>
      <c r="F129" s="7"/>
      <c r="G129" s="10">
        <f t="shared" si="17"/>
        <v>260</v>
      </c>
      <c r="H129" s="10">
        <f t="shared" si="17"/>
        <v>285</v>
      </c>
    </row>
    <row r="130" spans="1:8" ht="31.5" x14ac:dyDescent="0.25">
      <c r="A130" s="25" t="s">
        <v>996</v>
      </c>
      <c r="B130" s="20" t="s">
        <v>1222</v>
      </c>
      <c r="C130" s="40" t="s">
        <v>299</v>
      </c>
      <c r="D130" s="40" t="s">
        <v>150</v>
      </c>
      <c r="E130" s="7"/>
      <c r="F130" s="7"/>
      <c r="G130" s="10">
        <f t="shared" si="17"/>
        <v>260</v>
      </c>
      <c r="H130" s="10">
        <f t="shared" si="17"/>
        <v>285</v>
      </c>
    </row>
    <row r="131" spans="1:8" ht="31.5" x14ac:dyDescent="0.25">
      <c r="A131" s="25" t="s">
        <v>131</v>
      </c>
      <c r="B131" s="20" t="s">
        <v>1222</v>
      </c>
      <c r="C131" s="40" t="s">
        <v>299</v>
      </c>
      <c r="D131" s="40" t="s">
        <v>150</v>
      </c>
      <c r="E131" s="40" t="s">
        <v>132</v>
      </c>
      <c r="F131" s="40"/>
      <c r="G131" s="10">
        <f t="shared" si="17"/>
        <v>260</v>
      </c>
      <c r="H131" s="10">
        <f t="shared" si="17"/>
        <v>285</v>
      </c>
    </row>
    <row r="132" spans="1:8" s="203" customFormat="1" ht="47.25" x14ac:dyDescent="0.25">
      <c r="A132" s="25" t="s">
        <v>133</v>
      </c>
      <c r="B132" s="20" t="s">
        <v>1222</v>
      </c>
      <c r="C132" s="40" t="s">
        <v>299</v>
      </c>
      <c r="D132" s="40" t="s">
        <v>150</v>
      </c>
      <c r="E132" s="40" t="s">
        <v>134</v>
      </c>
      <c r="F132" s="40"/>
      <c r="G132" s="10">
        <f>'пр.6.1.ведом.22-23'!G439</f>
        <v>260</v>
      </c>
      <c r="H132" s="10">
        <f>'пр.6.1.ведом.22-23'!H439</f>
        <v>285</v>
      </c>
    </row>
    <row r="133" spans="1:8" s="203" customFormat="1" ht="47.25" x14ac:dyDescent="0.25">
      <c r="A133" s="45" t="s">
        <v>261</v>
      </c>
      <c r="B133" s="20" t="s">
        <v>1222</v>
      </c>
      <c r="C133" s="40" t="s">
        <v>299</v>
      </c>
      <c r="D133" s="40" t="s">
        <v>150</v>
      </c>
      <c r="E133" s="40" t="s">
        <v>134</v>
      </c>
      <c r="F133" s="40" t="s">
        <v>627</v>
      </c>
      <c r="G133" s="10">
        <f>G132</f>
        <v>260</v>
      </c>
      <c r="H133" s="10">
        <f>H132</f>
        <v>285</v>
      </c>
    </row>
    <row r="134" spans="1:8" s="203" customFormat="1" ht="15.75" x14ac:dyDescent="0.25">
      <c r="A134" s="45" t="s">
        <v>243</v>
      </c>
      <c r="B134" s="20" t="s">
        <v>1221</v>
      </c>
      <c r="C134" s="40" t="s">
        <v>244</v>
      </c>
      <c r="D134" s="40"/>
      <c r="E134" s="40"/>
      <c r="F134" s="40"/>
      <c r="G134" s="10">
        <f t="shared" ref="G134:H137" si="18">G135</f>
        <v>420</v>
      </c>
      <c r="H134" s="10">
        <f t="shared" si="18"/>
        <v>450</v>
      </c>
    </row>
    <row r="135" spans="1:8" ht="15.75" x14ac:dyDescent="0.25">
      <c r="A135" s="45" t="s">
        <v>252</v>
      </c>
      <c r="B135" s="20" t="s">
        <v>1221</v>
      </c>
      <c r="C135" s="40" t="s">
        <v>244</v>
      </c>
      <c r="D135" s="40" t="s">
        <v>215</v>
      </c>
      <c r="E135" s="40"/>
      <c r="F135" s="40"/>
      <c r="G135" s="10">
        <f t="shared" si="18"/>
        <v>420</v>
      </c>
      <c r="H135" s="10">
        <f t="shared" si="18"/>
        <v>450</v>
      </c>
    </row>
    <row r="136" spans="1:8" ht="15.75" x14ac:dyDescent="0.25">
      <c r="A136" s="25" t="s">
        <v>1036</v>
      </c>
      <c r="B136" s="20" t="s">
        <v>1223</v>
      </c>
      <c r="C136" s="40" t="s">
        <v>244</v>
      </c>
      <c r="D136" s="40" t="s">
        <v>215</v>
      </c>
      <c r="E136" s="40"/>
      <c r="F136" s="40"/>
      <c r="G136" s="10">
        <f t="shared" si="18"/>
        <v>420</v>
      </c>
      <c r="H136" s="10">
        <f t="shared" si="18"/>
        <v>450</v>
      </c>
    </row>
    <row r="137" spans="1:8" ht="31.5" x14ac:dyDescent="0.25">
      <c r="A137" s="25" t="s">
        <v>248</v>
      </c>
      <c r="B137" s="20" t="s">
        <v>1223</v>
      </c>
      <c r="C137" s="40" t="s">
        <v>244</v>
      </c>
      <c r="D137" s="40" t="s">
        <v>215</v>
      </c>
      <c r="E137" s="40" t="s">
        <v>249</v>
      </c>
      <c r="F137" s="40"/>
      <c r="G137" s="10">
        <f t="shared" si="18"/>
        <v>420</v>
      </c>
      <c r="H137" s="10">
        <f t="shared" si="18"/>
        <v>450</v>
      </c>
    </row>
    <row r="138" spans="1:8" ht="31.5" x14ac:dyDescent="0.25">
      <c r="A138" s="25" t="s">
        <v>348</v>
      </c>
      <c r="B138" s="20" t="s">
        <v>1223</v>
      </c>
      <c r="C138" s="40" t="s">
        <v>244</v>
      </c>
      <c r="D138" s="40" t="s">
        <v>215</v>
      </c>
      <c r="E138" s="40" t="s">
        <v>349</v>
      </c>
      <c r="F138" s="40"/>
      <c r="G138" s="10">
        <f>'Пр.4 ведом.22'!G495</f>
        <v>420</v>
      </c>
      <c r="H138" s="10">
        <f>'пр.6.1.ведом.22-23'!H467</f>
        <v>450</v>
      </c>
    </row>
    <row r="139" spans="1:8" ht="47.25" x14ac:dyDescent="0.25">
      <c r="A139" s="45" t="s">
        <v>261</v>
      </c>
      <c r="B139" s="20" t="s">
        <v>1223</v>
      </c>
      <c r="C139" s="40" t="s">
        <v>244</v>
      </c>
      <c r="D139" s="40" t="s">
        <v>215</v>
      </c>
      <c r="E139" s="40" t="s">
        <v>349</v>
      </c>
      <c r="F139" s="40" t="s">
        <v>627</v>
      </c>
      <c r="G139" s="10">
        <f>G138</f>
        <v>420</v>
      </c>
      <c r="H139" s="10">
        <f>H138</f>
        <v>450</v>
      </c>
    </row>
    <row r="140" spans="1:8" ht="47.25" x14ac:dyDescent="0.25">
      <c r="A140" s="58" t="s">
        <v>1358</v>
      </c>
      <c r="B140" s="7" t="s">
        <v>406</v>
      </c>
      <c r="C140" s="7"/>
      <c r="D140" s="7"/>
      <c r="E140" s="7"/>
      <c r="F140" s="7"/>
      <c r="G140" s="59">
        <f>G141+G158+G215+G248+G255+G284+G291+G298+G305+G312+G330+G323+G337</f>
        <v>324504.29999999993</v>
      </c>
      <c r="H140" s="59">
        <f>H141+H158+H215+H248+H255+H284+H291+H298+H305+H312+H330+H323+H337</f>
        <v>347534.15</v>
      </c>
    </row>
    <row r="141" spans="1:8" ht="47.25" x14ac:dyDescent="0.25">
      <c r="A141" s="23" t="s">
        <v>937</v>
      </c>
      <c r="B141" s="24" t="s">
        <v>1230</v>
      </c>
      <c r="C141" s="7"/>
      <c r="D141" s="7"/>
      <c r="E141" s="7"/>
      <c r="F141" s="7"/>
      <c r="G141" s="59">
        <f>G142</f>
        <v>80542.700000000012</v>
      </c>
      <c r="H141" s="59">
        <f>H142</f>
        <v>80542.700000000012</v>
      </c>
    </row>
    <row r="142" spans="1:8" ht="15.75" x14ac:dyDescent="0.25">
      <c r="A142" s="29" t="s">
        <v>263</v>
      </c>
      <c r="B142" s="40" t="s">
        <v>1230</v>
      </c>
      <c r="C142" s="40" t="s">
        <v>264</v>
      </c>
      <c r="D142" s="40"/>
      <c r="E142" s="40"/>
      <c r="F142" s="40"/>
      <c r="G142" s="10">
        <f>G143+G148+G153</f>
        <v>80542.700000000012</v>
      </c>
      <c r="H142" s="10">
        <f>H143+H148+H153</f>
        <v>80542.700000000012</v>
      </c>
    </row>
    <row r="143" spans="1:8" ht="15.75" x14ac:dyDescent="0.25">
      <c r="A143" s="45" t="s">
        <v>404</v>
      </c>
      <c r="B143" s="40" t="s">
        <v>1230</v>
      </c>
      <c r="C143" s="40" t="s">
        <v>264</v>
      </c>
      <c r="D143" s="40" t="s">
        <v>118</v>
      </c>
      <c r="E143" s="40"/>
      <c r="F143" s="40"/>
      <c r="G143" s="10">
        <f>G144</f>
        <v>14795.6</v>
      </c>
      <c r="H143" s="10">
        <f>H144</f>
        <v>14795.6</v>
      </c>
    </row>
    <row r="144" spans="1:8" ht="47.25" x14ac:dyDescent="0.25">
      <c r="A144" s="25" t="s">
        <v>1229</v>
      </c>
      <c r="B144" s="20" t="s">
        <v>1231</v>
      </c>
      <c r="C144" s="40" t="s">
        <v>264</v>
      </c>
      <c r="D144" s="40" t="s">
        <v>118</v>
      </c>
      <c r="E144" s="40"/>
      <c r="F144" s="40"/>
      <c r="G144" s="10">
        <f t="shared" ref="G144:H145" si="19">G145</f>
        <v>14795.6</v>
      </c>
      <c r="H144" s="10">
        <f t="shared" si="19"/>
        <v>14795.6</v>
      </c>
    </row>
    <row r="145" spans="1:8" ht="47.25" x14ac:dyDescent="0.25">
      <c r="A145" s="25" t="s">
        <v>272</v>
      </c>
      <c r="B145" s="20" t="s">
        <v>1231</v>
      </c>
      <c r="C145" s="40" t="s">
        <v>264</v>
      </c>
      <c r="D145" s="40" t="s">
        <v>118</v>
      </c>
      <c r="E145" s="40" t="s">
        <v>273</v>
      </c>
      <c r="F145" s="40"/>
      <c r="G145" s="10">
        <f t="shared" si="19"/>
        <v>14795.6</v>
      </c>
      <c r="H145" s="10">
        <f t="shared" si="19"/>
        <v>14795.6</v>
      </c>
    </row>
    <row r="146" spans="1:8" ht="15.75" x14ac:dyDescent="0.25">
      <c r="A146" s="25" t="s">
        <v>274</v>
      </c>
      <c r="B146" s="20" t="s">
        <v>1231</v>
      </c>
      <c r="C146" s="40" t="s">
        <v>264</v>
      </c>
      <c r="D146" s="40" t="s">
        <v>118</v>
      </c>
      <c r="E146" s="40" t="s">
        <v>275</v>
      </c>
      <c r="F146" s="40"/>
      <c r="G146" s="6">
        <f>'пр.6.1.ведом.22-23'!G554</f>
        <v>14795.6</v>
      </c>
      <c r="H146" s="6">
        <f>'пр.6.1.ведом.22-23'!H554</f>
        <v>14795.6</v>
      </c>
    </row>
    <row r="147" spans="1:8" ht="31.5" x14ac:dyDescent="0.25">
      <c r="A147" s="29" t="s">
        <v>403</v>
      </c>
      <c r="B147" s="20" t="s">
        <v>1231</v>
      </c>
      <c r="C147" s="40" t="s">
        <v>264</v>
      </c>
      <c r="D147" s="40" t="s">
        <v>118</v>
      </c>
      <c r="E147" s="40" t="s">
        <v>275</v>
      </c>
      <c r="F147" s="40" t="s">
        <v>636</v>
      </c>
      <c r="G147" s="10">
        <f>G146</f>
        <v>14795.6</v>
      </c>
      <c r="H147" s="10">
        <f>H146</f>
        <v>14795.6</v>
      </c>
    </row>
    <row r="148" spans="1:8" ht="15.75" x14ac:dyDescent="0.25">
      <c r="A148" s="29" t="s">
        <v>425</v>
      </c>
      <c r="B148" s="40" t="s">
        <v>1230</v>
      </c>
      <c r="C148" s="40" t="s">
        <v>264</v>
      </c>
      <c r="D148" s="40" t="s">
        <v>213</v>
      </c>
      <c r="E148" s="40"/>
      <c r="F148" s="40"/>
      <c r="G148" s="10">
        <f>G149</f>
        <v>28690.799999999999</v>
      </c>
      <c r="H148" s="10">
        <f>H149</f>
        <v>28690.799999999999</v>
      </c>
    </row>
    <row r="149" spans="1:8" ht="47.25" x14ac:dyDescent="0.25">
      <c r="A149" s="25" t="s">
        <v>427</v>
      </c>
      <c r="B149" s="20" t="s">
        <v>1249</v>
      </c>
      <c r="C149" s="40" t="s">
        <v>264</v>
      </c>
      <c r="D149" s="40" t="s">
        <v>213</v>
      </c>
      <c r="E149" s="40"/>
      <c r="F149" s="40"/>
      <c r="G149" s="10">
        <f t="shared" ref="G149:H150" si="20">G150</f>
        <v>28690.799999999999</v>
      </c>
      <c r="H149" s="10">
        <f t="shared" si="20"/>
        <v>28690.799999999999</v>
      </c>
    </row>
    <row r="150" spans="1:8" ht="47.25" x14ac:dyDescent="0.25">
      <c r="A150" s="25" t="s">
        <v>272</v>
      </c>
      <c r="B150" s="20" t="s">
        <v>1249</v>
      </c>
      <c r="C150" s="40" t="s">
        <v>264</v>
      </c>
      <c r="D150" s="40" t="s">
        <v>213</v>
      </c>
      <c r="E150" s="40" t="s">
        <v>273</v>
      </c>
      <c r="F150" s="40"/>
      <c r="G150" s="10">
        <f t="shared" si="20"/>
        <v>28690.799999999999</v>
      </c>
      <c r="H150" s="10">
        <f t="shared" si="20"/>
        <v>28690.799999999999</v>
      </c>
    </row>
    <row r="151" spans="1:8" ht="15.75" x14ac:dyDescent="0.25">
      <c r="A151" s="25" t="s">
        <v>274</v>
      </c>
      <c r="B151" s="20" t="s">
        <v>1249</v>
      </c>
      <c r="C151" s="40" t="s">
        <v>264</v>
      </c>
      <c r="D151" s="40" t="s">
        <v>213</v>
      </c>
      <c r="E151" s="40" t="s">
        <v>275</v>
      </c>
      <c r="F151" s="40"/>
      <c r="G151" s="6">
        <f>'пр.6.1.ведом.22-23'!G614</f>
        <v>28690.799999999999</v>
      </c>
      <c r="H151" s="6">
        <f>'пр.6.1.ведом.22-23'!H614</f>
        <v>28690.799999999999</v>
      </c>
    </row>
    <row r="152" spans="1:8" ht="31.5" x14ac:dyDescent="0.25">
      <c r="A152" s="29" t="s">
        <v>403</v>
      </c>
      <c r="B152" s="20" t="s">
        <v>1249</v>
      </c>
      <c r="C152" s="40" t="s">
        <v>264</v>
      </c>
      <c r="D152" s="40" t="s">
        <v>213</v>
      </c>
      <c r="E152" s="40" t="s">
        <v>275</v>
      </c>
      <c r="F152" s="40" t="s">
        <v>636</v>
      </c>
      <c r="G152" s="10">
        <f>G151</f>
        <v>28690.799999999999</v>
      </c>
      <c r="H152" s="10">
        <f>H151</f>
        <v>28690.799999999999</v>
      </c>
    </row>
    <row r="153" spans="1:8" ht="15.75" x14ac:dyDescent="0.25">
      <c r="A153" s="29" t="s">
        <v>265</v>
      </c>
      <c r="B153" s="40" t="s">
        <v>1230</v>
      </c>
      <c r="C153" s="40" t="s">
        <v>264</v>
      </c>
      <c r="D153" s="40" t="s">
        <v>215</v>
      </c>
      <c r="E153" s="40"/>
      <c r="F153" s="40"/>
      <c r="G153" s="6">
        <f t="shared" ref="G153:H155" si="21">G154</f>
        <v>37056.300000000003</v>
      </c>
      <c r="H153" s="6">
        <f t="shared" si="21"/>
        <v>37056.300000000003</v>
      </c>
    </row>
    <row r="154" spans="1:8" ht="47.25" x14ac:dyDescent="0.25">
      <c r="A154" s="29" t="s">
        <v>270</v>
      </c>
      <c r="B154" s="20" t="s">
        <v>1260</v>
      </c>
      <c r="C154" s="40" t="s">
        <v>264</v>
      </c>
      <c r="D154" s="40" t="s">
        <v>215</v>
      </c>
      <c r="E154" s="7"/>
      <c r="F154" s="7"/>
      <c r="G154" s="10">
        <f t="shared" si="21"/>
        <v>37056.300000000003</v>
      </c>
      <c r="H154" s="10">
        <f t="shared" si="21"/>
        <v>37056.300000000003</v>
      </c>
    </row>
    <row r="155" spans="1:8" ht="47.25" x14ac:dyDescent="0.25">
      <c r="A155" s="29" t="s">
        <v>272</v>
      </c>
      <c r="B155" s="20" t="s">
        <v>1260</v>
      </c>
      <c r="C155" s="40" t="s">
        <v>264</v>
      </c>
      <c r="D155" s="40" t="s">
        <v>215</v>
      </c>
      <c r="E155" s="40" t="s">
        <v>273</v>
      </c>
      <c r="F155" s="40"/>
      <c r="G155" s="10">
        <f t="shared" si="21"/>
        <v>37056.300000000003</v>
      </c>
      <c r="H155" s="10">
        <f t="shared" si="21"/>
        <v>37056.300000000003</v>
      </c>
    </row>
    <row r="156" spans="1:8" ht="15.75" x14ac:dyDescent="0.25">
      <c r="A156" s="29" t="s">
        <v>274</v>
      </c>
      <c r="B156" s="20" t="s">
        <v>1260</v>
      </c>
      <c r="C156" s="40" t="s">
        <v>264</v>
      </c>
      <c r="D156" s="40" t="s">
        <v>215</v>
      </c>
      <c r="E156" s="40" t="s">
        <v>275</v>
      </c>
      <c r="F156" s="40"/>
      <c r="G156" s="6">
        <f>'пр.6.1.ведом.22-23'!G696</f>
        <v>37056.300000000003</v>
      </c>
      <c r="H156" s="6">
        <f>'пр.6.1.ведом.22-23'!H696</f>
        <v>37056.300000000003</v>
      </c>
    </row>
    <row r="157" spans="1:8" ht="31.5" x14ac:dyDescent="0.25">
      <c r="A157" s="29" t="s">
        <v>403</v>
      </c>
      <c r="B157" s="20" t="s">
        <v>1260</v>
      </c>
      <c r="C157" s="40" t="s">
        <v>264</v>
      </c>
      <c r="D157" s="40" t="s">
        <v>215</v>
      </c>
      <c r="E157" s="40" t="s">
        <v>275</v>
      </c>
      <c r="F157" s="40" t="s">
        <v>636</v>
      </c>
      <c r="G157" s="10">
        <f>G156</f>
        <v>37056.300000000003</v>
      </c>
      <c r="H157" s="10">
        <f>H156</f>
        <v>37056.300000000003</v>
      </c>
    </row>
    <row r="158" spans="1:8" ht="47.25" x14ac:dyDescent="0.25">
      <c r="A158" s="23" t="s">
        <v>900</v>
      </c>
      <c r="B158" s="24" t="s">
        <v>1232</v>
      </c>
      <c r="C158" s="7"/>
      <c r="D158" s="7"/>
      <c r="E158" s="7"/>
      <c r="F158" s="7"/>
      <c r="G158" s="4">
        <f>G159</f>
        <v>209060.9</v>
      </c>
      <c r="H158" s="4">
        <f>H159</f>
        <v>232587.40000000002</v>
      </c>
    </row>
    <row r="159" spans="1:8" ht="15.75" x14ac:dyDescent="0.25">
      <c r="A159" s="29" t="s">
        <v>263</v>
      </c>
      <c r="B159" s="40" t="s">
        <v>1232</v>
      </c>
      <c r="C159" s="40" t="s">
        <v>264</v>
      </c>
      <c r="D159" s="40"/>
      <c r="E159" s="40"/>
      <c r="F159" s="40"/>
      <c r="G159" s="10">
        <f>G160+G177+G202</f>
        <v>209060.9</v>
      </c>
      <c r="H159" s="10">
        <f>H160+H177+H202</f>
        <v>232587.40000000002</v>
      </c>
    </row>
    <row r="160" spans="1:8" ht="15.75" x14ac:dyDescent="0.25">
      <c r="A160" s="45" t="s">
        <v>404</v>
      </c>
      <c r="B160" s="40" t="s">
        <v>1232</v>
      </c>
      <c r="C160" s="40" t="s">
        <v>264</v>
      </c>
      <c r="D160" s="40" t="s">
        <v>118</v>
      </c>
      <c r="E160" s="40"/>
      <c r="F160" s="40"/>
      <c r="G160" s="10">
        <f>G165+G169+G173+G161</f>
        <v>75561.5</v>
      </c>
      <c r="H160" s="10">
        <f>H165+H169+H173+H161</f>
        <v>79924.100000000006</v>
      </c>
    </row>
    <row r="161" spans="1:8" s="203" customFormat="1" ht="110.25" x14ac:dyDescent="0.25">
      <c r="A161" s="31" t="s">
        <v>293</v>
      </c>
      <c r="B161" s="20" t="s">
        <v>1390</v>
      </c>
      <c r="C161" s="40" t="s">
        <v>264</v>
      </c>
      <c r="D161" s="40" t="s">
        <v>118</v>
      </c>
      <c r="E161" s="40"/>
      <c r="F161" s="40"/>
      <c r="G161" s="6">
        <f>G162</f>
        <v>3230</v>
      </c>
      <c r="H161" s="6">
        <f>H162</f>
        <v>3230</v>
      </c>
    </row>
    <row r="162" spans="1:8" s="203" customFormat="1" ht="47.25" x14ac:dyDescent="0.25">
      <c r="A162" s="25" t="s">
        <v>272</v>
      </c>
      <c r="B162" s="20" t="s">
        <v>1390</v>
      </c>
      <c r="C162" s="40" t="s">
        <v>264</v>
      </c>
      <c r="D162" s="40" t="s">
        <v>118</v>
      </c>
      <c r="E162" s="40" t="s">
        <v>273</v>
      </c>
      <c r="F162" s="40"/>
      <c r="G162" s="6">
        <f>G163</f>
        <v>3230</v>
      </c>
      <c r="H162" s="6">
        <f>H163</f>
        <v>3230</v>
      </c>
    </row>
    <row r="163" spans="1:8" s="203" customFormat="1" ht="15.75" x14ac:dyDescent="0.25">
      <c r="A163" s="25" t="s">
        <v>274</v>
      </c>
      <c r="B163" s="20" t="s">
        <v>1390</v>
      </c>
      <c r="C163" s="40" t="s">
        <v>264</v>
      </c>
      <c r="D163" s="40" t="s">
        <v>118</v>
      </c>
      <c r="E163" s="40" t="s">
        <v>275</v>
      </c>
      <c r="F163" s="40"/>
      <c r="G163" s="6">
        <f>'пр.6.1.ведом.22-23'!G558</f>
        <v>3230</v>
      </c>
      <c r="H163" s="6">
        <f>'пр.6.1.ведом.22-23'!H558</f>
        <v>3230</v>
      </c>
    </row>
    <row r="164" spans="1:8" s="203" customFormat="1" ht="31.5" x14ac:dyDescent="0.25">
      <c r="A164" s="29" t="s">
        <v>403</v>
      </c>
      <c r="B164" s="20" t="s">
        <v>1390</v>
      </c>
      <c r="C164" s="40" t="s">
        <v>264</v>
      </c>
      <c r="D164" s="40" t="s">
        <v>118</v>
      </c>
      <c r="E164" s="40" t="s">
        <v>275</v>
      </c>
      <c r="F164" s="40" t="s">
        <v>636</v>
      </c>
      <c r="G164" s="10">
        <f>G163</f>
        <v>3230</v>
      </c>
      <c r="H164" s="10">
        <f>H163</f>
        <v>3230</v>
      </c>
    </row>
    <row r="165" spans="1:8" ht="78.75" x14ac:dyDescent="0.25">
      <c r="A165" s="31" t="s">
        <v>289</v>
      </c>
      <c r="B165" s="20" t="s">
        <v>1233</v>
      </c>
      <c r="C165" s="40" t="s">
        <v>264</v>
      </c>
      <c r="D165" s="40" t="s">
        <v>118</v>
      </c>
      <c r="E165" s="40"/>
      <c r="F165" s="40"/>
      <c r="G165" s="6">
        <f>G166</f>
        <v>589</v>
      </c>
      <c r="H165" s="6">
        <f>H166</f>
        <v>589</v>
      </c>
    </row>
    <row r="166" spans="1:8" ht="47.25" x14ac:dyDescent="0.25">
      <c r="A166" s="25" t="s">
        <v>272</v>
      </c>
      <c r="B166" s="20" t="s">
        <v>1233</v>
      </c>
      <c r="C166" s="40" t="s">
        <v>264</v>
      </c>
      <c r="D166" s="40" t="s">
        <v>118</v>
      </c>
      <c r="E166" s="40" t="s">
        <v>273</v>
      </c>
      <c r="F166" s="40"/>
      <c r="G166" s="6">
        <f>G167</f>
        <v>589</v>
      </c>
      <c r="H166" s="6">
        <f>H167</f>
        <v>589</v>
      </c>
    </row>
    <row r="167" spans="1:8" ht="15.75" x14ac:dyDescent="0.25">
      <c r="A167" s="25" t="s">
        <v>274</v>
      </c>
      <c r="B167" s="20" t="s">
        <v>1233</v>
      </c>
      <c r="C167" s="40" t="s">
        <v>264</v>
      </c>
      <c r="D167" s="40" t="s">
        <v>118</v>
      </c>
      <c r="E167" s="40" t="s">
        <v>275</v>
      </c>
      <c r="F167" s="40"/>
      <c r="G167" s="6">
        <f>'пр.6.1.ведом.22-23'!G561</f>
        <v>589</v>
      </c>
      <c r="H167" s="6">
        <f>'пр.6.1.ведом.22-23'!H561</f>
        <v>589</v>
      </c>
    </row>
    <row r="168" spans="1:8" ht="31.5" x14ac:dyDescent="0.25">
      <c r="A168" s="29" t="s">
        <v>403</v>
      </c>
      <c r="B168" s="20" t="s">
        <v>1233</v>
      </c>
      <c r="C168" s="40" t="s">
        <v>264</v>
      </c>
      <c r="D168" s="40" t="s">
        <v>118</v>
      </c>
      <c r="E168" s="40" t="s">
        <v>275</v>
      </c>
      <c r="F168" s="40" t="s">
        <v>636</v>
      </c>
      <c r="G168" s="10">
        <f>G167</f>
        <v>589</v>
      </c>
      <c r="H168" s="10">
        <f>H167</f>
        <v>589</v>
      </c>
    </row>
    <row r="169" spans="1:8" ht="94.5" x14ac:dyDescent="0.25">
      <c r="A169" s="31" t="s">
        <v>291</v>
      </c>
      <c r="B169" s="20" t="s">
        <v>1234</v>
      </c>
      <c r="C169" s="40" t="s">
        <v>264</v>
      </c>
      <c r="D169" s="40" t="s">
        <v>118</v>
      </c>
      <c r="E169" s="40"/>
      <c r="F169" s="40"/>
      <c r="G169" s="6">
        <f>G170</f>
        <v>1629.3</v>
      </c>
      <c r="H169" s="6">
        <f>H170</f>
        <v>1629.3</v>
      </c>
    </row>
    <row r="170" spans="1:8" ht="47.25" x14ac:dyDescent="0.25">
      <c r="A170" s="25" t="s">
        <v>272</v>
      </c>
      <c r="B170" s="20" t="s">
        <v>1234</v>
      </c>
      <c r="C170" s="40" t="s">
        <v>264</v>
      </c>
      <c r="D170" s="40" t="s">
        <v>118</v>
      </c>
      <c r="E170" s="40" t="s">
        <v>273</v>
      </c>
      <c r="F170" s="40"/>
      <c r="G170" s="6">
        <f>G171</f>
        <v>1629.3</v>
      </c>
      <c r="H170" s="6">
        <f>H171</f>
        <v>1629.3</v>
      </c>
    </row>
    <row r="171" spans="1:8" ht="15.75" x14ac:dyDescent="0.25">
      <c r="A171" s="25" t="s">
        <v>274</v>
      </c>
      <c r="B171" s="20" t="s">
        <v>1234</v>
      </c>
      <c r="C171" s="40" t="s">
        <v>264</v>
      </c>
      <c r="D171" s="40" t="s">
        <v>118</v>
      </c>
      <c r="E171" s="40" t="s">
        <v>275</v>
      </c>
      <c r="F171" s="40"/>
      <c r="G171" s="6">
        <f>'пр.6.1.ведом.22-23'!G564</f>
        <v>1629.3</v>
      </c>
      <c r="H171" s="6">
        <f>'пр.6.1.ведом.22-23'!H564</f>
        <v>1629.3</v>
      </c>
    </row>
    <row r="172" spans="1:8" ht="31.5" x14ac:dyDescent="0.25">
      <c r="A172" s="29" t="s">
        <v>403</v>
      </c>
      <c r="B172" s="20" t="s">
        <v>1234</v>
      </c>
      <c r="C172" s="40" t="s">
        <v>264</v>
      </c>
      <c r="D172" s="40" t="s">
        <v>118</v>
      </c>
      <c r="E172" s="40" t="s">
        <v>275</v>
      </c>
      <c r="F172" s="40" t="s">
        <v>636</v>
      </c>
      <c r="G172" s="10">
        <f>G171</f>
        <v>1629.3</v>
      </c>
      <c r="H172" s="10">
        <f>H171</f>
        <v>1629.3</v>
      </c>
    </row>
    <row r="173" spans="1:8" ht="91.5" customHeight="1" x14ac:dyDescent="0.25">
      <c r="A173" s="31" t="s">
        <v>1183</v>
      </c>
      <c r="B173" s="20" t="s">
        <v>1235</v>
      </c>
      <c r="C173" s="40" t="s">
        <v>264</v>
      </c>
      <c r="D173" s="40" t="s">
        <v>118</v>
      </c>
      <c r="E173" s="40"/>
      <c r="F173" s="40"/>
      <c r="G173" s="6">
        <f>G174</f>
        <v>70113.2</v>
      </c>
      <c r="H173" s="6">
        <f>H174</f>
        <v>74475.8</v>
      </c>
    </row>
    <row r="174" spans="1:8" ht="47.25" x14ac:dyDescent="0.25">
      <c r="A174" s="25" t="s">
        <v>272</v>
      </c>
      <c r="B174" s="20" t="s">
        <v>1235</v>
      </c>
      <c r="C174" s="40" t="s">
        <v>264</v>
      </c>
      <c r="D174" s="40" t="s">
        <v>118</v>
      </c>
      <c r="E174" s="40" t="s">
        <v>273</v>
      </c>
      <c r="F174" s="40"/>
      <c r="G174" s="6">
        <f>G175</f>
        <v>70113.2</v>
      </c>
      <c r="H174" s="6">
        <f>H175</f>
        <v>74475.8</v>
      </c>
    </row>
    <row r="175" spans="1:8" ht="15.75" x14ac:dyDescent="0.25">
      <c r="A175" s="25" t="s">
        <v>274</v>
      </c>
      <c r="B175" s="20" t="s">
        <v>1235</v>
      </c>
      <c r="C175" s="40" t="s">
        <v>264</v>
      </c>
      <c r="D175" s="40" t="s">
        <v>118</v>
      </c>
      <c r="E175" s="40" t="s">
        <v>275</v>
      </c>
      <c r="F175" s="40"/>
      <c r="G175" s="6">
        <f>'пр.6.1.ведом.22-23'!G567</f>
        <v>70113.2</v>
      </c>
      <c r="H175" s="6">
        <f>'пр.6.1.ведом.22-23'!H567</f>
        <v>74475.8</v>
      </c>
    </row>
    <row r="176" spans="1:8" ht="31.5" x14ac:dyDescent="0.25">
      <c r="A176" s="29" t="s">
        <v>403</v>
      </c>
      <c r="B176" s="20" t="s">
        <v>1235</v>
      </c>
      <c r="C176" s="40" t="s">
        <v>264</v>
      </c>
      <c r="D176" s="40" t="s">
        <v>118</v>
      </c>
      <c r="E176" s="40" t="s">
        <v>275</v>
      </c>
      <c r="F176" s="40" t="s">
        <v>636</v>
      </c>
      <c r="G176" s="10">
        <f>G175</f>
        <v>70113.2</v>
      </c>
      <c r="H176" s="10">
        <f>H175</f>
        <v>74475.8</v>
      </c>
    </row>
    <row r="177" spans="1:8" ht="15.75" x14ac:dyDescent="0.25">
      <c r="A177" s="29" t="s">
        <v>425</v>
      </c>
      <c r="B177" s="40" t="s">
        <v>1232</v>
      </c>
      <c r="C177" s="40" t="s">
        <v>264</v>
      </c>
      <c r="D177" s="40" t="s">
        <v>213</v>
      </c>
      <c r="E177" s="40"/>
      <c r="F177" s="40"/>
      <c r="G177" s="10">
        <f>G186+G190+G194+G198+G182+G178</f>
        <v>131370.9</v>
      </c>
      <c r="H177" s="10">
        <f>H186+H190+H194+H198+H182+H178</f>
        <v>150534.80000000002</v>
      </c>
    </row>
    <row r="178" spans="1:8" s="203" customFormat="1" ht="78.75" x14ac:dyDescent="0.25">
      <c r="A178" s="25" t="s">
        <v>1392</v>
      </c>
      <c r="B178" s="20" t="s">
        <v>1393</v>
      </c>
      <c r="C178" s="40" t="s">
        <v>264</v>
      </c>
      <c r="D178" s="40" t="s">
        <v>213</v>
      </c>
      <c r="E178" s="40"/>
      <c r="F178" s="40"/>
      <c r="G178" s="10">
        <f>G179</f>
        <v>7226.1</v>
      </c>
      <c r="H178" s="10">
        <f>H179</f>
        <v>7226.1</v>
      </c>
    </row>
    <row r="179" spans="1:8" s="203" customFormat="1" ht="47.25" x14ac:dyDescent="0.25">
      <c r="A179" s="25" t="s">
        <v>272</v>
      </c>
      <c r="B179" s="20" t="s">
        <v>1393</v>
      </c>
      <c r="C179" s="40" t="s">
        <v>264</v>
      </c>
      <c r="D179" s="40" t="s">
        <v>213</v>
      </c>
      <c r="E179" s="40" t="s">
        <v>273</v>
      </c>
      <c r="F179" s="40"/>
      <c r="G179" s="10">
        <f>G180</f>
        <v>7226.1</v>
      </c>
      <c r="H179" s="10">
        <f>H180</f>
        <v>7226.1</v>
      </c>
    </row>
    <row r="180" spans="1:8" s="203" customFormat="1" ht="15.75" x14ac:dyDescent="0.25">
      <c r="A180" s="25" t="s">
        <v>274</v>
      </c>
      <c r="B180" s="20" t="s">
        <v>1393</v>
      </c>
      <c r="C180" s="40" t="s">
        <v>264</v>
      </c>
      <c r="D180" s="40" t="s">
        <v>213</v>
      </c>
      <c r="E180" s="40" t="s">
        <v>275</v>
      </c>
      <c r="F180" s="40"/>
      <c r="G180" s="10">
        <f>'пр.6.1.ведом.22-23'!G618</f>
        <v>7226.1</v>
      </c>
      <c r="H180" s="10">
        <f>'пр.6.1.ведом.22-23'!H618</f>
        <v>7226.1</v>
      </c>
    </row>
    <row r="181" spans="1:8" s="203" customFormat="1" ht="31.5" x14ac:dyDescent="0.25">
      <c r="A181" s="45" t="s">
        <v>403</v>
      </c>
      <c r="B181" s="20" t="s">
        <v>1393</v>
      </c>
      <c r="C181" s="40" t="s">
        <v>264</v>
      </c>
      <c r="D181" s="40" t="s">
        <v>213</v>
      </c>
      <c r="E181" s="40" t="s">
        <v>275</v>
      </c>
      <c r="F181" s="40" t="s">
        <v>636</v>
      </c>
      <c r="G181" s="10">
        <f>G178</f>
        <v>7226.1</v>
      </c>
      <c r="H181" s="10">
        <f>H178</f>
        <v>7226.1</v>
      </c>
    </row>
    <row r="182" spans="1:8" s="203" customFormat="1" ht="110.25" x14ac:dyDescent="0.25">
      <c r="A182" s="31" t="s">
        <v>464</v>
      </c>
      <c r="B182" s="20" t="s">
        <v>1390</v>
      </c>
      <c r="C182" s="40" t="s">
        <v>264</v>
      </c>
      <c r="D182" s="40" t="s">
        <v>213</v>
      </c>
      <c r="E182" s="40"/>
      <c r="F182" s="40"/>
      <c r="G182" s="6">
        <f>G183</f>
        <v>4610</v>
      </c>
      <c r="H182" s="6">
        <f>H183</f>
        <v>4610</v>
      </c>
    </row>
    <row r="183" spans="1:8" s="203" customFormat="1" ht="47.25" x14ac:dyDescent="0.25">
      <c r="A183" s="25" t="s">
        <v>272</v>
      </c>
      <c r="B183" s="20" t="s">
        <v>1390</v>
      </c>
      <c r="C183" s="40" t="s">
        <v>264</v>
      </c>
      <c r="D183" s="40" t="s">
        <v>213</v>
      </c>
      <c r="E183" s="40" t="s">
        <v>273</v>
      </c>
      <c r="F183" s="40"/>
      <c r="G183" s="6">
        <f>G184</f>
        <v>4610</v>
      </c>
      <c r="H183" s="6">
        <f>H184</f>
        <v>4610</v>
      </c>
    </row>
    <row r="184" spans="1:8" s="203" customFormat="1" ht="15.75" x14ac:dyDescent="0.25">
      <c r="A184" s="25" t="s">
        <v>274</v>
      </c>
      <c r="B184" s="20" t="s">
        <v>1390</v>
      </c>
      <c r="C184" s="40" t="s">
        <v>264</v>
      </c>
      <c r="D184" s="40" t="s">
        <v>213</v>
      </c>
      <c r="E184" s="40" t="s">
        <v>275</v>
      </c>
      <c r="F184" s="40"/>
      <c r="G184" s="6">
        <f>'пр.6.1.ведом.22-23'!G621</f>
        <v>4610</v>
      </c>
      <c r="H184" s="6">
        <f>'пр.6.1.ведом.22-23'!H621</f>
        <v>4610</v>
      </c>
    </row>
    <row r="185" spans="1:8" s="203" customFormat="1" ht="31.5" x14ac:dyDescent="0.25">
      <c r="A185" s="29" t="s">
        <v>403</v>
      </c>
      <c r="B185" s="20" t="s">
        <v>1390</v>
      </c>
      <c r="C185" s="40" t="s">
        <v>264</v>
      </c>
      <c r="D185" s="40" t="s">
        <v>213</v>
      </c>
      <c r="E185" s="40" t="s">
        <v>275</v>
      </c>
      <c r="F185" s="40" t="s">
        <v>636</v>
      </c>
      <c r="G185" s="10">
        <f>G184</f>
        <v>4610</v>
      </c>
      <c r="H185" s="10">
        <f>H184</f>
        <v>4610</v>
      </c>
    </row>
    <row r="186" spans="1:8" ht="94.5" x14ac:dyDescent="0.25">
      <c r="A186" s="31" t="s">
        <v>1184</v>
      </c>
      <c r="B186" s="20" t="s">
        <v>1250</v>
      </c>
      <c r="C186" s="40" t="s">
        <v>264</v>
      </c>
      <c r="D186" s="40" t="s">
        <v>213</v>
      </c>
      <c r="E186" s="40"/>
      <c r="F186" s="40"/>
      <c r="G186" s="6">
        <f>G187</f>
        <v>115047.8</v>
      </c>
      <c r="H186" s="6">
        <f>H187</f>
        <v>134211.70000000001</v>
      </c>
    </row>
    <row r="187" spans="1:8" ht="47.25" x14ac:dyDescent="0.25">
      <c r="A187" s="25" t="s">
        <v>272</v>
      </c>
      <c r="B187" s="20" t="s">
        <v>1250</v>
      </c>
      <c r="C187" s="40" t="s">
        <v>264</v>
      </c>
      <c r="D187" s="40" t="s">
        <v>213</v>
      </c>
      <c r="E187" s="40" t="s">
        <v>273</v>
      </c>
      <c r="F187" s="40"/>
      <c r="G187" s="6">
        <f>G188</f>
        <v>115047.8</v>
      </c>
      <c r="H187" s="6">
        <f>H188</f>
        <v>134211.70000000001</v>
      </c>
    </row>
    <row r="188" spans="1:8" ht="15.75" x14ac:dyDescent="0.25">
      <c r="A188" s="25" t="s">
        <v>274</v>
      </c>
      <c r="B188" s="20" t="s">
        <v>1250</v>
      </c>
      <c r="C188" s="40" t="s">
        <v>264</v>
      </c>
      <c r="D188" s="40" t="s">
        <v>213</v>
      </c>
      <c r="E188" s="40" t="s">
        <v>275</v>
      </c>
      <c r="F188" s="40"/>
      <c r="G188" s="6">
        <f>'пр.6.1.ведом.22-23'!G624</f>
        <v>115047.8</v>
      </c>
      <c r="H188" s="6">
        <f>'пр.6.1.ведом.22-23'!H624</f>
        <v>134211.70000000001</v>
      </c>
    </row>
    <row r="189" spans="1:8" ht="31.5" x14ac:dyDescent="0.25">
      <c r="A189" s="29" t="s">
        <v>403</v>
      </c>
      <c r="B189" s="20" t="s">
        <v>1250</v>
      </c>
      <c r="C189" s="40" t="s">
        <v>264</v>
      </c>
      <c r="D189" s="40" t="s">
        <v>213</v>
      </c>
      <c r="E189" s="40" t="s">
        <v>275</v>
      </c>
      <c r="F189" s="40" t="s">
        <v>636</v>
      </c>
      <c r="G189" s="10">
        <f>G188</f>
        <v>115047.8</v>
      </c>
      <c r="H189" s="10">
        <f>H188</f>
        <v>134211.70000000001</v>
      </c>
    </row>
    <row r="190" spans="1:8" ht="78.75" x14ac:dyDescent="0.25">
      <c r="A190" s="31" t="s">
        <v>289</v>
      </c>
      <c r="B190" s="20" t="s">
        <v>1233</v>
      </c>
      <c r="C190" s="40" t="s">
        <v>264</v>
      </c>
      <c r="D190" s="40" t="s">
        <v>213</v>
      </c>
      <c r="E190" s="40"/>
      <c r="F190" s="40"/>
      <c r="G190" s="6">
        <f>G191</f>
        <v>1311</v>
      </c>
      <c r="H190" s="6">
        <f>H191</f>
        <v>1311</v>
      </c>
    </row>
    <row r="191" spans="1:8" ht="47.25" x14ac:dyDescent="0.25">
      <c r="A191" s="25" t="s">
        <v>272</v>
      </c>
      <c r="B191" s="20" t="s">
        <v>1233</v>
      </c>
      <c r="C191" s="40" t="s">
        <v>264</v>
      </c>
      <c r="D191" s="40" t="s">
        <v>213</v>
      </c>
      <c r="E191" s="40" t="s">
        <v>273</v>
      </c>
      <c r="F191" s="40"/>
      <c r="G191" s="6">
        <f>G192</f>
        <v>1311</v>
      </c>
      <c r="H191" s="6">
        <f>H192</f>
        <v>1311</v>
      </c>
    </row>
    <row r="192" spans="1:8" ht="15.75" x14ac:dyDescent="0.25">
      <c r="A192" s="25" t="s">
        <v>274</v>
      </c>
      <c r="B192" s="20" t="s">
        <v>1233</v>
      </c>
      <c r="C192" s="40" t="s">
        <v>264</v>
      </c>
      <c r="D192" s="40" t="s">
        <v>213</v>
      </c>
      <c r="E192" s="40" t="s">
        <v>275</v>
      </c>
      <c r="F192" s="40"/>
      <c r="G192" s="6">
        <f>'пр.6.1.ведом.22-23'!G627</f>
        <v>1311</v>
      </c>
      <c r="H192" s="6">
        <f>'пр.6.1.ведом.22-23'!H627</f>
        <v>1311</v>
      </c>
    </row>
    <row r="193" spans="1:8" ht="31.5" x14ac:dyDescent="0.25">
      <c r="A193" s="29" t="s">
        <v>403</v>
      </c>
      <c r="B193" s="20" t="s">
        <v>1233</v>
      </c>
      <c r="C193" s="40" t="s">
        <v>264</v>
      </c>
      <c r="D193" s="40" t="s">
        <v>213</v>
      </c>
      <c r="E193" s="40" t="s">
        <v>275</v>
      </c>
      <c r="F193" s="40" t="s">
        <v>636</v>
      </c>
      <c r="G193" s="10">
        <f>G192</f>
        <v>1311</v>
      </c>
      <c r="H193" s="10">
        <f>H192</f>
        <v>1311</v>
      </c>
    </row>
    <row r="194" spans="1:8" ht="84.2" customHeight="1" x14ac:dyDescent="0.25">
      <c r="A194" s="31" t="s">
        <v>291</v>
      </c>
      <c r="B194" s="20" t="s">
        <v>1234</v>
      </c>
      <c r="C194" s="40" t="s">
        <v>264</v>
      </c>
      <c r="D194" s="40" t="s">
        <v>213</v>
      </c>
      <c r="E194" s="40"/>
      <c r="F194" s="40"/>
      <c r="G194" s="6">
        <f>G195</f>
        <v>2266.6999999999998</v>
      </c>
      <c r="H194" s="6">
        <f>H195</f>
        <v>2266.6999999999998</v>
      </c>
    </row>
    <row r="195" spans="1:8" ht="47.25" x14ac:dyDescent="0.25">
      <c r="A195" s="25" t="s">
        <v>272</v>
      </c>
      <c r="B195" s="20" t="s">
        <v>1234</v>
      </c>
      <c r="C195" s="40" t="s">
        <v>264</v>
      </c>
      <c r="D195" s="40" t="s">
        <v>213</v>
      </c>
      <c r="E195" s="40" t="s">
        <v>273</v>
      </c>
      <c r="F195" s="40"/>
      <c r="G195" s="6">
        <f>G196</f>
        <v>2266.6999999999998</v>
      </c>
      <c r="H195" s="6">
        <f>H196</f>
        <v>2266.6999999999998</v>
      </c>
    </row>
    <row r="196" spans="1:8" ht="15.75" x14ac:dyDescent="0.25">
      <c r="A196" s="25" t="s">
        <v>274</v>
      </c>
      <c r="B196" s="20" t="s">
        <v>1234</v>
      </c>
      <c r="C196" s="40" t="s">
        <v>264</v>
      </c>
      <c r="D196" s="40" t="s">
        <v>213</v>
      </c>
      <c r="E196" s="40" t="s">
        <v>275</v>
      </c>
      <c r="F196" s="40"/>
      <c r="G196" s="6">
        <f>'пр.6.1.ведом.22-23'!G630</f>
        <v>2266.6999999999998</v>
      </c>
      <c r="H196" s="6">
        <f>'пр.6.1.ведом.22-23'!H630</f>
        <v>2266.6999999999998</v>
      </c>
    </row>
    <row r="197" spans="1:8" ht="31.5" x14ac:dyDescent="0.25">
      <c r="A197" s="29" t="s">
        <v>403</v>
      </c>
      <c r="B197" s="20" t="s">
        <v>1234</v>
      </c>
      <c r="C197" s="40" t="s">
        <v>264</v>
      </c>
      <c r="D197" s="40" t="s">
        <v>213</v>
      </c>
      <c r="E197" s="40" t="s">
        <v>275</v>
      </c>
      <c r="F197" s="40" t="s">
        <v>636</v>
      </c>
      <c r="G197" s="10">
        <f>G196</f>
        <v>2266.6999999999998</v>
      </c>
      <c r="H197" s="10">
        <f>H196</f>
        <v>2266.6999999999998</v>
      </c>
    </row>
    <row r="198" spans="1:8" ht="47.25" x14ac:dyDescent="0.25">
      <c r="A198" s="31" t="s">
        <v>462</v>
      </c>
      <c r="B198" s="20" t="s">
        <v>1251</v>
      </c>
      <c r="C198" s="40" t="s">
        <v>264</v>
      </c>
      <c r="D198" s="40" t="s">
        <v>213</v>
      </c>
      <c r="E198" s="40"/>
      <c r="F198" s="40"/>
      <c r="G198" s="6">
        <f>G199</f>
        <v>909.3</v>
      </c>
      <c r="H198" s="6">
        <f>H199</f>
        <v>909.3</v>
      </c>
    </row>
    <row r="199" spans="1:8" ht="47.25" x14ac:dyDescent="0.25">
      <c r="A199" s="25" t="s">
        <v>272</v>
      </c>
      <c r="B199" s="20" t="s">
        <v>1251</v>
      </c>
      <c r="C199" s="40" t="s">
        <v>264</v>
      </c>
      <c r="D199" s="40" t="s">
        <v>213</v>
      </c>
      <c r="E199" s="40" t="s">
        <v>273</v>
      </c>
      <c r="F199" s="40"/>
      <c r="G199" s="6">
        <f>G200</f>
        <v>909.3</v>
      </c>
      <c r="H199" s="6">
        <f>H200</f>
        <v>909.3</v>
      </c>
    </row>
    <row r="200" spans="1:8" ht="15.75" x14ac:dyDescent="0.25">
      <c r="A200" s="25" t="s">
        <v>274</v>
      </c>
      <c r="B200" s="20" t="s">
        <v>1251</v>
      </c>
      <c r="C200" s="40" t="s">
        <v>264</v>
      </c>
      <c r="D200" s="40" t="s">
        <v>213</v>
      </c>
      <c r="E200" s="40" t="s">
        <v>275</v>
      </c>
      <c r="F200" s="40"/>
      <c r="G200" s="6">
        <f>'пр.6.1.ведом.22-23'!G633</f>
        <v>909.3</v>
      </c>
      <c r="H200" s="6">
        <f>'пр.6.1.ведом.22-23'!H633</f>
        <v>909.3</v>
      </c>
    </row>
    <row r="201" spans="1:8" ht="31.5" x14ac:dyDescent="0.25">
      <c r="A201" s="29" t="s">
        <v>403</v>
      </c>
      <c r="B201" s="20" t="s">
        <v>1251</v>
      </c>
      <c r="C201" s="40" t="s">
        <v>264</v>
      </c>
      <c r="D201" s="40" t="s">
        <v>213</v>
      </c>
      <c r="E201" s="40" t="s">
        <v>275</v>
      </c>
      <c r="F201" s="40" t="s">
        <v>636</v>
      </c>
      <c r="G201" s="10">
        <f>G200</f>
        <v>909.3</v>
      </c>
      <c r="H201" s="10">
        <f>H200</f>
        <v>909.3</v>
      </c>
    </row>
    <row r="202" spans="1:8" ht="15.75" x14ac:dyDescent="0.25">
      <c r="A202" s="29" t="s">
        <v>265</v>
      </c>
      <c r="B202" s="40" t="s">
        <v>1232</v>
      </c>
      <c r="C202" s="40" t="s">
        <v>264</v>
      </c>
      <c r="D202" s="40" t="s">
        <v>215</v>
      </c>
      <c r="E202" s="40"/>
      <c r="F202" s="40"/>
      <c r="G202" s="6">
        <f>G207+G211+G203</f>
        <v>2128.5</v>
      </c>
      <c r="H202" s="6">
        <f>H207+H211+H203</f>
        <v>2128.5</v>
      </c>
    </row>
    <row r="203" spans="1:8" s="203" customFormat="1" ht="110.25" x14ac:dyDescent="0.25">
      <c r="A203" s="31" t="s">
        <v>293</v>
      </c>
      <c r="B203" s="20" t="s">
        <v>1390</v>
      </c>
      <c r="C203" s="40" t="s">
        <v>264</v>
      </c>
      <c r="D203" s="40" t="s">
        <v>215</v>
      </c>
      <c r="E203" s="40"/>
      <c r="F203" s="40"/>
      <c r="G203" s="6">
        <f>G204</f>
        <v>1400</v>
      </c>
      <c r="H203" s="6">
        <f>H204</f>
        <v>1400</v>
      </c>
    </row>
    <row r="204" spans="1:8" s="203" customFormat="1" ht="47.25" x14ac:dyDescent="0.25">
      <c r="A204" s="25" t="s">
        <v>272</v>
      </c>
      <c r="B204" s="20" t="s">
        <v>1390</v>
      </c>
      <c r="C204" s="40" t="s">
        <v>264</v>
      </c>
      <c r="D204" s="40" t="s">
        <v>215</v>
      </c>
      <c r="E204" s="40" t="s">
        <v>273</v>
      </c>
      <c r="F204" s="40"/>
      <c r="G204" s="6">
        <f>G205</f>
        <v>1400</v>
      </c>
      <c r="H204" s="6">
        <f>H205</f>
        <v>1400</v>
      </c>
    </row>
    <row r="205" spans="1:8" s="203" customFormat="1" ht="15.75" x14ac:dyDescent="0.25">
      <c r="A205" s="25" t="s">
        <v>274</v>
      </c>
      <c r="B205" s="20" t="s">
        <v>1390</v>
      </c>
      <c r="C205" s="40" t="s">
        <v>264</v>
      </c>
      <c r="D205" s="40" t="s">
        <v>215</v>
      </c>
      <c r="E205" s="40" t="s">
        <v>275</v>
      </c>
      <c r="F205" s="40"/>
      <c r="G205" s="6">
        <f>'пр.6.1.ведом.22-23'!G700</f>
        <v>1400</v>
      </c>
      <c r="H205" s="6">
        <f>'пр.6.1.ведом.22-23'!H700</f>
        <v>1400</v>
      </c>
    </row>
    <row r="206" spans="1:8" s="203" customFormat="1" ht="31.5" x14ac:dyDescent="0.25">
      <c r="A206" s="29" t="s">
        <v>403</v>
      </c>
      <c r="B206" s="20" t="s">
        <v>1390</v>
      </c>
      <c r="C206" s="40" t="s">
        <v>264</v>
      </c>
      <c r="D206" s="40" t="s">
        <v>215</v>
      </c>
      <c r="E206" s="40" t="s">
        <v>275</v>
      </c>
      <c r="F206" s="40" t="s">
        <v>636</v>
      </c>
      <c r="G206" s="10">
        <f>G205</f>
        <v>1400</v>
      </c>
      <c r="H206" s="10">
        <f>H205</f>
        <v>1400</v>
      </c>
    </row>
    <row r="207" spans="1:8" ht="78.75" x14ac:dyDescent="0.25">
      <c r="A207" s="31" t="s">
        <v>289</v>
      </c>
      <c r="B207" s="20" t="s">
        <v>1233</v>
      </c>
      <c r="C207" s="40" t="s">
        <v>264</v>
      </c>
      <c r="D207" s="40" t="s">
        <v>215</v>
      </c>
      <c r="E207" s="40"/>
      <c r="F207" s="40"/>
      <c r="G207" s="6">
        <f>G208</f>
        <v>179</v>
      </c>
      <c r="H207" s="6">
        <f>H208</f>
        <v>179</v>
      </c>
    </row>
    <row r="208" spans="1:8" ht="47.25" x14ac:dyDescent="0.25">
      <c r="A208" s="25" t="s">
        <v>272</v>
      </c>
      <c r="B208" s="20" t="s">
        <v>1233</v>
      </c>
      <c r="C208" s="40" t="s">
        <v>264</v>
      </c>
      <c r="D208" s="40" t="s">
        <v>215</v>
      </c>
      <c r="E208" s="40" t="s">
        <v>273</v>
      </c>
      <c r="F208" s="40"/>
      <c r="G208" s="6">
        <f>G209</f>
        <v>179</v>
      </c>
      <c r="H208" s="6">
        <f>H209</f>
        <v>179</v>
      </c>
    </row>
    <row r="209" spans="1:8" ht="15.75" x14ac:dyDescent="0.25">
      <c r="A209" s="25" t="s">
        <v>274</v>
      </c>
      <c r="B209" s="20" t="s">
        <v>1233</v>
      </c>
      <c r="C209" s="40" t="s">
        <v>264</v>
      </c>
      <c r="D209" s="40" t="s">
        <v>215</v>
      </c>
      <c r="E209" s="40" t="s">
        <v>275</v>
      </c>
      <c r="F209" s="40"/>
      <c r="G209" s="6">
        <f>'пр.6.1.ведом.22-23'!G703</f>
        <v>179</v>
      </c>
      <c r="H209" s="6">
        <f>'пр.6.1.ведом.22-23'!H703</f>
        <v>179</v>
      </c>
    </row>
    <row r="210" spans="1:8" ht="31.5" x14ac:dyDescent="0.25">
      <c r="A210" s="29" t="s">
        <v>403</v>
      </c>
      <c r="B210" s="20" t="s">
        <v>1233</v>
      </c>
      <c r="C210" s="40" t="s">
        <v>264</v>
      </c>
      <c r="D210" s="40" t="s">
        <v>215</v>
      </c>
      <c r="E210" s="40" t="s">
        <v>275</v>
      </c>
      <c r="F210" s="40" t="s">
        <v>636</v>
      </c>
      <c r="G210" s="10">
        <f>G209</f>
        <v>179</v>
      </c>
      <c r="H210" s="10">
        <f>H209</f>
        <v>179</v>
      </c>
    </row>
    <row r="211" spans="1:8" ht="85.7" customHeight="1" x14ac:dyDescent="0.25">
      <c r="A211" s="31" t="s">
        <v>291</v>
      </c>
      <c r="B211" s="20" t="s">
        <v>1234</v>
      </c>
      <c r="C211" s="40" t="s">
        <v>264</v>
      </c>
      <c r="D211" s="40" t="s">
        <v>215</v>
      </c>
      <c r="E211" s="40"/>
      <c r="F211" s="40"/>
      <c r="G211" s="6">
        <f>G212</f>
        <v>549.5</v>
      </c>
      <c r="H211" s="6">
        <f>H212</f>
        <v>549.5</v>
      </c>
    </row>
    <row r="212" spans="1:8" ht="47.25" x14ac:dyDescent="0.25">
      <c r="A212" s="25" t="s">
        <v>272</v>
      </c>
      <c r="B212" s="20" t="s">
        <v>1234</v>
      </c>
      <c r="C212" s="40" t="s">
        <v>264</v>
      </c>
      <c r="D212" s="40" t="s">
        <v>215</v>
      </c>
      <c r="E212" s="40" t="s">
        <v>273</v>
      </c>
      <c r="F212" s="40"/>
      <c r="G212" s="6">
        <f>G213</f>
        <v>549.5</v>
      </c>
      <c r="H212" s="6">
        <f>H213</f>
        <v>549.5</v>
      </c>
    </row>
    <row r="213" spans="1:8" ht="15.75" x14ac:dyDescent="0.25">
      <c r="A213" s="25" t="s">
        <v>274</v>
      </c>
      <c r="B213" s="20" t="s">
        <v>1234</v>
      </c>
      <c r="C213" s="40" t="s">
        <v>264</v>
      </c>
      <c r="D213" s="40" t="s">
        <v>215</v>
      </c>
      <c r="E213" s="40" t="s">
        <v>275</v>
      </c>
      <c r="F213" s="40"/>
      <c r="G213" s="6">
        <f>'пр.6.1.ведом.22-23'!G706</f>
        <v>549.5</v>
      </c>
      <c r="H213" s="6">
        <f>'пр.6.1.ведом.22-23'!H706</f>
        <v>549.5</v>
      </c>
    </row>
    <row r="214" spans="1:8" ht="31.5" x14ac:dyDescent="0.25">
      <c r="A214" s="29" t="s">
        <v>403</v>
      </c>
      <c r="B214" s="20" t="s">
        <v>1234</v>
      </c>
      <c r="C214" s="40" t="s">
        <v>264</v>
      </c>
      <c r="D214" s="40" t="s">
        <v>215</v>
      </c>
      <c r="E214" s="40" t="s">
        <v>275</v>
      </c>
      <c r="F214" s="40" t="s">
        <v>636</v>
      </c>
      <c r="G214" s="10">
        <f>G213</f>
        <v>549.5</v>
      </c>
      <c r="H214" s="10">
        <f>H213</f>
        <v>549.5</v>
      </c>
    </row>
    <row r="215" spans="1:8" ht="31.5" x14ac:dyDescent="0.25">
      <c r="A215" s="23" t="s">
        <v>1292</v>
      </c>
      <c r="B215" s="24" t="s">
        <v>1237</v>
      </c>
      <c r="C215" s="7"/>
      <c r="D215" s="7"/>
      <c r="E215" s="7"/>
      <c r="F215" s="7"/>
      <c r="G215" s="59">
        <f>G216+G230</f>
        <v>4654</v>
      </c>
      <c r="H215" s="59">
        <f>H216+H230</f>
        <v>4654</v>
      </c>
    </row>
    <row r="216" spans="1:8" ht="15.75" x14ac:dyDescent="0.25">
      <c r="A216" s="29" t="s">
        <v>263</v>
      </c>
      <c r="B216" s="20" t="s">
        <v>1237</v>
      </c>
      <c r="C216" s="40" t="s">
        <v>264</v>
      </c>
      <c r="D216" s="40"/>
      <c r="E216" s="40"/>
      <c r="F216" s="40"/>
      <c r="G216" s="10">
        <f t="shared" ref="G216:H216" si="22">G217</f>
        <v>4430</v>
      </c>
      <c r="H216" s="10">
        <f t="shared" si="22"/>
        <v>4430</v>
      </c>
    </row>
    <row r="217" spans="1:8" ht="15.75" x14ac:dyDescent="0.25">
      <c r="A217" s="45" t="s">
        <v>404</v>
      </c>
      <c r="B217" s="20" t="s">
        <v>1237</v>
      </c>
      <c r="C217" s="40" t="s">
        <v>264</v>
      </c>
      <c r="D217" s="40" t="s">
        <v>118</v>
      </c>
      <c r="E217" s="40"/>
      <c r="F217" s="40"/>
      <c r="G217" s="10">
        <f>G218+G222+G226</f>
        <v>4430</v>
      </c>
      <c r="H217" s="10">
        <f>H218+H222+H226</f>
        <v>4430</v>
      </c>
    </row>
    <row r="218" spans="1:8" ht="47.25" hidden="1" x14ac:dyDescent="0.25">
      <c r="A218" s="29" t="s">
        <v>278</v>
      </c>
      <c r="B218" s="20" t="s">
        <v>1318</v>
      </c>
      <c r="C218" s="40" t="s">
        <v>264</v>
      </c>
      <c r="D218" s="40" t="s">
        <v>118</v>
      </c>
      <c r="E218" s="40"/>
      <c r="F218" s="40"/>
      <c r="G218" s="10">
        <f t="shared" ref="G218:H219" si="23">G219</f>
        <v>0</v>
      </c>
      <c r="H218" s="10">
        <f t="shared" si="23"/>
        <v>0</v>
      </c>
    </row>
    <row r="219" spans="1:8" ht="47.25" hidden="1" x14ac:dyDescent="0.25">
      <c r="A219" s="29" t="s">
        <v>272</v>
      </c>
      <c r="B219" s="20" t="s">
        <v>1318</v>
      </c>
      <c r="C219" s="40" t="s">
        <v>264</v>
      </c>
      <c r="D219" s="40" t="s">
        <v>118</v>
      </c>
      <c r="E219" s="40" t="s">
        <v>273</v>
      </c>
      <c r="F219" s="40"/>
      <c r="G219" s="10">
        <f t="shared" si="23"/>
        <v>0</v>
      </c>
      <c r="H219" s="10">
        <f t="shared" si="23"/>
        <v>0</v>
      </c>
    </row>
    <row r="220" spans="1:8" ht="15.75" hidden="1" x14ac:dyDescent="0.25">
      <c r="A220" s="29" t="s">
        <v>274</v>
      </c>
      <c r="B220" s="20" t="s">
        <v>1318</v>
      </c>
      <c r="C220" s="40" t="s">
        <v>264</v>
      </c>
      <c r="D220" s="40" t="s">
        <v>118</v>
      </c>
      <c r="E220" s="40" t="s">
        <v>275</v>
      </c>
      <c r="F220" s="40"/>
      <c r="G220" s="10">
        <f>'пр.6.1.ведом.22-23'!G571</f>
        <v>0</v>
      </c>
      <c r="H220" s="10">
        <f>'пр.6.1.ведом.22-23'!H571</f>
        <v>0</v>
      </c>
    </row>
    <row r="221" spans="1:8" ht="31.5" hidden="1" x14ac:dyDescent="0.25">
      <c r="A221" s="29" t="s">
        <v>403</v>
      </c>
      <c r="B221" s="20" t="s">
        <v>1318</v>
      </c>
      <c r="C221" s="40" t="s">
        <v>264</v>
      </c>
      <c r="D221" s="40" t="s">
        <v>118</v>
      </c>
      <c r="E221" s="40" t="s">
        <v>275</v>
      </c>
      <c r="F221" s="40" t="s">
        <v>636</v>
      </c>
      <c r="G221" s="10">
        <f>G220</f>
        <v>0</v>
      </c>
      <c r="H221" s="10">
        <f>H220</f>
        <v>0</v>
      </c>
    </row>
    <row r="222" spans="1:8" ht="31.5" hidden="1" x14ac:dyDescent="0.25">
      <c r="A222" s="29" t="s">
        <v>280</v>
      </c>
      <c r="B222" s="20" t="s">
        <v>1319</v>
      </c>
      <c r="C222" s="40" t="s">
        <v>264</v>
      </c>
      <c r="D222" s="40" t="s">
        <v>118</v>
      </c>
      <c r="E222" s="40"/>
      <c r="F222" s="40"/>
      <c r="G222" s="10">
        <f t="shared" ref="G222:H223" si="24">G223</f>
        <v>0</v>
      </c>
      <c r="H222" s="10">
        <f t="shared" si="24"/>
        <v>0</v>
      </c>
    </row>
    <row r="223" spans="1:8" ht="47.25" hidden="1" x14ac:dyDescent="0.25">
      <c r="A223" s="29" t="s">
        <v>272</v>
      </c>
      <c r="B223" s="20" t="s">
        <v>1319</v>
      </c>
      <c r="C223" s="40" t="s">
        <v>264</v>
      </c>
      <c r="D223" s="40" t="s">
        <v>118</v>
      </c>
      <c r="E223" s="40" t="s">
        <v>273</v>
      </c>
      <c r="F223" s="40"/>
      <c r="G223" s="10">
        <f t="shared" si="24"/>
        <v>0</v>
      </c>
      <c r="H223" s="10">
        <f t="shared" si="24"/>
        <v>0</v>
      </c>
    </row>
    <row r="224" spans="1:8" ht="15.75" hidden="1" x14ac:dyDescent="0.25">
      <c r="A224" s="29" t="s">
        <v>274</v>
      </c>
      <c r="B224" s="20" t="s">
        <v>1319</v>
      </c>
      <c r="C224" s="40" t="s">
        <v>264</v>
      </c>
      <c r="D224" s="40" t="s">
        <v>118</v>
      </c>
      <c r="E224" s="40" t="s">
        <v>275</v>
      </c>
      <c r="F224" s="40"/>
      <c r="G224" s="10">
        <f>'пр.6.1.ведом.22-23'!G574</f>
        <v>0</v>
      </c>
      <c r="H224" s="10">
        <f>'пр.6.1.ведом.22-23'!H574</f>
        <v>0</v>
      </c>
    </row>
    <row r="225" spans="1:8" ht="31.5" hidden="1" x14ac:dyDescent="0.25">
      <c r="A225" s="29" t="s">
        <v>403</v>
      </c>
      <c r="B225" s="20" t="s">
        <v>1319</v>
      </c>
      <c r="C225" s="40" t="s">
        <v>264</v>
      </c>
      <c r="D225" s="40" t="s">
        <v>118</v>
      </c>
      <c r="E225" s="40" t="s">
        <v>275</v>
      </c>
      <c r="F225" s="40" t="s">
        <v>636</v>
      </c>
      <c r="G225" s="10">
        <f>G224</f>
        <v>0</v>
      </c>
      <c r="H225" s="10">
        <f>H224</f>
        <v>0</v>
      </c>
    </row>
    <row r="226" spans="1:8" ht="47.25" x14ac:dyDescent="0.25">
      <c r="A226" s="29" t="s">
        <v>415</v>
      </c>
      <c r="B226" s="20" t="s">
        <v>1238</v>
      </c>
      <c r="C226" s="40" t="s">
        <v>264</v>
      </c>
      <c r="D226" s="40" t="s">
        <v>118</v>
      </c>
      <c r="E226" s="40"/>
      <c r="F226" s="40"/>
      <c r="G226" s="10">
        <f t="shared" ref="G226:H227" si="25">G227</f>
        <v>4430</v>
      </c>
      <c r="H226" s="10">
        <f t="shared" si="25"/>
        <v>4430</v>
      </c>
    </row>
    <row r="227" spans="1:8" ht="47.25" x14ac:dyDescent="0.25">
      <c r="A227" s="29" t="s">
        <v>272</v>
      </c>
      <c r="B227" s="20" t="s">
        <v>1238</v>
      </c>
      <c r="C227" s="40" t="s">
        <v>264</v>
      </c>
      <c r="D227" s="40" t="s">
        <v>118</v>
      </c>
      <c r="E227" s="40" t="s">
        <v>273</v>
      </c>
      <c r="F227" s="40"/>
      <c r="G227" s="10">
        <f t="shared" si="25"/>
        <v>4430</v>
      </c>
      <c r="H227" s="10">
        <f t="shared" si="25"/>
        <v>4430</v>
      </c>
    </row>
    <row r="228" spans="1:8" ht="15.75" x14ac:dyDescent="0.25">
      <c r="A228" s="29" t="s">
        <v>274</v>
      </c>
      <c r="B228" s="20" t="s">
        <v>1238</v>
      </c>
      <c r="C228" s="40" t="s">
        <v>264</v>
      </c>
      <c r="D228" s="40" t="s">
        <v>118</v>
      </c>
      <c r="E228" s="40" t="s">
        <v>275</v>
      </c>
      <c r="F228" s="40"/>
      <c r="G228" s="6">
        <f>'пр.6.1.ведом.22-23'!G577</f>
        <v>4430</v>
      </c>
      <c r="H228" s="6">
        <f>'пр.6.1.ведом.22-23'!H577</f>
        <v>4430</v>
      </c>
    </row>
    <row r="229" spans="1:8" ht="31.5" x14ac:dyDescent="0.25">
      <c r="A229" s="29" t="s">
        <v>403</v>
      </c>
      <c r="B229" s="20" t="s">
        <v>1238</v>
      </c>
      <c r="C229" s="40" t="s">
        <v>264</v>
      </c>
      <c r="D229" s="40" t="s">
        <v>118</v>
      </c>
      <c r="E229" s="40" t="s">
        <v>275</v>
      </c>
      <c r="F229" s="40" t="s">
        <v>636</v>
      </c>
      <c r="G229" s="10">
        <f>G228</f>
        <v>4430</v>
      </c>
      <c r="H229" s="10">
        <f>H228</f>
        <v>4430</v>
      </c>
    </row>
    <row r="230" spans="1:8" s="203" customFormat="1" ht="15.75" x14ac:dyDescent="0.25">
      <c r="A230" s="29" t="s">
        <v>263</v>
      </c>
      <c r="B230" s="40" t="s">
        <v>1237</v>
      </c>
      <c r="C230" s="40" t="s">
        <v>264</v>
      </c>
      <c r="D230" s="40"/>
      <c r="E230" s="40"/>
      <c r="F230" s="40"/>
      <c r="G230" s="10">
        <f t="shared" ref="G230:H230" si="26">G231</f>
        <v>224</v>
      </c>
      <c r="H230" s="10">
        <f t="shared" si="26"/>
        <v>224</v>
      </c>
    </row>
    <row r="231" spans="1:8" s="203" customFormat="1" ht="15.75" x14ac:dyDescent="0.25">
      <c r="A231" s="29" t="s">
        <v>425</v>
      </c>
      <c r="B231" s="40" t="s">
        <v>1237</v>
      </c>
      <c r="C231" s="40" t="s">
        <v>264</v>
      </c>
      <c r="D231" s="40" t="s">
        <v>213</v>
      </c>
      <c r="E231" s="40"/>
      <c r="F231" s="40"/>
      <c r="G231" s="10">
        <f>G232+G236+G240+G244</f>
        <v>224</v>
      </c>
      <c r="H231" s="10">
        <f>H232+H236+H240+H244</f>
        <v>224</v>
      </c>
    </row>
    <row r="232" spans="1:8" s="203" customFormat="1" ht="47.25" hidden="1" x14ac:dyDescent="0.25">
      <c r="A232" s="25" t="s">
        <v>789</v>
      </c>
      <c r="B232" s="20" t="s">
        <v>1317</v>
      </c>
      <c r="C232" s="40" t="s">
        <v>264</v>
      </c>
      <c r="D232" s="40" t="s">
        <v>213</v>
      </c>
      <c r="E232" s="40"/>
      <c r="F232" s="40"/>
      <c r="G232" s="6">
        <f>G233</f>
        <v>0</v>
      </c>
      <c r="H232" s="6">
        <f>H233</f>
        <v>0</v>
      </c>
    </row>
    <row r="233" spans="1:8" s="203" customFormat="1" ht="47.25" hidden="1" x14ac:dyDescent="0.25">
      <c r="A233" s="25" t="s">
        <v>272</v>
      </c>
      <c r="B233" s="20" t="s">
        <v>1317</v>
      </c>
      <c r="C233" s="40" t="s">
        <v>264</v>
      </c>
      <c r="D233" s="40" t="s">
        <v>213</v>
      </c>
      <c r="E233" s="40" t="s">
        <v>273</v>
      </c>
      <c r="F233" s="40"/>
      <c r="G233" s="6">
        <f>G234</f>
        <v>0</v>
      </c>
      <c r="H233" s="6">
        <f>H234</f>
        <v>0</v>
      </c>
    </row>
    <row r="234" spans="1:8" s="203" customFormat="1" ht="15.75" hidden="1" x14ac:dyDescent="0.25">
      <c r="A234" s="25" t="s">
        <v>274</v>
      </c>
      <c r="B234" s="20" t="s">
        <v>1317</v>
      </c>
      <c r="C234" s="40" t="s">
        <v>264</v>
      </c>
      <c r="D234" s="40" t="s">
        <v>213</v>
      </c>
      <c r="E234" s="40" t="s">
        <v>275</v>
      </c>
      <c r="F234" s="40"/>
      <c r="G234" s="6">
        <f>'пр.6.1.ведом.22-23'!G637</f>
        <v>0</v>
      </c>
      <c r="H234" s="6">
        <f>'пр.6.1.ведом.22-23'!H637</f>
        <v>0</v>
      </c>
    </row>
    <row r="235" spans="1:8" s="203" customFormat="1" ht="31.5" hidden="1" x14ac:dyDescent="0.25">
      <c r="A235" s="29" t="s">
        <v>403</v>
      </c>
      <c r="B235" s="20" t="s">
        <v>1317</v>
      </c>
      <c r="C235" s="40" t="s">
        <v>264</v>
      </c>
      <c r="D235" s="40" t="s">
        <v>213</v>
      </c>
      <c r="E235" s="40" t="s">
        <v>275</v>
      </c>
      <c r="F235" s="40" t="s">
        <v>636</v>
      </c>
      <c r="G235" s="10">
        <f>G234</f>
        <v>0</v>
      </c>
      <c r="H235" s="10">
        <f>H234</f>
        <v>0</v>
      </c>
    </row>
    <row r="236" spans="1:8" s="203" customFormat="1" ht="47.25" hidden="1" x14ac:dyDescent="0.25">
      <c r="A236" s="25" t="s">
        <v>278</v>
      </c>
      <c r="B236" s="20" t="s">
        <v>1318</v>
      </c>
      <c r="C236" s="40" t="s">
        <v>264</v>
      </c>
      <c r="D236" s="40" t="s">
        <v>213</v>
      </c>
      <c r="E236" s="40"/>
      <c r="F236" s="40"/>
      <c r="G236" s="6">
        <f t="shared" ref="G236:H237" si="27">G237</f>
        <v>0</v>
      </c>
      <c r="H236" s="6">
        <f t="shared" si="27"/>
        <v>0</v>
      </c>
    </row>
    <row r="237" spans="1:8" s="203" customFormat="1" ht="47.25" hidden="1" x14ac:dyDescent="0.25">
      <c r="A237" s="25" t="s">
        <v>272</v>
      </c>
      <c r="B237" s="20" t="s">
        <v>1318</v>
      </c>
      <c r="C237" s="40" t="s">
        <v>264</v>
      </c>
      <c r="D237" s="40" t="s">
        <v>213</v>
      </c>
      <c r="E237" s="40" t="s">
        <v>273</v>
      </c>
      <c r="F237" s="40"/>
      <c r="G237" s="6">
        <f t="shared" si="27"/>
        <v>0</v>
      </c>
      <c r="H237" s="6">
        <f t="shared" si="27"/>
        <v>0</v>
      </c>
    </row>
    <row r="238" spans="1:8" s="203" customFormat="1" ht="15.75" hidden="1" x14ac:dyDescent="0.25">
      <c r="A238" s="25" t="s">
        <v>274</v>
      </c>
      <c r="B238" s="20" t="s">
        <v>1318</v>
      </c>
      <c r="C238" s="40" t="s">
        <v>264</v>
      </c>
      <c r="D238" s="40" t="s">
        <v>213</v>
      </c>
      <c r="E238" s="40" t="s">
        <v>275</v>
      </c>
      <c r="F238" s="40"/>
      <c r="G238" s="6">
        <f>'пр.6.1.ведом.22-23'!G640</f>
        <v>0</v>
      </c>
      <c r="H238" s="6">
        <f>'пр.6.1.ведом.22-23'!H640</f>
        <v>0</v>
      </c>
    </row>
    <row r="239" spans="1:8" s="203" customFormat="1" ht="31.5" hidden="1" x14ac:dyDescent="0.25">
      <c r="A239" s="29" t="s">
        <v>403</v>
      </c>
      <c r="B239" s="20" t="s">
        <v>1318</v>
      </c>
      <c r="C239" s="40" t="s">
        <v>264</v>
      </c>
      <c r="D239" s="40" t="s">
        <v>213</v>
      </c>
      <c r="E239" s="40" t="s">
        <v>275</v>
      </c>
      <c r="F239" s="40" t="s">
        <v>636</v>
      </c>
      <c r="G239" s="10">
        <f>G238</f>
        <v>0</v>
      </c>
      <c r="H239" s="10">
        <f>H238</f>
        <v>0</v>
      </c>
    </row>
    <row r="240" spans="1:8" s="203" customFormat="1" ht="31.5" hidden="1" x14ac:dyDescent="0.25">
      <c r="A240" s="25" t="s">
        <v>280</v>
      </c>
      <c r="B240" s="20" t="s">
        <v>1319</v>
      </c>
      <c r="C240" s="40" t="s">
        <v>264</v>
      </c>
      <c r="D240" s="40" t="s">
        <v>213</v>
      </c>
      <c r="E240" s="40"/>
      <c r="F240" s="40"/>
      <c r="G240" s="6">
        <f t="shared" ref="G240:H241" si="28">G241</f>
        <v>0</v>
      </c>
      <c r="H240" s="6">
        <f t="shared" si="28"/>
        <v>0</v>
      </c>
    </row>
    <row r="241" spans="1:8" s="203" customFormat="1" ht="47.25" hidden="1" x14ac:dyDescent="0.25">
      <c r="A241" s="25" t="s">
        <v>272</v>
      </c>
      <c r="B241" s="20" t="s">
        <v>1319</v>
      </c>
      <c r="C241" s="40" t="s">
        <v>264</v>
      </c>
      <c r="D241" s="40" t="s">
        <v>213</v>
      </c>
      <c r="E241" s="40" t="s">
        <v>273</v>
      </c>
      <c r="F241" s="40"/>
      <c r="G241" s="6">
        <f t="shared" si="28"/>
        <v>0</v>
      </c>
      <c r="H241" s="6">
        <f t="shared" si="28"/>
        <v>0</v>
      </c>
    </row>
    <row r="242" spans="1:8" s="203" customFormat="1" ht="15.75" hidden="1" x14ac:dyDescent="0.25">
      <c r="A242" s="25" t="s">
        <v>274</v>
      </c>
      <c r="B242" s="20" t="s">
        <v>1319</v>
      </c>
      <c r="C242" s="40" t="s">
        <v>264</v>
      </c>
      <c r="D242" s="40" t="s">
        <v>213</v>
      </c>
      <c r="E242" s="40" t="s">
        <v>275</v>
      </c>
      <c r="F242" s="40"/>
      <c r="G242" s="6">
        <f>'пр.6.1.ведом.22-23'!G643</f>
        <v>0</v>
      </c>
      <c r="H242" s="6">
        <f>'пр.6.1.ведом.22-23'!H643</f>
        <v>0</v>
      </c>
    </row>
    <row r="243" spans="1:8" s="203" customFormat="1" ht="31.5" hidden="1" x14ac:dyDescent="0.25">
      <c r="A243" s="29" t="s">
        <v>403</v>
      </c>
      <c r="B243" s="20" t="s">
        <v>1319</v>
      </c>
      <c r="C243" s="40" t="s">
        <v>264</v>
      </c>
      <c r="D243" s="40" t="s">
        <v>213</v>
      </c>
      <c r="E243" s="40" t="s">
        <v>275</v>
      </c>
      <c r="F243" s="40" t="s">
        <v>636</v>
      </c>
      <c r="G243" s="10">
        <f>G242</f>
        <v>0</v>
      </c>
      <c r="H243" s="10">
        <f>H242</f>
        <v>0</v>
      </c>
    </row>
    <row r="244" spans="1:8" s="203" customFormat="1" ht="47.25" x14ac:dyDescent="0.25">
      <c r="A244" s="29" t="s">
        <v>282</v>
      </c>
      <c r="B244" s="20" t="s">
        <v>1253</v>
      </c>
      <c r="C244" s="40" t="s">
        <v>264</v>
      </c>
      <c r="D244" s="40" t="s">
        <v>213</v>
      </c>
      <c r="E244" s="40"/>
      <c r="F244" s="40"/>
      <c r="G244" s="10">
        <f t="shared" ref="G244:H245" si="29">G245</f>
        <v>224</v>
      </c>
      <c r="H244" s="10">
        <f t="shared" si="29"/>
        <v>224</v>
      </c>
    </row>
    <row r="245" spans="1:8" s="203" customFormat="1" ht="47.25" x14ac:dyDescent="0.25">
      <c r="A245" s="29" t="s">
        <v>272</v>
      </c>
      <c r="B245" s="20" t="s">
        <v>1253</v>
      </c>
      <c r="C245" s="40" t="s">
        <v>264</v>
      </c>
      <c r="D245" s="40" t="s">
        <v>213</v>
      </c>
      <c r="E245" s="40" t="s">
        <v>273</v>
      </c>
      <c r="F245" s="40"/>
      <c r="G245" s="10">
        <f t="shared" si="29"/>
        <v>224</v>
      </c>
      <c r="H245" s="10">
        <f t="shared" si="29"/>
        <v>224</v>
      </c>
    </row>
    <row r="246" spans="1:8" s="203" customFormat="1" ht="15.75" x14ac:dyDescent="0.25">
      <c r="A246" s="29" t="s">
        <v>274</v>
      </c>
      <c r="B246" s="20" t="s">
        <v>1253</v>
      </c>
      <c r="C246" s="40" t="s">
        <v>264</v>
      </c>
      <c r="D246" s="40" t="s">
        <v>213</v>
      </c>
      <c r="E246" s="40" t="s">
        <v>275</v>
      </c>
      <c r="F246" s="40"/>
      <c r="G246" s="10">
        <f>'пр.6.1.ведом.22-23'!G646</f>
        <v>224</v>
      </c>
      <c r="H246" s="10">
        <f>'пр.6.1.ведом.22-23'!H646</f>
        <v>224</v>
      </c>
    </row>
    <row r="247" spans="1:8" s="203" customFormat="1" ht="31.5" x14ac:dyDescent="0.25">
      <c r="A247" s="29" t="s">
        <v>403</v>
      </c>
      <c r="B247" s="20" t="s">
        <v>1253</v>
      </c>
      <c r="C247" s="40" t="s">
        <v>264</v>
      </c>
      <c r="D247" s="40" t="s">
        <v>213</v>
      </c>
      <c r="E247" s="40" t="s">
        <v>275</v>
      </c>
      <c r="F247" s="40" t="s">
        <v>636</v>
      </c>
      <c r="G247" s="10">
        <f>G246</f>
        <v>224</v>
      </c>
      <c r="H247" s="10">
        <f>H246</f>
        <v>224</v>
      </c>
    </row>
    <row r="248" spans="1:8" s="203" customFormat="1" ht="31.5" x14ac:dyDescent="0.25">
      <c r="A248" s="23" t="s">
        <v>943</v>
      </c>
      <c r="B248" s="24" t="s">
        <v>1239</v>
      </c>
      <c r="C248" s="7"/>
      <c r="D248" s="7"/>
      <c r="E248" s="7"/>
      <c r="F248" s="7"/>
      <c r="G248" s="59">
        <f>G249</f>
        <v>5745.1</v>
      </c>
      <c r="H248" s="59">
        <f>H249</f>
        <v>5745.1</v>
      </c>
    </row>
    <row r="249" spans="1:8" s="203" customFormat="1" ht="15.75" x14ac:dyDescent="0.25">
      <c r="A249" s="29" t="s">
        <v>263</v>
      </c>
      <c r="B249" s="20" t="s">
        <v>1239</v>
      </c>
      <c r="C249" s="40" t="s">
        <v>264</v>
      </c>
      <c r="D249" s="40"/>
      <c r="E249" s="40"/>
      <c r="F249" s="40"/>
      <c r="G249" s="10">
        <f t="shared" ref="G249:H252" si="30">G250</f>
        <v>5745.1</v>
      </c>
      <c r="H249" s="10">
        <f t="shared" si="30"/>
        <v>5745.1</v>
      </c>
    </row>
    <row r="250" spans="1:8" s="203" customFormat="1" ht="22.7" customHeight="1" x14ac:dyDescent="0.25">
      <c r="A250" s="29" t="s">
        <v>466</v>
      </c>
      <c r="B250" s="20" t="s">
        <v>1239</v>
      </c>
      <c r="C250" s="40" t="s">
        <v>264</v>
      </c>
      <c r="D250" s="40" t="s">
        <v>264</v>
      </c>
      <c r="E250" s="40"/>
      <c r="F250" s="40"/>
      <c r="G250" s="10">
        <f>G251</f>
        <v>5745.1</v>
      </c>
      <c r="H250" s="10">
        <f>H251</f>
        <v>5745.1</v>
      </c>
    </row>
    <row r="251" spans="1:8" s="203" customFormat="1" ht="47.25" x14ac:dyDescent="0.25">
      <c r="A251" s="31" t="s">
        <v>1059</v>
      </c>
      <c r="B251" s="20" t="s">
        <v>1261</v>
      </c>
      <c r="C251" s="40" t="s">
        <v>264</v>
      </c>
      <c r="D251" s="40" t="s">
        <v>264</v>
      </c>
      <c r="E251" s="40"/>
      <c r="F251" s="40"/>
      <c r="G251" s="10">
        <f t="shared" si="30"/>
        <v>5745.1</v>
      </c>
      <c r="H251" s="10">
        <f t="shared" si="30"/>
        <v>5745.1</v>
      </c>
    </row>
    <row r="252" spans="1:8" s="203" customFormat="1" ht="47.25" x14ac:dyDescent="0.25">
      <c r="A252" s="25" t="s">
        <v>272</v>
      </c>
      <c r="B252" s="20" t="s">
        <v>1261</v>
      </c>
      <c r="C252" s="40" t="s">
        <v>264</v>
      </c>
      <c r="D252" s="40" t="s">
        <v>264</v>
      </c>
      <c r="E252" s="40" t="s">
        <v>273</v>
      </c>
      <c r="F252" s="40"/>
      <c r="G252" s="10">
        <f t="shared" si="30"/>
        <v>5745.1</v>
      </c>
      <c r="H252" s="10">
        <f t="shared" si="30"/>
        <v>5745.1</v>
      </c>
    </row>
    <row r="253" spans="1:8" s="203" customFormat="1" ht="15.75" x14ac:dyDescent="0.25">
      <c r="A253" s="25" t="s">
        <v>274</v>
      </c>
      <c r="B253" s="20" t="s">
        <v>1261</v>
      </c>
      <c r="C253" s="40" t="s">
        <v>264</v>
      </c>
      <c r="D253" s="40" t="s">
        <v>264</v>
      </c>
      <c r="E253" s="40" t="s">
        <v>275</v>
      </c>
      <c r="F253" s="40"/>
      <c r="G253" s="10">
        <f>'пр.6.1.ведом.22-23'!G725</f>
        <v>5745.1</v>
      </c>
      <c r="H253" s="10">
        <f>'пр.6.1.ведом.22-23'!H725</f>
        <v>5745.1</v>
      </c>
    </row>
    <row r="254" spans="1:8" s="203" customFormat="1" ht="31.5" x14ac:dyDescent="0.25">
      <c r="A254" s="29" t="s">
        <v>403</v>
      </c>
      <c r="B254" s="20" t="s">
        <v>1261</v>
      </c>
      <c r="C254" s="40" t="s">
        <v>264</v>
      </c>
      <c r="D254" s="40" t="s">
        <v>264</v>
      </c>
      <c r="E254" s="40" t="s">
        <v>275</v>
      </c>
      <c r="F254" s="40" t="s">
        <v>636</v>
      </c>
      <c r="G254" s="10">
        <f>G253</f>
        <v>5745.1</v>
      </c>
      <c r="H254" s="10">
        <f>H253</f>
        <v>5745.1</v>
      </c>
    </row>
    <row r="255" spans="1:8" ht="47.25" x14ac:dyDescent="0.25">
      <c r="A255" s="219" t="s">
        <v>948</v>
      </c>
      <c r="B255" s="24" t="s">
        <v>1240</v>
      </c>
      <c r="C255" s="7"/>
      <c r="D255" s="7"/>
      <c r="E255" s="7"/>
      <c r="F255" s="7"/>
      <c r="G255" s="4">
        <f>G256</f>
        <v>9300</v>
      </c>
      <c r="H255" s="4">
        <f>H256</f>
        <v>9300</v>
      </c>
    </row>
    <row r="256" spans="1:8" ht="15.75" x14ac:dyDescent="0.25">
      <c r="A256" s="29" t="s">
        <v>263</v>
      </c>
      <c r="B256" s="20" t="s">
        <v>1240</v>
      </c>
      <c r="C256" s="40" t="s">
        <v>264</v>
      </c>
      <c r="D256" s="40"/>
      <c r="E256" s="40"/>
      <c r="F256" s="40"/>
      <c r="G256" s="10">
        <f>G257+G270+G279</f>
        <v>9300</v>
      </c>
      <c r="H256" s="10">
        <f>H257+H270+H279</f>
        <v>9300</v>
      </c>
    </row>
    <row r="257" spans="1:8" ht="15.75" x14ac:dyDescent="0.25">
      <c r="A257" s="45" t="s">
        <v>404</v>
      </c>
      <c r="B257" s="20" t="s">
        <v>1240</v>
      </c>
      <c r="C257" s="40" t="s">
        <v>264</v>
      </c>
      <c r="D257" s="40" t="s">
        <v>118</v>
      </c>
      <c r="E257" s="40"/>
      <c r="F257" s="40"/>
      <c r="G257" s="10">
        <f>G258+G262+G266</f>
        <v>4848</v>
      </c>
      <c r="H257" s="10">
        <f>H258+H262+H266</f>
        <v>4848</v>
      </c>
    </row>
    <row r="258" spans="1:8" ht="31.5" hidden="1" x14ac:dyDescent="0.25">
      <c r="A258" s="29" t="s">
        <v>284</v>
      </c>
      <c r="B258" s="20" t="s">
        <v>1258</v>
      </c>
      <c r="C258" s="40" t="s">
        <v>264</v>
      </c>
      <c r="D258" s="40" t="s">
        <v>118</v>
      </c>
      <c r="E258" s="40"/>
      <c r="F258" s="40"/>
      <c r="G258" s="10">
        <f t="shared" ref="G258:H259" si="31">G259</f>
        <v>0</v>
      </c>
      <c r="H258" s="10">
        <f t="shared" si="31"/>
        <v>0</v>
      </c>
    </row>
    <row r="259" spans="1:8" ht="47.25" hidden="1" x14ac:dyDescent="0.25">
      <c r="A259" s="29" t="s">
        <v>272</v>
      </c>
      <c r="B259" s="20" t="s">
        <v>1258</v>
      </c>
      <c r="C259" s="40" t="s">
        <v>264</v>
      </c>
      <c r="D259" s="40" t="s">
        <v>118</v>
      </c>
      <c r="E259" s="40" t="s">
        <v>273</v>
      </c>
      <c r="F259" s="40"/>
      <c r="G259" s="10">
        <f t="shared" si="31"/>
        <v>0</v>
      </c>
      <c r="H259" s="10">
        <f t="shared" si="31"/>
        <v>0</v>
      </c>
    </row>
    <row r="260" spans="1:8" ht="15.75" hidden="1" x14ac:dyDescent="0.25">
      <c r="A260" s="29" t="s">
        <v>274</v>
      </c>
      <c r="B260" s="20" t="s">
        <v>1258</v>
      </c>
      <c r="C260" s="40" t="s">
        <v>264</v>
      </c>
      <c r="D260" s="40" t="s">
        <v>118</v>
      </c>
      <c r="E260" s="40" t="s">
        <v>275</v>
      </c>
      <c r="F260" s="40"/>
      <c r="G260" s="10">
        <f>'пр.6.1.ведом.22-23'!G581</f>
        <v>0</v>
      </c>
      <c r="H260" s="10">
        <f>'пр.6.1.ведом.22-23'!H581</f>
        <v>0</v>
      </c>
    </row>
    <row r="261" spans="1:8" ht="31.5" hidden="1" x14ac:dyDescent="0.25">
      <c r="A261" s="29" t="s">
        <v>403</v>
      </c>
      <c r="B261" s="20" t="s">
        <v>1258</v>
      </c>
      <c r="C261" s="40" t="s">
        <v>264</v>
      </c>
      <c r="D261" s="40" t="s">
        <v>118</v>
      </c>
      <c r="E261" s="40" t="s">
        <v>275</v>
      </c>
      <c r="F261" s="40" t="s">
        <v>636</v>
      </c>
      <c r="G261" s="10">
        <f>G260</f>
        <v>0</v>
      </c>
      <c r="H261" s="10">
        <f>H260</f>
        <v>0</v>
      </c>
    </row>
    <row r="262" spans="1:8" ht="47.25" x14ac:dyDescent="0.25">
      <c r="A262" s="60" t="s">
        <v>764</v>
      </c>
      <c r="B262" s="20" t="s">
        <v>1241</v>
      </c>
      <c r="C262" s="20" t="s">
        <v>264</v>
      </c>
      <c r="D262" s="20" t="s">
        <v>118</v>
      </c>
      <c r="E262" s="20"/>
      <c r="F262" s="20"/>
      <c r="G262" s="10">
        <f t="shared" ref="G262:H263" si="32">G263</f>
        <v>3088</v>
      </c>
      <c r="H262" s="10">
        <f t="shared" si="32"/>
        <v>3088</v>
      </c>
    </row>
    <row r="263" spans="1:8" ht="47.25" x14ac:dyDescent="0.25">
      <c r="A263" s="29" t="s">
        <v>272</v>
      </c>
      <c r="B263" s="20" t="s">
        <v>1241</v>
      </c>
      <c r="C263" s="20" t="s">
        <v>264</v>
      </c>
      <c r="D263" s="20" t="s">
        <v>118</v>
      </c>
      <c r="E263" s="20" t="s">
        <v>273</v>
      </c>
      <c r="F263" s="20"/>
      <c r="G263" s="10">
        <f t="shared" si="32"/>
        <v>3088</v>
      </c>
      <c r="H263" s="10">
        <f t="shared" si="32"/>
        <v>3088</v>
      </c>
    </row>
    <row r="264" spans="1:8" ht="15.75" x14ac:dyDescent="0.25">
      <c r="A264" s="182" t="s">
        <v>274</v>
      </c>
      <c r="B264" s="20" t="s">
        <v>1241</v>
      </c>
      <c r="C264" s="20" t="s">
        <v>264</v>
      </c>
      <c r="D264" s="20" t="s">
        <v>118</v>
      </c>
      <c r="E264" s="20" t="s">
        <v>275</v>
      </c>
      <c r="F264" s="20"/>
      <c r="G264" s="10">
        <f>'пр.6.1.ведом.22-23'!G584</f>
        <v>3088</v>
      </c>
      <c r="H264" s="10">
        <f>'пр.6.1.ведом.22-23'!H584</f>
        <v>3088</v>
      </c>
    </row>
    <row r="265" spans="1:8" ht="31.5" x14ac:dyDescent="0.25">
      <c r="A265" s="29" t="s">
        <v>403</v>
      </c>
      <c r="B265" s="20" t="s">
        <v>1241</v>
      </c>
      <c r="C265" s="40" t="s">
        <v>264</v>
      </c>
      <c r="D265" s="40" t="s">
        <v>118</v>
      </c>
      <c r="E265" s="40" t="s">
        <v>275</v>
      </c>
      <c r="F265" s="40" t="s">
        <v>636</v>
      </c>
      <c r="G265" s="10">
        <f>G264</f>
        <v>3088</v>
      </c>
      <c r="H265" s="10">
        <f>H264</f>
        <v>3088</v>
      </c>
    </row>
    <row r="266" spans="1:8" ht="63" x14ac:dyDescent="0.25">
      <c r="A266" s="60" t="s">
        <v>765</v>
      </c>
      <c r="B266" s="20" t="s">
        <v>1242</v>
      </c>
      <c r="C266" s="20" t="s">
        <v>264</v>
      </c>
      <c r="D266" s="20" t="s">
        <v>118</v>
      </c>
      <c r="E266" s="20"/>
      <c r="F266" s="20"/>
      <c r="G266" s="10">
        <f t="shared" ref="G266:H267" si="33">G267</f>
        <v>1760</v>
      </c>
      <c r="H266" s="10">
        <f t="shared" si="33"/>
        <v>1760</v>
      </c>
    </row>
    <row r="267" spans="1:8" ht="47.25" x14ac:dyDescent="0.25">
      <c r="A267" s="29" t="s">
        <v>272</v>
      </c>
      <c r="B267" s="20" t="s">
        <v>1242</v>
      </c>
      <c r="C267" s="20" t="s">
        <v>264</v>
      </c>
      <c r="D267" s="20" t="s">
        <v>118</v>
      </c>
      <c r="E267" s="20" t="s">
        <v>273</v>
      </c>
      <c r="F267" s="20"/>
      <c r="G267" s="10">
        <f t="shared" si="33"/>
        <v>1760</v>
      </c>
      <c r="H267" s="10">
        <f t="shared" si="33"/>
        <v>1760</v>
      </c>
    </row>
    <row r="268" spans="1:8" ht="15.75" x14ac:dyDescent="0.25">
      <c r="A268" s="182" t="s">
        <v>274</v>
      </c>
      <c r="B268" s="20" t="s">
        <v>1242</v>
      </c>
      <c r="C268" s="20" t="s">
        <v>264</v>
      </c>
      <c r="D268" s="20" t="s">
        <v>118</v>
      </c>
      <c r="E268" s="20" t="s">
        <v>275</v>
      </c>
      <c r="F268" s="20"/>
      <c r="G268" s="10">
        <f>'пр.6.1.ведом.22-23'!G587</f>
        <v>1760</v>
      </c>
      <c r="H268" s="10">
        <f>'пр.6.1.ведом.22-23'!H587</f>
        <v>1760</v>
      </c>
    </row>
    <row r="269" spans="1:8" ht="31.5" x14ac:dyDescent="0.25">
      <c r="A269" s="29" t="s">
        <v>403</v>
      </c>
      <c r="B269" s="20" t="s">
        <v>1242</v>
      </c>
      <c r="C269" s="40" t="s">
        <v>264</v>
      </c>
      <c r="D269" s="40" t="s">
        <v>118</v>
      </c>
      <c r="E269" s="40" t="s">
        <v>275</v>
      </c>
      <c r="F269" s="40" t="s">
        <v>636</v>
      </c>
      <c r="G269" s="10">
        <f>G268</f>
        <v>1760</v>
      </c>
      <c r="H269" s="10">
        <f>'пр.6.1.ведом.22-23'!H587</f>
        <v>1760</v>
      </c>
    </row>
    <row r="270" spans="1:8" s="203" customFormat="1" ht="15.75" x14ac:dyDescent="0.25">
      <c r="A270" s="29" t="s">
        <v>425</v>
      </c>
      <c r="B270" s="40" t="s">
        <v>1240</v>
      </c>
      <c r="C270" s="40" t="s">
        <v>264</v>
      </c>
      <c r="D270" s="40" t="s">
        <v>213</v>
      </c>
      <c r="E270" s="40"/>
      <c r="F270" s="40"/>
      <c r="G270" s="10">
        <f>G271+G275</f>
        <v>2888</v>
      </c>
      <c r="H270" s="10">
        <f>H271+H275</f>
        <v>2888</v>
      </c>
    </row>
    <row r="271" spans="1:8" s="203" customFormat="1" ht="31.5" hidden="1" x14ac:dyDescent="0.25">
      <c r="A271" s="29" t="s">
        <v>284</v>
      </c>
      <c r="B271" s="20" t="s">
        <v>1258</v>
      </c>
      <c r="C271" s="40" t="s">
        <v>264</v>
      </c>
      <c r="D271" s="40" t="s">
        <v>213</v>
      </c>
      <c r="E271" s="40"/>
      <c r="F271" s="40"/>
      <c r="G271" s="10">
        <f t="shared" ref="G271:H272" si="34">G272</f>
        <v>0</v>
      </c>
      <c r="H271" s="10">
        <f t="shared" si="34"/>
        <v>0</v>
      </c>
    </row>
    <row r="272" spans="1:8" s="203" customFormat="1" ht="47.25" hidden="1" x14ac:dyDescent="0.25">
      <c r="A272" s="29" t="s">
        <v>272</v>
      </c>
      <c r="B272" s="20" t="s">
        <v>1258</v>
      </c>
      <c r="C272" s="40" t="s">
        <v>264</v>
      </c>
      <c r="D272" s="40" t="s">
        <v>213</v>
      </c>
      <c r="E272" s="40" t="s">
        <v>273</v>
      </c>
      <c r="F272" s="40"/>
      <c r="G272" s="10">
        <f t="shared" si="34"/>
        <v>0</v>
      </c>
      <c r="H272" s="10">
        <f t="shared" si="34"/>
        <v>0</v>
      </c>
    </row>
    <row r="273" spans="1:8" s="203" customFormat="1" ht="15.75" hidden="1" x14ac:dyDescent="0.25">
      <c r="A273" s="29" t="s">
        <v>274</v>
      </c>
      <c r="B273" s="20" t="s">
        <v>1258</v>
      </c>
      <c r="C273" s="40" t="s">
        <v>264</v>
      </c>
      <c r="D273" s="40" t="s">
        <v>213</v>
      </c>
      <c r="E273" s="40" t="s">
        <v>275</v>
      </c>
      <c r="F273" s="40"/>
      <c r="G273" s="10">
        <f>'пр.6.1.ведом.22-23'!G650</f>
        <v>0</v>
      </c>
      <c r="H273" s="10">
        <f>'пр.6.1.ведом.22-23'!H650</f>
        <v>0</v>
      </c>
    </row>
    <row r="274" spans="1:8" s="203" customFormat="1" ht="31.5" hidden="1" x14ac:dyDescent="0.25">
      <c r="A274" s="29" t="s">
        <v>403</v>
      </c>
      <c r="B274" s="20" t="s">
        <v>1258</v>
      </c>
      <c r="C274" s="40" t="s">
        <v>264</v>
      </c>
      <c r="D274" s="40" t="s">
        <v>213</v>
      </c>
      <c r="E274" s="40" t="s">
        <v>275</v>
      </c>
      <c r="F274" s="40" t="s">
        <v>636</v>
      </c>
      <c r="G274" s="10">
        <f>G273</f>
        <v>0</v>
      </c>
      <c r="H274" s="10">
        <f>H273</f>
        <v>0</v>
      </c>
    </row>
    <row r="275" spans="1:8" s="203" customFormat="1" ht="47.25" x14ac:dyDescent="0.25">
      <c r="A275" s="60" t="s">
        <v>764</v>
      </c>
      <c r="B275" s="20" t="s">
        <v>1241</v>
      </c>
      <c r="C275" s="40" t="s">
        <v>264</v>
      </c>
      <c r="D275" s="40" t="s">
        <v>213</v>
      </c>
      <c r="E275" s="40"/>
      <c r="F275" s="40"/>
      <c r="G275" s="10">
        <f t="shared" ref="G275:H276" si="35">G276</f>
        <v>2888</v>
      </c>
      <c r="H275" s="10">
        <f t="shared" si="35"/>
        <v>2888</v>
      </c>
    </row>
    <row r="276" spans="1:8" s="203" customFormat="1" ht="47.25" x14ac:dyDescent="0.25">
      <c r="A276" s="29" t="s">
        <v>272</v>
      </c>
      <c r="B276" s="20" t="s">
        <v>1241</v>
      </c>
      <c r="C276" s="40" t="s">
        <v>264</v>
      </c>
      <c r="D276" s="40" t="s">
        <v>213</v>
      </c>
      <c r="E276" s="40" t="s">
        <v>273</v>
      </c>
      <c r="F276" s="40"/>
      <c r="G276" s="10">
        <f t="shared" si="35"/>
        <v>2888</v>
      </c>
      <c r="H276" s="10">
        <f t="shared" si="35"/>
        <v>2888</v>
      </c>
    </row>
    <row r="277" spans="1:8" s="203" customFormat="1" ht="15.75" x14ac:dyDescent="0.25">
      <c r="A277" s="182" t="s">
        <v>274</v>
      </c>
      <c r="B277" s="20" t="s">
        <v>1241</v>
      </c>
      <c r="C277" s="40" t="s">
        <v>264</v>
      </c>
      <c r="D277" s="40" t="s">
        <v>213</v>
      </c>
      <c r="E277" s="40" t="s">
        <v>275</v>
      </c>
      <c r="F277" s="40"/>
      <c r="G277" s="10">
        <f>'пр.6.1.ведом.22-23'!G653</f>
        <v>2888</v>
      </c>
      <c r="H277" s="10">
        <f>'пр.6.1.ведом.22-23'!H653</f>
        <v>2888</v>
      </c>
    </row>
    <row r="278" spans="1:8" s="203" customFormat="1" ht="31.5" x14ac:dyDescent="0.25">
      <c r="A278" s="29" t="s">
        <v>403</v>
      </c>
      <c r="B278" s="20" t="s">
        <v>1241</v>
      </c>
      <c r="C278" s="40" t="s">
        <v>264</v>
      </c>
      <c r="D278" s="40" t="s">
        <v>213</v>
      </c>
      <c r="E278" s="40" t="s">
        <v>275</v>
      </c>
      <c r="F278" s="40" t="s">
        <v>636</v>
      </c>
      <c r="G278" s="10">
        <f>G277</f>
        <v>2888</v>
      </c>
      <c r="H278" s="10">
        <f>H277</f>
        <v>2888</v>
      </c>
    </row>
    <row r="279" spans="1:8" s="203" customFormat="1" ht="15.75" x14ac:dyDescent="0.25">
      <c r="A279" s="29" t="s">
        <v>265</v>
      </c>
      <c r="B279" s="40" t="s">
        <v>1240</v>
      </c>
      <c r="C279" s="40" t="s">
        <v>264</v>
      </c>
      <c r="D279" s="40" t="s">
        <v>215</v>
      </c>
      <c r="E279" s="40"/>
      <c r="F279" s="40"/>
      <c r="G279" s="10">
        <f>G280</f>
        <v>1564</v>
      </c>
      <c r="H279" s="10">
        <f>H280</f>
        <v>1564</v>
      </c>
    </row>
    <row r="280" spans="1:8" s="203" customFormat="1" ht="47.25" x14ac:dyDescent="0.25">
      <c r="A280" s="45" t="s">
        <v>764</v>
      </c>
      <c r="B280" s="20" t="s">
        <v>1241</v>
      </c>
      <c r="C280" s="20" t="s">
        <v>264</v>
      </c>
      <c r="D280" s="20" t="s">
        <v>215</v>
      </c>
      <c r="E280" s="20"/>
      <c r="F280" s="20"/>
      <c r="G280" s="10">
        <f t="shared" ref="G280:H281" si="36">G281</f>
        <v>1564</v>
      </c>
      <c r="H280" s="10">
        <f t="shared" si="36"/>
        <v>1564</v>
      </c>
    </row>
    <row r="281" spans="1:8" s="203" customFormat="1" ht="47.25" x14ac:dyDescent="0.25">
      <c r="A281" s="29" t="s">
        <v>272</v>
      </c>
      <c r="B281" s="20" t="s">
        <v>1241</v>
      </c>
      <c r="C281" s="20" t="s">
        <v>264</v>
      </c>
      <c r="D281" s="20" t="s">
        <v>215</v>
      </c>
      <c r="E281" s="20" t="s">
        <v>273</v>
      </c>
      <c r="F281" s="20"/>
      <c r="G281" s="10">
        <f t="shared" si="36"/>
        <v>1564</v>
      </c>
      <c r="H281" s="10">
        <f t="shared" si="36"/>
        <v>1564</v>
      </c>
    </row>
    <row r="282" spans="1:8" s="203" customFormat="1" ht="15.75" x14ac:dyDescent="0.25">
      <c r="A282" s="31" t="s">
        <v>274</v>
      </c>
      <c r="B282" s="20" t="s">
        <v>1241</v>
      </c>
      <c r="C282" s="20" t="s">
        <v>264</v>
      </c>
      <c r="D282" s="20" t="s">
        <v>215</v>
      </c>
      <c r="E282" s="20" t="s">
        <v>275</v>
      </c>
      <c r="F282" s="20"/>
      <c r="G282" s="10">
        <f>'пр.6.1.ведом.22-23'!G714</f>
        <v>1564</v>
      </c>
      <c r="H282" s="10">
        <f>'пр.6.1.ведом.22-23'!H714</f>
        <v>1564</v>
      </c>
    </row>
    <row r="283" spans="1:8" s="203" customFormat="1" ht="31.5" x14ac:dyDescent="0.25">
      <c r="A283" s="29" t="s">
        <v>403</v>
      </c>
      <c r="B283" s="20" t="s">
        <v>1241</v>
      </c>
      <c r="C283" s="40" t="s">
        <v>264</v>
      </c>
      <c r="D283" s="40" t="s">
        <v>215</v>
      </c>
      <c r="E283" s="40" t="s">
        <v>275</v>
      </c>
      <c r="F283" s="40" t="s">
        <v>636</v>
      </c>
      <c r="G283" s="10">
        <f>G282</f>
        <v>1564</v>
      </c>
      <c r="H283" s="10">
        <f>H282</f>
        <v>1564</v>
      </c>
    </row>
    <row r="284" spans="1:8" ht="78.75" x14ac:dyDescent="0.25">
      <c r="A284" s="23" t="s">
        <v>933</v>
      </c>
      <c r="B284" s="24" t="s">
        <v>1243</v>
      </c>
      <c r="C284" s="24"/>
      <c r="D284" s="24"/>
      <c r="E284" s="24"/>
      <c r="F284" s="24"/>
      <c r="G284" s="59">
        <f>G285</f>
        <v>297.70000000000005</v>
      </c>
      <c r="H284" s="59">
        <f>H285</f>
        <v>297.70000000000005</v>
      </c>
    </row>
    <row r="285" spans="1:8" ht="15.75" x14ac:dyDescent="0.25">
      <c r="A285" s="29" t="s">
        <v>263</v>
      </c>
      <c r="B285" s="20" t="s">
        <v>1243</v>
      </c>
      <c r="C285" s="40" t="s">
        <v>264</v>
      </c>
      <c r="D285" s="40"/>
      <c r="E285" s="40"/>
      <c r="F285" s="40"/>
      <c r="G285" s="10">
        <f t="shared" ref="G285:H285" si="37">G286</f>
        <v>297.70000000000005</v>
      </c>
      <c r="H285" s="10">
        <f t="shared" si="37"/>
        <v>297.70000000000005</v>
      </c>
    </row>
    <row r="286" spans="1:8" ht="15.75" x14ac:dyDescent="0.25">
      <c r="A286" s="45" t="s">
        <v>404</v>
      </c>
      <c r="B286" s="20" t="s">
        <v>1243</v>
      </c>
      <c r="C286" s="40" t="s">
        <v>264</v>
      </c>
      <c r="D286" s="40" t="s">
        <v>118</v>
      </c>
      <c r="E286" s="40"/>
      <c r="F286" s="40"/>
      <c r="G286" s="10">
        <f t="shared" ref="G286:H288" si="38">G287</f>
        <v>297.70000000000005</v>
      </c>
      <c r="H286" s="10">
        <f t="shared" si="38"/>
        <v>297.70000000000005</v>
      </c>
    </row>
    <row r="287" spans="1:8" ht="126" x14ac:dyDescent="0.25">
      <c r="A287" s="25" t="s">
        <v>1506</v>
      </c>
      <c r="B287" s="20" t="s">
        <v>1244</v>
      </c>
      <c r="C287" s="20" t="s">
        <v>264</v>
      </c>
      <c r="D287" s="20" t="s">
        <v>118</v>
      </c>
      <c r="E287" s="20"/>
      <c r="F287" s="20"/>
      <c r="G287" s="10">
        <f t="shared" si="38"/>
        <v>297.70000000000005</v>
      </c>
      <c r="H287" s="10">
        <f t="shared" si="38"/>
        <v>297.70000000000005</v>
      </c>
    </row>
    <row r="288" spans="1:8" ht="47.25" x14ac:dyDescent="0.25">
      <c r="A288" s="25" t="s">
        <v>272</v>
      </c>
      <c r="B288" s="20" t="s">
        <v>1244</v>
      </c>
      <c r="C288" s="20" t="s">
        <v>264</v>
      </c>
      <c r="D288" s="20" t="s">
        <v>118</v>
      </c>
      <c r="E288" s="20" t="s">
        <v>273</v>
      </c>
      <c r="F288" s="20"/>
      <c r="G288" s="10">
        <f t="shared" si="38"/>
        <v>297.70000000000005</v>
      </c>
      <c r="H288" s="10">
        <f t="shared" si="38"/>
        <v>297.70000000000005</v>
      </c>
    </row>
    <row r="289" spans="1:8" ht="15.75" x14ac:dyDescent="0.25">
      <c r="A289" s="25" t="s">
        <v>274</v>
      </c>
      <c r="B289" s="20" t="s">
        <v>1244</v>
      </c>
      <c r="C289" s="20" t="s">
        <v>264</v>
      </c>
      <c r="D289" s="20" t="s">
        <v>118</v>
      </c>
      <c r="E289" s="20" t="s">
        <v>275</v>
      </c>
      <c r="F289" s="20"/>
      <c r="G289" s="10">
        <f>'пр.6.1.ведом.22-23'!G591</f>
        <v>297.70000000000005</v>
      </c>
      <c r="H289" s="10">
        <f>'пр.6.1.ведом.22-23'!H591</f>
        <v>297.70000000000005</v>
      </c>
    </row>
    <row r="290" spans="1:8" ht="31.5" x14ac:dyDescent="0.25">
      <c r="A290" s="29" t="s">
        <v>403</v>
      </c>
      <c r="B290" s="20" t="s">
        <v>1244</v>
      </c>
      <c r="C290" s="40" t="s">
        <v>264</v>
      </c>
      <c r="D290" s="40" t="s">
        <v>118</v>
      </c>
      <c r="E290" s="40" t="s">
        <v>275</v>
      </c>
      <c r="F290" s="40" t="s">
        <v>636</v>
      </c>
      <c r="G290" s="10">
        <f>G289</f>
        <v>297.70000000000005</v>
      </c>
      <c r="H290" s="10">
        <f>H289</f>
        <v>297.70000000000005</v>
      </c>
    </row>
    <row r="291" spans="1:8" s="203" customFormat="1" ht="47.25" x14ac:dyDescent="0.25">
      <c r="A291" s="23" t="s">
        <v>938</v>
      </c>
      <c r="B291" s="24" t="s">
        <v>1254</v>
      </c>
      <c r="C291" s="7"/>
      <c r="D291" s="7"/>
      <c r="E291" s="7"/>
      <c r="F291" s="7"/>
      <c r="G291" s="59">
        <f>G292</f>
        <v>3931.8</v>
      </c>
      <c r="H291" s="59">
        <f>H292</f>
        <v>3865.2</v>
      </c>
    </row>
    <row r="292" spans="1:8" s="203" customFormat="1" ht="15.75" x14ac:dyDescent="0.25">
      <c r="A292" s="29" t="s">
        <v>263</v>
      </c>
      <c r="B292" s="20" t="s">
        <v>1254</v>
      </c>
      <c r="C292" s="40" t="s">
        <v>264</v>
      </c>
      <c r="D292" s="40"/>
      <c r="E292" s="40"/>
      <c r="F292" s="40"/>
      <c r="G292" s="10">
        <f t="shared" ref="G292:H292" si="39">G293</f>
        <v>3931.8</v>
      </c>
      <c r="H292" s="10">
        <f t="shared" si="39"/>
        <v>3865.2</v>
      </c>
    </row>
    <row r="293" spans="1:8" s="203" customFormat="1" ht="15.75" x14ac:dyDescent="0.25">
      <c r="A293" s="29" t="s">
        <v>425</v>
      </c>
      <c r="B293" s="20" t="s">
        <v>1254</v>
      </c>
      <c r="C293" s="40" t="s">
        <v>264</v>
      </c>
      <c r="D293" s="40" t="s">
        <v>213</v>
      </c>
      <c r="E293" s="40"/>
      <c r="F293" s="40"/>
      <c r="G293" s="10">
        <f>G294</f>
        <v>3931.8</v>
      </c>
      <c r="H293" s="10">
        <f>H294</f>
        <v>3865.2</v>
      </c>
    </row>
    <row r="294" spans="1:8" s="203" customFormat="1" ht="47.25" x14ac:dyDescent="0.25">
      <c r="A294" s="29" t="s">
        <v>602</v>
      </c>
      <c r="B294" s="20" t="s">
        <v>1255</v>
      </c>
      <c r="C294" s="40" t="s">
        <v>264</v>
      </c>
      <c r="D294" s="40" t="s">
        <v>213</v>
      </c>
      <c r="E294" s="40"/>
      <c r="F294" s="40"/>
      <c r="G294" s="10">
        <f t="shared" ref="G294:H295" si="40">G295</f>
        <v>3931.8</v>
      </c>
      <c r="H294" s="10">
        <f t="shared" si="40"/>
        <v>3865.2</v>
      </c>
    </row>
    <row r="295" spans="1:8" s="203" customFormat="1" ht="47.25" x14ac:dyDescent="0.25">
      <c r="A295" s="29" t="s">
        <v>272</v>
      </c>
      <c r="B295" s="20" t="s">
        <v>1255</v>
      </c>
      <c r="C295" s="40" t="s">
        <v>264</v>
      </c>
      <c r="D295" s="40" t="s">
        <v>213</v>
      </c>
      <c r="E295" s="40" t="s">
        <v>273</v>
      </c>
      <c r="F295" s="40"/>
      <c r="G295" s="10">
        <f t="shared" si="40"/>
        <v>3931.8</v>
      </c>
      <c r="H295" s="10">
        <f t="shared" si="40"/>
        <v>3865.2</v>
      </c>
    </row>
    <row r="296" spans="1:8" s="203" customFormat="1" ht="15.75" x14ac:dyDescent="0.25">
      <c r="A296" s="29" t="s">
        <v>274</v>
      </c>
      <c r="B296" s="20" t="s">
        <v>1255</v>
      </c>
      <c r="C296" s="40" t="s">
        <v>264</v>
      </c>
      <c r="D296" s="40" t="s">
        <v>213</v>
      </c>
      <c r="E296" s="40" t="s">
        <v>275</v>
      </c>
      <c r="F296" s="40"/>
      <c r="G296" s="6">
        <f>'пр.6.1.ведом.22-23'!G657</f>
        <v>3931.8</v>
      </c>
      <c r="H296" s="6">
        <f>'пр.6.1.ведом.22-23'!H657</f>
        <v>3865.2</v>
      </c>
    </row>
    <row r="297" spans="1:8" s="203" customFormat="1" ht="31.5" x14ac:dyDescent="0.25">
      <c r="A297" s="29" t="s">
        <v>403</v>
      </c>
      <c r="B297" s="20" t="s">
        <v>1255</v>
      </c>
      <c r="C297" s="40" t="s">
        <v>264</v>
      </c>
      <c r="D297" s="40" t="s">
        <v>213</v>
      </c>
      <c r="E297" s="40" t="s">
        <v>275</v>
      </c>
      <c r="F297" s="40" t="s">
        <v>636</v>
      </c>
      <c r="G297" s="10">
        <f>G296</f>
        <v>3931.8</v>
      </c>
      <c r="H297" s="10">
        <f>H296</f>
        <v>3865.2</v>
      </c>
    </row>
    <row r="298" spans="1:8" s="203" customFormat="1" ht="31.5" x14ac:dyDescent="0.25">
      <c r="A298" s="23" t="s">
        <v>939</v>
      </c>
      <c r="B298" s="24" t="s">
        <v>1256</v>
      </c>
      <c r="C298" s="7"/>
      <c r="D298" s="7"/>
      <c r="E298" s="7"/>
      <c r="F298" s="7"/>
      <c r="G298" s="59">
        <f>G299</f>
        <v>1384.6</v>
      </c>
      <c r="H298" s="59">
        <f>H299</f>
        <v>1384.6</v>
      </c>
    </row>
    <row r="299" spans="1:8" s="203" customFormat="1" ht="15.75" x14ac:dyDescent="0.25">
      <c r="A299" s="29" t="s">
        <v>263</v>
      </c>
      <c r="B299" s="20" t="s">
        <v>1256</v>
      </c>
      <c r="C299" s="40" t="s">
        <v>264</v>
      </c>
      <c r="D299" s="40"/>
      <c r="E299" s="40"/>
      <c r="F299" s="40"/>
      <c r="G299" s="10">
        <f t="shared" ref="G299:H299" si="41">G300</f>
        <v>1384.6</v>
      </c>
      <c r="H299" s="10">
        <f t="shared" si="41"/>
        <v>1384.6</v>
      </c>
    </row>
    <row r="300" spans="1:8" s="203" customFormat="1" ht="15.75" x14ac:dyDescent="0.25">
      <c r="A300" s="29" t="s">
        <v>425</v>
      </c>
      <c r="B300" s="20" t="s">
        <v>1256</v>
      </c>
      <c r="C300" s="40" t="s">
        <v>264</v>
      </c>
      <c r="D300" s="40" t="s">
        <v>213</v>
      </c>
      <c r="E300" s="40"/>
      <c r="F300" s="40"/>
      <c r="G300" s="10">
        <f t="shared" ref="G300:H302" si="42">G301</f>
        <v>1384.6</v>
      </c>
      <c r="H300" s="10">
        <f t="shared" si="42"/>
        <v>1384.6</v>
      </c>
    </row>
    <row r="301" spans="1:8" s="203" customFormat="1" ht="63" x14ac:dyDescent="0.25">
      <c r="A301" s="25" t="s">
        <v>438</v>
      </c>
      <c r="B301" s="20" t="s">
        <v>1257</v>
      </c>
      <c r="C301" s="40" t="s">
        <v>264</v>
      </c>
      <c r="D301" s="40" t="s">
        <v>213</v>
      </c>
      <c r="E301" s="40"/>
      <c r="F301" s="40"/>
      <c r="G301" s="10">
        <f t="shared" si="42"/>
        <v>1384.6</v>
      </c>
      <c r="H301" s="10">
        <f t="shared" si="42"/>
        <v>1384.6</v>
      </c>
    </row>
    <row r="302" spans="1:8" s="203" customFormat="1" ht="47.25" x14ac:dyDescent="0.25">
      <c r="A302" s="25" t="s">
        <v>272</v>
      </c>
      <c r="B302" s="20" t="s">
        <v>1257</v>
      </c>
      <c r="C302" s="40" t="s">
        <v>264</v>
      </c>
      <c r="D302" s="40" t="s">
        <v>213</v>
      </c>
      <c r="E302" s="40" t="s">
        <v>273</v>
      </c>
      <c r="F302" s="40"/>
      <c r="G302" s="10">
        <f t="shared" si="42"/>
        <v>1384.6</v>
      </c>
      <c r="H302" s="10">
        <f t="shared" si="42"/>
        <v>1384.6</v>
      </c>
    </row>
    <row r="303" spans="1:8" s="203" customFormat="1" ht="15.75" x14ac:dyDescent="0.25">
      <c r="A303" s="25" t="s">
        <v>274</v>
      </c>
      <c r="B303" s="20" t="s">
        <v>1257</v>
      </c>
      <c r="C303" s="40" t="s">
        <v>264</v>
      </c>
      <c r="D303" s="40" t="s">
        <v>213</v>
      </c>
      <c r="E303" s="40" t="s">
        <v>275</v>
      </c>
      <c r="F303" s="40"/>
      <c r="G303" s="10">
        <f>'пр.6.1.ведом.22-23'!G661</f>
        <v>1384.6</v>
      </c>
      <c r="H303" s="10">
        <f>'пр.6.1.ведом.22-23'!H661</f>
        <v>1384.6</v>
      </c>
    </row>
    <row r="304" spans="1:8" s="203" customFormat="1" ht="31.5" x14ac:dyDescent="0.25">
      <c r="A304" s="29" t="s">
        <v>403</v>
      </c>
      <c r="B304" s="20" t="s">
        <v>1257</v>
      </c>
      <c r="C304" s="40" t="s">
        <v>264</v>
      </c>
      <c r="D304" s="40" t="s">
        <v>213</v>
      </c>
      <c r="E304" s="40" t="s">
        <v>275</v>
      </c>
      <c r="F304" s="40" t="s">
        <v>636</v>
      </c>
      <c r="G304" s="10">
        <f>G303</f>
        <v>1384.6</v>
      </c>
      <c r="H304" s="10">
        <f>H303</f>
        <v>1384.6</v>
      </c>
    </row>
    <row r="305" spans="1:8" s="203" customFormat="1" ht="47.25" x14ac:dyDescent="0.25">
      <c r="A305" s="217" t="s">
        <v>940</v>
      </c>
      <c r="B305" s="24" t="s">
        <v>1259</v>
      </c>
      <c r="C305" s="7"/>
      <c r="D305" s="7"/>
      <c r="E305" s="7"/>
      <c r="F305" s="7"/>
      <c r="G305" s="59">
        <f>G306</f>
        <v>755.8</v>
      </c>
      <c r="H305" s="59">
        <f>H306</f>
        <v>759</v>
      </c>
    </row>
    <row r="306" spans="1:8" s="203" customFormat="1" ht="15.75" x14ac:dyDescent="0.25">
      <c r="A306" s="29" t="s">
        <v>263</v>
      </c>
      <c r="B306" s="20" t="s">
        <v>1259</v>
      </c>
      <c r="C306" s="40" t="s">
        <v>264</v>
      </c>
      <c r="D306" s="40"/>
      <c r="E306" s="40"/>
      <c r="F306" s="40"/>
      <c r="G306" s="10">
        <f t="shared" ref="G306:H306" si="43">G307</f>
        <v>755.8</v>
      </c>
      <c r="H306" s="10">
        <f t="shared" si="43"/>
        <v>759</v>
      </c>
    </row>
    <row r="307" spans="1:8" s="203" customFormat="1" ht="15.75" x14ac:dyDescent="0.25">
      <c r="A307" s="29" t="s">
        <v>425</v>
      </c>
      <c r="B307" s="20" t="s">
        <v>1259</v>
      </c>
      <c r="C307" s="40" t="s">
        <v>264</v>
      </c>
      <c r="D307" s="40" t="s">
        <v>213</v>
      </c>
      <c r="E307" s="40"/>
      <c r="F307" s="40"/>
      <c r="G307" s="10">
        <f t="shared" ref="G307:H309" si="44">G308</f>
        <v>755.8</v>
      </c>
      <c r="H307" s="10">
        <f t="shared" si="44"/>
        <v>759</v>
      </c>
    </row>
    <row r="308" spans="1:8" s="203" customFormat="1" ht="63" x14ac:dyDescent="0.25">
      <c r="A308" s="182" t="s">
        <v>828</v>
      </c>
      <c r="B308" s="20" t="s">
        <v>1425</v>
      </c>
      <c r="C308" s="40" t="s">
        <v>264</v>
      </c>
      <c r="D308" s="40" t="s">
        <v>213</v>
      </c>
      <c r="E308" s="40"/>
      <c r="F308" s="40"/>
      <c r="G308" s="10">
        <f t="shared" si="44"/>
        <v>755.8</v>
      </c>
      <c r="H308" s="10">
        <f t="shared" si="44"/>
        <v>759</v>
      </c>
    </row>
    <row r="309" spans="1:8" s="203" customFormat="1" ht="47.25" x14ac:dyDescent="0.25">
      <c r="A309" s="29" t="s">
        <v>272</v>
      </c>
      <c r="B309" s="20" t="s">
        <v>1425</v>
      </c>
      <c r="C309" s="40" t="s">
        <v>264</v>
      </c>
      <c r="D309" s="40" t="s">
        <v>213</v>
      </c>
      <c r="E309" s="40" t="s">
        <v>273</v>
      </c>
      <c r="F309" s="40"/>
      <c r="G309" s="10">
        <f t="shared" si="44"/>
        <v>755.8</v>
      </c>
      <c r="H309" s="10">
        <f t="shared" si="44"/>
        <v>759</v>
      </c>
    </row>
    <row r="310" spans="1:8" s="203" customFormat="1" ht="15.75" x14ac:dyDescent="0.25">
      <c r="A310" s="182" t="s">
        <v>274</v>
      </c>
      <c r="B310" s="20" t="s">
        <v>1425</v>
      </c>
      <c r="C310" s="40" t="s">
        <v>264</v>
      </c>
      <c r="D310" s="40" t="s">
        <v>213</v>
      </c>
      <c r="E310" s="40" t="s">
        <v>275</v>
      </c>
      <c r="F310" s="40"/>
      <c r="G310" s="10">
        <f>'пр.6.1.ведом.22-23'!G665</f>
        <v>755.8</v>
      </c>
      <c r="H310" s="10">
        <f>'пр.6.1.ведом.22-23'!H665</f>
        <v>759</v>
      </c>
    </row>
    <row r="311" spans="1:8" s="203" customFormat="1" ht="31.5" x14ac:dyDescent="0.25">
      <c r="A311" s="29" t="s">
        <v>403</v>
      </c>
      <c r="B311" s="20" t="s">
        <v>1425</v>
      </c>
      <c r="C311" s="40" t="s">
        <v>264</v>
      </c>
      <c r="D311" s="40" t="s">
        <v>213</v>
      </c>
      <c r="E311" s="40" t="s">
        <v>275</v>
      </c>
      <c r="F311" s="40" t="s">
        <v>636</v>
      </c>
      <c r="G311" s="10">
        <f>G310</f>
        <v>755.8</v>
      </c>
      <c r="H311" s="10">
        <f>H310</f>
        <v>759</v>
      </c>
    </row>
    <row r="312" spans="1:8" s="203" customFormat="1" ht="126" x14ac:dyDescent="0.25">
      <c r="A312" s="23" t="s">
        <v>1166</v>
      </c>
      <c r="B312" s="24" t="s">
        <v>1246</v>
      </c>
      <c r="C312" s="7"/>
      <c r="D312" s="7"/>
      <c r="E312" s="7"/>
      <c r="F312" s="7"/>
      <c r="G312" s="59">
        <f>G313</f>
        <v>1666.6</v>
      </c>
      <c r="H312" s="59">
        <f>H313</f>
        <v>915</v>
      </c>
    </row>
    <row r="313" spans="1:8" s="203" customFormat="1" ht="15.75" x14ac:dyDescent="0.25">
      <c r="A313" s="29" t="s">
        <v>263</v>
      </c>
      <c r="B313" s="20" t="s">
        <v>1246</v>
      </c>
      <c r="C313" s="40" t="s">
        <v>264</v>
      </c>
      <c r="D313" s="40"/>
      <c r="E313" s="40"/>
      <c r="F313" s="40"/>
      <c r="G313" s="10">
        <f>G314</f>
        <v>1666.6</v>
      </c>
      <c r="H313" s="10">
        <f>H314</f>
        <v>915</v>
      </c>
    </row>
    <row r="314" spans="1:8" s="203" customFormat="1" ht="15.75" x14ac:dyDescent="0.25">
      <c r="A314" s="45" t="s">
        <v>404</v>
      </c>
      <c r="B314" s="20" t="s">
        <v>1246</v>
      </c>
      <c r="C314" s="40" t="s">
        <v>264</v>
      </c>
      <c r="D314" s="40" t="s">
        <v>118</v>
      </c>
      <c r="E314" s="40"/>
      <c r="F314" s="40"/>
      <c r="G314" s="10">
        <f>G315+G319</f>
        <v>1666.6</v>
      </c>
      <c r="H314" s="10">
        <f>H315+H319</f>
        <v>915</v>
      </c>
    </row>
    <row r="315" spans="1:8" s="203" customFormat="1" ht="94.5" hidden="1" x14ac:dyDescent="0.25">
      <c r="A315" s="149" t="s">
        <v>1185</v>
      </c>
      <c r="B315" s="20" t="s">
        <v>1247</v>
      </c>
      <c r="C315" s="40" t="s">
        <v>264</v>
      </c>
      <c r="D315" s="40" t="s">
        <v>118</v>
      </c>
      <c r="E315" s="40"/>
      <c r="F315" s="40"/>
      <c r="G315" s="10">
        <f>G316</f>
        <v>0</v>
      </c>
      <c r="H315" s="10">
        <f>H316</f>
        <v>0</v>
      </c>
    </row>
    <row r="316" spans="1:8" s="203" customFormat="1" ht="47.25" hidden="1" x14ac:dyDescent="0.25">
      <c r="A316" s="25" t="s">
        <v>272</v>
      </c>
      <c r="B316" s="20" t="s">
        <v>1247</v>
      </c>
      <c r="C316" s="40" t="s">
        <v>264</v>
      </c>
      <c r="D316" s="40" t="s">
        <v>118</v>
      </c>
      <c r="E316" s="40" t="s">
        <v>273</v>
      </c>
      <c r="F316" s="40"/>
      <c r="G316" s="10">
        <f>G317</f>
        <v>0</v>
      </c>
      <c r="H316" s="10">
        <f>H317</f>
        <v>0</v>
      </c>
    </row>
    <row r="317" spans="1:8" s="203" customFormat="1" ht="15.75" hidden="1" x14ac:dyDescent="0.25">
      <c r="A317" s="25" t="s">
        <v>274</v>
      </c>
      <c r="B317" s="20" t="s">
        <v>1247</v>
      </c>
      <c r="C317" s="40" t="s">
        <v>264</v>
      </c>
      <c r="D317" s="40" t="s">
        <v>118</v>
      </c>
      <c r="E317" s="40" t="s">
        <v>275</v>
      </c>
      <c r="F317" s="40"/>
      <c r="G317" s="10">
        <f>'пр.6.1.ведом.22-23'!G595</f>
        <v>0</v>
      </c>
      <c r="H317" s="10">
        <f>'пр.6.1.ведом.22-23'!H595</f>
        <v>0</v>
      </c>
    </row>
    <row r="318" spans="1:8" s="203" customFormat="1" ht="31.5" hidden="1" x14ac:dyDescent="0.25">
      <c r="A318" s="29" t="s">
        <v>403</v>
      </c>
      <c r="B318" s="20" t="s">
        <v>1247</v>
      </c>
      <c r="C318" s="40" t="s">
        <v>264</v>
      </c>
      <c r="D318" s="40" t="s">
        <v>118</v>
      </c>
      <c r="E318" s="40" t="s">
        <v>275</v>
      </c>
      <c r="F318" s="40" t="s">
        <v>636</v>
      </c>
      <c r="G318" s="10">
        <f>G315</f>
        <v>0</v>
      </c>
      <c r="H318" s="10">
        <f>H315</f>
        <v>0</v>
      </c>
    </row>
    <row r="319" spans="1:8" s="203" customFormat="1" ht="110.25" x14ac:dyDescent="0.25">
      <c r="A319" s="149" t="s">
        <v>1493</v>
      </c>
      <c r="B319" s="20" t="s">
        <v>1247</v>
      </c>
      <c r="C319" s="40" t="s">
        <v>264</v>
      </c>
      <c r="D319" s="40" t="s">
        <v>118</v>
      </c>
      <c r="E319" s="40"/>
      <c r="F319" s="40"/>
      <c r="G319" s="10">
        <f>G320</f>
        <v>1666.6</v>
      </c>
      <c r="H319" s="10">
        <f>H320</f>
        <v>915</v>
      </c>
    </row>
    <row r="320" spans="1:8" s="203" customFormat="1" ht="47.25" x14ac:dyDescent="0.25">
      <c r="A320" s="25" t="s">
        <v>272</v>
      </c>
      <c r="B320" s="20" t="s">
        <v>1247</v>
      </c>
      <c r="C320" s="40" t="s">
        <v>264</v>
      </c>
      <c r="D320" s="40" t="s">
        <v>118</v>
      </c>
      <c r="E320" s="40" t="s">
        <v>273</v>
      </c>
      <c r="F320" s="40"/>
      <c r="G320" s="10">
        <f>G321</f>
        <v>1666.6</v>
      </c>
      <c r="H320" s="10">
        <f>H321</f>
        <v>915</v>
      </c>
    </row>
    <row r="321" spans="1:8" s="203" customFormat="1" ht="15.75" x14ac:dyDescent="0.25">
      <c r="A321" s="25" t="s">
        <v>274</v>
      </c>
      <c r="B321" s="20" t="s">
        <v>1247</v>
      </c>
      <c r="C321" s="40" t="s">
        <v>264</v>
      </c>
      <c r="D321" s="40" t="s">
        <v>118</v>
      </c>
      <c r="E321" s="40" t="s">
        <v>275</v>
      </c>
      <c r="F321" s="40"/>
      <c r="G321" s="10">
        <f>'пр.6.1.ведом.22-23'!G598</f>
        <v>1666.6</v>
      </c>
      <c r="H321" s="10">
        <f>'пр.6.1.ведом.22-23'!H598</f>
        <v>915</v>
      </c>
    </row>
    <row r="322" spans="1:8" s="203" customFormat="1" ht="31.5" x14ac:dyDescent="0.25">
      <c r="A322" s="29" t="s">
        <v>403</v>
      </c>
      <c r="B322" s="20" t="s">
        <v>1247</v>
      </c>
      <c r="C322" s="40" t="s">
        <v>264</v>
      </c>
      <c r="D322" s="40" t="s">
        <v>118</v>
      </c>
      <c r="E322" s="40" t="s">
        <v>275</v>
      </c>
      <c r="F322" s="40" t="s">
        <v>636</v>
      </c>
      <c r="G322" s="10">
        <f>G319</f>
        <v>1666.6</v>
      </c>
      <c r="H322" s="10">
        <f>H319</f>
        <v>915</v>
      </c>
    </row>
    <row r="323" spans="1:8" s="203" customFormat="1" ht="47.25" x14ac:dyDescent="0.25">
      <c r="A323" s="304" t="s">
        <v>1405</v>
      </c>
      <c r="B323" s="24" t="s">
        <v>1404</v>
      </c>
      <c r="C323" s="24"/>
      <c r="D323" s="24"/>
      <c r="E323" s="24"/>
      <c r="F323" s="7"/>
      <c r="G323" s="59">
        <f t="shared" ref="G323:H327" si="45">G324</f>
        <v>5415.6500000000005</v>
      </c>
      <c r="H323" s="59">
        <f t="shared" si="45"/>
        <v>5142.4500000000007</v>
      </c>
    </row>
    <row r="324" spans="1:8" s="203" customFormat="1" ht="15.75" x14ac:dyDescent="0.25">
      <c r="A324" s="182" t="s">
        <v>263</v>
      </c>
      <c r="B324" s="20" t="s">
        <v>1404</v>
      </c>
      <c r="C324" s="20" t="s">
        <v>264</v>
      </c>
      <c r="D324" s="20"/>
      <c r="E324" s="20"/>
      <c r="F324" s="40"/>
      <c r="G324" s="10">
        <f t="shared" si="45"/>
        <v>5415.6500000000005</v>
      </c>
      <c r="H324" s="10">
        <f t="shared" si="45"/>
        <v>5142.4500000000007</v>
      </c>
    </row>
    <row r="325" spans="1:8" s="203" customFormat="1" ht="15.75" x14ac:dyDescent="0.25">
      <c r="A325" s="182" t="s">
        <v>425</v>
      </c>
      <c r="B325" s="20" t="s">
        <v>1404</v>
      </c>
      <c r="C325" s="20" t="s">
        <v>264</v>
      </c>
      <c r="D325" s="20" t="s">
        <v>213</v>
      </c>
      <c r="E325" s="20"/>
      <c r="F325" s="40"/>
      <c r="G325" s="10">
        <f t="shared" si="45"/>
        <v>5415.6500000000005</v>
      </c>
      <c r="H325" s="10">
        <f t="shared" si="45"/>
        <v>5142.4500000000007</v>
      </c>
    </row>
    <row r="326" spans="1:8" s="203" customFormat="1" ht="78.75" x14ac:dyDescent="0.25">
      <c r="A326" s="303" t="s">
        <v>1391</v>
      </c>
      <c r="B326" s="20" t="s">
        <v>1449</v>
      </c>
      <c r="C326" s="20" t="s">
        <v>264</v>
      </c>
      <c r="D326" s="20" t="s">
        <v>213</v>
      </c>
      <c r="E326" s="20"/>
      <c r="F326" s="40"/>
      <c r="G326" s="10">
        <f t="shared" si="45"/>
        <v>5415.6500000000005</v>
      </c>
      <c r="H326" s="10">
        <f t="shared" si="45"/>
        <v>5142.4500000000007</v>
      </c>
    </row>
    <row r="327" spans="1:8" s="203" customFormat="1" ht="47.25" x14ac:dyDescent="0.25">
      <c r="A327" s="31" t="s">
        <v>272</v>
      </c>
      <c r="B327" s="20" t="s">
        <v>1449</v>
      </c>
      <c r="C327" s="20" t="s">
        <v>264</v>
      </c>
      <c r="D327" s="20" t="s">
        <v>213</v>
      </c>
      <c r="E327" s="20" t="s">
        <v>273</v>
      </c>
      <c r="F327" s="40"/>
      <c r="G327" s="10">
        <f t="shared" si="45"/>
        <v>5415.6500000000005</v>
      </c>
      <c r="H327" s="10">
        <f t="shared" si="45"/>
        <v>5142.4500000000007</v>
      </c>
    </row>
    <row r="328" spans="1:8" s="203" customFormat="1" ht="15.75" x14ac:dyDescent="0.25">
      <c r="A328" s="31" t="s">
        <v>274</v>
      </c>
      <c r="B328" s="20" t="s">
        <v>1449</v>
      </c>
      <c r="C328" s="20" t="s">
        <v>264</v>
      </c>
      <c r="D328" s="20" t="s">
        <v>213</v>
      </c>
      <c r="E328" s="20" t="s">
        <v>275</v>
      </c>
      <c r="F328" s="40"/>
      <c r="G328" s="10">
        <f>'пр.6.1.ведом.22-23'!G672</f>
        <v>5415.6500000000005</v>
      </c>
      <c r="H328" s="10">
        <f>'пр.6.1.ведом.22-23'!H672</f>
        <v>5142.4500000000007</v>
      </c>
    </row>
    <row r="329" spans="1:8" s="203" customFormat="1" ht="31.5" x14ac:dyDescent="0.25">
      <c r="A329" s="182" t="s">
        <v>403</v>
      </c>
      <c r="B329" s="20" t="s">
        <v>1449</v>
      </c>
      <c r="C329" s="20" t="s">
        <v>264</v>
      </c>
      <c r="D329" s="20" t="s">
        <v>213</v>
      </c>
      <c r="E329" s="20" t="s">
        <v>275</v>
      </c>
      <c r="F329" s="40" t="s">
        <v>636</v>
      </c>
      <c r="G329" s="10">
        <f>G323</f>
        <v>5415.6500000000005</v>
      </c>
      <c r="H329" s="10">
        <f>H323</f>
        <v>5142.4500000000007</v>
      </c>
    </row>
    <row r="330" spans="1:8" s="203" customFormat="1" ht="63" hidden="1" x14ac:dyDescent="0.25">
      <c r="A330" s="217" t="s">
        <v>1172</v>
      </c>
      <c r="B330" s="24" t="s">
        <v>1320</v>
      </c>
      <c r="C330" s="40"/>
      <c r="D330" s="40"/>
      <c r="E330" s="40"/>
      <c r="F330" s="40"/>
      <c r="G330" s="59">
        <f t="shared" ref="G330:H334" si="46">G331</f>
        <v>0</v>
      </c>
      <c r="H330" s="59">
        <f t="shared" si="46"/>
        <v>0</v>
      </c>
    </row>
    <row r="331" spans="1:8" s="203" customFormat="1" ht="15.75" hidden="1" x14ac:dyDescent="0.25">
      <c r="A331" s="29" t="s">
        <v>263</v>
      </c>
      <c r="B331" s="20" t="s">
        <v>1320</v>
      </c>
      <c r="C331" s="40" t="s">
        <v>264</v>
      </c>
      <c r="D331" s="40"/>
      <c r="E331" s="40"/>
      <c r="F331" s="40"/>
      <c r="G331" s="10">
        <f t="shared" si="46"/>
        <v>0</v>
      </c>
      <c r="H331" s="10">
        <f t="shared" si="46"/>
        <v>0</v>
      </c>
    </row>
    <row r="332" spans="1:8" s="203" customFormat="1" ht="15.75" hidden="1" x14ac:dyDescent="0.25">
      <c r="A332" s="29" t="s">
        <v>425</v>
      </c>
      <c r="B332" s="20" t="s">
        <v>1320</v>
      </c>
      <c r="C332" s="40" t="s">
        <v>264</v>
      </c>
      <c r="D332" s="40" t="s">
        <v>213</v>
      </c>
      <c r="E332" s="40"/>
      <c r="F332" s="40"/>
      <c r="G332" s="10">
        <f t="shared" si="46"/>
        <v>0</v>
      </c>
      <c r="H332" s="10">
        <f t="shared" si="46"/>
        <v>0</v>
      </c>
    </row>
    <row r="333" spans="1:8" s="203" customFormat="1" ht="63" hidden="1" x14ac:dyDescent="0.25">
      <c r="A333" s="182" t="s">
        <v>1180</v>
      </c>
      <c r="B333" s="20" t="s">
        <v>1321</v>
      </c>
      <c r="C333" s="40" t="s">
        <v>264</v>
      </c>
      <c r="D333" s="40" t="s">
        <v>213</v>
      </c>
      <c r="E333" s="40"/>
      <c r="F333" s="40"/>
      <c r="G333" s="10">
        <f t="shared" si="46"/>
        <v>0</v>
      </c>
      <c r="H333" s="10">
        <f t="shared" si="46"/>
        <v>0</v>
      </c>
    </row>
    <row r="334" spans="1:8" s="203" customFormat="1" ht="47.25" hidden="1" x14ac:dyDescent="0.25">
      <c r="A334" s="31" t="s">
        <v>272</v>
      </c>
      <c r="B334" s="20" t="s">
        <v>1321</v>
      </c>
      <c r="C334" s="40" t="s">
        <v>264</v>
      </c>
      <c r="D334" s="40" t="s">
        <v>213</v>
      </c>
      <c r="E334" s="40" t="s">
        <v>273</v>
      </c>
      <c r="F334" s="40"/>
      <c r="G334" s="10">
        <f t="shared" si="46"/>
        <v>0</v>
      </c>
      <c r="H334" s="10">
        <f t="shared" si="46"/>
        <v>0</v>
      </c>
    </row>
    <row r="335" spans="1:8" s="203" customFormat="1" ht="15.75" hidden="1" x14ac:dyDescent="0.25">
      <c r="A335" s="31" t="s">
        <v>274</v>
      </c>
      <c r="B335" s="20" t="s">
        <v>1321</v>
      </c>
      <c r="C335" s="40" t="s">
        <v>264</v>
      </c>
      <c r="D335" s="40" t="s">
        <v>213</v>
      </c>
      <c r="E335" s="40" t="s">
        <v>275</v>
      </c>
      <c r="F335" s="40"/>
      <c r="G335" s="10">
        <f>'пр.6.1.ведом.22-23'!G676</f>
        <v>0</v>
      </c>
      <c r="H335" s="10">
        <f>'пр.6.1.ведом.22-23'!H675</f>
        <v>0</v>
      </c>
    </row>
    <row r="336" spans="1:8" s="203" customFormat="1" ht="31.5" hidden="1" x14ac:dyDescent="0.25">
      <c r="A336" s="29" t="s">
        <v>403</v>
      </c>
      <c r="B336" s="20" t="s">
        <v>1321</v>
      </c>
      <c r="C336" s="40" t="s">
        <v>264</v>
      </c>
      <c r="D336" s="40" t="s">
        <v>213</v>
      </c>
      <c r="E336" s="40" t="s">
        <v>275</v>
      </c>
      <c r="F336" s="40" t="s">
        <v>636</v>
      </c>
      <c r="G336" s="10">
        <f>G330</f>
        <v>0</v>
      </c>
      <c r="H336" s="10">
        <f>H335</f>
        <v>0</v>
      </c>
    </row>
    <row r="337" spans="1:8" s="203" customFormat="1" ht="31.5" x14ac:dyDescent="0.25">
      <c r="A337" s="34" t="s">
        <v>1472</v>
      </c>
      <c r="B337" s="24" t="s">
        <v>1470</v>
      </c>
      <c r="C337" s="40"/>
      <c r="D337" s="40"/>
      <c r="E337" s="40"/>
      <c r="F337" s="40"/>
      <c r="G337" s="59">
        <f t="shared" ref="G337:H341" si="47">G338</f>
        <v>1749.4499999999998</v>
      </c>
      <c r="H337" s="59">
        <f t="shared" si="47"/>
        <v>2341</v>
      </c>
    </row>
    <row r="338" spans="1:8" s="203" customFormat="1" ht="15.75" x14ac:dyDescent="0.25">
      <c r="A338" s="29" t="s">
        <v>263</v>
      </c>
      <c r="B338" s="20" t="s">
        <v>1470</v>
      </c>
      <c r="C338" s="40" t="s">
        <v>264</v>
      </c>
      <c r="D338" s="40"/>
      <c r="E338" s="40"/>
      <c r="F338" s="40"/>
      <c r="G338" s="10">
        <f t="shared" si="47"/>
        <v>1749.4499999999998</v>
      </c>
      <c r="H338" s="10">
        <f t="shared" si="47"/>
        <v>2341</v>
      </c>
    </row>
    <row r="339" spans="1:8" s="203" customFormat="1" ht="15.75" x14ac:dyDescent="0.25">
      <c r="A339" s="29" t="s">
        <v>425</v>
      </c>
      <c r="B339" s="20" t="s">
        <v>1470</v>
      </c>
      <c r="C339" s="40" t="s">
        <v>264</v>
      </c>
      <c r="D339" s="40" t="s">
        <v>213</v>
      </c>
      <c r="E339" s="40"/>
      <c r="F339" s="40"/>
      <c r="G339" s="10">
        <f t="shared" si="47"/>
        <v>1749.4499999999998</v>
      </c>
      <c r="H339" s="10">
        <f t="shared" si="47"/>
        <v>2341</v>
      </c>
    </row>
    <row r="340" spans="1:8" s="203" customFormat="1" ht="63" x14ac:dyDescent="0.25">
      <c r="A340" s="31" t="s">
        <v>1521</v>
      </c>
      <c r="B340" s="20" t="s">
        <v>1471</v>
      </c>
      <c r="C340" s="40" t="s">
        <v>264</v>
      </c>
      <c r="D340" s="40" t="s">
        <v>213</v>
      </c>
      <c r="E340" s="40"/>
      <c r="F340" s="40"/>
      <c r="G340" s="10">
        <f t="shared" si="47"/>
        <v>1749.4499999999998</v>
      </c>
      <c r="H340" s="10">
        <f t="shared" si="47"/>
        <v>2341</v>
      </c>
    </row>
    <row r="341" spans="1:8" s="203" customFormat="1" ht="47.25" x14ac:dyDescent="0.25">
      <c r="A341" s="31" t="s">
        <v>272</v>
      </c>
      <c r="B341" s="20" t="s">
        <v>1471</v>
      </c>
      <c r="C341" s="40" t="s">
        <v>264</v>
      </c>
      <c r="D341" s="40" t="s">
        <v>213</v>
      </c>
      <c r="E341" s="40" t="s">
        <v>273</v>
      </c>
      <c r="F341" s="40"/>
      <c r="G341" s="10">
        <f t="shared" si="47"/>
        <v>1749.4499999999998</v>
      </c>
      <c r="H341" s="10">
        <f t="shared" si="47"/>
        <v>2341</v>
      </c>
    </row>
    <row r="342" spans="1:8" s="203" customFormat="1" ht="15.75" x14ac:dyDescent="0.25">
      <c r="A342" s="31" t="s">
        <v>274</v>
      </c>
      <c r="B342" s="20" t="s">
        <v>1471</v>
      </c>
      <c r="C342" s="40" t="s">
        <v>264</v>
      </c>
      <c r="D342" s="40" t="s">
        <v>213</v>
      </c>
      <c r="E342" s="40" t="s">
        <v>275</v>
      </c>
      <c r="F342" s="40"/>
      <c r="G342" s="10">
        <f>'пр.6.1.ведом.22-23'!G680</f>
        <v>1749.4499999999998</v>
      </c>
      <c r="H342" s="10">
        <f>'пр.6.1.ведом.22-23'!H680</f>
        <v>2341</v>
      </c>
    </row>
    <row r="343" spans="1:8" s="203" customFormat="1" ht="31.5" x14ac:dyDescent="0.25">
      <c r="A343" s="29" t="s">
        <v>403</v>
      </c>
      <c r="B343" s="20" t="s">
        <v>1471</v>
      </c>
      <c r="C343" s="40" t="s">
        <v>264</v>
      </c>
      <c r="D343" s="40" t="s">
        <v>213</v>
      </c>
      <c r="E343" s="40" t="s">
        <v>275</v>
      </c>
      <c r="F343" s="40" t="s">
        <v>636</v>
      </c>
      <c r="G343" s="10">
        <f>G342</f>
        <v>1749.4499999999998</v>
      </c>
      <c r="H343" s="10">
        <f>H342</f>
        <v>2341</v>
      </c>
    </row>
    <row r="344" spans="1:8" ht="47.25" x14ac:dyDescent="0.25">
      <c r="A344" s="58" t="s">
        <v>1384</v>
      </c>
      <c r="B344" s="194" t="s">
        <v>156</v>
      </c>
      <c r="C344" s="7"/>
      <c r="D344" s="194"/>
      <c r="E344" s="194"/>
      <c r="F344" s="194"/>
      <c r="G344" s="59">
        <f>G346</f>
        <v>150</v>
      </c>
      <c r="H344" s="59">
        <f>H346</f>
        <v>150</v>
      </c>
    </row>
    <row r="345" spans="1:8" ht="47.25" x14ac:dyDescent="0.25">
      <c r="A345" s="23" t="s">
        <v>1064</v>
      </c>
      <c r="B345" s="24" t="s">
        <v>1061</v>
      </c>
      <c r="C345" s="7"/>
      <c r="D345" s="7"/>
      <c r="E345" s="7"/>
      <c r="F345" s="7"/>
      <c r="G345" s="59">
        <f t="shared" ref="G345:H349" si="48">G346</f>
        <v>150</v>
      </c>
      <c r="H345" s="59">
        <f t="shared" si="48"/>
        <v>150</v>
      </c>
    </row>
    <row r="346" spans="1:8" ht="15.75" x14ac:dyDescent="0.25">
      <c r="A346" s="45" t="s">
        <v>232</v>
      </c>
      <c r="B346" s="5" t="s">
        <v>1061</v>
      </c>
      <c r="C346" s="40" t="s">
        <v>150</v>
      </c>
      <c r="D346" s="40"/>
      <c r="E346" s="40"/>
      <c r="F346" s="40"/>
      <c r="G346" s="10">
        <f t="shared" si="48"/>
        <v>150</v>
      </c>
      <c r="H346" s="10">
        <f t="shared" si="48"/>
        <v>150</v>
      </c>
    </row>
    <row r="347" spans="1:8" ht="15.75" x14ac:dyDescent="0.25">
      <c r="A347" s="45" t="s">
        <v>775</v>
      </c>
      <c r="B347" s="5" t="s">
        <v>1061</v>
      </c>
      <c r="C347" s="40" t="s">
        <v>150</v>
      </c>
      <c r="D347" s="40" t="s">
        <v>238</v>
      </c>
      <c r="E347" s="40"/>
      <c r="F347" s="40"/>
      <c r="G347" s="10">
        <f t="shared" si="48"/>
        <v>150</v>
      </c>
      <c r="H347" s="10">
        <f t="shared" si="48"/>
        <v>150</v>
      </c>
    </row>
    <row r="348" spans="1:8" ht="31.5" x14ac:dyDescent="0.25">
      <c r="A348" s="25" t="s">
        <v>1065</v>
      </c>
      <c r="B348" s="20" t="s">
        <v>1062</v>
      </c>
      <c r="C348" s="40" t="s">
        <v>150</v>
      </c>
      <c r="D348" s="40" t="s">
        <v>238</v>
      </c>
      <c r="E348" s="40"/>
      <c r="F348" s="40"/>
      <c r="G348" s="10">
        <f t="shared" si="48"/>
        <v>150</v>
      </c>
      <c r="H348" s="10">
        <f t="shared" si="48"/>
        <v>150</v>
      </c>
    </row>
    <row r="349" spans="1:8" ht="15.75" x14ac:dyDescent="0.25">
      <c r="A349" s="25" t="s">
        <v>135</v>
      </c>
      <c r="B349" s="20" t="s">
        <v>1062</v>
      </c>
      <c r="C349" s="40" t="s">
        <v>150</v>
      </c>
      <c r="D349" s="40" t="s">
        <v>238</v>
      </c>
      <c r="E349" s="40" t="s">
        <v>132</v>
      </c>
      <c r="F349" s="40"/>
      <c r="G349" s="10">
        <f t="shared" si="48"/>
        <v>150</v>
      </c>
      <c r="H349" s="10">
        <f t="shared" si="48"/>
        <v>150</v>
      </c>
    </row>
    <row r="350" spans="1:8" ht="63" x14ac:dyDescent="0.25">
      <c r="A350" s="25" t="s">
        <v>184</v>
      </c>
      <c r="B350" s="20" t="s">
        <v>1062</v>
      </c>
      <c r="C350" s="40" t="s">
        <v>150</v>
      </c>
      <c r="D350" s="40" t="s">
        <v>238</v>
      </c>
      <c r="E350" s="40" t="s">
        <v>134</v>
      </c>
      <c r="F350" s="40"/>
      <c r="G350" s="10">
        <f>'пр.6.1.ведом.22-23'!G217</f>
        <v>150</v>
      </c>
      <c r="H350" s="10">
        <f>'пр.6.1.ведом.22-23'!H217</f>
        <v>150</v>
      </c>
    </row>
    <row r="351" spans="1:8" ht="31.5" x14ac:dyDescent="0.25">
      <c r="A351" s="29" t="s">
        <v>148</v>
      </c>
      <c r="B351" s="20" t="s">
        <v>1062</v>
      </c>
      <c r="C351" s="40" t="s">
        <v>150</v>
      </c>
      <c r="D351" s="40" t="s">
        <v>238</v>
      </c>
      <c r="E351" s="40" t="s">
        <v>134</v>
      </c>
      <c r="F351" s="40" t="s">
        <v>641</v>
      </c>
      <c r="G351" s="10">
        <f>G350</f>
        <v>150</v>
      </c>
      <c r="H351" s="10">
        <f>H350</f>
        <v>150</v>
      </c>
    </row>
    <row r="352" spans="1:8" ht="47.25" hidden="1" x14ac:dyDescent="0.25">
      <c r="A352" s="25" t="s">
        <v>239</v>
      </c>
      <c r="B352" s="20" t="s">
        <v>1063</v>
      </c>
      <c r="C352" s="40" t="s">
        <v>150</v>
      </c>
      <c r="D352" s="40" t="s">
        <v>238</v>
      </c>
      <c r="E352" s="40"/>
      <c r="F352" s="40"/>
      <c r="G352" s="10" t="e">
        <f>G353</f>
        <v>#REF!</v>
      </c>
      <c r="H352" s="10" t="e">
        <f>H353</f>
        <v>#REF!</v>
      </c>
    </row>
    <row r="353" spans="1:8" ht="15.75" hidden="1" x14ac:dyDescent="0.25">
      <c r="A353" s="25" t="s">
        <v>135</v>
      </c>
      <c r="B353" s="20" t="s">
        <v>1063</v>
      </c>
      <c r="C353" s="40" t="s">
        <v>150</v>
      </c>
      <c r="D353" s="40" t="s">
        <v>238</v>
      </c>
      <c r="E353" s="40" t="s">
        <v>145</v>
      </c>
      <c r="F353" s="40"/>
      <c r="G353" s="10" t="e">
        <f>G354</f>
        <v>#REF!</v>
      </c>
      <c r="H353" s="10" t="e">
        <f>H354</f>
        <v>#REF!</v>
      </c>
    </row>
    <row r="354" spans="1:8" ht="63" hidden="1" x14ac:dyDescent="0.25">
      <c r="A354" s="25" t="s">
        <v>184</v>
      </c>
      <c r="B354" s="20" t="s">
        <v>1063</v>
      </c>
      <c r="C354" s="40" t="s">
        <v>150</v>
      </c>
      <c r="D354" s="40" t="s">
        <v>238</v>
      </c>
      <c r="E354" s="40" t="s">
        <v>160</v>
      </c>
      <c r="F354" s="40"/>
      <c r="G354" s="10" t="e">
        <f>'пр.6.1.ведом.22-23'!#REF!</f>
        <v>#REF!</v>
      </c>
      <c r="H354" s="10" t="e">
        <f>'пр.6.1.ведом.22-23'!#REF!</f>
        <v>#REF!</v>
      </c>
    </row>
    <row r="355" spans="1:8" ht="31.5" hidden="1" x14ac:dyDescent="0.25">
      <c r="A355" s="29" t="s">
        <v>148</v>
      </c>
      <c r="B355" s="20" t="s">
        <v>1063</v>
      </c>
      <c r="C355" s="40" t="s">
        <v>150</v>
      </c>
      <c r="D355" s="40" t="s">
        <v>238</v>
      </c>
      <c r="E355" s="40" t="s">
        <v>160</v>
      </c>
      <c r="F355" s="40" t="s">
        <v>641</v>
      </c>
      <c r="G355" s="10" t="e">
        <f>G354</f>
        <v>#REF!</v>
      </c>
      <c r="H355" s="10" t="e">
        <f>H354</f>
        <v>#REF!</v>
      </c>
    </row>
    <row r="356" spans="1:8" ht="47.25" x14ac:dyDescent="0.25">
      <c r="A356" s="41" t="s">
        <v>1364</v>
      </c>
      <c r="B356" s="194" t="s">
        <v>162</v>
      </c>
      <c r="C356" s="7"/>
      <c r="D356" s="7"/>
      <c r="E356" s="7"/>
      <c r="F356" s="7"/>
      <c r="G356" s="59">
        <f>G357+G364+G387</f>
        <v>604</v>
      </c>
      <c r="H356" s="59" t="e">
        <f>H357+H364+H387</f>
        <v>#REF!</v>
      </c>
    </row>
    <row r="357" spans="1:8" ht="78.75" x14ac:dyDescent="0.25">
      <c r="A357" s="305" t="s">
        <v>1339</v>
      </c>
      <c r="B357" s="7" t="s">
        <v>849</v>
      </c>
      <c r="C357" s="7"/>
      <c r="D357" s="8"/>
      <c r="E357" s="194"/>
      <c r="F357" s="7"/>
      <c r="G357" s="59">
        <f>G359</f>
        <v>526</v>
      </c>
      <c r="H357" s="59">
        <f>H359</f>
        <v>526</v>
      </c>
    </row>
    <row r="358" spans="1:8" ht="15.75" x14ac:dyDescent="0.25">
      <c r="A358" s="45" t="s">
        <v>117</v>
      </c>
      <c r="B358" s="5" t="s">
        <v>849</v>
      </c>
      <c r="C358" s="40" t="s">
        <v>118</v>
      </c>
      <c r="D358" s="5"/>
      <c r="E358" s="5"/>
      <c r="F358" s="40"/>
      <c r="G358" s="10">
        <f t="shared" ref="G358:H358" si="49">G359</f>
        <v>526</v>
      </c>
      <c r="H358" s="10">
        <f t="shared" si="49"/>
        <v>526</v>
      </c>
    </row>
    <row r="359" spans="1:8" ht="78.75" x14ac:dyDescent="0.25">
      <c r="A359" s="29" t="s">
        <v>149</v>
      </c>
      <c r="B359" s="5" t="s">
        <v>849</v>
      </c>
      <c r="C359" s="40" t="s">
        <v>118</v>
      </c>
      <c r="D359" s="9" t="s">
        <v>150</v>
      </c>
      <c r="E359" s="5"/>
      <c r="F359" s="40"/>
      <c r="G359" s="10">
        <f>G360</f>
        <v>526</v>
      </c>
      <c r="H359" s="10">
        <f>H360</f>
        <v>526</v>
      </c>
    </row>
    <row r="360" spans="1:8" ht="63" x14ac:dyDescent="0.25">
      <c r="A360" s="29" t="s">
        <v>1308</v>
      </c>
      <c r="B360" s="40" t="s">
        <v>841</v>
      </c>
      <c r="C360" s="40" t="s">
        <v>118</v>
      </c>
      <c r="D360" s="9" t="s">
        <v>150</v>
      </c>
      <c r="E360" s="40"/>
      <c r="F360" s="40"/>
      <c r="G360" s="10">
        <f t="shared" ref="G360:H361" si="50">G361</f>
        <v>526</v>
      </c>
      <c r="H360" s="10">
        <f t="shared" si="50"/>
        <v>526</v>
      </c>
    </row>
    <row r="361" spans="1:8" ht="31.5" x14ac:dyDescent="0.25">
      <c r="A361" s="29" t="s">
        <v>131</v>
      </c>
      <c r="B361" s="40" t="s">
        <v>841</v>
      </c>
      <c r="C361" s="40" t="s">
        <v>118</v>
      </c>
      <c r="D361" s="9" t="s">
        <v>150</v>
      </c>
      <c r="E361" s="40" t="s">
        <v>132</v>
      </c>
      <c r="F361" s="40"/>
      <c r="G361" s="10">
        <f t="shared" si="50"/>
        <v>526</v>
      </c>
      <c r="H361" s="10">
        <f t="shared" si="50"/>
        <v>526</v>
      </c>
    </row>
    <row r="362" spans="1:8" ht="47.25" x14ac:dyDescent="0.25">
      <c r="A362" s="29" t="s">
        <v>133</v>
      </c>
      <c r="B362" s="40" t="s">
        <v>841</v>
      </c>
      <c r="C362" s="40" t="s">
        <v>118</v>
      </c>
      <c r="D362" s="9" t="s">
        <v>150</v>
      </c>
      <c r="E362" s="40" t="s">
        <v>134</v>
      </c>
      <c r="F362" s="40"/>
      <c r="G362" s="10">
        <f>'пр.6.1.ведом.22-23'!G93</f>
        <v>526</v>
      </c>
      <c r="H362" s="10">
        <f>'пр.6.1.ведом.22-23'!H93</f>
        <v>526</v>
      </c>
    </row>
    <row r="363" spans="1:8" ht="31.5" x14ac:dyDescent="0.25">
      <c r="A363" s="29" t="s">
        <v>148</v>
      </c>
      <c r="B363" s="40" t="s">
        <v>841</v>
      </c>
      <c r="C363" s="40" t="s">
        <v>118</v>
      </c>
      <c r="D363" s="9" t="s">
        <v>150</v>
      </c>
      <c r="E363" s="40" t="s">
        <v>134</v>
      </c>
      <c r="F363" s="40" t="s">
        <v>641</v>
      </c>
      <c r="G363" s="10">
        <f>G362</f>
        <v>526</v>
      </c>
      <c r="H363" s="10">
        <f>H362</f>
        <v>526</v>
      </c>
    </row>
    <row r="364" spans="1:8" ht="78.75" x14ac:dyDescent="0.25">
      <c r="A364" s="220" t="s">
        <v>843</v>
      </c>
      <c r="B364" s="7" t="s">
        <v>850</v>
      </c>
      <c r="C364" s="7"/>
      <c r="D364" s="8"/>
      <c r="E364" s="194"/>
      <c r="F364" s="7"/>
      <c r="G364" s="59">
        <f>G365</f>
        <v>77.5</v>
      </c>
      <c r="H364" s="59">
        <f>H365</f>
        <v>117.5</v>
      </c>
    </row>
    <row r="365" spans="1:8" ht="15.75" x14ac:dyDescent="0.25">
      <c r="A365" s="45" t="s">
        <v>117</v>
      </c>
      <c r="B365" s="5" t="s">
        <v>850</v>
      </c>
      <c r="C365" s="40" t="s">
        <v>118</v>
      </c>
      <c r="D365" s="5"/>
      <c r="E365" s="5"/>
      <c r="F365" s="40"/>
      <c r="G365" s="10">
        <f>G371+G366</f>
        <v>77.5</v>
      </c>
      <c r="H365" s="10">
        <f>H371+H366</f>
        <v>117.5</v>
      </c>
    </row>
    <row r="366" spans="1:8" s="203" customFormat="1" ht="47.25" x14ac:dyDescent="0.25">
      <c r="A366" s="25" t="s">
        <v>575</v>
      </c>
      <c r="B366" s="5" t="s">
        <v>850</v>
      </c>
      <c r="C366" s="40" t="s">
        <v>118</v>
      </c>
      <c r="D366" s="9" t="s">
        <v>213</v>
      </c>
      <c r="E366" s="5"/>
      <c r="F366" s="40"/>
      <c r="G366" s="10">
        <f t="shared" ref="G366:H368" si="51">G367</f>
        <v>0.5</v>
      </c>
      <c r="H366" s="10">
        <f t="shared" si="51"/>
        <v>40.5</v>
      </c>
    </row>
    <row r="367" spans="1:8" s="203" customFormat="1" ht="63" x14ac:dyDescent="0.25">
      <c r="A367" s="31" t="s">
        <v>695</v>
      </c>
      <c r="B367" s="40" t="s">
        <v>993</v>
      </c>
      <c r="C367" s="20" t="s">
        <v>118</v>
      </c>
      <c r="D367" s="9" t="s">
        <v>213</v>
      </c>
      <c r="E367" s="5"/>
      <c r="F367" s="40"/>
      <c r="G367" s="10">
        <f t="shared" si="51"/>
        <v>0.5</v>
      </c>
      <c r="H367" s="10">
        <f t="shared" si="51"/>
        <v>40.5</v>
      </c>
    </row>
    <row r="368" spans="1:8" s="203" customFormat="1" ht="31.5" x14ac:dyDescent="0.25">
      <c r="A368" s="25" t="s">
        <v>131</v>
      </c>
      <c r="B368" s="40" t="s">
        <v>696</v>
      </c>
      <c r="C368" s="20" t="s">
        <v>118</v>
      </c>
      <c r="D368" s="9" t="s">
        <v>213</v>
      </c>
      <c r="E368" s="5">
        <v>200</v>
      </c>
      <c r="F368" s="40"/>
      <c r="G368" s="10">
        <f t="shared" si="51"/>
        <v>0.5</v>
      </c>
      <c r="H368" s="10">
        <f t="shared" si="51"/>
        <v>40.5</v>
      </c>
    </row>
    <row r="369" spans="1:8" s="203" customFormat="1" ht="47.25" x14ac:dyDescent="0.25">
      <c r="A369" s="25" t="s">
        <v>133</v>
      </c>
      <c r="B369" s="40" t="s">
        <v>696</v>
      </c>
      <c r="C369" s="20" t="s">
        <v>118</v>
      </c>
      <c r="D369" s="9" t="s">
        <v>213</v>
      </c>
      <c r="E369" s="5">
        <v>240</v>
      </c>
      <c r="F369" s="40"/>
      <c r="G369" s="10">
        <f>'Пр.4 ведом.22'!G47</f>
        <v>0.5</v>
      </c>
      <c r="H369" s="10">
        <f>H370</f>
        <v>40.5</v>
      </c>
    </row>
    <row r="370" spans="1:8" s="203" customFormat="1" ht="31.5" x14ac:dyDescent="0.25">
      <c r="A370" s="25" t="s">
        <v>148</v>
      </c>
      <c r="B370" s="40" t="s">
        <v>696</v>
      </c>
      <c r="C370" s="20" t="s">
        <v>118</v>
      </c>
      <c r="D370" s="9" t="s">
        <v>213</v>
      </c>
      <c r="E370" s="5">
        <v>240</v>
      </c>
      <c r="F370" s="40" t="s">
        <v>641</v>
      </c>
      <c r="G370" s="10">
        <f>G367</f>
        <v>0.5</v>
      </c>
      <c r="H370" s="10">
        <f>'пр.6.1.ведом.22-23'!H48</f>
        <v>40.5</v>
      </c>
    </row>
    <row r="371" spans="1:8" ht="78.75" x14ac:dyDescent="0.25">
      <c r="A371" s="29" t="s">
        <v>149</v>
      </c>
      <c r="B371" s="5" t="s">
        <v>850</v>
      </c>
      <c r="C371" s="40" t="s">
        <v>118</v>
      </c>
      <c r="D371" s="9" t="s">
        <v>150</v>
      </c>
      <c r="E371" s="5"/>
      <c r="F371" s="40"/>
      <c r="G371" s="10">
        <f>G372+G379+G383</f>
        <v>77</v>
      </c>
      <c r="H371" s="10">
        <f>H372+H379+H383</f>
        <v>77</v>
      </c>
    </row>
    <row r="372" spans="1:8" ht="63" x14ac:dyDescent="0.25">
      <c r="A372" s="174" t="s">
        <v>165</v>
      </c>
      <c r="B372" s="40" t="s">
        <v>842</v>
      </c>
      <c r="C372" s="40" t="s">
        <v>118</v>
      </c>
      <c r="D372" s="9" t="s">
        <v>150</v>
      </c>
      <c r="E372" s="40"/>
      <c r="F372" s="40"/>
      <c r="G372" s="10">
        <f>G373+G376</f>
        <v>77</v>
      </c>
      <c r="H372" s="10">
        <f>H373+H376</f>
        <v>77</v>
      </c>
    </row>
    <row r="373" spans="1:8" ht="94.5" x14ac:dyDescent="0.25">
      <c r="A373" s="25" t="s">
        <v>127</v>
      </c>
      <c r="B373" s="40" t="s">
        <v>842</v>
      </c>
      <c r="C373" s="40" t="s">
        <v>118</v>
      </c>
      <c r="D373" s="9" t="s">
        <v>150</v>
      </c>
      <c r="E373" s="40" t="s">
        <v>128</v>
      </c>
      <c r="F373" s="40"/>
      <c r="G373" s="10">
        <f>G374</f>
        <v>37</v>
      </c>
      <c r="H373" s="10">
        <f>H374</f>
        <v>37</v>
      </c>
    </row>
    <row r="374" spans="1:8" ht="31.5" x14ac:dyDescent="0.25">
      <c r="A374" s="25" t="s">
        <v>129</v>
      </c>
      <c r="B374" s="40" t="s">
        <v>842</v>
      </c>
      <c r="C374" s="40" t="s">
        <v>118</v>
      </c>
      <c r="D374" s="9" t="s">
        <v>150</v>
      </c>
      <c r="E374" s="40" t="s">
        <v>130</v>
      </c>
      <c r="F374" s="40"/>
      <c r="G374" s="10">
        <f>'пр.6.1.ведом.22-23'!G97</f>
        <v>37</v>
      </c>
      <c r="H374" s="10">
        <f>'пр.6.1.ведом.22-23'!H97</f>
        <v>37</v>
      </c>
    </row>
    <row r="375" spans="1:8" ht="31.5" x14ac:dyDescent="0.25">
      <c r="A375" s="29" t="s">
        <v>1322</v>
      </c>
      <c r="B375" s="40" t="s">
        <v>842</v>
      </c>
      <c r="C375" s="40" t="s">
        <v>118</v>
      </c>
      <c r="D375" s="9" t="s">
        <v>150</v>
      </c>
      <c r="E375" s="40" t="s">
        <v>130</v>
      </c>
      <c r="F375" s="40" t="s">
        <v>641</v>
      </c>
      <c r="G375" s="10">
        <f>G374</f>
        <v>37</v>
      </c>
      <c r="H375" s="10">
        <f>H374</f>
        <v>37</v>
      </c>
    </row>
    <row r="376" spans="1:8" ht="31.5" x14ac:dyDescent="0.25">
      <c r="A376" s="25" t="s">
        <v>131</v>
      </c>
      <c r="B376" s="40" t="s">
        <v>842</v>
      </c>
      <c r="C376" s="40" t="s">
        <v>118</v>
      </c>
      <c r="D376" s="9" t="s">
        <v>150</v>
      </c>
      <c r="E376" s="40" t="s">
        <v>132</v>
      </c>
      <c r="F376" s="40"/>
      <c r="G376" s="10">
        <f>G377</f>
        <v>40</v>
      </c>
      <c r="H376" s="10">
        <f>H377</f>
        <v>40</v>
      </c>
    </row>
    <row r="377" spans="1:8" ht="47.25" x14ac:dyDescent="0.25">
      <c r="A377" s="25" t="s">
        <v>133</v>
      </c>
      <c r="B377" s="40" t="s">
        <v>842</v>
      </c>
      <c r="C377" s="40" t="s">
        <v>118</v>
      </c>
      <c r="D377" s="9" t="s">
        <v>150</v>
      </c>
      <c r="E377" s="40" t="s">
        <v>134</v>
      </c>
      <c r="F377" s="40"/>
      <c r="G377" s="10">
        <f>'пр.6.1.ведом.22-23'!G99</f>
        <v>40</v>
      </c>
      <c r="H377" s="10">
        <f>'пр.6.1.ведом.22-23'!H99</f>
        <v>40</v>
      </c>
    </row>
    <row r="378" spans="1:8" ht="31.5" x14ac:dyDescent="0.25">
      <c r="A378" s="29" t="s">
        <v>148</v>
      </c>
      <c r="B378" s="40" t="s">
        <v>842</v>
      </c>
      <c r="C378" s="40" t="s">
        <v>118</v>
      </c>
      <c r="D378" s="9" t="s">
        <v>150</v>
      </c>
      <c r="E378" s="40" t="s">
        <v>134</v>
      </c>
      <c r="F378" s="40" t="s">
        <v>641</v>
      </c>
      <c r="G378" s="10">
        <f>G377</f>
        <v>40</v>
      </c>
      <c r="H378" s="10">
        <f>H377</f>
        <v>40</v>
      </c>
    </row>
    <row r="379" spans="1:8" ht="63" hidden="1" x14ac:dyDescent="0.25">
      <c r="A379" s="31" t="s">
        <v>695</v>
      </c>
      <c r="B379" s="40" t="s">
        <v>993</v>
      </c>
      <c r="C379" s="40" t="s">
        <v>118</v>
      </c>
      <c r="D379" s="9" t="s">
        <v>150</v>
      </c>
      <c r="E379" s="5"/>
      <c r="F379" s="40"/>
      <c r="G379" s="10">
        <f>G380</f>
        <v>0</v>
      </c>
      <c r="H379" s="10">
        <f>H380</f>
        <v>0</v>
      </c>
    </row>
    <row r="380" spans="1:8" ht="31.5" hidden="1" x14ac:dyDescent="0.25">
      <c r="A380" s="25" t="s">
        <v>131</v>
      </c>
      <c r="B380" s="40" t="s">
        <v>993</v>
      </c>
      <c r="C380" s="40" t="s">
        <v>118</v>
      </c>
      <c r="D380" s="9" t="s">
        <v>150</v>
      </c>
      <c r="E380" s="5">
        <v>200</v>
      </c>
      <c r="F380" s="40"/>
      <c r="G380" s="10">
        <f>G381</f>
        <v>0</v>
      </c>
      <c r="H380" s="10">
        <f>H381</f>
        <v>0</v>
      </c>
    </row>
    <row r="381" spans="1:8" ht="47.25" hidden="1" x14ac:dyDescent="0.25">
      <c r="A381" s="25" t="s">
        <v>133</v>
      </c>
      <c r="B381" s="40" t="s">
        <v>993</v>
      </c>
      <c r="C381" s="40" t="s">
        <v>118</v>
      </c>
      <c r="D381" s="9" t="s">
        <v>150</v>
      </c>
      <c r="E381" s="5">
        <v>240</v>
      </c>
      <c r="F381" s="40"/>
      <c r="G381" s="10">
        <f>'Пр.4 ведом.22'!G96</f>
        <v>0</v>
      </c>
      <c r="H381" s="10">
        <f>'пр.6.1.ведом.22-23'!H102</f>
        <v>0</v>
      </c>
    </row>
    <row r="382" spans="1:8" ht="31.5" hidden="1" x14ac:dyDescent="0.25">
      <c r="A382" s="29" t="s">
        <v>148</v>
      </c>
      <c r="B382" s="40" t="s">
        <v>993</v>
      </c>
      <c r="C382" s="40" t="s">
        <v>118</v>
      </c>
      <c r="D382" s="9" t="s">
        <v>150</v>
      </c>
      <c r="E382" s="5">
        <v>240</v>
      </c>
      <c r="F382" s="40" t="s">
        <v>641</v>
      </c>
      <c r="G382" s="10">
        <f>G381</f>
        <v>0</v>
      </c>
      <c r="H382" s="10">
        <f>H381</f>
        <v>0</v>
      </c>
    </row>
    <row r="383" spans="1:8" ht="63" hidden="1" x14ac:dyDescent="0.25">
      <c r="A383" s="31" t="s">
        <v>695</v>
      </c>
      <c r="B383" s="20" t="s">
        <v>992</v>
      </c>
      <c r="C383" s="40" t="s">
        <v>118</v>
      </c>
      <c r="D383" s="9" t="s">
        <v>150</v>
      </c>
      <c r="E383" s="5"/>
      <c r="F383" s="40"/>
      <c r="G383" s="10">
        <f>G384</f>
        <v>0</v>
      </c>
      <c r="H383" s="10">
        <f>H384</f>
        <v>0</v>
      </c>
    </row>
    <row r="384" spans="1:8" ht="31.5" hidden="1" x14ac:dyDescent="0.25">
      <c r="A384" s="25" t="s">
        <v>131</v>
      </c>
      <c r="B384" s="20" t="s">
        <v>992</v>
      </c>
      <c r="C384" s="40" t="s">
        <v>118</v>
      </c>
      <c r="D384" s="9" t="s">
        <v>150</v>
      </c>
      <c r="E384" s="5">
        <v>200</v>
      </c>
      <c r="F384" s="40"/>
      <c r="G384" s="10">
        <f>G385</f>
        <v>0</v>
      </c>
      <c r="H384" s="10">
        <f>H385</f>
        <v>0</v>
      </c>
    </row>
    <row r="385" spans="1:8" ht="47.25" hidden="1" x14ac:dyDescent="0.25">
      <c r="A385" s="25" t="s">
        <v>133</v>
      </c>
      <c r="B385" s="20" t="s">
        <v>992</v>
      </c>
      <c r="C385" s="40" t="s">
        <v>118</v>
      </c>
      <c r="D385" s="9" t="s">
        <v>150</v>
      </c>
      <c r="E385" s="5">
        <v>240</v>
      </c>
      <c r="F385" s="40"/>
      <c r="G385" s="10">
        <f>'пр.6.1.ведом.22-23'!G105</f>
        <v>0</v>
      </c>
      <c r="H385" s="10">
        <f>'пр.6.1.ведом.22-23'!H105</f>
        <v>0</v>
      </c>
    </row>
    <row r="386" spans="1:8" ht="31.5" hidden="1" x14ac:dyDescent="0.25">
      <c r="A386" s="29" t="s">
        <v>148</v>
      </c>
      <c r="B386" s="20" t="s">
        <v>992</v>
      </c>
      <c r="C386" s="40" t="s">
        <v>118</v>
      </c>
      <c r="D386" s="9" t="s">
        <v>150</v>
      </c>
      <c r="E386" s="5">
        <v>240</v>
      </c>
      <c r="F386" s="40" t="s">
        <v>641</v>
      </c>
      <c r="G386" s="10">
        <f>G385</f>
        <v>0</v>
      </c>
      <c r="H386" s="10">
        <f>H385</f>
        <v>0</v>
      </c>
    </row>
    <row r="387" spans="1:8" ht="78.75" x14ac:dyDescent="0.25">
      <c r="A387" s="221" t="s">
        <v>1003</v>
      </c>
      <c r="B387" s="7" t="s">
        <v>851</v>
      </c>
      <c r="C387" s="7"/>
      <c r="D387" s="8"/>
      <c r="E387" s="7"/>
      <c r="F387" s="7"/>
      <c r="G387" s="59">
        <f>G388</f>
        <v>0.5</v>
      </c>
      <c r="H387" s="59" t="e">
        <f>H388</f>
        <v>#REF!</v>
      </c>
    </row>
    <row r="388" spans="1:8" s="203" customFormat="1" ht="15.75" x14ac:dyDescent="0.25">
      <c r="A388" s="45" t="s">
        <v>117</v>
      </c>
      <c r="B388" s="40" t="s">
        <v>851</v>
      </c>
      <c r="C388" s="40" t="s">
        <v>118</v>
      </c>
      <c r="D388" s="9"/>
      <c r="E388" s="7"/>
      <c r="F388" s="7"/>
      <c r="G388" s="10">
        <f>G389</f>
        <v>0.5</v>
      </c>
      <c r="H388" s="10" t="e">
        <f>H389</f>
        <v>#REF!</v>
      </c>
    </row>
    <row r="389" spans="1:8" s="203" customFormat="1" ht="78.75" x14ac:dyDescent="0.25">
      <c r="A389" s="29" t="s">
        <v>149</v>
      </c>
      <c r="B389" s="40" t="s">
        <v>851</v>
      </c>
      <c r="C389" s="40" t="s">
        <v>118</v>
      </c>
      <c r="D389" s="9" t="s">
        <v>150</v>
      </c>
      <c r="E389" s="7"/>
      <c r="F389" s="7"/>
      <c r="G389" s="10">
        <f>G390</f>
        <v>0.5</v>
      </c>
      <c r="H389" s="10" t="e">
        <f>H390+H394</f>
        <v>#REF!</v>
      </c>
    </row>
    <row r="390" spans="1:8" ht="63" x14ac:dyDescent="0.25">
      <c r="A390" s="33" t="s">
        <v>191</v>
      </c>
      <c r="B390" s="40" t="s">
        <v>844</v>
      </c>
      <c r="C390" s="40" t="s">
        <v>118</v>
      </c>
      <c r="D390" s="9" t="s">
        <v>150</v>
      </c>
      <c r="E390" s="40"/>
      <c r="F390" s="40"/>
      <c r="G390" s="10">
        <f>G391</f>
        <v>0.5</v>
      </c>
      <c r="H390" s="10">
        <f>H391</f>
        <v>0.5</v>
      </c>
    </row>
    <row r="391" spans="1:8" ht="31.5" x14ac:dyDescent="0.25">
      <c r="A391" s="25" t="s">
        <v>131</v>
      </c>
      <c r="B391" s="40" t="s">
        <v>844</v>
      </c>
      <c r="C391" s="40" t="s">
        <v>118</v>
      </c>
      <c r="D391" s="9" t="s">
        <v>150</v>
      </c>
      <c r="E391" s="40" t="s">
        <v>132</v>
      </c>
      <c r="F391" s="40"/>
      <c r="G391" s="10">
        <f>G392</f>
        <v>0.5</v>
      </c>
      <c r="H391" s="10">
        <f>H392</f>
        <v>0.5</v>
      </c>
    </row>
    <row r="392" spans="1:8" ht="47.25" x14ac:dyDescent="0.25">
      <c r="A392" s="25" t="s">
        <v>133</v>
      </c>
      <c r="B392" s="40" t="s">
        <v>844</v>
      </c>
      <c r="C392" s="40" t="s">
        <v>118</v>
      </c>
      <c r="D392" s="9" t="s">
        <v>150</v>
      </c>
      <c r="E392" s="40" t="s">
        <v>134</v>
      </c>
      <c r="F392" s="40"/>
      <c r="G392" s="10">
        <f>'пр.6.1.ведом.22-23'!G109</f>
        <v>0.5</v>
      </c>
      <c r="H392" s="10">
        <f>'пр.6.1.ведом.22-23'!H109</f>
        <v>0.5</v>
      </c>
    </row>
    <row r="393" spans="1:8" ht="31.5" x14ac:dyDescent="0.25">
      <c r="A393" s="29" t="s">
        <v>148</v>
      </c>
      <c r="B393" s="40" t="s">
        <v>844</v>
      </c>
      <c r="C393" s="40" t="s">
        <v>118</v>
      </c>
      <c r="D393" s="9" t="s">
        <v>150</v>
      </c>
      <c r="E393" s="40" t="s">
        <v>134</v>
      </c>
      <c r="F393" s="40" t="s">
        <v>641</v>
      </c>
      <c r="G393" s="10">
        <f>G392</f>
        <v>0.5</v>
      </c>
      <c r="H393" s="10">
        <f>H392</f>
        <v>0.5</v>
      </c>
    </row>
    <row r="394" spans="1:8" ht="63" hidden="1" x14ac:dyDescent="0.25">
      <c r="A394" s="33" t="s">
        <v>191</v>
      </c>
      <c r="B394" s="20" t="s">
        <v>845</v>
      </c>
      <c r="C394" s="40" t="s">
        <v>118</v>
      </c>
      <c r="D394" s="9" t="s">
        <v>150</v>
      </c>
      <c r="E394" s="40"/>
      <c r="F394" s="40"/>
      <c r="G394" s="10" t="e">
        <f>G395</f>
        <v>#REF!</v>
      </c>
      <c r="H394" s="10" t="e">
        <f>H395</f>
        <v>#REF!</v>
      </c>
    </row>
    <row r="395" spans="1:8" ht="31.5" hidden="1" x14ac:dyDescent="0.25">
      <c r="A395" s="25" t="s">
        <v>131</v>
      </c>
      <c r="B395" s="20" t="s">
        <v>845</v>
      </c>
      <c r="C395" s="40" t="s">
        <v>118</v>
      </c>
      <c r="D395" s="9" t="s">
        <v>150</v>
      </c>
      <c r="E395" s="40" t="s">
        <v>132</v>
      </c>
      <c r="F395" s="40"/>
      <c r="G395" s="10" t="e">
        <f>G396</f>
        <v>#REF!</v>
      </c>
      <c r="H395" s="10" t="e">
        <f>H396</f>
        <v>#REF!</v>
      </c>
    </row>
    <row r="396" spans="1:8" ht="47.25" hidden="1" x14ac:dyDescent="0.25">
      <c r="A396" s="25" t="s">
        <v>133</v>
      </c>
      <c r="B396" s="20" t="s">
        <v>845</v>
      </c>
      <c r="C396" s="40" t="s">
        <v>118</v>
      </c>
      <c r="D396" s="9" t="s">
        <v>150</v>
      </c>
      <c r="E396" s="40" t="s">
        <v>134</v>
      </c>
      <c r="F396" s="40"/>
      <c r="G396" s="10" t="e">
        <f>'пр.6.1.ведом.22-23'!G112</f>
        <v>#REF!</v>
      </c>
      <c r="H396" s="10" t="e">
        <f>'пр.6.1.ведом.22-23'!H112</f>
        <v>#REF!</v>
      </c>
    </row>
    <row r="397" spans="1:8" ht="31.5" hidden="1" x14ac:dyDescent="0.25">
      <c r="A397" s="29" t="s">
        <v>148</v>
      </c>
      <c r="B397" s="20" t="s">
        <v>845</v>
      </c>
      <c r="C397" s="40" t="s">
        <v>118</v>
      </c>
      <c r="D397" s="9" t="s">
        <v>150</v>
      </c>
      <c r="E397" s="40" t="s">
        <v>134</v>
      </c>
      <c r="F397" s="40" t="s">
        <v>641</v>
      </c>
      <c r="G397" s="10" t="e">
        <f>G396</f>
        <v>#REF!</v>
      </c>
      <c r="H397" s="10" t="e">
        <f>H396</f>
        <v>#REF!</v>
      </c>
    </row>
    <row r="398" spans="1:8" ht="63" x14ac:dyDescent="0.25">
      <c r="A398" s="41" t="s">
        <v>1346</v>
      </c>
      <c r="B398" s="194" t="s">
        <v>254</v>
      </c>
      <c r="C398" s="40"/>
      <c r="D398" s="40"/>
      <c r="E398" s="40"/>
      <c r="F398" s="40"/>
      <c r="G398" s="59">
        <f t="shared" ref="G398:H398" si="52">G400</f>
        <v>10</v>
      </c>
      <c r="H398" s="59">
        <f t="shared" si="52"/>
        <v>10</v>
      </c>
    </row>
    <row r="399" spans="1:8" ht="47.25" x14ac:dyDescent="0.25">
      <c r="A399" s="23" t="s">
        <v>884</v>
      </c>
      <c r="B399" s="24" t="s">
        <v>882</v>
      </c>
      <c r="C399" s="40"/>
      <c r="D399" s="40"/>
      <c r="E399" s="40"/>
      <c r="F399" s="40"/>
      <c r="G399" s="59">
        <f t="shared" ref="G399:H400" si="53">G400</f>
        <v>10</v>
      </c>
      <c r="H399" s="59">
        <f t="shared" si="53"/>
        <v>10</v>
      </c>
    </row>
    <row r="400" spans="1:8" ht="15.75" x14ac:dyDescent="0.25">
      <c r="A400" s="29" t="s">
        <v>243</v>
      </c>
      <c r="B400" s="5" t="s">
        <v>882</v>
      </c>
      <c r="C400" s="40" t="s">
        <v>244</v>
      </c>
      <c r="D400" s="40"/>
      <c r="E400" s="40"/>
      <c r="F400" s="40"/>
      <c r="G400" s="10">
        <f t="shared" si="53"/>
        <v>10</v>
      </c>
      <c r="H400" s="10">
        <f t="shared" si="53"/>
        <v>10</v>
      </c>
    </row>
    <row r="401" spans="1:8" ht="15.75" x14ac:dyDescent="0.25">
      <c r="A401" s="29" t="s">
        <v>252</v>
      </c>
      <c r="B401" s="5" t="s">
        <v>882</v>
      </c>
      <c r="C401" s="40" t="s">
        <v>244</v>
      </c>
      <c r="D401" s="40" t="s">
        <v>215</v>
      </c>
      <c r="E401" s="40"/>
      <c r="F401" s="40"/>
      <c r="G401" s="10">
        <f>G402</f>
        <v>10</v>
      </c>
      <c r="H401" s="10">
        <f>H402</f>
        <v>10</v>
      </c>
    </row>
    <row r="402" spans="1:8" ht="31.5" x14ac:dyDescent="0.25">
      <c r="A402" s="25" t="s">
        <v>883</v>
      </c>
      <c r="B402" s="20" t="s">
        <v>1188</v>
      </c>
      <c r="C402" s="40" t="s">
        <v>244</v>
      </c>
      <c r="D402" s="40" t="s">
        <v>215</v>
      </c>
      <c r="E402" s="40"/>
      <c r="F402" s="40"/>
      <c r="G402" s="10">
        <f t="shared" ref="G402:H403" si="54">G403</f>
        <v>10</v>
      </c>
      <c r="H402" s="10">
        <f t="shared" si="54"/>
        <v>10</v>
      </c>
    </row>
    <row r="403" spans="1:8" ht="31.5" x14ac:dyDescent="0.25">
      <c r="A403" s="25" t="s">
        <v>248</v>
      </c>
      <c r="B403" s="20" t="s">
        <v>1188</v>
      </c>
      <c r="C403" s="40" t="s">
        <v>244</v>
      </c>
      <c r="D403" s="40" t="s">
        <v>215</v>
      </c>
      <c r="E403" s="40" t="s">
        <v>249</v>
      </c>
      <c r="F403" s="40"/>
      <c r="G403" s="10">
        <f t="shared" si="54"/>
        <v>10</v>
      </c>
      <c r="H403" s="10">
        <f t="shared" si="54"/>
        <v>10</v>
      </c>
    </row>
    <row r="404" spans="1:8" ht="47.25" x14ac:dyDescent="0.25">
      <c r="A404" s="25" t="s">
        <v>250</v>
      </c>
      <c r="B404" s="20" t="s">
        <v>1188</v>
      </c>
      <c r="C404" s="40" t="s">
        <v>244</v>
      </c>
      <c r="D404" s="40" t="s">
        <v>215</v>
      </c>
      <c r="E404" s="40" t="s">
        <v>251</v>
      </c>
      <c r="F404" s="40"/>
      <c r="G404" s="10">
        <f>'пр.6.1.ведом.22-23'!G230</f>
        <v>10</v>
      </c>
      <c r="H404" s="10">
        <f>'пр.6.1.ведом.22-23'!H230</f>
        <v>10</v>
      </c>
    </row>
    <row r="405" spans="1:8" ht="31.5" x14ac:dyDescent="0.25">
      <c r="A405" s="29" t="s">
        <v>148</v>
      </c>
      <c r="B405" s="20" t="s">
        <v>1188</v>
      </c>
      <c r="C405" s="40" t="s">
        <v>244</v>
      </c>
      <c r="D405" s="40" t="s">
        <v>215</v>
      </c>
      <c r="E405" s="40" t="s">
        <v>251</v>
      </c>
      <c r="F405" s="40" t="s">
        <v>641</v>
      </c>
      <c r="G405" s="10">
        <f>G404</f>
        <v>10</v>
      </c>
      <c r="H405" s="10">
        <f>H404</f>
        <v>10</v>
      </c>
    </row>
    <row r="406" spans="1:8" ht="47.25" x14ac:dyDescent="0.25">
      <c r="A406" s="41" t="s">
        <v>1369</v>
      </c>
      <c r="B406" s="3" t="s">
        <v>482</v>
      </c>
      <c r="C406" s="68"/>
      <c r="D406" s="68"/>
      <c r="E406" s="68"/>
      <c r="F406" s="68"/>
      <c r="G406" s="4">
        <f>G407+G414+G429+G440+G447</f>
        <v>52873.1</v>
      </c>
      <c r="H406" s="4">
        <f>H407+H414+H429+H440+H447</f>
        <v>52873.1</v>
      </c>
    </row>
    <row r="407" spans="1:8" ht="47.25" x14ac:dyDescent="0.25">
      <c r="A407" s="23" t="s">
        <v>937</v>
      </c>
      <c r="B407" s="24" t="s">
        <v>1263</v>
      </c>
      <c r="C407" s="7"/>
      <c r="D407" s="7"/>
      <c r="E407" s="223"/>
      <c r="F407" s="194"/>
      <c r="G407" s="59">
        <f>G408</f>
        <v>47819.6</v>
      </c>
      <c r="H407" s="59">
        <f>H408</f>
        <v>47819.6</v>
      </c>
    </row>
    <row r="408" spans="1:8" ht="15.75" x14ac:dyDescent="0.25">
      <c r="A408" s="29" t="s">
        <v>490</v>
      </c>
      <c r="B408" s="40" t="s">
        <v>1263</v>
      </c>
      <c r="C408" s="2">
        <v>11</v>
      </c>
      <c r="D408" s="68"/>
      <c r="E408" s="68"/>
      <c r="F408" s="68"/>
      <c r="G408" s="10">
        <f t="shared" ref="G408:H408" si="55">G409</f>
        <v>47819.6</v>
      </c>
      <c r="H408" s="10">
        <f t="shared" si="55"/>
        <v>47819.6</v>
      </c>
    </row>
    <row r="409" spans="1:8" ht="16.5" x14ac:dyDescent="0.25">
      <c r="A409" s="29" t="s">
        <v>492</v>
      </c>
      <c r="B409" s="40" t="s">
        <v>1263</v>
      </c>
      <c r="C409" s="40" t="s">
        <v>491</v>
      </c>
      <c r="D409" s="40" t="s">
        <v>118</v>
      </c>
      <c r="E409" s="71"/>
      <c r="F409" s="5"/>
      <c r="G409" s="10">
        <f t="shared" ref="G409:H411" si="56">G410</f>
        <v>47819.6</v>
      </c>
      <c r="H409" s="10">
        <f t="shared" si="56"/>
        <v>47819.6</v>
      </c>
    </row>
    <row r="410" spans="1:8" ht="47.25" x14ac:dyDescent="0.25">
      <c r="A410" s="25" t="s">
        <v>1293</v>
      </c>
      <c r="B410" s="20" t="s">
        <v>1264</v>
      </c>
      <c r="C410" s="40" t="s">
        <v>491</v>
      </c>
      <c r="D410" s="40" t="s">
        <v>118</v>
      </c>
      <c r="E410" s="71"/>
      <c r="F410" s="5"/>
      <c r="G410" s="10">
        <f t="shared" si="56"/>
        <v>47819.6</v>
      </c>
      <c r="H410" s="10">
        <f t="shared" si="56"/>
        <v>47819.6</v>
      </c>
    </row>
    <row r="411" spans="1:8" ht="47.25" x14ac:dyDescent="0.25">
      <c r="A411" s="29" t="s">
        <v>272</v>
      </c>
      <c r="B411" s="20" t="s">
        <v>1264</v>
      </c>
      <c r="C411" s="40" t="s">
        <v>491</v>
      </c>
      <c r="D411" s="40" t="s">
        <v>118</v>
      </c>
      <c r="E411" s="40" t="s">
        <v>273</v>
      </c>
      <c r="F411" s="5"/>
      <c r="G411" s="10">
        <f t="shared" si="56"/>
        <v>47819.6</v>
      </c>
      <c r="H411" s="10">
        <f t="shared" si="56"/>
        <v>47819.6</v>
      </c>
    </row>
    <row r="412" spans="1:8" ht="15.75" x14ac:dyDescent="0.25">
      <c r="A412" s="29" t="s">
        <v>274</v>
      </c>
      <c r="B412" s="20" t="s">
        <v>1264</v>
      </c>
      <c r="C412" s="40" t="s">
        <v>491</v>
      </c>
      <c r="D412" s="40" t="s">
        <v>118</v>
      </c>
      <c r="E412" s="40" t="s">
        <v>275</v>
      </c>
      <c r="F412" s="5"/>
      <c r="G412" s="10">
        <f>'пр.6.1.ведом.22-23'!G770</f>
        <v>47819.6</v>
      </c>
      <c r="H412" s="10">
        <f>'пр.6.1.ведом.22-23'!H770</f>
        <v>47819.6</v>
      </c>
    </row>
    <row r="413" spans="1:8" ht="47.25" x14ac:dyDescent="0.25">
      <c r="A413" s="45" t="s">
        <v>480</v>
      </c>
      <c r="B413" s="20" t="s">
        <v>1264</v>
      </c>
      <c r="C413" s="40" t="s">
        <v>491</v>
      </c>
      <c r="D413" s="40" t="s">
        <v>118</v>
      </c>
      <c r="E413" s="40" t="s">
        <v>275</v>
      </c>
      <c r="F413" s="5">
        <v>907</v>
      </c>
      <c r="G413" s="10">
        <f>G412</f>
        <v>47819.6</v>
      </c>
      <c r="H413" s="10">
        <f>H412</f>
        <v>47819.6</v>
      </c>
    </row>
    <row r="414" spans="1:8" ht="31.5" x14ac:dyDescent="0.25">
      <c r="A414" s="23" t="s">
        <v>945</v>
      </c>
      <c r="B414" s="24" t="s">
        <v>1265</v>
      </c>
      <c r="C414" s="7"/>
      <c r="D414" s="7"/>
      <c r="E414" s="7"/>
      <c r="F414" s="194"/>
      <c r="G414" s="59">
        <f>G415</f>
        <v>36</v>
      </c>
      <c r="H414" s="59">
        <f>H415</f>
        <v>36</v>
      </c>
    </row>
    <row r="415" spans="1:8" ht="15.75" x14ac:dyDescent="0.25">
      <c r="A415" s="29" t="s">
        <v>490</v>
      </c>
      <c r="B415" s="20" t="s">
        <v>1265</v>
      </c>
      <c r="C415" s="2">
        <v>11</v>
      </c>
      <c r="D415" s="68"/>
      <c r="E415" s="68"/>
      <c r="F415" s="68"/>
      <c r="G415" s="10">
        <f t="shared" ref="G415:H415" si="57">G416</f>
        <v>36</v>
      </c>
      <c r="H415" s="10">
        <f t="shared" si="57"/>
        <v>36</v>
      </c>
    </row>
    <row r="416" spans="1:8" ht="16.5" x14ac:dyDescent="0.25">
      <c r="A416" s="29" t="s">
        <v>492</v>
      </c>
      <c r="B416" s="20" t="s">
        <v>1265</v>
      </c>
      <c r="C416" s="40" t="s">
        <v>491</v>
      </c>
      <c r="D416" s="40" t="s">
        <v>118</v>
      </c>
      <c r="E416" s="71"/>
      <c r="F416" s="5"/>
      <c r="G416" s="10">
        <f>G417+G421+G425</f>
        <v>36</v>
      </c>
      <c r="H416" s="10">
        <f>H417+H421+H425</f>
        <v>36</v>
      </c>
    </row>
    <row r="417" spans="1:8" ht="47.25" hidden="1" x14ac:dyDescent="0.25">
      <c r="A417" s="29" t="s">
        <v>278</v>
      </c>
      <c r="B417" s="20" t="s">
        <v>1323</v>
      </c>
      <c r="C417" s="40" t="s">
        <v>491</v>
      </c>
      <c r="D417" s="40" t="s">
        <v>118</v>
      </c>
      <c r="E417" s="40"/>
      <c r="F417" s="5"/>
      <c r="G417" s="10">
        <f t="shared" ref="G417:H418" si="58">G418</f>
        <v>0</v>
      </c>
      <c r="H417" s="10">
        <f t="shared" si="58"/>
        <v>0</v>
      </c>
    </row>
    <row r="418" spans="1:8" ht="47.25" hidden="1" x14ac:dyDescent="0.25">
      <c r="A418" s="29" t="s">
        <v>272</v>
      </c>
      <c r="B418" s="20" t="s">
        <v>1323</v>
      </c>
      <c r="C418" s="40" t="s">
        <v>491</v>
      </c>
      <c r="D418" s="40" t="s">
        <v>118</v>
      </c>
      <c r="E418" s="40" t="s">
        <v>273</v>
      </c>
      <c r="F418" s="5"/>
      <c r="G418" s="10">
        <f t="shared" si="58"/>
        <v>0</v>
      </c>
      <c r="H418" s="10">
        <f t="shared" si="58"/>
        <v>0</v>
      </c>
    </row>
    <row r="419" spans="1:8" ht="15.75" hidden="1" x14ac:dyDescent="0.25">
      <c r="A419" s="29" t="s">
        <v>274</v>
      </c>
      <c r="B419" s="20" t="s">
        <v>1323</v>
      </c>
      <c r="C419" s="40" t="s">
        <v>491</v>
      </c>
      <c r="D419" s="40" t="s">
        <v>118</v>
      </c>
      <c r="E419" s="40" t="s">
        <v>275</v>
      </c>
      <c r="F419" s="5"/>
      <c r="G419" s="10">
        <f>'пр.6.1.ведом.22-23'!G774</f>
        <v>0</v>
      </c>
      <c r="H419" s="10">
        <f>'пр.6.1.ведом.22-23'!H774</f>
        <v>0</v>
      </c>
    </row>
    <row r="420" spans="1:8" ht="47.25" hidden="1" x14ac:dyDescent="0.25">
      <c r="A420" s="45" t="s">
        <v>480</v>
      </c>
      <c r="B420" s="20" t="s">
        <v>1323</v>
      </c>
      <c r="C420" s="40" t="s">
        <v>491</v>
      </c>
      <c r="D420" s="40" t="s">
        <v>118</v>
      </c>
      <c r="E420" s="40" t="s">
        <v>275</v>
      </c>
      <c r="F420" s="5">
        <v>907</v>
      </c>
      <c r="G420" s="10">
        <f>G419</f>
        <v>0</v>
      </c>
      <c r="H420" s="10">
        <f>H419</f>
        <v>0</v>
      </c>
    </row>
    <row r="421" spans="1:8" ht="31.5" hidden="1" x14ac:dyDescent="0.25">
      <c r="A421" s="29" t="s">
        <v>280</v>
      </c>
      <c r="B421" s="20" t="s">
        <v>1324</v>
      </c>
      <c r="C421" s="40" t="s">
        <v>491</v>
      </c>
      <c r="D421" s="40" t="s">
        <v>118</v>
      </c>
      <c r="E421" s="40"/>
      <c r="F421" s="5"/>
      <c r="G421" s="10">
        <f t="shared" ref="G421:H422" si="59">G422</f>
        <v>0</v>
      </c>
      <c r="H421" s="10">
        <f t="shared" si="59"/>
        <v>0</v>
      </c>
    </row>
    <row r="422" spans="1:8" ht="47.25" hidden="1" x14ac:dyDescent="0.25">
      <c r="A422" s="29" t="s">
        <v>272</v>
      </c>
      <c r="B422" s="20" t="s">
        <v>1324</v>
      </c>
      <c r="C422" s="40" t="s">
        <v>491</v>
      </c>
      <c r="D422" s="40" t="s">
        <v>118</v>
      </c>
      <c r="E422" s="40" t="s">
        <v>273</v>
      </c>
      <c r="F422" s="5"/>
      <c r="G422" s="10">
        <f t="shared" si="59"/>
        <v>0</v>
      </c>
      <c r="H422" s="10">
        <f t="shared" si="59"/>
        <v>0</v>
      </c>
    </row>
    <row r="423" spans="1:8" ht="15.75" hidden="1" x14ac:dyDescent="0.25">
      <c r="A423" s="29" t="s">
        <v>274</v>
      </c>
      <c r="B423" s="20" t="s">
        <v>1324</v>
      </c>
      <c r="C423" s="40" t="s">
        <v>491</v>
      </c>
      <c r="D423" s="40" t="s">
        <v>118</v>
      </c>
      <c r="E423" s="40" t="s">
        <v>275</v>
      </c>
      <c r="F423" s="5"/>
      <c r="G423" s="10">
        <f>'пр.6.1.ведом.22-23'!G777</f>
        <v>0</v>
      </c>
      <c r="H423" s="10">
        <f>'пр.6.1.ведом.22-23'!H777</f>
        <v>0</v>
      </c>
    </row>
    <row r="424" spans="1:8" ht="47.25" hidden="1" x14ac:dyDescent="0.25">
      <c r="A424" s="45" t="s">
        <v>480</v>
      </c>
      <c r="B424" s="20" t="s">
        <v>1324</v>
      </c>
      <c r="C424" s="40" t="s">
        <v>491</v>
      </c>
      <c r="D424" s="40" t="s">
        <v>118</v>
      </c>
      <c r="E424" s="40" t="s">
        <v>275</v>
      </c>
      <c r="F424" s="5">
        <v>907</v>
      </c>
      <c r="G424" s="10">
        <f>G423</f>
        <v>0</v>
      </c>
      <c r="H424" s="10">
        <f>H423</f>
        <v>0</v>
      </c>
    </row>
    <row r="425" spans="1:8" ht="15.75" x14ac:dyDescent="0.25">
      <c r="A425" s="25" t="s">
        <v>830</v>
      </c>
      <c r="B425" s="20" t="s">
        <v>1266</v>
      </c>
      <c r="C425" s="40" t="s">
        <v>491</v>
      </c>
      <c r="D425" s="40" t="s">
        <v>118</v>
      </c>
      <c r="E425" s="40"/>
      <c r="F425" s="5"/>
      <c r="G425" s="10">
        <f>G426</f>
        <v>36</v>
      </c>
      <c r="H425" s="10">
        <f>H426</f>
        <v>36</v>
      </c>
    </row>
    <row r="426" spans="1:8" ht="47.25" x14ac:dyDescent="0.25">
      <c r="A426" s="25" t="s">
        <v>272</v>
      </c>
      <c r="B426" s="20" t="s">
        <v>1266</v>
      </c>
      <c r="C426" s="40" t="s">
        <v>491</v>
      </c>
      <c r="D426" s="40" t="s">
        <v>118</v>
      </c>
      <c r="E426" s="40" t="s">
        <v>273</v>
      </c>
      <c r="F426" s="5"/>
      <c r="G426" s="10">
        <f>G427</f>
        <v>36</v>
      </c>
      <c r="H426" s="10">
        <f>H427</f>
        <v>36</v>
      </c>
    </row>
    <row r="427" spans="1:8" ht="15.75" x14ac:dyDescent="0.25">
      <c r="A427" s="25" t="s">
        <v>274</v>
      </c>
      <c r="B427" s="20" t="s">
        <v>1266</v>
      </c>
      <c r="C427" s="40" t="s">
        <v>491</v>
      </c>
      <c r="D427" s="40" t="s">
        <v>118</v>
      </c>
      <c r="E427" s="40" t="s">
        <v>275</v>
      </c>
      <c r="F427" s="5"/>
      <c r="G427" s="10">
        <f>'пр.6.1.ведом.22-23'!G781</f>
        <v>36</v>
      </c>
      <c r="H427" s="10">
        <f>'пр.6.1.ведом.22-23'!H781</f>
        <v>36</v>
      </c>
    </row>
    <row r="428" spans="1:8" ht="47.25" x14ac:dyDescent="0.25">
      <c r="A428" s="45" t="s">
        <v>480</v>
      </c>
      <c r="B428" s="20" t="s">
        <v>1266</v>
      </c>
      <c r="C428" s="40" t="s">
        <v>491</v>
      </c>
      <c r="D428" s="40" t="s">
        <v>118</v>
      </c>
      <c r="E428" s="40" t="s">
        <v>275</v>
      </c>
      <c r="F428" s="5">
        <v>907</v>
      </c>
      <c r="G428" s="10">
        <f>G427</f>
        <v>36</v>
      </c>
      <c r="H428" s="10">
        <f>H427</f>
        <v>36</v>
      </c>
    </row>
    <row r="429" spans="1:8" ht="47.25" x14ac:dyDescent="0.25">
      <c r="A429" s="23" t="s">
        <v>947</v>
      </c>
      <c r="B429" s="24" t="s">
        <v>1267</v>
      </c>
      <c r="C429" s="7"/>
      <c r="D429" s="7"/>
      <c r="E429" s="7"/>
      <c r="F429" s="194"/>
      <c r="G429" s="59">
        <f>G430</f>
        <v>1204</v>
      </c>
      <c r="H429" s="59">
        <f>H430</f>
        <v>1204</v>
      </c>
    </row>
    <row r="430" spans="1:8" ht="15.75" x14ac:dyDescent="0.25">
      <c r="A430" s="29" t="s">
        <v>490</v>
      </c>
      <c r="B430" s="20" t="s">
        <v>1267</v>
      </c>
      <c r="C430" s="2">
        <v>11</v>
      </c>
      <c r="D430" s="68"/>
      <c r="E430" s="68"/>
      <c r="F430" s="68"/>
      <c r="G430" s="10">
        <f t="shared" ref="G430:H430" si="60">G431</f>
        <v>1204</v>
      </c>
      <c r="H430" s="10">
        <f t="shared" si="60"/>
        <v>1204</v>
      </c>
    </row>
    <row r="431" spans="1:8" ht="16.5" x14ac:dyDescent="0.25">
      <c r="A431" s="29" t="s">
        <v>492</v>
      </c>
      <c r="B431" s="20" t="s">
        <v>1267</v>
      </c>
      <c r="C431" s="40" t="s">
        <v>491</v>
      </c>
      <c r="D431" s="40" t="s">
        <v>118</v>
      </c>
      <c r="E431" s="71"/>
      <c r="F431" s="5"/>
      <c r="G431" s="10">
        <f>G432+G436</f>
        <v>1204</v>
      </c>
      <c r="H431" s="10">
        <f>H432+H436</f>
        <v>1204</v>
      </c>
    </row>
    <row r="432" spans="1:8" ht="31.5" hidden="1" x14ac:dyDescent="0.25">
      <c r="A432" s="29" t="s">
        <v>284</v>
      </c>
      <c r="B432" s="20" t="s">
        <v>1305</v>
      </c>
      <c r="C432" s="40" t="s">
        <v>491</v>
      </c>
      <c r="D432" s="40" t="s">
        <v>118</v>
      </c>
      <c r="E432" s="40"/>
      <c r="F432" s="5"/>
      <c r="G432" s="10">
        <f t="shared" ref="G432:H433" si="61">G433</f>
        <v>0</v>
      </c>
      <c r="H432" s="10">
        <f t="shared" si="61"/>
        <v>0</v>
      </c>
    </row>
    <row r="433" spans="1:8" ht="47.25" hidden="1" x14ac:dyDescent="0.25">
      <c r="A433" s="29" t="s">
        <v>272</v>
      </c>
      <c r="B433" s="20" t="s">
        <v>1305</v>
      </c>
      <c r="C433" s="40" t="s">
        <v>491</v>
      </c>
      <c r="D433" s="40" t="s">
        <v>118</v>
      </c>
      <c r="E433" s="40" t="s">
        <v>273</v>
      </c>
      <c r="F433" s="5"/>
      <c r="G433" s="10">
        <f t="shared" si="61"/>
        <v>0</v>
      </c>
      <c r="H433" s="10">
        <f t="shared" si="61"/>
        <v>0</v>
      </c>
    </row>
    <row r="434" spans="1:8" ht="15.75" hidden="1" x14ac:dyDescent="0.25">
      <c r="A434" s="29" t="s">
        <v>274</v>
      </c>
      <c r="B434" s="20" t="s">
        <v>1305</v>
      </c>
      <c r="C434" s="40" t="s">
        <v>491</v>
      </c>
      <c r="D434" s="40" t="s">
        <v>118</v>
      </c>
      <c r="E434" s="40" t="s">
        <v>275</v>
      </c>
      <c r="F434" s="5"/>
      <c r="G434" s="10">
        <f>'пр.6.1.ведом.22-23'!G785</f>
        <v>0</v>
      </c>
      <c r="H434" s="10">
        <f>'пр.6.1.ведом.22-23'!H785</f>
        <v>0</v>
      </c>
    </row>
    <row r="435" spans="1:8" ht="47.25" hidden="1" x14ac:dyDescent="0.25">
      <c r="A435" s="45" t="s">
        <v>480</v>
      </c>
      <c r="B435" s="20" t="s">
        <v>1305</v>
      </c>
      <c r="C435" s="40" t="s">
        <v>491</v>
      </c>
      <c r="D435" s="40" t="s">
        <v>118</v>
      </c>
      <c r="E435" s="40" t="s">
        <v>275</v>
      </c>
      <c r="F435" s="5">
        <v>907</v>
      </c>
      <c r="G435" s="10">
        <f>G434</f>
        <v>0</v>
      </c>
      <c r="H435" s="10">
        <f>H434</f>
        <v>0</v>
      </c>
    </row>
    <row r="436" spans="1:8" ht="47.25" x14ac:dyDescent="0.25">
      <c r="A436" s="45" t="s">
        <v>764</v>
      </c>
      <c r="B436" s="20" t="s">
        <v>1268</v>
      </c>
      <c r="C436" s="40" t="s">
        <v>491</v>
      </c>
      <c r="D436" s="40" t="s">
        <v>118</v>
      </c>
      <c r="E436" s="40"/>
      <c r="F436" s="5"/>
      <c r="G436" s="10">
        <f t="shared" ref="G436:H437" si="62">G437</f>
        <v>1204</v>
      </c>
      <c r="H436" s="10">
        <f t="shared" si="62"/>
        <v>1204</v>
      </c>
    </row>
    <row r="437" spans="1:8" ht="47.25" x14ac:dyDescent="0.25">
      <c r="A437" s="31" t="s">
        <v>272</v>
      </c>
      <c r="B437" s="20" t="s">
        <v>1268</v>
      </c>
      <c r="C437" s="40" t="s">
        <v>491</v>
      </c>
      <c r="D437" s="40" t="s">
        <v>118</v>
      </c>
      <c r="E437" s="40" t="s">
        <v>273</v>
      </c>
      <c r="F437" s="5"/>
      <c r="G437" s="10">
        <f t="shared" si="62"/>
        <v>1204</v>
      </c>
      <c r="H437" s="10">
        <f t="shared" si="62"/>
        <v>1204</v>
      </c>
    </row>
    <row r="438" spans="1:8" ht="15.75" x14ac:dyDescent="0.25">
      <c r="A438" s="31" t="s">
        <v>274</v>
      </c>
      <c r="B438" s="20" t="s">
        <v>1268</v>
      </c>
      <c r="C438" s="40" t="s">
        <v>491</v>
      </c>
      <c r="D438" s="40" t="s">
        <v>118</v>
      </c>
      <c r="E438" s="40" t="s">
        <v>275</v>
      </c>
      <c r="F438" s="5"/>
      <c r="G438" s="10">
        <f>'пр.6.1.ведом.22-23'!G788</f>
        <v>1204</v>
      </c>
      <c r="H438" s="10">
        <f>'пр.6.1.ведом.22-23'!H788</f>
        <v>1204</v>
      </c>
    </row>
    <row r="439" spans="1:8" ht="47.25" x14ac:dyDescent="0.25">
      <c r="A439" s="45" t="s">
        <v>480</v>
      </c>
      <c r="B439" s="20" t="s">
        <v>1268</v>
      </c>
      <c r="C439" s="40" t="s">
        <v>491</v>
      </c>
      <c r="D439" s="40" t="s">
        <v>118</v>
      </c>
      <c r="E439" s="40" t="s">
        <v>275</v>
      </c>
      <c r="F439" s="5">
        <v>907</v>
      </c>
      <c r="G439" s="10">
        <f>G438</f>
        <v>1204</v>
      </c>
      <c r="H439" s="10">
        <f>H438</f>
        <v>1204</v>
      </c>
    </row>
    <row r="440" spans="1:8" ht="47.25" x14ac:dyDescent="0.25">
      <c r="A440" s="23" t="s">
        <v>900</v>
      </c>
      <c r="B440" s="24" t="s">
        <v>1269</v>
      </c>
      <c r="C440" s="7"/>
      <c r="D440" s="7"/>
      <c r="E440" s="7"/>
      <c r="F440" s="194"/>
      <c r="G440" s="59">
        <f>G441</f>
        <v>813.5</v>
      </c>
      <c r="H440" s="59">
        <f>H441</f>
        <v>813.5</v>
      </c>
    </row>
    <row r="441" spans="1:8" ht="15.75" x14ac:dyDescent="0.25">
      <c r="A441" s="29" t="s">
        <v>490</v>
      </c>
      <c r="B441" s="20" t="s">
        <v>1269</v>
      </c>
      <c r="C441" s="2">
        <v>11</v>
      </c>
      <c r="D441" s="68"/>
      <c r="E441" s="68"/>
      <c r="F441" s="68"/>
      <c r="G441" s="10">
        <f t="shared" ref="G441:H441" si="63">G442</f>
        <v>813.5</v>
      </c>
      <c r="H441" s="10">
        <f t="shared" si="63"/>
        <v>813.5</v>
      </c>
    </row>
    <row r="442" spans="1:8" ht="16.5" x14ac:dyDescent="0.25">
      <c r="A442" s="29" t="s">
        <v>492</v>
      </c>
      <c r="B442" s="20" t="s">
        <v>1269</v>
      </c>
      <c r="C442" s="40" t="s">
        <v>491</v>
      </c>
      <c r="D442" s="40" t="s">
        <v>118</v>
      </c>
      <c r="E442" s="71"/>
      <c r="F442" s="5"/>
      <c r="G442" s="10">
        <f t="shared" ref="G442:H444" si="64">G443</f>
        <v>813.5</v>
      </c>
      <c r="H442" s="10">
        <f t="shared" si="64"/>
        <v>813.5</v>
      </c>
    </row>
    <row r="443" spans="1:8" ht="110.25" x14ac:dyDescent="0.25">
      <c r="A443" s="31" t="s">
        <v>464</v>
      </c>
      <c r="B443" s="20" t="s">
        <v>1402</v>
      </c>
      <c r="C443" s="40" t="s">
        <v>491</v>
      </c>
      <c r="D443" s="40" t="s">
        <v>118</v>
      </c>
      <c r="E443" s="40"/>
      <c r="F443" s="5"/>
      <c r="G443" s="10">
        <f t="shared" si="64"/>
        <v>813.5</v>
      </c>
      <c r="H443" s="10">
        <f t="shared" si="64"/>
        <v>813.5</v>
      </c>
    </row>
    <row r="444" spans="1:8" ht="47.25" x14ac:dyDescent="0.25">
      <c r="A444" s="25" t="s">
        <v>272</v>
      </c>
      <c r="B444" s="20" t="s">
        <v>1402</v>
      </c>
      <c r="C444" s="40" t="s">
        <v>491</v>
      </c>
      <c r="D444" s="40" t="s">
        <v>118</v>
      </c>
      <c r="E444" s="40" t="s">
        <v>273</v>
      </c>
      <c r="F444" s="5"/>
      <c r="G444" s="10">
        <f t="shared" si="64"/>
        <v>813.5</v>
      </c>
      <c r="H444" s="10">
        <f t="shared" si="64"/>
        <v>813.5</v>
      </c>
    </row>
    <row r="445" spans="1:8" ht="15.75" x14ac:dyDescent="0.25">
      <c r="A445" s="25" t="s">
        <v>274</v>
      </c>
      <c r="B445" s="20" t="s">
        <v>1402</v>
      </c>
      <c r="C445" s="40" t="s">
        <v>491</v>
      </c>
      <c r="D445" s="40" t="s">
        <v>118</v>
      </c>
      <c r="E445" s="40" t="s">
        <v>275</v>
      </c>
      <c r="F445" s="5"/>
      <c r="G445" s="10">
        <f>'пр.6.1.ведом.22-23'!G792</f>
        <v>813.5</v>
      </c>
      <c r="H445" s="10">
        <f>'пр.6.1.ведом.22-23'!H792</f>
        <v>813.5</v>
      </c>
    </row>
    <row r="446" spans="1:8" ht="47.25" x14ac:dyDescent="0.25">
      <c r="A446" s="45" t="s">
        <v>480</v>
      </c>
      <c r="B446" s="20" t="s">
        <v>1402</v>
      </c>
      <c r="C446" s="40" t="s">
        <v>491</v>
      </c>
      <c r="D446" s="40" t="s">
        <v>118</v>
      </c>
      <c r="E446" s="40" t="s">
        <v>275</v>
      </c>
      <c r="F446" s="5">
        <v>907</v>
      </c>
      <c r="G446" s="10">
        <f>G445</f>
        <v>813.5</v>
      </c>
      <c r="H446" s="10">
        <f>H445</f>
        <v>813.5</v>
      </c>
    </row>
    <row r="447" spans="1:8" ht="37.5" customHeight="1" x14ac:dyDescent="0.25">
      <c r="A447" s="58" t="s">
        <v>951</v>
      </c>
      <c r="B447" s="7" t="s">
        <v>1271</v>
      </c>
      <c r="C447" s="7"/>
      <c r="D447" s="7"/>
      <c r="E447" s="7"/>
      <c r="F447" s="194"/>
      <c r="G447" s="4">
        <f t="shared" ref="G447:H449" si="65">G448</f>
        <v>3000</v>
      </c>
      <c r="H447" s="4">
        <f t="shared" si="65"/>
        <v>3000</v>
      </c>
    </row>
    <row r="448" spans="1:8" ht="15.75" x14ac:dyDescent="0.25">
      <c r="A448" s="29" t="s">
        <v>490</v>
      </c>
      <c r="B448" s="40" t="s">
        <v>1271</v>
      </c>
      <c r="C448" s="40" t="s">
        <v>491</v>
      </c>
      <c r="D448" s="40"/>
      <c r="E448" s="40"/>
      <c r="F448" s="5"/>
      <c r="G448" s="6">
        <f t="shared" si="65"/>
        <v>3000</v>
      </c>
      <c r="H448" s="6">
        <f t="shared" si="65"/>
        <v>3000</v>
      </c>
    </row>
    <row r="449" spans="1:12" ht="31.5" x14ac:dyDescent="0.25">
      <c r="A449" s="25" t="s">
        <v>500</v>
      </c>
      <c r="B449" s="40" t="s">
        <v>1271</v>
      </c>
      <c r="C449" s="40" t="s">
        <v>491</v>
      </c>
      <c r="D449" s="40" t="s">
        <v>234</v>
      </c>
      <c r="E449" s="40"/>
      <c r="F449" s="5"/>
      <c r="G449" s="6">
        <f t="shared" si="65"/>
        <v>3000</v>
      </c>
      <c r="H449" s="6">
        <f t="shared" si="65"/>
        <v>3000</v>
      </c>
    </row>
    <row r="450" spans="1:12" ht="31.5" x14ac:dyDescent="0.25">
      <c r="A450" s="29" t="s">
        <v>952</v>
      </c>
      <c r="B450" s="40" t="s">
        <v>1272</v>
      </c>
      <c r="C450" s="40" t="s">
        <v>491</v>
      </c>
      <c r="D450" s="40" t="s">
        <v>234</v>
      </c>
      <c r="E450" s="40"/>
      <c r="F450" s="5"/>
      <c r="G450" s="6">
        <f>G451+G454</f>
        <v>3000</v>
      </c>
      <c r="H450" s="6">
        <f>H451+H454</f>
        <v>3000</v>
      </c>
    </row>
    <row r="451" spans="1:12" ht="94.5" x14ac:dyDescent="0.25">
      <c r="A451" s="25" t="s">
        <v>127</v>
      </c>
      <c r="B451" s="40" t="s">
        <v>1272</v>
      </c>
      <c r="C451" s="40" t="s">
        <v>491</v>
      </c>
      <c r="D451" s="40" t="s">
        <v>234</v>
      </c>
      <c r="E451" s="40" t="s">
        <v>128</v>
      </c>
      <c r="F451" s="5"/>
      <c r="G451" s="6">
        <f t="shared" ref="G451:H451" si="66">G452</f>
        <v>2500</v>
      </c>
      <c r="H451" s="6">
        <f t="shared" si="66"/>
        <v>2500</v>
      </c>
    </row>
    <row r="452" spans="1:12" ht="31.5" x14ac:dyDescent="0.25">
      <c r="A452" s="25" t="s">
        <v>342</v>
      </c>
      <c r="B452" s="40" t="s">
        <v>1272</v>
      </c>
      <c r="C452" s="40" t="s">
        <v>491</v>
      </c>
      <c r="D452" s="40" t="s">
        <v>234</v>
      </c>
      <c r="E452" s="40" t="s">
        <v>209</v>
      </c>
      <c r="F452" s="5"/>
      <c r="G452" s="6">
        <f>'пр.6.1.ведом.22-23'!G828</f>
        <v>2500</v>
      </c>
      <c r="H452" s="6">
        <f>'пр.6.1.ведом.22-23'!H828</f>
        <v>2500</v>
      </c>
    </row>
    <row r="453" spans="1:12" ht="47.25" x14ac:dyDescent="0.25">
      <c r="A453" s="45" t="s">
        <v>480</v>
      </c>
      <c r="B453" s="40" t="s">
        <v>1272</v>
      </c>
      <c r="C453" s="40" t="s">
        <v>491</v>
      </c>
      <c r="D453" s="40" t="s">
        <v>234</v>
      </c>
      <c r="E453" s="40" t="s">
        <v>209</v>
      </c>
      <c r="F453" s="5">
        <v>907</v>
      </c>
      <c r="G453" s="10">
        <f>G452</f>
        <v>2500</v>
      </c>
      <c r="H453" s="10">
        <f>H452</f>
        <v>2500</v>
      </c>
    </row>
    <row r="454" spans="1:12" ht="31.5" x14ac:dyDescent="0.25">
      <c r="A454" s="29" t="s">
        <v>131</v>
      </c>
      <c r="B454" s="40" t="s">
        <v>1272</v>
      </c>
      <c r="C454" s="40" t="s">
        <v>491</v>
      </c>
      <c r="D454" s="40" t="s">
        <v>234</v>
      </c>
      <c r="E454" s="40" t="s">
        <v>132</v>
      </c>
      <c r="F454" s="5"/>
      <c r="G454" s="6">
        <f t="shared" ref="G454:H454" si="67">G455</f>
        <v>500</v>
      </c>
      <c r="H454" s="6">
        <f t="shared" si="67"/>
        <v>500</v>
      </c>
    </row>
    <row r="455" spans="1:12" ht="47.25" x14ac:dyDescent="0.25">
      <c r="A455" s="29" t="s">
        <v>133</v>
      </c>
      <c r="B455" s="40" t="s">
        <v>1272</v>
      </c>
      <c r="C455" s="40" t="s">
        <v>491</v>
      </c>
      <c r="D455" s="40" t="s">
        <v>234</v>
      </c>
      <c r="E455" s="40" t="s">
        <v>134</v>
      </c>
      <c r="F455" s="5"/>
      <c r="G455" s="6">
        <f>'пр.6.1.ведом.22-23'!G830</f>
        <v>500</v>
      </c>
      <c r="H455" s="6">
        <f>'пр.6.1.ведом.22-23'!H830</f>
        <v>500</v>
      </c>
    </row>
    <row r="456" spans="1:12" ht="47.25" x14ac:dyDescent="0.25">
      <c r="A456" s="45" t="s">
        <v>480</v>
      </c>
      <c r="B456" s="40" t="s">
        <v>1272</v>
      </c>
      <c r="C456" s="40" t="s">
        <v>491</v>
      </c>
      <c r="D456" s="40" t="s">
        <v>234</v>
      </c>
      <c r="E456" s="40" t="s">
        <v>134</v>
      </c>
      <c r="F456" s="5">
        <v>907</v>
      </c>
      <c r="G456" s="10">
        <f>G455</f>
        <v>500</v>
      </c>
      <c r="H456" s="10">
        <f>H455</f>
        <v>500</v>
      </c>
    </row>
    <row r="457" spans="1:12" s="203" customFormat="1" ht="78.75" hidden="1" x14ac:dyDescent="0.25">
      <c r="A457" s="23" t="s">
        <v>1331</v>
      </c>
      <c r="B457" s="24" t="s">
        <v>1270</v>
      </c>
      <c r="C457" s="7"/>
      <c r="D457" s="7"/>
      <c r="E457" s="7"/>
      <c r="F457" s="194"/>
      <c r="G457" s="59">
        <f>G458</f>
        <v>0</v>
      </c>
      <c r="H457" s="10"/>
    </row>
    <row r="458" spans="1:12" s="203" customFormat="1" ht="15.75" hidden="1" x14ac:dyDescent="0.25">
      <c r="A458" s="29" t="s">
        <v>490</v>
      </c>
      <c r="B458" s="20" t="s">
        <v>1270</v>
      </c>
      <c r="C458" s="40" t="s">
        <v>491</v>
      </c>
      <c r="D458" s="40"/>
      <c r="E458" s="40"/>
      <c r="F458" s="5"/>
      <c r="G458" s="10">
        <f>G459</f>
        <v>0</v>
      </c>
      <c r="H458" s="10"/>
    </row>
    <row r="459" spans="1:12" s="203" customFormat="1" ht="15.75" hidden="1" x14ac:dyDescent="0.25">
      <c r="A459" s="29" t="s">
        <v>492</v>
      </c>
      <c r="B459" s="20" t="s">
        <v>1270</v>
      </c>
      <c r="C459" s="40" t="s">
        <v>491</v>
      </c>
      <c r="D459" s="40" t="s">
        <v>118</v>
      </c>
      <c r="E459" s="40"/>
      <c r="F459" s="5"/>
      <c r="G459" s="10">
        <f>G460</f>
        <v>0</v>
      </c>
      <c r="H459" s="10"/>
    </row>
    <row r="460" spans="1:12" s="203" customFormat="1" ht="63" hidden="1" x14ac:dyDescent="0.25">
      <c r="A460" s="25" t="s">
        <v>1193</v>
      </c>
      <c r="B460" s="20" t="s">
        <v>1325</v>
      </c>
      <c r="C460" s="40" t="s">
        <v>491</v>
      </c>
      <c r="D460" s="40" t="s">
        <v>118</v>
      </c>
      <c r="E460" s="40"/>
      <c r="F460" s="5"/>
      <c r="G460" s="10">
        <f>G461</f>
        <v>0</v>
      </c>
      <c r="H460" s="10"/>
    </row>
    <row r="461" spans="1:12" s="203" customFormat="1" ht="47.25" hidden="1" x14ac:dyDescent="0.25">
      <c r="A461" s="25" t="s">
        <v>272</v>
      </c>
      <c r="B461" s="20" t="s">
        <v>1325</v>
      </c>
      <c r="C461" s="40" t="s">
        <v>491</v>
      </c>
      <c r="D461" s="40" t="s">
        <v>118</v>
      </c>
      <c r="E461" s="40" t="s">
        <v>273</v>
      </c>
      <c r="F461" s="5"/>
      <c r="G461" s="10">
        <f>G462</f>
        <v>0</v>
      </c>
      <c r="H461" s="10"/>
    </row>
    <row r="462" spans="1:12" s="203" customFormat="1" ht="15.75" hidden="1" x14ac:dyDescent="0.25">
      <c r="A462" s="25" t="s">
        <v>274</v>
      </c>
      <c r="B462" s="20" t="s">
        <v>1325</v>
      </c>
      <c r="C462" s="40" t="s">
        <v>491</v>
      </c>
      <c r="D462" s="40" t="s">
        <v>118</v>
      </c>
      <c r="E462" s="40" t="s">
        <v>275</v>
      </c>
      <c r="F462" s="5"/>
      <c r="G462" s="10">
        <f>'Пр.4 ведом.22'!G870</f>
        <v>0</v>
      </c>
      <c r="H462" s="10"/>
    </row>
    <row r="463" spans="1:12" s="203" customFormat="1" ht="47.25" hidden="1" x14ac:dyDescent="0.25">
      <c r="A463" s="45" t="s">
        <v>480</v>
      </c>
      <c r="B463" s="20" t="s">
        <v>1325</v>
      </c>
      <c r="C463" s="40" t="s">
        <v>491</v>
      </c>
      <c r="D463" s="40" t="s">
        <v>118</v>
      </c>
      <c r="E463" s="40" t="s">
        <v>275</v>
      </c>
      <c r="F463" s="5">
        <v>907</v>
      </c>
      <c r="G463" s="10">
        <f>G457</f>
        <v>0</v>
      </c>
      <c r="H463" s="10"/>
    </row>
    <row r="464" spans="1:12" ht="47.25" x14ac:dyDescent="0.25">
      <c r="A464" s="41" t="s">
        <v>1351</v>
      </c>
      <c r="B464" s="7" t="s">
        <v>267</v>
      </c>
      <c r="C464" s="72"/>
      <c r="D464" s="72"/>
      <c r="E464" s="72"/>
      <c r="F464" s="3"/>
      <c r="G464" s="59">
        <f>G465+G502+G525+G544+G569+G576+G583+G590</f>
        <v>81484.889999999985</v>
      </c>
      <c r="H464" s="59">
        <f>H465+H502+H525+H544+H569+H576+H583+H590</f>
        <v>82684.889999999985</v>
      </c>
      <c r="I464">
        <v>81484.899999999994</v>
      </c>
      <c r="J464" s="22">
        <f>I464-G464</f>
        <v>1.0000000009313226E-2</v>
      </c>
      <c r="K464">
        <v>82684.899999999994</v>
      </c>
      <c r="L464" s="22">
        <f>K464-H464</f>
        <v>1.0000000009313226E-2</v>
      </c>
    </row>
    <row r="465" spans="1:8" ht="47.25" x14ac:dyDescent="0.25">
      <c r="A465" s="23" t="s">
        <v>1299</v>
      </c>
      <c r="B465" s="24" t="s">
        <v>1203</v>
      </c>
      <c r="C465" s="7"/>
      <c r="D465" s="7"/>
      <c r="E465" s="7"/>
      <c r="F465" s="3"/>
      <c r="G465" s="59">
        <f>G466+G478+G490</f>
        <v>73216.789999999994</v>
      </c>
      <c r="H465" s="59">
        <f>H466+H478+H490</f>
        <v>73216.789999999994</v>
      </c>
    </row>
    <row r="466" spans="1:8" s="203" customFormat="1" ht="15.75" x14ac:dyDescent="0.25">
      <c r="A466" s="25" t="s">
        <v>263</v>
      </c>
      <c r="B466" s="20" t="s">
        <v>1203</v>
      </c>
      <c r="C466" s="40" t="s">
        <v>264</v>
      </c>
      <c r="D466" s="40"/>
      <c r="E466" s="40"/>
      <c r="F466" s="2"/>
      <c r="G466" s="10">
        <f>G467</f>
        <v>15854.01</v>
      </c>
      <c r="H466" s="10">
        <f>H467</f>
        <v>15854.01</v>
      </c>
    </row>
    <row r="467" spans="1:8" s="203" customFormat="1" ht="15.75" x14ac:dyDescent="0.25">
      <c r="A467" s="25" t="s">
        <v>265</v>
      </c>
      <c r="B467" s="20" t="s">
        <v>1203</v>
      </c>
      <c r="C467" s="40" t="s">
        <v>264</v>
      </c>
      <c r="D467" s="40" t="s">
        <v>215</v>
      </c>
      <c r="E467" s="40"/>
      <c r="F467" s="2"/>
      <c r="G467" s="10">
        <f>G468</f>
        <v>15854.01</v>
      </c>
      <c r="H467" s="10">
        <f>H468</f>
        <v>15854.01</v>
      </c>
    </row>
    <row r="468" spans="1:8" s="203" customFormat="1" ht="31.5" x14ac:dyDescent="0.25">
      <c r="A468" s="25" t="s">
        <v>800</v>
      </c>
      <c r="B468" s="20" t="s">
        <v>1204</v>
      </c>
      <c r="C468" s="40" t="s">
        <v>264</v>
      </c>
      <c r="D468" s="40" t="s">
        <v>215</v>
      </c>
      <c r="E468" s="40"/>
      <c r="F468" s="2"/>
      <c r="G468" s="10">
        <f>G469+G472+G475</f>
        <v>15854.01</v>
      </c>
      <c r="H468" s="10">
        <f>H469+H472+H475</f>
        <v>15854.01</v>
      </c>
    </row>
    <row r="469" spans="1:8" s="203" customFormat="1" ht="94.5" x14ac:dyDescent="0.25">
      <c r="A469" s="25" t="s">
        <v>127</v>
      </c>
      <c r="B469" s="20" t="s">
        <v>1204</v>
      </c>
      <c r="C469" s="40" t="s">
        <v>264</v>
      </c>
      <c r="D469" s="40" t="s">
        <v>215</v>
      </c>
      <c r="E469" s="20" t="s">
        <v>128</v>
      </c>
      <c r="F469" s="2"/>
      <c r="G469" s="10">
        <f>G470</f>
        <v>14172.31</v>
      </c>
      <c r="H469" s="10">
        <f>H470</f>
        <v>14172.31</v>
      </c>
    </row>
    <row r="470" spans="1:8" s="203" customFormat="1" ht="31.5" x14ac:dyDescent="0.25">
      <c r="A470" s="46" t="s">
        <v>342</v>
      </c>
      <c r="B470" s="20" t="s">
        <v>1204</v>
      </c>
      <c r="C470" s="40" t="s">
        <v>264</v>
      </c>
      <c r="D470" s="40" t="s">
        <v>215</v>
      </c>
      <c r="E470" s="20" t="s">
        <v>209</v>
      </c>
      <c r="F470" s="2"/>
      <c r="G470" s="10">
        <f>'пр.6.1.ведом.22-23'!G299</f>
        <v>14172.31</v>
      </c>
      <c r="H470" s="10">
        <f>'пр.6.1.ведом.22-23'!H299</f>
        <v>14172.31</v>
      </c>
    </row>
    <row r="471" spans="1:8" s="203" customFormat="1" ht="47.25" x14ac:dyDescent="0.25">
      <c r="A471" s="45" t="s">
        <v>261</v>
      </c>
      <c r="B471" s="20" t="s">
        <v>1204</v>
      </c>
      <c r="C471" s="40" t="s">
        <v>264</v>
      </c>
      <c r="D471" s="40" t="s">
        <v>215</v>
      </c>
      <c r="E471" s="20" t="s">
        <v>209</v>
      </c>
      <c r="F471" s="2">
        <v>903</v>
      </c>
      <c r="G471" s="10">
        <f>G470</f>
        <v>14172.31</v>
      </c>
      <c r="H471" s="10">
        <f>H470</f>
        <v>14172.31</v>
      </c>
    </row>
    <row r="472" spans="1:8" s="203" customFormat="1" ht="31.5" x14ac:dyDescent="0.25">
      <c r="A472" s="25" t="s">
        <v>131</v>
      </c>
      <c r="B472" s="20" t="s">
        <v>1204</v>
      </c>
      <c r="C472" s="40" t="s">
        <v>264</v>
      </c>
      <c r="D472" s="40" t="s">
        <v>215</v>
      </c>
      <c r="E472" s="20" t="s">
        <v>132</v>
      </c>
      <c r="F472" s="2"/>
      <c r="G472" s="10">
        <f>G473</f>
        <v>1603.7</v>
      </c>
      <c r="H472" s="10">
        <f>H473</f>
        <v>1603.7</v>
      </c>
    </row>
    <row r="473" spans="1:8" s="203" customFormat="1" ht="47.25" x14ac:dyDescent="0.25">
      <c r="A473" s="25" t="s">
        <v>133</v>
      </c>
      <c r="B473" s="20" t="s">
        <v>1204</v>
      </c>
      <c r="C473" s="40" t="s">
        <v>264</v>
      </c>
      <c r="D473" s="40" t="s">
        <v>215</v>
      </c>
      <c r="E473" s="20" t="s">
        <v>134</v>
      </c>
      <c r="F473" s="2"/>
      <c r="G473" s="10">
        <f>'пр.6.1.ведом.22-23'!G301</f>
        <v>1603.7</v>
      </c>
      <c r="H473" s="10">
        <f>'пр.6.1.ведом.22-23'!H301</f>
        <v>1603.7</v>
      </c>
    </row>
    <row r="474" spans="1:8" s="203" customFormat="1" ht="47.25" x14ac:dyDescent="0.25">
      <c r="A474" s="45" t="s">
        <v>261</v>
      </c>
      <c r="B474" s="20" t="s">
        <v>1204</v>
      </c>
      <c r="C474" s="40" t="s">
        <v>264</v>
      </c>
      <c r="D474" s="40" t="s">
        <v>215</v>
      </c>
      <c r="E474" s="20" t="s">
        <v>134</v>
      </c>
      <c r="F474" s="2">
        <v>903</v>
      </c>
      <c r="G474" s="10">
        <f>G473</f>
        <v>1603.7</v>
      </c>
      <c r="H474" s="10">
        <f>H473</f>
        <v>1603.7</v>
      </c>
    </row>
    <row r="475" spans="1:8" s="203" customFormat="1" ht="15.75" x14ac:dyDescent="0.25">
      <c r="A475" s="25" t="s">
        <v>135</v>
      </c>
      <c r="B475" s="20" t="s">
        <v>1204</v>
      </c>
      <c r="C475" s="40" t="s">
        <v>264</v>
      </c>
      <c r="D475" s="40" t="s">
        <v>215</v>
      </c>
      <c r="E475" s="20" t="s">
        <v>145</v>
      </c>
      <c r="F475" s="2"/>
      <c r="G475" s="10">
        <f>G476</f>
        <v>78</v>
      </c>
      <c r="H475" s="10">
        <f>H476</f>
        <v>78</v>
      </c>
    </row>
    <row r="476" spans="1:8" s="203" customFormat="1" ht="15.75" x14ac:dyDescent="0.25">
      <c r="A476" s="25" t="s">
        <v>704</v>
      </c>
      <c r="B476" s="20" t="s">
        <v>1204</v>
      </c>
      <c r="C476" s="40" t="s">
        <v>264</v>
      </c>
      <c r="D476" s="40" t="s">
        <v>215</v>
      </c>
      <c r="E476" s="20" t="s">
        <v>138</v>
      </c>
      <c r="F476" s="2"/>
      <c r="G476" s="10">
        <f>'пр.6.1.ведом.22-23'!G303</f>
        <v>78</v>
      </c>
      <c r="H476" s="10">
        <f>'пр.6.1.ведом.22-23'!H303</f>
        <v>78</v>
      </c>
    </row>
    <row r="477" spans="1:8" s="203" customFormat="1" ht="47.25" x14ac:dyDescent="0.25">
      <c r="A477" s="45" t="s">
        <v>261</v>
      </c>
      <c r="B477" s="20" t="s">
        <v>1204</v>
      </c>
      <c r="C477" s="40" t="s">
        <v>264</v>
      </c>
      <c r="D477" s="40" t="s">
        <v>215</v>
      </c>
      <c r="E477" s="20" t="s">
        <v>138</v>
      </c>
      <c r="F477" s="2">
        <v>903</v>
      </c>
      <c r="G477" s="10">
        <f>G476</f>
        <v>78</v>
      </c>
      <c r="H477" s="10">
        <f>H476</f>
        <v>78</v>
      </c>
    </row>
    <row r="478" spans="1:8" ht="15.75" x14ac:dyDescent="0.25">
      <c r="A478" s="73" t="s">
        <v>298</v>
      </c>
      <c r="B478" s="20" t="s">
        <v>1203</v>
      </c>
      <c r="C478" s="40" t="s">
        <v>299</v>
      </c>
      <c r="D478" s="73"/>
      <c r="E478" s="73"/>
      <c r="F478" s="2"/>
      <c r="G478" s="10">
        <f t="shared" ref="G478:H479" si="68">G479</f>
        <v>51840.479999999996</v>
      </c>
      <c r="H478" s="10">
        <f t="shared" si="68"/>
        <v>51840.479999999996</v>
      </c>
    </row>
    <row r="479" spans="1:8" ht="15.75" x14ac:dyDescent="0.25">
      <c r="A479" s="73" t="s">
        <v>300</v>
      </c>
      <c r="B479" s="20" t="s">
        <v>1203</v>
      </c>
      <c r="C479" s="40" t="s">
        <v>299</v>
      </c>
      <c r="D479" s="40" t="s">
        <v>118</v>
      </c>
      <c r="E479" s="73"/>
      <c r="F479" s="2"/>
      <c r="G479" s="10">
        <f t="shared" si="68"/>
        <v>51840.479999999996</v>
      </c>
      <c r="H479" s="10">
        <f t="shared" si="68"/>
        <v>51840.479999999996</v>
      </c>
    </row>
    <row r="480" spans="1:8" ht="31.5" x14ac:dyDescent="0.25">
      <c r="A480" s="25" t="s">
        <v>800</v>
      </c>
      <c r="B480" s="20" t="s">
        <v>1204</v>
      </c>
      <c r="C480" s="40" t="s">
        <v>299</v>
      </c>
      <c r="D480" s="40" t="s">
        <v>118</v>
      </c>
      <c r="E480" s="40"/>
      <c r="F480" s="2"/>
      <c r="G480" s="10">
        <f>G481+G484+G487</f>
        <v>51840.479999999996</v>
      </c>
      <c r="H480" s="10">
        <f>H481+H484+H487</f>
        <v>51840.479999999996</v>
      </c>
    </row>
    <row r="481" spans="1:8" ht="94.5" x14ac:dyDescent="0.25">
      <c r="A481" s="25" t="s">
        <v>127</v>
      </c>
      <c r="B481" s="20" t="s">
        <v>1204</v>
      </c>
      <c r="C481" s="40" t="s">
        <v>299</v>
      </c>
      <c r="D481" s="40" t="s">
        <v>118</v>
      </c>
      <c r="E481" s="40" t="s">
        <v>128</v>
      </c>
      <c r="F481" s="2"/>
      <c r="G481" s="10">
        <f>G482</f>
        <v>43271.28</v>
      </c>
      <c r="H481" s="10">
        <f>H482</f>
        <v>43271.28</v>
      </c>
    </row>
    <row r="482" spans="1:8" ht="31.5" x14ac:dyDescent="0.25">
      <c r="A482" s="25" t="s">
        <v>208</v>
      </c>
      <c r="B482" s="20" t="s">
        <v>1204</v>
      </c>
      <c r="C482" s="40" t="s">
        <v>299</v>
      </c>
      <c r="D482" s="40" t="s">
        <v>118</v>
      </c>
      <c r="E482" s="40" t="s">
        <v>209</v>
      </c>
      <c r="F482" s="2"/>
      <c r="G482" s="10">
        <f>'пр.6.1.ведом.22-23'!G363</f>
        <v>43271.28</v>
      </c>
      <c r="H482" s="10">
        <f>'пр.6.1.ведом.22-23'!H363</f>
        <v>43271.28</v>
      </c>
    </row>
    <row r="483" spans="1:8" ht="47.25" x14ac:dyDescent="0.25">
      <c r="A483" s="45" t="s">
        <v>261</v>
      </c>
      <c r="B483" s="20" t="s">
        <v>1204</v>
      </c>
      <c r="C483" s="40" t="s">
        <v>299</v>
      </c>
      <c r="D483" s="40" t="s">
        <v>118</v>
      </c>
      <c r="E483" s="40" t="s">
        <v>209</v>
      </c>
      <c r="F483" s="2">
        <v>903</v>
      </c>
      <c r="G483" s="10">
        <f>G482</f>
        <v>43271.28</v>
      </c>
      <c r="H483" s="10">
        <f>H482</f>
        <v>43271.28</v>
      </c>
    </row>
    <row r="484" spans="1:8" ht="31.5" x14ac:dyDescent="0.25">
      <c r="A484" s="25" t="s">
        <v>131</v>
      </c>
      <c r="B484" s="20" t="s">
        <v>1204</v>
      </c>
      <c r="C484" s="40" t="s">
        <v>299</v>
      </c>
      <c r="D484" s="40" t="s">
        <v>118</v>
      </c>
      <c r="E484" s="40" t="s">
        <v>132</v>
      </c>
      <c r="F484" s="2"/>
      <c r="G484" s="10">
        <f>G485</f>
        <v>8506.2000000000007</v>
      </c>
      <c r="H484" s="10">
        <f>H485</f>
        <v>8506.2000000000007</v>
      </c>
    </row>
    <row r="485" spans="1:8" ht="47.25" x14ac:dyDescent="0.25">
      <c r="A485" s="25" t="s">
        <v>133</v>
      </c>
      <c r="B485" s="20" t="s">
        <v>1204</v>
      </c>
      <c r="C485" s="40" t="s">
        <v>299</v>
      </c>
      <c r="D485" s="40" t="s">
        <v>118</v>
      </c>
      <c r="E485" s="40" t="s">
        <v>134</v>
      </c>
      <c r="F485" s="2"/>
      <c r="G485" s="10">
        <f>'пр.6.1.ведом.22-23'!G365</f>
        <v>8506.2000000000007</v>
      </c>
      <c r="H485" s="10">
        <f>'пр.6.1.ведом.22-23'!H365</f>
        <v>8506.2000000000007</v>
      </c>
    </row>
    <row r="486" spans="1:8" ht="47.25" x14ac:dyDescent="0.25">
      <c r="A486" s="45" t="s">
        <v>261</v>
      </c>
      <c r="B486" s="20" t="s">
        <v>1204</v>
      </c>
      <c r="C486" s="40" t="s">
        <v>299</v>
      </c>
      <c r="D486" s="40" t="s">
        <v>118</v>
      </c>
      <c r="E486" s="40" t="s">
        <v>134</v>
      </c>
      <c r="F486" s="2">
        <v>903</v>
      </c>
      <c r="G486" s="10">
        <f>G485</f>
        <v>8506.2000000000007</v>
      </c>
      <c r="H486" s="10">
        <f>H485</f>
        <v>8506.2000000000007</v>
      </c>
    </row>
    <row r="487" spans="1:8" ht="15.75" x14ac:dyDescent="0.25">
      <c r="A487" s="25" t="s">
        <v>135</v>
      </c>
      <c r="B487" s="20" t="s">
        <v>1204</v>
      </c>
      <c r="C487" s="40" t="s">
        <v>299</v>
      </c>
      <c r="D487" s="40" t="s">
        <v>118</v>
      </c>
      <c r="E487" s="40" t="s">
        <v>145</v>
      </c>
      <c r="F487" s="2"/>
      <c r="G487" s="10">
        <f>G488</f>
        <v>63</v>
      </c>
      <c r="H487" s="10">
        <f>H488</f>
        <v>63</v>
      </c>
    </row>
    <row r="488" spans="1:8" ht="15.75" x14ac:dyDescent="0.25">
      <c r="A488" s="25" t="s">
        <v>137</v>
      </c>
      <c r="B488" s="20" t="s">
        <v>1204</v>
      </c>
      <c r="C488" s="40" t="s">
        <v>299</v>
      </c>
      <c r="D488" s="40" t="s">
        <v>118</v>
      </c>
      <c r="E488" s="40" t="s">
        <v>138</v>
      </c>
      <c r="F488" s="2"/>
      <c r="G488" s="10">
        <f>'пр.6.1.ведом.22-23'!G367</f>
        <v>63</v>
      </c>
      <c r="H488" s="10">
        <f>'пр.6.1.ведом.22-23'!H367</f>
        <v>63</v>
      </c>
    </row>
    <row r="489" spans="1:8" ht="47.25" x14ac:dyDescent="0.25">
      <c r="A489" s="45" t="s">
        <v>261</v>
      </c>
      <c r="B489" s="20" t="s">
        <v>1204</v>
      </c>
      <c r="C489" s="40" t="s">
        <v>299</v>
      </c>
      <c r="D489" s="40" t="s">
        <v>118</v>
      </c>
      <c r="E489" s="40" t="s">
        <v>138</v>
      </c>
      <c r="F489" s="2">
        <v>903</v>
      </c>
      <c r="G489" s="10">
        <f>G488</f>
        <v>63</v>
      </c>
      <c r="H489" s="10">
        <f>H488</f>
        <v>63</v>
      </c>
    </row>
    <row r="490" spans="1:8" s="203" customFormat="1" ht="15.75" x14ac:dyDescent="0.25">
      <c r="A490" s="25" t="s">
        <v>582</v>
      </c>
      <c r="B490" s="20" t="s">
        <v>1203</v>
      </c>
      <c r="C490" s="40" t="s">
        <v>238</v>
      </c>
      <c r="D490" s="73"/>
      <c r="E490" s="73"/>
      <c r="F490" s="2"/>
      <c r="G490" s="10">
        <f>G491</f>
        <v>5522.3</v>
      </c>
      <c r="H490" s="10">
        <f>H491</f>
        <v>5522.3</v>
      </c>
    </row>
    <row r="491" spans="1:8" s="203" customFormat="1" ht="15.75" x14ac:dyDescent="0.25">
      <c r="A491" s="25" t="s">
        <v>583</v>
      </c>
      <c r="B491" s="20" t="s">
        <v>1203</v>
      </c>
      <c r="C491" s="40" t="s">
        <v>238</v>
      </c>
      <c r="D491" s="40" t="s">
        <v>213</v>
      </c>
      <c r="E491" s="73"/>
      <c r="F491" s="2"/>
      <c r="G491" s="10">
        <f>G492</f>
        <v>5522.3</v>
      </c>
      <c r="H491" s="10">
        <f>H492</f>
        <v>5522.3</v>
      </c>
    </row>
    <row r="492" spans="1:8" s="203" customFormat="1" ht="31.5" x14ac:dyDescent="0.25">
      <c r="A492" s="25" t="s">
        <v>800</v>
      </c>
      <c r="B492" s="20" t="s">
        <v>1204</v>
      </c>
      <c r="C492" s="40" t="s">
        <v>238</v>
      </c>
      <c r="D492" s="40" t="s">
        <v>213</v>
      </c>
      <c r="E492" s="40"/>
      <c r="F492" s="2"/>
      <c r="G492" s="10">
        <f>G493+G496+G499</f>
        <v>5522.3</v>
      </c>
      <c r="H492" s="10">
        <f>H493+H496+H499</f>
        <v>5522.3</v>
      </c>
    </row>
    <row r="493" spans="1:8" s="203" customFormat="1" ht="94.5" x14ac:dyDescent="0.25">
      <c r="A493" s="25" t="s">
        <v>127</v>
      </c>
      <c r="B493" s="20" t="s">
        <v>1204</v>
      </c>
      <c r="C493" s="40" t="s">
        <v>238</v>
      </c>
      <c r="D493" s="40" t="s">
        <v>213</v>
      </c>
      <c r="E493" s="40" t="s">
        <v>128</v>
      </c>
      <c r="F493" s="2"/>
      <c r="G493" s="10">
        <f>G494</f>
        <v>4897.2</v>
      </c>
      <c r="H493" s="10">
        <f>H494</f>
        <v>4897.2</v>
      </c>
    </row>
    <row r="494" spans="1:8" s="203" customFormat="1" ht="31.5" x14ac:dyDescent="0.25">
      <c r="A494" s="25" t="s">
        <v>208</v>
      </c>
      <c r="B494" s="20" t="s">
        <v>1204</v>
      </c>
      <c r="C494" s="40" t="s">
        <v>238</v>
      </c>
      <c r="D494" s="40" t="s">
        <v>213</v>
      </c>
      <c r="E494" s="40" t="s">
        <v>209</v>
      </c>
      <c r="F494" s="2"/>
      <c r="G494" s="10">
        <f>'пр.6.1.ведом.22-23'!G474</f>
        <v>4897.2</v>
      </c>
      <c r="H494" s="10">
        <f>'пр.6.1.ведом.22-23'!H474</f>
        <v>4897.2</v>
      </c>
    </row>
    <row r="495" spans="1:8" s="203" customFormat="1" ht="47.25" x14ac:dyDescent="0.25">
      <c r="A495" s="45" t="s">
        <v>261</v>
      </c>
      <c r="B495" s="20" t="s">
        <v>1204</v>
      </c>
      <c r="C495" s="40" t="s">
        <v>238</v>
      </c>
      <c r="D495" s="40" t="s">
        <v>213</v>
      </c>
      <c r="E495" s="40" t="s">
        <v>209</v>
      </c>
      <c r="F495" s="2">
        <v>903</v>
      </c>
      <c r="G495" s="10">
        <f>G494</f>
        <v>4897.2</v>
      </c>
      <c r="H495" s="10">
        <f>H494</f>
        <v>4897.2</v>
      </c>
    </row>
    <row r="496" spans="1:8" s="203" customFormat="1" ht="31.5" x14ac:dyDescent="0.25">
      <c r="A496" s="25" t="s">
        <v>131</v>
      </c>
      <c r="B496" s="20" t="s">
        <v>1204</v>
      </c>
      <c r="C496" s="40" t="s">
        <v>238</v>
      </c>
      <c r="D496" s="40" t="s">
        <v>213</v>
      </c>
      <c r="E496" s="40" t="s">
        <v>132</v>
      </c>
      <c r="F496" s="2"/>
      <c r="G496" s="10">
        <f>G497</f>
        <v>595.1</v>
      </c>
      <c r="H496" s="10">
        <f>H497</f>
        <v>595.1</v>
      </c>
    </row>
    <row r="497" spans="1:8" s="203" customFormat="1" ht="47.25" x14ac:dyDescent="0.25">
      <c r="A497" s="25" t="s">
        <v>133</v>
      </c>
      <c r="B497" s="20" t="s">
        <v>1204</v>
      </c>
      <c r="C497" s="40" t="s">
        <v>238</v>
      </c>
      <c r="D497" s="40" t="s">
        <v>213</v>
      </c>
      <c r="E497" s="40" t="s">
        <v>134</v>
      </c>
      <c r="F497" s="2"/>
      <c r="G497" s="10">
        <f>'пр.6.1.ведом.22-23'!G476</f>
        <v>595.1</v>
      </c>
      <c r="H497" s="10">
        <f>'пр.6.1.ведом.22-23'!H476</f>
        <v>595.1</v>
      </c>
    </row>
    <row r="498" spans="1:8" s="203" customFormat="1" ht="47.25" x14ac:dyDescent="0.25">
      <c r="A498" s="45" t="s">
        <v>261</v>
      </c>
      <c r="B498" s="20" t="s">
        <v>1204</v>
      </c>
      <c r="C498" s="40" t="s">
        <v>238</v>
      </c>
      <c r="D498" s="40" t="s">
        <v>213</v>
      </c>
      <c r="E498" s="40" t="s">
        <v>134</v>
      </c>
      <c r="F498" s="2">
        <v>903</v>
      </c>
      <c r="G498" s="10">
        <f>G497</f>
        <v>595.1</v>
      </c>
      <c r="H498" s="10">
        <f>H497</f>
        <v>595.1</v>
      </c>
    </row>
    <row r="499" spans="1:8" s="203" customFormat="1" ht="15.75" x14ac:dyDescent="0.25">
      <c r="A499" s="25" t="s">
        <v>135</v>
      </c>
      <c r="B499" s="20" t="s">
        <v>1204</v>
      </c>
      <c r="C499" s="40" t="s">
        <v>238</v>
      </c>
      <c r="D499" s="40" t="s">
        <v>213</v>
      </c>
      <c r="E499" s="40" t="s">
        <v>145</v>
      </c>
      <c r="F499" s="2"/>
      <c r="G499" s="10">
        <f>G500</f>
        <v>30</v>
      </c>
      <c r="H499" s="10">
        <f>H500</f>
        <v>30</v>
      </c>
    </row>
    <row r="500" spans="1:8" s="203" customFormat="1" ht="15.75" x14ac:dyDescent="0.25">
      <c r="A500" s="25" t="s">
        <v>137</v>
      </c>
      <c r="B500" s="20" t="s">
        <v>1204</v>
      </c>
      <c r="C500" s="40" t="s">
        <v>238</v>
      </c>
      <c r="D500" s="40" t="s">
        <v>213</v>
      </c>
      <c r="E500" s="40" t="s">
        <v>138</v>
      </c>
      <c r="F500" s="2"/>
      <c r="G500" s="10">
        <f>'пр.6.1.ведом.22-23'!G478</f>
        <v>30</v>
      </c>
      <c r="H500" s="10">
        <f>'пр.6.1.ведом.22-23'!H478</f>
        <v>30</v>
      </c>
    </row>
    <row r="501" spans="1:8" s="203" customFormat="1" ht="47.25" x14ac:dyDescent="0.25">
      <c r="A501" s="45" t="s">
        <v>261</v>
      </c>
      <c r="B501" s="20" t="s">
        <v>1204</v>
      </c>
      <c r="C501" s="40" t="s">
        <v>238</v>
      </c>
      <c r="D501" s="40" t="s">
        <v>213</v>
      </c>
      <c r="E501" s="40" t="s">
        <v>138</v>
      </c>
      <c r="F501" s="2">
        <v>903</v>
      </c>
      <c r="G501" s="10">
        <f>G500</f>
        <v>30</v>
      </c>
      <c r="H501" s="10">
        <f>H500</f>
        <v>30</v>
      </c>
    </row>
    <row r="502" spans="1:8" ht="31.5" x14ac:dyDescent="0.25">
      <c r="A502" s="217" t="s">
        <v>1326</v>
      </c>
      <c r="B502" s="24" t="s">
        <v>1205</v>
      </c>
      <c r="C502" s="7"/>
      <c r="D502" s="7"/>
      <c r="E502" s="7"/>
      <c r="F502" s="3"/>
      <c r="G502" s="59">
        <f>G503+G516</f>
        <v>2675</v>
      </c>
      <c r="H502" s="59">
        <f>H503+H516</f>
        <v>2675</v>
      </c>
    </row>
    <row r="503" spans="1:8" s="203" customFormat="1" ht="15.75" x14ac:dyDescent="0.25">
      <c r="A503" s="25" t="s">
        <v>263</v>
      </c>
      <c r="B503" s="20" t="s">
        <v>1205</v>
      </c>
      <c r="C503" s="40" t="s">
        <v>264</v>
      </c>
      <c r="D503" s="40"/>
      <c r="E503" s="40"/>
      <c r="F503" s="2"/>
      <c r="G503" s="10">
        <f t="shared" ref="G503:H506" si="69">G504</f>
        <v>1295</v>
      </c>
      <c r="H503" s="10">
        <f t="shared" si="69"/>
        <v>1295</v>
      </c>
    </row>
    <row r="504" spans="1:8" s="203" customFormat="1" ht="15.75" x14ac:dyDescent="0.25">
      <c r="A504" s="25" t="s">
        <v>265</v>
      </c>
      <c r="B504" s="20" t="s">
        <v>1205</v>
      </c>
      <c r="C504" s="40" t="s">
        <v>264</v>
      </c>
      <c r="D504" s="40" t="s">
        <v>215</v>
      </c>
      <c r="E504" s="40"/>
      <c r="F504" s="2"/>
      <c r="G504" s="10">
        <f>G505+G509</f>
        <v>1295</v>
      </c>
      <c r="H504" s="10">
        <f>H505+H509</f>
        <v>1295</v>
      </c>
    </row>
    <row r="505" spans="1:8" s="203" customFormat="1" ht="31.5" x14ac:dyDescent="0.25">
      <c r="A505" s="195" t="s">
        <v>799</v>
      </c>
      <c r="B505" s="20" t="s">
        <v>1206</v>
      </c>
      <c r="C505" s="40" t="s">
        <v>264</v>
      </c>
      <c r="D505" s="40" t="s">
        <v>215</v>
      </c>
      <c r="E505" s="20"/>
      <c r="F505" s="2"/>
      <c r="G505" s="10">
        <f t="shared" si="69"/>
        <v>45</v>
      </c>
      <c r="H505" s="10">
        <f t="shared" si="69"/>
        <v>45</v>
      </c>
    </row>
    <row r="506" spans="1:8" s="203" customFormat="1" ht="31.5" x14ac:dyDescent="0.25">
      <c r="A506" s="25" t="s">
        <v>248</v>
      </c>
      <c r="B506" s="20" t="s">
        <v>1206</v>
      </c>
      <c r="C506" s="40" t="s">
        <v>264</v>
      </c>
      <c r="D506" s="40" t="s">
        <v>215</v>
      </c>
      <c r="E506" s="20" t="s">
        <v>249</v>
      </c>
      <c r="F506" s="2"/>
      <c r="G506" s="10">
        <f t="shared" si="69"/>
        <v>45</v>
      </c>
      <c r="H506" s="10">
        <f t="shared" si="69"/>
        <v>45</v>
      </c>
    </row>
    <row r="507" spans="1:8" s="203" customFormat="1" ht="15.75" x14ac:dyDescent="0.25">
      <c r="A507" s="25" t="s">
        <v>820</v>
      </c>
      <c r="B507" s="20" t="s">
        <v>1206</v>
      </c>
      <c r="C507" s="40" t="s">
        <v>264</v>
      </c>
      <c r="D507" s="40" t="s">
        <v>215</v>
      </c>
      <c r="E507" s="20" t="s">
        <v>819</v>
      </c>
      <c r="F507" s="2"/>
      <c r="G507" s="10">
        <f>'пр.6.1.ведом.22-23'!G307</f>
        <v>45</v>
      </c>
      <c r="H507" s="10">
        <f>'пр.6.1.ведом.22-23'!H307</f>
        <v>45</v>
      </c>
    </row>
    <row r="508" spans="1:8" s="203" customFormat="1" ht="47.25" x14ac:dyDescent="0.25">
      <c r="A508" s="45" t="s">
        <v>261</v>
      </c>
      <c r="B508" s="20" t="s">
        <v>1206</v>
      </c>
      <c r="C508" s="40" t="s">
        <v>264</v>
      </c>
      <c r="D508" s="40" t="s">
        <v>215</v>
      </c>
      <c r="E508" s="20" t="s">
        <v>819</v>
      </c>
      <c r="F508" s="2">
        <v>903</v>
      </c>
      <c r="G508" s="10">
        <f>G507</f>
        <v>45</v>
      </c>
      <c r="H508" s="10">
        <f>H507</f>
        <v>45</v>
      </c>
    </row>
    <row r="509" spans="1:8" s="203" customFormat="1" ht="47.25" x14ac:dyDescent="0.25">
      <c r="A509" s="31" t="s">
        <v>816</v>
      </c>
      <c r="B509" s="20" t="s">
        <v>1207</v>
      </c>
      <c r="C509" s="40" t="s">
        <v>264</v>
      </c>
      <c r="D509" s="40" t="s">
        <v>215</v>
      </c>
      <c r="E509" s="20"/>
      <c r="F509" s="2"/>
      <c r="G509" s="10">
        <f>G510+G513</f>
        <v>1250</v>
      </c>
      <c r="H509" s="10">
        <f>H510+H513</f>
        <v>1250</v>
      </c>
    </row>
    <row r="510" spans="1:8" s="203" customFormat="1" ht="94.5" x14ac:dyDescent="0.25">
      <c r="A510" s="25" t="s">
        <v>127</v>
      </c>
      <c r="B510" s="20" t="s">
        <v>1207</v>
      </c>
      <c r="C510" s="40" t="s">
        <v>264</v>
      </c>
      <c r="D510" s="40" t="s">
        <v>215</v>
      </c>
      <c r="E510" s="20" t="s">
        <v>128</v>
      </c>
      <c r="F510" s="2"/>
      <c r="G510" s="10">
        <f>G511</f>
        <v>1250</v>
      </c>
      <c r="H510" s="10">
        <f>H511</f>
        <v>1250</v>
      </c>
    </row>
    <row r="511" spans="1:8" s="203" customFormat="1" ht="31.5" x14ac:dyDescent="0.25">
      <c r="A511" s="46" t="s">
        <v>342</v>
      </c>
      <c r="B511" s="20" t="s">
        <v>1207</v>
      </c>
      <c r="C511" s="40" t="s">
        <v>264</v>
      </c>
      <c r="D511" s="40" t="s">
        <v>215</v>
      </c>
      <c r="E511" s="20" t="s">
        <v>209</v>
      </c>
      <c r="F511" s="2"/>
      <c r="G511" s="10">
        <f>'пр.6.1.ведом.22-23'!G310</f>
        <v>1250</v>
      </c>
      <c r="H511" s="10">
        <f>'пр.6.1.ведом.22-23'!H310</f>
        <v>1250</v>
      </c>
    </row>
    <row r="512" spans="1:8" s="203" customFormat="1" ht="47.25" x14ac:dyDescent="0.25">
      <c r="A512" s="45" t="s">
        <v>261</v>
      </c>
      <c r="B512" s="20" t="s">
        <v>1207</v>
      </c>
      <c r="C512" s="40" t="s">
        <v>264</v>
      </c>
      <c r="D512" s="40" t="s">
        <v>215</v>
      </c>
      <c r="E512" s="20" t="s">
        <v>209</v>
      </c>
      <c r="F512" s="2">
        <v>903</v>
      </c>
      <c r="G512" s="10">
        <f>G511</f>
        <v>1250</v>
      </c>
      <c r="H512" s="10">
        <f>H511</f>
        <v>1250</v>
      </c>
    </row>
    <row r="513" spans="1:8" s="203" customFormat="1" ht="31.5" hidden="1" x14ac:dyDescent="0.25">
      <c r="A513" s="25" t="s">
        <v>131</v>
      </c>
      <c r="B513" s="20" t="s">
        <v>1207</v>
      </c>
      <c r="C513" s="40" t="s">
        <v>264</v>
      </c>
      <c r="D513" s="40" t="s">
        <v>215</v>
      </c>
      <c r="E513" s="20" t="s">
        <v>132</v>
      </c>
      <c r="F513" s="2"/>
      <c r="G513" s="10">
        <f>G514</f>
        <v>0</v>
      </c>
      <c r="H513" s="10">
        <f>H514</f>
        <v>0</v>
      </c>
    </row>
    <row r="514" spans="1:8" s="203" customFormat="1" ht="47.25" hidden="1" x14ac:dyDescent="0.25">
      <c r="A514" s="25" t="s">
        <v>133</v>
      </c>
      <c r="B514" s="20" t="s">
        <v>1207</v>
      </c>
      <c r="C514" s="40" t="s">
        <v>264</v>
      </c>
      <c r="D514" s="40" t="s">
        <v>215</v>
      </c>
      <c r="E514" s="20" t="s">
        <v>134</v>
      </c>
      <c r="F514" s="2"/>
      <c r="G514" s="10">
        <f>'пр.6.1.ведом.22-23'!G312</f>
        <v>0</v>
      </c>
      <c r="H514" s="10">
        <f>'пр.6.1.ведом.22-23'!H312</f>
        <v>0</v>
      </c>
    </row>
    <row r="515" spans="1:8" s="203" customFormat="1" ht="47.25" hidden="1" x14ac:dyDescent="0.25">
      <c r="A515" s="45" t="s">
        <v>261</v>
      </c>
      <c r="B515" s="20" t="s">
        <v>1207</v>
      </c>
      <c r="C515" s="40" t="s">
        <v>264</v>
      </c>
      <c r="D515" s="40" t="s">
        <v>215</v>
      </c>
      <c r="E515" s="20" t="s">
        <v>134</v>
      </c>
      <c r="F515" s="2">
        <v>903</v>
      </c>
      <c r="G515" s="10">
        <f>G514</f>
        <v>0</v>
      </c>
      <c r="H515" s="10">
        <f>H514</f>
        <v>0</v>
      </c>
    </row>
    <row r="516" spans="1:8" ht="15.75" x14ac:dyDescent="0.25">
      <c r="A516" s="73" t="s">
        <v>298</v>
      </c>
      <c r="B516" s="20" t="s">
        <v>1205</v>
      </c>
      <c r="C516" s="40" t="s">
        <v>299</v>
      </c>
      <c r="D516" s="73"/>
      <c r="E516" s="73"/>
      <c r="F516" s="2"/>
      <c r="G516" s="10">
        <f>G517</f>
        <v>1380</v>
      </c>
      <c r="H516" s="10">
        <f>H517</f>
        <v>1380</v>
      </c>
    </row>
    <row r="517" spans="1:8" ht="15.75" x14ac:dyDescent="0.25">
      <c r="A517" s="73" t="s">
        <v>300</v>
      </c>
      <c r="B517" s="20" t="s">
        <v>1205</v>
      </c>
      <c r="C517" s="40" t="s">
        <v>299</v>
      </c>
      <c r="D517" s="40" t="s">
        <v>118</v>
      </c>
      <c r="E517" s="73"/>
      <c r="F517" s="2"/>
      <c r="G517" s="10">
        <f>G518</f>
        <v>1380</v>
      </c>
      <c r="H517" s="10">
        <f>H518</f>
        <v>1380</v>
      </c>
    </row>
    <row r="518" spans="1:8" ht="47.85" customHeight="1" x14ac:dyDescent="0.25">
      <c r="A518" s="31" t="s">
        <v>816</v>
      </c>
      <c r="B518" s="20" t="s">
        <v>1207</v>
      </c>
      <c r="C518" s="40" t="s">
        <v>299</v>
      </c>
      <c r="D518" s="40" t="s">
        <v>118</v>
      </c>
      <c r="E518" s="40"/>
      <c r="F518" s="2"/>
      <c r="G518" s="10">
        <f>G519+G522</f>
        <v>1380</v>
      </c>
      <c r="H518" s="10">
        <f>H519+H522</f>
        <v>1380</v>
      </c>
    </row>
    <row r="519" spans="1:8" ht="94.5" hidden="1" x14ac:dyDescent="0.25">
      <c r="A519" s="25" t="s">
        <v>127</v>
      </c>
      <c r="B519" s="20" t="s">
        <v>1207</v>
      </c>
      <c r="C519" s="40" t="s">
        <v>299</v>
      </c>
      <c r="D519" s="40" t="s">
        <v>118</v>
      </c>
      <c r="E519" s="40" t="s">
        <v>128</v>
      </c>
      <c r="F519" s="2"/>
      <c r="G519" s="10">
        <f>G520</f>
        <v>0</v>
      </c>
      <c r="H519" s="10">
        <f>H520</f>
        <v>0</v>
      </c>
    </row>
    <row r="520" spans="1:8" ht="31.5" hidden="1" x14ac:dyDescent="0.25">
      <c r="A520" s="25" t="s">
        <v>208</v>
      </c>
      <c r="B520" s="20" t="s">
        <v>1207</v>
      </c>
      <c r="C520" s="40" t="s">
        <v>299</v>
      </c>
      <c r="D520" s="40" t="s">
        <v>118</v>
      </c>
      <c r="E520" s="40" t="s">
        <v>209</v>
      </c>
      <c r="F520" s="2"/>
      <c r="G520" s="10">
        <f>'пр.6.1.ведом.22-23'!G371</f>
        <v>0</v>
      </c>
      <c r="H520" s="10">
        <f>'пр.6.1.ведом.22-23'!H371</f>
        <v>0</v>
      </c>
    </row>
    <row r="521" spans="1:8" ht="47.25" hidden="1" x14ac:dyDescent="0.25">
      <c r="A521" s="45" t="s">
        <v>261</v>
      </c>
      <c r="B521" s="20" t="s">
        <v>1207</v>
      </c>
      <c r="C521" s="40" t="s">
        <v>299</v>
      </c>
      <c r="D521" s="40" t="s">
        <v>118</v>
      </c>
      <c r="E521" s="40" t="s">
        <v>209</v>
      </c>
      <c r="F521" s="2">
        <v>903</v>
      </c>
      <c r="G521" s="10">
        <f>G520</f>
        <v>0</v>
      </c>
      <c r="H521" s="10">
        <f>H520</f>
        <v>0</v>
      </c>
    </row>
    <row r="522" spans="1:8" ht="31.5" x14ac:dyDescent="0.25">
      <c r="A522" s="25" t="s">
        <v>131</v>
      </c>
      <c r="B522" s="20" t="s">
        <v>1207</v>
      </c>
      <c r="C522" s="40" t="s">
        <v>299</v>
      </c>
      <c r="D522" s="40" t="s">
        <v>118</v>
      </c>
      <c r="E522" s="40" t="s">
        <v>132</v>
      </c>
      <c r="F522" s="2"/>
      <c r="G522" s="10">
        <f>G523</f>
        <v>1380</v>
      </c>
      <c r="H522" s="10">
        <f>H523</f>
        <v>1380</v>
      </c>
    </row>
    <row r="523" spans="1:8" ht="47.25" x14ac:dyDescent="0.25">
      <c r="A523" s="25" t="s">
        <v>133</v>
      </c>
      <c r="B523" s="20" t="s">
        <v>1207</v>
      </c>
      <c r="C523" s="40" t="s">
        <v>299</v>
      </c>
      <c r="D523" s="40" t="s">
        <v>118</v>
      </c>
      <c r="E523" s="40" t="s">
        <v>134</v>
      </c>
      <c r="F523" s="2"/>
      <c r="G523" s="10">
        <f>'пр.6.1.ведом.22-23'!G373</f>
        <v>1380</v>
      </c>
      <c r="H523" s="10">
        <f>'пр.6.1.ведом.22-23'!H373</f>
        <v>1380</v>
      </c>
    </row>
    <row r="524" spans="1:8" ht="47.25" x14ac:dyDescent="0.25">
      <c r="A524" s="45" t="s">
        <v>261</v>
      </c>
      <c r="B524" s="20" t="s">
        <v>1207</v>
      </c>
      <c r="C524" s="40" t="s">
        <v>299</v>
      </c>
      <c r="D524" s="40" t="s">
        <v>118</v>
      </c>
      <c r="E524" s="40" t="s">
        <v>134</v>
      </c>
      <c r="F524" s="2">
        <v>903</v>
      </c>
      <c r="G524" s="10">
        <f>G523</f>
        <v>1380</v>
      </c>
      <c r="H524" s="10">
        <f>H523</f>
        <v>1380</v>
      </c>
    </row>
    <row r="525" spans="1:8" ht="47.25" x14ac:dyDescent="0.25">
      <c r="A525" s="23" t="s">
        <v>947</v>
      </c>
      <c r="B525" s="24" t="s">
        <v>1208</v>
      </c>
      <c r="C525" s="7"/>
      <c r="D525" s="7"/>
      <c r="E525" s="7"/>
      <c r="F525" s="3"/>
      <c r="G525" s="59">
        <f>G526+G532+G538</f>
        <v>1657</v>
      </c>
      <c r="H525" s="59">
        <f>H526+H532+H538</f>
        <v>1657</v>
      </c>
    </row>
    <row r="526" spans="1:8" s="203" customFormat="1" ht="15.75" x14ac:dyDescent="0.25">
      <c r="A526" s="25" t="s">
        <v>263</v>
      </c>
      <c r="B526" s="20" t="s">
        <v>1208</v>
      </c>
      <c r="C526" s="40" t="s">
        <v>264</v>
      </c>
      <c r="D526" s="40"/>
      <c r="E526" s="40"/>
      <c r="F526" s="2"/>
      <c r="G526" s="10">
        <f t="shared" ref="G526:H529" si="70">G527</f>
        <v>506</v>
      </c>
      <c r="H526" s="10">
        <f t="shared" si="70"/>
        <v>506</v>
      </c>
    </row>
    <row r="527" spans="1:8" s="203" customFormat="1" ht="15.75" x14ac:dyDescent="0.25">
      <c r="A527" s="25" t="s">
        <v>265</v>
      </c>
      <c r="B527" s="20" t="s">
        <v>1208</v>
      </c>
      <c r="C527" s="40" t="s">
        <v>264</v>
      </c>
      <c r="D527" s="40" t="s">
        <v>215</v>
      </c>
      <c r="E527" s="40"/>
      <c r="F527" s="2"/>
      <c r="G527" s="10">
        <f t="shared" si="70"/>
        <v>506</v>
      </c>
      <c r="H527" s="10">
        <f t="shared" si="70"/>
        <v>506</v>
      </c>
    </row>
    <row r="528" spans="1:8" s="203" customFormat="1" ht="47.25" x14ac:dyDescent="0.25">
      <c r="A528" s="25" t="s">
        <v>839</v>
      </c>
      <c r="B528" s="20" t="s">
        <v>1209</v>
      </c>
      <c r="C528" s="40" t="s">
        <v>264</v>
      </c>
      <c r="D528" s="40" t="s">
        <v>215</v>
      </c>
      <c r="E528" s="20"/>
      <c r="F528" s="2"/>
      <c r="G528" s="10">
        <f t="shared" si="70"/>
        <v>506</v>
      </c>
      <c r="H528" s="10">
        <f t="shared" si="70"/>
        <v>506</v>
      </c>
    </row>
    <row r="529" spans="1:8" s="203" customFormat="1" ht="94.5" x14ac:dyDescent="0.25">
      <c r="A529" s="25" t="s">
        <v>127</v>
      </c>
      <c r="B529" s="20" t="s">
        <v>1209</v>
      </c>
      <c r="C529" s="40" t="s">
        <v>264</v>
      </c>
      <c r="D529" s="40" t="s">
        <v>215</v>
      </c>
      <c r="E529" s="20" t="s">
        <v>128</v>
      </c>
      <c r="F529" s="2"/>
      <c r="G529" s="10">
        <f t="shared" si="70"/>
        <v>506</v>
      </c>
      <c r="H529" s="10">
        <f t="shared" si="70"/>
        <v>506</v>
      </c>
    </row>
    <row r="530" spans="1:8" s="203" customFormat="1" ht="31.5" x14ac:dyDescent="0.25">
      <c r="A530" s="25" t="s">
        <v>129</v>
      </c>
      <c r="B530" s="20" t="s">
        <v>1209</v>
      </c>
      <c r="C530" s="40" t="s">
        <v>264</v>
      </c>
      <c r="D530" s="40" t="s">
        <v>215</v>
      </c>
      <c r="E530" s="20" t="s">
        <v>209</v>
      </c>
      <c r="F530" s="2"/>
      <c r="G530" s="10">
        <f>'пр.6.1.ведом.22-23'!G316</f>
        <v>506</v>
      </c>
      <c r="H530" s="10">
        <f>'пр.6.1.ведом.22-23'!H316</f>
        <v>506</v>
      </c>
    </row>
    <row r="531" spans="1:8" s="203" customFormat="1" ht="47.25" x14ac:dyDescent="0.25">
      <c r="A531" s="45" t="s">
        <v>261</v>
      </c>
      <c r="B531" s="20" t="s">
        <v>1209</v>
      </c>
      <c r="C531" s="40" t="s">
        <v>264</v>
      </c>
      <c r="D531" s="40" t="s">
        <v>215</v>
      </c>
      <c r="E531" s="20" t="s">
        <v>209</v>
      </c>
      <c r="F531" s="2">
        <v>903</v>
      </c>
      <c r="G531" s="10">
        <f>G530</f>
        <v>506</v>
      </c>
      <c r="H531" s="10">
        <f>H530</f>
        <v>506</v>
      </c>
    </row>
    <row r="532" spans="1:8" ht="15.75" x14ac:dyDescent="0.25">
      <c r="A532" s="73" t="s">
        <v>298</v>
      </c>
      <c r="B532" s="20" t="s">
        <v>1208</v>
      </c>
      <c r="C532" s="40" t="s">
        <v>299</v>
      </c>
      <c r="D532" s="73"/>
      <c r="E532" s="73"/>
      <c r="F532" s="2"/>
      <c r="G532" s="10">
        <f t="shared" ref="G532:H535" si="71">G533</f>
        <v>875</v>
      </c>
      <c r="H532" s="10">
        <f t="shared" si="71"/>
        <v>875</v>
      </c>
    </row>
    <row r="533" spans="1:8" ht="15.75" x14ac:dyDescent="0.25">
      <c r="A533" s="73" t="s">
        <v>300</v>
      </c>
      <c r="B533" s="20" t="s">
        <v>1208</v>
      </c>
      <c r="C533" s="40" t="s">
        <v>299</v>
      </c>
      <c r="D533" s="40" t="s">
        <v>118</v>
      </c>
      <c r="E533" s="73"/>
      <c r="F533" s="2"/>
      <c r="G533" s="10">
        <f t="shared" si="71"/>
        <v>875</v>
      </c>
      <c r="H533" s="10">
        <f t="shared" si="71"/>
        <v>875</v>
      </c>
    </row>
    <row r="534" spans="1:8" ht="47.25" x14ac:dyDescent="0.25">
      <c r="A534" s="25" t="s">
        <v>839</v>
      </c>
      <c r="B534" s="20" t="s">
        <v>1209</v>
      </c>
      <c r="C534" s="40" t="s">
        <v>299</v>
      </c>
      <c r="D534" s="40" t="s">
        <v>118</v>
      </c>
      <c r="E534" s="40"/>
      <c r="F534" s="2"/>
      <c r="G534" s="10">
        <f t="shared" si="71"/>
        <v>875</v>
      </c>
      <c r="H534" s="10">
        <f t="shared" si="71"/>
        <v>875</v>
      </c>
    </row>
    <row r="535" spans="1:8" ht="94.5" x14ac:dyDescent="0.25">
      <c r="A535" s="25" t="s">
        <v>127</v>
      </c>
      <c r="B535" s="20" t="s">
        <v>1209</v>
      </c>
      <c r="C535" s="40" t="s">
        <v>299</v>
      </c>
      <c r="D535" s="40" t="s">
        <v>118</v>
      </c>
      <c r="E535" s="40" t="s">
        <v>128</v>
      </c>
      <c r="F535" s="2"/>
      <c r="G535" s="10">
        <f t="shared" si="71"/>
        <v>875</v>
      </c>
      <c r="H535" s="10">
        <f t="shared" si="71"/>
        <v>875</v>
      </c>
    </row>
    <row r="536" spans="1:8" ht="31.5" x14ac:dyDescent="0.25">
      <c r="A536" s="25" t="s">
        <v>129</v>
      </c>
      <c r="B536" s="20" t="s">
        <v>1209</v>
      </c>
      <c r="C536" s="40" t="s">
        <v>299</v>
      </c>
      <c r="D536" s="40" t="s">
        <v>118</v>
      </c>
      <c r="E536" s="40" t="s">
        <v>209</v>
      </c>
      <c r="F536" s="2"/>
      <c r="G536" s="10">
        <f>'пр.6.1.ведом.22-23'!G377</f>
        <v>875</v>
      </c>
      <c r="H536" s="10">
        <f>'пр.6.1.ведом.22-23'!H377</f>
        <v>875</v>
      </c>
    </row>
    <row r="537" spans="1:8" ht="47.25" x14ac:dyDescent="0.25">
      <c r="A537" s="45" t="s">
        <v>261</v>
      </c>
      <c r="B537" s="20" t="s">
        <v>1209</v>
      </c>
      <c r="C537" s="40" t="s">
        <v>299</v>
      </c>
      <c r="D537" s="40" t="s">
        <v>118</v>
      </c>
      <c r="E537" s="40" t="s">
        <v>209</v>
      </c>
      <c r="F537" s="2">
        <v>903</v>
      </c>
      <c r="G537" s="10">
        <f>G536</f>
        <v>875</v>
      </c>
      <c r="H537" s="10">
        <f>H536</f>
        <v>875</v>
      </c>
    </row>
    <row r="538" spans="1:8" s="203" customFormat="1" ht="15.75" x14ac:dyDescent="0.25">
      <c r="A538" s="68" t="s">
        <v>582</v>
      </c>
      <c r="B538" s="20" t="s">
        <v>1208</v>
      </c>
      <c r="C538" s="40" t="s">
        <v>238</v>
      </c>
      <c r="D538" s="73"/>
      <c r="E538" s="73"/>
      <c r="F538" s="2"/>
      <c r="G538" s="10">
        <f t="shared" ref="G538:H541" si="72">G539</f>
        <v>276</v>
      </c>
      <c r="H538" s="10">
        <f t="shared" si="72"/>
        <v>276</v>
      </c>
    </row>
    <row r="539" spans="1:8" s="203" customFormat="1" ht="15.75" x14ac:dyDescent="0.25">
      <c r="A539" s="25" t="s">
        <v>583</v>
      </c>
      <c r="B539" s="20" t="s">
        <v>1208</v>
      </c>
      <c r="C539" s="40" t="s">
        <v>238</v>
      </c>
      <c r="D539" s="40" t="s">
        <v>213</v>
      </c>
      <c r="E539" s="73"/>
      <c r="F539" s="2"/>
      <c r="G539" s="10">
        <f t="shared" si="72"/>
        <v>276</v>
      </c>
      <c r="H539" s="10">
        <f t="shared" si="72"/>
        <v>276</v>
      </c>
    </row>
    <row r="540" spans="1:8" s="203" customFormat="1" ht="47.25" x14ac:dyDescent="0.25">
      <c r="A540" s="25" t="s">
        <v>839</v>
      </c>
      <c r="B540" s="20" t="s">
        <v>1209</v>
      </c>
      <c r="C540" s="40" t="s">
        <v>238</v>
      </c>
      <c r="D540" s="40" t="s">
        <v>213</v>
      </c>
      <c r="E540" s="40"/>
      <c r="F540" s="2"/>
      <c r="G540" s="10">
        <f t="shared" si="72"/>
        <v>276</v>
      </c>
      <c r="H540" s="10">
        <f t="shared" si="72"/>
        <v>276</v>
      </c>
    </row>
    <row r="541" spans="1:8" s="203" customFormat="1" ht="94.5" x14ac:dyDescent="0.25">
      <c r="A541" s="25" t="s">
        <v>127</v>
      </c>
      <c r="B541" s="20" t="s">
        <v>1209</v>
      </c>
      <c r="C541" s="40" t="s">
        <v>238</v>
      </c>
      <c r="D541" s="40" t="s">
        <v>213</v>
      </c>
      <c r="E541" s="40" t="s">
        <v>128</v>
      </c>
      <c r="F541" s="2"/>
      <c r="G541" s="10">
        <f t="shared" si="72"/>
        <v>276</v>
      </c>
      <c r="H541" s="10">
        <f t="shared" si="72"/>
        <v>276</v>
      </c>
    </row>
    <row r="542" spans="1:8" s="203" customFormat="1" ht="31.5" x14ac:dyDescent="0.25">
      <c r="A542" s="25" t="s">
        <v>129</v>
      </c>
      <c r="B542" s="20" t="s">
        <v>1209</v>
      </c>
      <c r="C542" s="40" t="s">
        <v>238</v>
      </c>
      <c r="D542" s="40" t="s">
        <v>213</v>
      </c>
      <c r="E542" s="40" t="s">
        <v>209</v>
      </c>
      <c r="F542" s="2"/>
      <c r="G542" s="10">
        <f>'пр.6.1.ведом.22-23'!G482</f>
        <v>276</v>
      </c>
      <c r="H542" s="10">
        <f>'пр.6.1.ведом.22-23'!H482</f>
        <v>276</v>
      </c>
    </row>
    <row r="543" spans="1:8" s="203" customFormat="1" ht="47.25" x14ac:dyDescent="0.25">
      <c r="A543" s="45" t="s">
        <v>261</v>
      </c>
      <c r="B543" s="20" t="s">
        <v>1209</v>
      </c>
      <c r="C543" s="40" t="s">
        <v>238</v>
      </c>
      <c r="D543" s="40" t="s">
        <v>213</v>
      </c>
      <c r="E543" s="40" t="s">
        <v>209</v>
      </c>
      <c r="F543" s="2">
        <v>903</v>
      </c>
      <c r="G543" s="10">
        <f>G542</f>
        <v>276</v>
      </c>
      <c r="H543" s="10">
        <f>H542</f>
        <v>276</v>
      </c>
    </row>
    <row r="544" spans="1:8" ht="47.25" x14ac:dyDescent="0.25">
      <c r="A544" s="218" t="s">
        <v>900</v>
      </c>
      <c r="B544" s="24" t="s">
        <v>1210</v>
      </c>
      <c r="C544" s="7"/>
      <c r="D544" s="7"/>
      <c r="E544" s="7"/>
      <c r="F544" s="3"/>
      <c r="G544" s="59">
        <f>G545+G559</f>
        <v>3517.4</v>
      </c>
      <c r="H544" s="59">
        <f>H545+H559</f>
        <v>3517.4</v>
      </c>
    </row>
    <row r="545" spans="1:8" s="203" customFormat="1" ht="15.75" x14ac:dyDescent="0.25">
      <c r="A545" s="25" t="s">
        <v>263</v>
      </c>
      <c r="B545" s="20" t="s">
        <v>1210</v>
      </c>
      <c r="C545" s="40" t="s">
        <v>264</v>
      </c>
      <c r="D545" s="40"/>
      <c r="E545" s="40"/>
      <c r="F545" s="2"/>
      <c r="G545" s="10">
        <f>G546</f>
        <v>1075.4000000000001</v>
      </c>
      <c r="H545" s="10">
        <f>H546</f>
        <v>1075.4000000000001</v>
      </c>
    </row>
    <row r="546" spans="1:8" s="203" customFormat="1" ht="15.75" x14ac:dyDescent="0.25">
      <c r="A546" s="25" t="s">
        <v>265</v>
      </c>
      <c r="B546" s="20" t="s">
        <v>1210</v>
      </c>
      <c r="C546" s="40" t="s">
        <v>264</v>
      </c>
      <c r="D546" s="40" t="s">
        <v>215</v>
      </c>
      <c r="E546" s="40"/>
      <c r="F546" s="2"/>
      <c r="G546" s="10">
        <f>G551+G555+G547</f>
        <v>1075.4000000000001</v>
      </c>
      <c r="H546" s="10">
        <f>H551+H555+H547</f>
        <v>1075.4000000000001</v>
      </c>
    </row>
    <row r="547" spans="1:8" s="203" customFormat="1" ht="110.25" x14ac:dyDescent="0.25">
      <c r="A547" s="31" t="s">
        <v>293</v>
      </c>
      <c r="B547" s="20" t="s">
        <v>1403</v>
      </c>
      <c r="C547" s="40" t="s">
        <v>264</v>
      </c>
      <c r="D547" s="40" t="s">
        <v>215</v>
      </c>
      <c r="E547" s="20"/>
      <c r="F547" s="2"/>
      <c r="G547" s="10">
        <f>G548</f>
        <v>671</v>
      </c>
      <c r="H547" s="10">
        <f>H548</f>
        <v>671</v>
      </c>
    </row>
    <row r="548" spans="1:8" s="203" customFormat="1" ht="94.5" x14ac:dyDescent="0.25">
      <c r="A548" s="25" t="s">
        <v>127</v>
      </c>
      <c r="B548" s="20" t="s">
        <v>1403</v>
      </c>
      <c r="C548" s="40" t="s">
        <v>264</v>
      </c>
      <c r="D548" s="40" t="s">
        <v>215</v>
      </c>
      <c r="E548" s="20" t="s">
        <v>128</v>
      </c>
      <c r="F548" s="2"/>
      <c r="G548" s="10">
        <f>G549</f>
        <v>671</v>
      </c>
      <c r="H548" s="10">
        <f>H549</f>
        <v>671</v>
      </c>
    </row>
    <row r="549" spans="1:8" s="203" customFormat="1" ht="31.5" x14ac:dyDescent="0.25">
      <c r="A549" s="46" t="s">
        <v>342</v>
      </c>
      <c r="B549" s="20" t="s">
        <v>1403</v>
      </c>
      <c r="C549" s="40" t="s">
        <v>264</v>
      </c>
      <c r="D549" s="40" t="s">
        <v>215</v>
      </c>
      <c r="E549" s="20" t="s">
        <v>209</v>
      </c>
      <c r="F549" s="2"/>
      <c r="G549" s="10">
        <f>'пр.6.1.ведом.22-23'!G320</f>
        <v>671</v>
      </c>
      <c r="H549" s="10">
        <f>'пр.6.1.ведом.22-23'!H320</f>
        <v>671</v>
      </c>
    </row>
    <row r="550" spans="1:8" s="203" customFormat="1" ht="47.25" x14ac:dyDescent="0.25">
      <c r="A550" s="45" t="s">
        <v>261</v>
      </c>
      <c r="B550" s="20" t="s">
        <v>1403</v>
      </c>
      <c r="C550" s="40" t="s">
        <v>264</v>
      </c>
      <c r="D550" s="40" t="s">
        <v>215</v>
      </c>
      <c r="E550" s="20" t="s">
        <v>209</v>
      </c>
      <c r="F550" s="2">
        <v>903</v>
      </c>
      <c r="G550" s="10">
        <f>G549</f>
        <v>671</v>
      </c>
      <c r="H550" s="10">
        <f>H549</f>
        <v>671</v>
      </c>
    </row>
    <row r="551" spans="1:8" s="203" customFormat="1" ht="78.75" x14ac:dyDescent="0.25">
      <c r="A551" s="31" t="s">
        <v>289</v>
      </c>
      <c r="B551" s="20" t="s">
        <v>1211</v>
      </c>
      <c r="C551" s="40" t="s">
        <v>264</v>
      </c>
      <c r="D551" s="40" t="s">
        <v>215</v>
      </c>
      <c r="E551" s="20"/>
      <c r="F551" s="2"/>
      <c r="G551" s="10">
        <f>G552</f>
        <v>106</v>
      </c>
      <c r="H551" s="10">
        <f>H552</f>
        <v>106</v>
      </c>
    </row>
    <row r="552" spans="1:8" s="203" customFormat="1" ht="94.5" x14ac:dyDescent="0.25">
      <c r="A552" s="25" t="s">
        <v>127</v>
      </c>
      <c r="B552" s="20" t="s">
        <v>1211</v>
      </c>
      <c r="C552" s="40" t="s">
        <v>264</v>
      </c>
      <c r="D552" s="40" t="s">
        <v>215</v>
      </c>
      <c r="E552" s="20" t="s">
        <v>128</v>
      </c>
      <c r="F552" s="2"/>
      <c r="G552" s="10">
        <f>G553</f>
        <v>106</v>
      </c>
      <c r="H552" s="10">
        <f>H553</f>
        <v>106</v>
      </c>
    </row>
    <row r="553" spans="1:8" s="203" customFormat="1" ht="31.5" x14ac:dyDescent="0.25">
      <c r="A553" s="46" t="s">
        <v>342</v>
      </c>
      <c r="B553" s="20" t="s">
        <v>1211</v>
      </c>
      <c r="C553" s="40" t="s">
        <v>264</v>
      </c>
      <c r="D553" s="40" t="s">
        <v>215</v>
      </c>
      <c r="E553" s="20" t="s">
        <v>209</v>
      </c>
      <c r="F553" s="2"/>
      <c r="G553" s="10">
        <f>'пр.6.1.ведом.22-23'!G323</f>
        <v>106</v>
      </c>
      <c r="H553" s="10">
        <f>'пр.6.1.ведом.22-23'!H323</f>
        <v>106</v>
      </c>
    </row>
    <row r="554" spans="1:8" s="203" customFormat="1" ht="47.25" x14ac:dyDescent="0.25">
      <c r="A554" s="45" t="s">
        <v>261</v>
      </c>
      <c r="B554" s="20" t="s">
        <v>1211</v>
      </c>
      <c r="C554" s="40" t="s">
        <v>264</v>
      </c>
      <c r="D554" s="40" t="s">
        <v>215</v>
      </c>
      <c r="E554" s="20" t="s">
        <v>209</v>
      </c>
      <c r="F554" s="2">
        <v>903</v>
      </c>
      <c r="G554" s="10">
        <f>G553</f>
        <v>106</v>
      </c>
      <c r="H554" s="10">
        <f>H553</f>
        <v>106</v>
      </c>
    </row>
    <row r="555" spans="1:8" s="203" customFormat="1" ht="94.5" x14ac:dyDescent="0.25">
      <c r="A555" s="31" t="s">
        <v>291</v>
      </c>
      <c r="B555" s="20" t="s">
        <v>1212</v>
      </c>
      <c r="C555" s="40" t="s">
        <v>264</v>
      </c>
      <c r="D555" s="40" t="s">
        <v>215</v>
      </c>
      <c r="E555" s="20"/>
      <c r="F555" s="2"/>
      <c r="G555" s="10">
        <f>G556</f>
        <v>298.39999999999998</v>
      </c>
      <c r="H555" s="10">
        <f>H556</f>
        <v>298.39999999999998</v>
      </c>
    </row>
    <row r="556" spans="1:8" s="203" customFormat="1" ht="94.5" x14ac:dyDescent="0.25">
      <c r="A556" s="25" t="s">
        <v>127</v>
      </c>
      <c r="B556" s="20" t="s">
        <v>1212</v>
      </c>
      <c r="C556" s="40" t="s">
        <v>264</v>
      </c>
      <c r="D556" s="40" t="s">
        <v>215</v>
      </c>
      <c r="E556" s="20" t="s">
        <v>128</v>
      </c>
      <c r="F556" s="2"/>
      <c r="G556" s="10">
        <f>G557</f>
        <v>298.39999999999998</v>
      </c>
      <c r="H556" s="10">
        <f>H557</f>
        <v>298.39999999999998</v>
      </c>
    </row>
    <row r="557" spans="1:8" s="203" customFormat="1" ht="31.5" x14ac:dyDescent="0.25">
      <c r="A557" s="46" t="s">
        <v>342</v>
      </c>
      <c r="B557" s="20" t="s">
        <v>1212</v>
      </c>
      <c r="C557" s="40" t="s">
        <v>264</v>
      </c>
      <c r="D557" s="40" t="s">
        <v>215</v>
      </c>
      <c r="E557" s="20" t="s">
        <v>209</v>
      </c>
      <c r="F557" s="2"/>
      <c r="G557" s="10">
        <f>'пр.6.1.ведом.22-23'!G326</f>
        <v>298.39999999999998</v>
      </c>
      <c r="H557" s="10">
        <f>'пр.6.1.ведом.22-23'!H326</f>
        <v>298.39999999999998</v>
      </c>
    </row>
    <row r="558" spans="1:8" s="203" customFormat="1" ht="47.25" x14ac:dyDescent="0.25">
      <c r="A558" s="45" t="s">
        <v>261</v>
      </c>
      <c r="B558" s="20" t="s">
        <v>1212</v>
      </c>
      <c r="C558" s="40" t="s">
        <v>264</v>
      </c>
      <c r="D558" s="40" t="s">
        <v>215</v>
      </c>
      <c r="E558" s="20" t="s">
        <v>209</v>
      </c>
      <c r="F558" s="2">
        <v>903</v>
      </c>
      <c r="G558" s="10">
        <f>G557</f>
        <v>298.39999999999998</v>
      </c>
      <c r="H558" s="10">
        <f>H557</f>
        <v>298.39999999999998</v>
      </c>
    </row>
    <row r="559" spans="1:8" ht="15.75" x14ac:dyDescent="0.25">
      <c r="A559" s="73" t="s">
        <v>298</v>
      </c>
      <c r="B559" s="20" t="s">
        <v>1210</v>
      </c>
      <c r="C559" s="40" t="s">
        <v>299</v>
      </c>
      <c r="D559" s="73"/>
      <c r="E559" s="73"/>
      <c r="F559" s="2"/>
      <c r="G559" s="10">
        <f t="shared" ref="G559:H559" si="73">G560</f>
        <v>2442</v>
      </c>
      <c r="H559" s="10">
        <f t="shared" si="73"/>
        <v>2442</v>
      </c>
    </row>
    <row r="560" spans="1:8" ht="15.75" x14ac:dyDescent="0.25">
      <c r="A560" s="73" t="s">
        <v>300</v>
      </c>
      <c r="B560" s="20" t="s">
        <v>1210</v>
      </c>
      <c r="C560" s="40" t="s">
        <v>299</v>
      </c>
      <c r="D560" s="40" t="s">
        <v>118</v>
      </c>
      <c r="E560" s="73"/>
      <c r="F560" s="2"/>
      <c r="G560" s="10">
        <f>G561+G565</f>
        <v>2442</v>
      </c>
      <c r="H560" s="10">
        <f>H561+H565</f>
        <v>2442</v>
      </c>
    </row>
    <row r="561" spans="1:8" s="203" customFormat="1" ht="110.25" x14ac:dyDescent="0.25">
      <c r="A561" s="31" t="s">
        <v>293</v>
      </c>
      <c r="B561" s="20" t="s">
        <v>1403</v>
      </c>
      <c r="C561" s="40" t="s">
        <v>299</v>
      </c>
      <c r="D561" s="40" t="s">
        <v>118</v>
      </c>
      <c r="E561" s="40"/>
      <c r="F561" s="2"/>
      <c r="G561" s="10">
        <f>G562</f>
        <v>2100.6</v>
      </c>
      <c r="H561" s="10">
        <f>H562</f>
        <v>2100.6</v>
      </c>
    </row>
    <row r="562" spans="1:8" s="203" customFormat="1" ht="94.5" x14ac:dyDescent="0.25">
      <c r="A562" s="25" t="s">
        <v>127</v>
      </c>
      <c r="B562" s="20" t="s">
        <v>1403</v>
      </c>
      <c r="C562" s="40" t="s">
        <v>299</v>
      </c>
      <c r="D562" s="40" t="s">
        <v>118</v>
      </c>
      <c r="E562" s="40" t="s">
        <v>128</v>
      </c>
      <c r="F562" s="2"/>
      <c r="G562" s="10">
        <f>G563</f>
        <v>2100.6</v>
      </c>
      <c r="H562" s="10">
        <f>H563</f>
        <v>2100.6</v>
      </c>
    </row>
    <row r="563" spans="1:8" s="203" customFormat="1" ht="31.5" x14ac:dyDescent="0.25">
      <c r="A563" s="25" t="s">
        <v>208</v>
      </c>
      <c r="B563" s="20" t="s">
        <v>1403</v>
      </c>
      <c r="C563" s="40" t="s">
        <v>299</v>
      </c>
      <c r="D563" s="40" t="s">
        <v>118</v>
      </c>
      <c r="E563" s="40" t="s">
        <v>209</v>
      </c>
      <c r="F563" s="2"/>
      <c r="G563" s="10">
        <f>'пр.6.1.ведом.22-23'!G381</f>
        <v>2100.6</v>
      </c>
      <c r="H563" s="10">
        <f>'пр.6.1.ведом.22-23'!H381</f>
        <v>2100.6</v>
      </c>
    </row>
    <row r="564" spans="1:8" s="203" customFormat="1" ht="47.25" x14ac:dyDescent="0.25">
      <c r="A564" s="45" t="s">
        <v>261</v>
      </c>
      <c r="B564" s="20" t="s">
        <v>1403</v>
      </c>
      <c r="C564" s="40" t="s">
        <v>299</v>
      </c>
      <c r="D564" s="40" t="s">
        <v>118</v>
      </c>
      <c r="E564" s="40" t="s">
        <v>209</v>
      </c>
      <c r="F564" s="2">
        <v>903</v>
      </c>
      <c r="G564" s="10">
        <f>G563</f>
        <v>2100.6</v>
      </c>
      <c r="H564" s="10">
        <f>H563</f>
        <v>2100.6</v>
      </c>
    </row>
    <row r="565" spans="1:8" s="203" customFormat="1" ht="94.5" x14ac:dyDescent="0.25">
      <c r="A565" s="25" t="s">
        <v>331</v>
      </c>
      <c r="B565" s="20" t="s">
        <v>1291</v>
      </c>
      <c r="C565" s="20" t="s">
        <v>299</v>
      </c>
      <c r="D565" s="20" t="s">
        <v>118</v>
      </c>
      <c r="E565" s="20"/>
      <c r="F565" s="20"/>
      <c r="G565" s="10">
        <f>G566</f>
        <v>341.4</v>
      </c>
      <c r="H565" s="10">
        <f>H566</f>
        <v>341.4</v>
      </c>
    </row>
    <row r="566" spans="1:8" s="203" customFormat="1" ht="94.5" x14ac:dyDescent="0.25">
      <c r="A566" s="25" t="s">
        <v>127</v>
      </c>
      <c r="B566" s="20" t="s">
        <v>1291</v>
      </c>
      <c r="C566" s="20" t="s">
        <v>299</v>
      </c>
      <c r="D566" s="20" t="s">
        <v>118</v>
      </c>
      <c r="E566" s="20" t="s">
        <v>128</v>
      </c>
      <c r="F566" s="20"/>
      <c r="G566" s="10">
        <f>G567</f>
        <v>341.4</v>
      </c>
      <c r="H566" s="10">
        <f>H567</f>
        <v>341.4</v>
      </c>
    </row>
    <row r="567" spans="1:8" s="203" customFormat="1" ht="31.5" x14ac:dyDescent="0.25">
      <c r="A567" s="25" t="s">
        <v>208</v>
      </c>
      <c r="B567" s="20" t="s">
        <v>1291</v>
      </c>
      <c r="C567" s="20" t="s">
        <v>299</v>
      </c>
      <c r="D567" s="20" t="s">
        <v>118</v>
      </c>
      <c r="E567" s="20" t="s">
        <v>209</v>
      </c>
      <c r="F567" s="20"/>
      <c r="G567" s="10">
        <f>'пр.6.1.ведом.22-23'!G384</f>
        <v>341.4</v>
      </c>
      <c r="H567" s="10">
        <f>'пр.6.1.ведом.22-23'!H384</f>
        <v>341.4</v>
      </c>
    </row>
    <row r="568" spans="1:8" s="203" customFormat="1" ht="47.25" x14ac:dyDescent="0.25">
      <c r="A568" s="45" t="s">
        <v>261</v>
      </c>
      <c r="B568" s="20" t="s">
        <v>1291</v>
      </c>
      <c r="C568" s="20" t="s">
        <v>299</v>
      </c>
      <c r="D568" s="20" t="s">
        <v>118</v>
      </c>
      <c r="E568" s="20" t="s">
        <v>209</v>
      </c>
      <c r="F568" s="20" t="s">
        <v>627</v>
      </c>
      <c r="G568" s="10">
        <f>G567</f>
        <v>341.4</v>
      </c>
      <c r="H568" s="10">
        <f>H567</f>
        <v>341.4</v>
      </c>
    </row>
    <row r="569" spans="1:8" s="203" customFormat="1" ht="47.25" x14ac:dyDescent="0.25">
      <c r="A569" s="23" t="s">
        <v>902</v>
      </c>
      <c r="B569" s="24" t="s">
        <v>1215</v>
      </c>
      <c r="C569" s="7"/>
      <c r="D569" s="7"/>
      <c r="E569" s="7"/>
      <c r="F569" s="3"/>
      <c r="G569" s="59">
        <f>G572</f>
        <v>50</v>
      </c>
      <c r="H569" s="59">
        <f>H572</f>
        <v>50</v>
      </c>
    </row>
    <row r="570" spans="1:8" s="203" customFormat="1" ht="15.75" x14ac:dyDescent="0.25">
      <c r="A570" s="73" t="s">
        <v>298</v>
      </c>
      <c r="B570" s="20" t="s">
        <v>1215</v>
      </c>
      <c r="C570" s="40" t="s">
        <v>299</v>
      </c>
      <c r="D570" s="40"/>
      <c r="E570" s="40"/>
      <c r="F570" s="74"/>
      <c r="G570" s="10">
        <f t="shared" ref="G570:H570" si="74">G571</f>
        <v>50</v>
      </c>
      <c r="H570" s="10">
        <f t="shared" si="74"/>
        <v>50</v>
      </c>
    </row>
    <row r="571" spans="1:8" s="203" customFormat="1" ht="15.75" x14ac:dyDescent="0.25">
      <c r="A571" s="73" t="s">
        <v>300</v>
      </c>
      <c r="B571" s="20" t="s">
        <v>1215</v>
      </c>
      <c r="C571" s="40" t="s">
        <v>299</v>
      </c>
      <c r="D571" s="40" t="s">
        <v>118</v>
      </c>
      <c r="E571" s="40"/>
      <c r="F571" s="74"/>
      <c r="G571" s="10">
        <f t="shared" ref="G571:H573" si="75">G572</f>
        <v>50</v>
      </c>
      <c r="H571" s="10">
        <f t="shared" si="75"/>
        <v>50</v>
      </c>
    </row>
    <row r="572" spans="1:8" s="203" customFormat="1" ht="31.5" x14ac:dyDescent="0.25">
      <c r="A572" s="25" t="s">
        <v>821</v>
      </c>
      <c r="B572" s="20" t="s">
        <v>1216</v>
      </c>
      <c r="C572" s="40" t="s">
        <v>299</v>
      </c>
      <c r="D572" s="40" t="s">
        <v>118</v>
      </c>
      <c r="E572" s="40"/>
      <c r="F572" s="2"/>
      <c r="G572" s="10">
        <f t="shared" si="75"/>
        <v>50</v>
      </c>
      <c r="H572" s="10">
        <f t="shared" si="75"/>
        <v>50</v>
      </c>
    </row>
    <row r="573" spans="1:8" s="203" customFormat="1" ht="31.5" x14ac:dyDescent="0.25">
      <c r="A573" s="25" t="s">
        <v>131</v>
      </c>
      <c r="B573" s="20" t="s">
        <v>1216</v>
      </c>
      <c r="C573" s="40" t="s">
        <v>299</v>
      </c>
      <c r="D573" s="40" t="s">
        <v>118</v>
      </c>
      <c r="E573" s="40" t="s">
        <v>132</v>
      </c>
      <c r="F573" s="2"/>
      <c r="G573" s="10">
        <f t="shared" si="75"/>
        <v>50</v>
      </c>
      <c r="H573" s="10">
        <f t="shared" si="75"/>
        <v>50</v>
      </c>
    </row>
    <row r="574" spans="1:8" s="203" customFormat="1" ht="47.25" x14ac:dyDescent="0.25">
      <c r="A574" s="25" t="s">
        <v>133</v>
      </c>
      <c r="B574" s="20" t="s">
        <v>1216</v>
      </c>
      <c r="C574" s="40" t="s">
        <v>299</v>
      </c>
      <c r="D574" s="40" t="s">
        <v>118</v>
      </c>
      <c r="E574" s="40" t="s">
        <v>134</v>
      </c>
      <c r="F574" s="2"/>
      <c r="G574" s="10">
        <f>'пр.6.1.ведом.22-23'!G388</f>
        <v>50</v>
      </c>
      <c r="H574" s="10">
        <f>'пр.6.1.ведом.22-23'!H388</f>
        <v>50</v>
      </c>
    </row>
    <row r="575" spans="1:8" s="203" customFormat="1" ht="47.25" x14ac:dyDescent="0.25">
      <c r="A575" s="45" t="s">
        <v>261</v>
      </c>
      <c r="B575" s="20" t="s">
        <v>1216</v>
      </c>
      <c r="C575" s="40" t="s">
        <v>299</v>
      </c>
      <c r="D575" s="40" t="s">
        <v>118</v>
      </c>
      <c r="E575" s="40" t="s">
        <v>134</v>
      </c>
      <c r="F575" s="2">
        <v>903</v>
      </c>
      <c r="G575" s="10">
        <f>G574</f>
        <v>50</v>
      </c>
      <c r="H575" s="10">
        <f>H574</f>
        <v>50</v>
      </c>
    </row>
    <row r="576" spans="1:8" s="203" customFormat="1" ht="31.5" x14ac:dyDescent="0.25">
      <c r="A576" s="23" t="s">
        <v>1010</v>
      </c>
      <c r="B576" s="24" t="s">
        <v>1217</v>
      </c>
      <c r="C576" s="7"/>
      <c r="D576" s="7"/>
      <c r="E576" s="7"/>
      <c r="F576" s="3"/>
      <c r="G576" s="59">
        <f>G577</f>
        <v>68.7</v>
      </c>
      <c r="H576" s="59">
        <f>H577</f>
        <v>68.7</v>
      </c>
    </row>
    <row r="577" spans="1:8" s="203" customFormat="1" ht="15.75" x14ac:dyDescent="0.25">
      <c r="A577" s="68" t="s">
        <v>298</v>
      </c>
      <c r="B577" s="20" t="s">
        <v>1217</v>
      </c>
      <c r="C577" s="40" t="s">
        <v>299</v>
      </c>
      <c r="D577" s="40"/>
      <c r="E577" s="40"/>
      <c r="F577" s="74"/>
      <c r="G577" s="10">
        <f t="shared" ref="G577:H577" si="76">G578</f>
        <v>68.7</v>
      </c>
      <c r="H577" s="10">
        <f t="shared" si="76"/>
        <v>68.7</v>
      </c>
    </row>
    <row r="578" spans="1:8" s="203" customFormat="1" ht="15.75" x14ac:dyDescent="0.25">
      <c r="A578" s="68" t="s">
        <v>300</v>
      </c>
      <c r="B578" s="20" t="s">
        <v>1217</v>
      </c>
      <c r="C578" s="40" t="s">
        <v>299</v>
      </c>
      <c r="D578" s="40" t="s">
        <v>118</v>
      </c>
      <c r="E578" s="40"/>
      <c r="F578" s="74"/>
      <c r="G578" s="10">
        <f t="shared" ref="G578:H580" si="77">G579</f>
        <v>68.7</v>
      </c>
      <c r="H578" s="10">
        <f t="shared" si="77"/>
        <v>68.7</v>
      </c>
    </row>
    <row r="579" spans="1:8" s="203" customFormat="1" ht="47.25" x14ac:dyDescent="0.25">
      <c r="A579" s="25" t="s">
        <v>1484</v>
      </c>
      <c r="B579" s="20" t="s">
        <v>1218</v>
      </c>
      <c r="C579" s="40" t="s">
        <v>299</v>
      </c>
      <c r="D579" s="40" t="s">
        <v>118</v>
      </c>
      <c r="E579" s="40"/>
      <c r="F579" s="2"/>
      <c r="G579" s="10">
        <f t="shared" si="77"/>
        <v>68.7</v>
      </c>
      <c r="H579" s="10">
        <f t="shared" si="77"/>
        <v>68.7</v>
      </c>
    </row>
    <row r="580" spans="1:8" s="203" customFormat="1" ht="31.5" x14ac:dyDescent="0.25">
      <c r="A580" s="25" t="s">
        <v>131</v>
      </c>
      <c r="B580" s="20" t="s">
        <v>1218</v>
      </c>
      <c r="C580" s="40" t="s">
        <v>299</v>
      </c>
      <c r="D580" s="40" t="s">
        <v>118</v>
      </c>
      <c r="E580" s="40" t="s">
        <v>132</v>
      </c>
      <c r="F580" s="2"/>
      <c r="G580" s="10">
        <f t="shared" si="77"/>
        <v>68.7</v>
      </c>
      <c r="H580" s="10">
        <f t="shared" si="77"/>
        <v>68.7</v>
      </c>
    </row>
    <row r="581" spans="1:8" s="203" customFormat="1" ht="47.25" x14ac:dyDescent="0.25">
      <c r="A581" s="25" t="s">
        <v>133</v>
      </c>
      <c r="B581" s="20" t="s">
        <v>1218</v>
      </c>
      <c r="C581" s="40" t="s">
        <v>299</v>
      </c>
      <c r="D581" s="40" t="s">
        <v>118</v>
      </c>
      <c r="E581" s="40" t="s">
        <v>134</v>
      </c>
      <c r="F581" s="2"/>
      <c r="G581" s="10">
        <f>'пр.6.1.ведом.22-23'!G392</f>
        <v>68.7</v>
      </c>
      <c r="H581" s="10">
        <f>'пр.6.1.ведом.22-23'!H392</f>
        <v>68.7</v>
      </c>
    </row>
    <row r="582" spans="1:8" s="203" customFormat="1" ht="47.25" x14ac:dyDescent="0.25">
      <c r="A582" s="45" t="s">
        <v>261</v>
      </c>
      <c r="B582" s="20" t="s">
        <v>1218</v>
      </c>
      <c r="C582" s="40" t="s">
        <v>299</v>
      </c>
      <c r="D582" s="40" t="s">
        <v>118</v>
      </c>
      <c r="E582" s="40" t="s">
        <v>134</v>
      </c>
      <c r="F582" s="2">
        <v>903</v>
      </c>
      <c r="G582" s="10">
        <f>G581</f>
        <v>68.7</v>
      </c>
      <c r="H582" s="10">
        <f>H581</f>
        <v>68.7</v>
      </c>
    </row>
    <row r="583" spans="1:8" s="203" customFormat="1" ht="36" customHeight="1" x14ac:dyDescent="0.25">
      <c r="A583" s="262" t="s">
        <v>1179</v>
      </c>
      <c r="B583" s="24" t="s">
        <v>1213</v>
      </c>
      <c r="C583" s="40"/>
      <c r="D583" s="73"/>
      <c r="E583" s="73"/>
      <c r="F583" s="2"/>
      <c r="G583" s="59">
        <f t="shared" ref="G583:H587" si="78">G584</f>
        <v>300</v>
      </c>
      <c r="H583" s="59">
        <f t="shared" si="78"/>
        <v>1500</v>
      </c>
    </row>
    <row r="584" spans="1:8" s="203" customFormat="1" ht="15.75" x14ac:dyDescent="0.25">
      <c r="A584" s="68" t="s">
        <v>298</v>
      </c>
      <c r="B584" s="20" t="s">
        <v>1213</v>
      </c>
      <c r="C584" s="40" t="s">
        <v>299</v>
      </c>
      <c r="D584" s="73"/>
      <c r="E584" s="73"/>
      <c r="F584" s="2"/>
      <c r="G584" s="10">
        <f t="shared" si="78"/>
        <v>300</v>
      </c>
      <c r="H584" s="10">
        <f t="shared" si="78"/>
        <v>1500</v>
      </c>
    </row>
    <row r="585" spans="1:8" s="203" customFormat="1" ht="15.75" x14ac:dyDescent="0.25">
      <c r="A585" s="68" t="s">
        <v>300</v>
      </c>
      <c r="B585" s="20" t="s">
        <v>1213</v>
      </c>
      <c r="C585" s="40" t="s">
        <v>299</v>
      </c>
      <c r="D585" s="40" t="s">
        <v>118</v>
      </c>
      <c r="E585" s="73"/>
      <c r="F585" s="2"/>
      <c r="G585" s="10">
        <f t="shared" si="78"/>
        <v>300</v>
      </c>
      <c r="H585" s="10">
        <f t="shared" si="78"/>
        <v>1500</v>
      </c>
    </row>
    <row r="586" spans="1:8" s="203" customFormat="1" ht="31.5" x14ac:dyDescent="0.25">
      <c r="A586" s="98" t="s">
        <v>1186</v>
      </c>
      <c r="B586" s="20" t="s">
        <v>1214</v>
      </c>
      <c r="C586" s="40" t="s">
        <v>299</v>
      </c>
      <c r="D586" s="40" t="s">
        <v>118</v>
      </c>
      <c r="E586" s="40"/>
      <c r="F586" s="2"/>
      <c r="G586" s="10">
        <f t="shared" si="78"/>
        <v>300</v>
      </c>
      <c r="H586" s="10">
        <f t="shared" si="78"/>
        <v>1500</v>
      </c>
    </row>
    <row r="587" spans="1:8" s="203" customFormat="1" ht="31.5" x14ac:dyDescent="0.25">
      <c r="A587" s="25" t="s">
        <v>131</v>
      </c>
      <c r="B587" s="20" t="s">
        <v>1214</v>
      </c>
      <c r="C587" s="40" t="s">
        <v>299</v>
      </c>
      <c r="D587" s="40" t="s">
        <v>118</v>
      </c>
      <c r="E587" s="40" t="s">
        <v>132</v>
      </c>
      <c r="F587" s="2"/>
      <c r="G587" s="10">
        <f t="shared" si="78"/>
        <v>300</v>
      </c>
      <c r="H587" s="10">
        <f t="shared" si="78"/>
        <v>1500</v>
      </c>
    </row>
    <row r="588" spans="1:8" s="203" customFormat="1" ht="47.25" x14ac:dyDescent="0.25">
      <c r="A588" s="25" t="s">
        <v>133</v>
      </c>
      <c r="B588" s="20" t="s">
        <v>1214</v>
      </c>
      <c r="C588" s="40" t="s">
        <v>299</v>
      </c>
      <c r="D588" s="40" t="s">
        <v>118</v>
      </c>
      <c r="E588" s="40" t="s">
        <v>134</v>
      </c>
      <c r="F588" s="2"/>
      <c r="G588" s="10">
        <f>'пр.6.1.ведом.22-23'!G396</f>
        <v>300</v>
      </c>
      <c r="H588" s="10">
        <f>'пр.6.1.ведом.22-23'!H396</f>
        <v>1500</v>
      </c>
    </row>
    <row r="589" spans="1:8" s="203" customFormat="1" ht="47.25" x14ac:dyDescent="0.25">
      <c r="A589" s="45" t="s">
        <v>261</v>
      </c>
      <c r="B589" s="20" t="s">
        <v>1214</v>
      </c>
      <c r="C589" s="40" t="s">
        <v>299</v>
      </c>
      <c r="D589" s="40" t="s">
        <v>118</v>
      </c>
      <c r="E589" s="40" t="s">
        <v>134</v>
      </c>
      <c r="F589" s="2">
        <v>903</v>
      </c>
      <c r="G589" s="10">
        <f>G583</f>
        <v>300</v>
      </c>
      <c r="H589" s="10">
        <f>H583</f>
        <v>1500</v>
      </c>
    </row>
    <row r="590" spans="1:8" ht="54" hidden="1" customHeight="1" x14ac:dyDescent="0.25">
      <c r="A590" s="278" t="s">
        <v>1219</v>
      </c>
      <c r="B590" s="279"/>
      <c r="C590" s="20"/>
      <c r="D590" s="20"/>
      <c r="E590" s="40"/>
      <c r="F590" s="2"/>
      <c r="G590" s="59">
        <f t="shared" ref="G590:H594" si="79">G591</f>
        <v>0</v>
      </c>
      <c r="H590" s="59">
        <f t="shared" si="79"/>
        <v>0</v>
      </c>
    </row>
    <row r="591" spans="1:8" ht="15.75" hidden="1" x14ac:dyDescent="0.25">
      <c r="A591" s="68" t="s">
        <v>298</v>
      </c>
      <c r="B591" s="279"/>
      <c r="C591" s="20" t="s">
        <v>299</v>
      </c>
      <c r="D591" s="20"/>
      <c r="E591" s="40"/>
      <c r="F591" s="2"/>
      <c r="G591" s="10">
        <f t="shared" si="79"/>
        <v>0</v>
      </c>
      <c r="H591" s="10">
        <f t="shared" si="79"/>
        <v>0</v>
      </c>
    </row>
    <row r="592" spans="1:8" ht="15.75" hidden="1" x14ac:dyDescent="0.25">
      <c r="A592" s="68" t="s">
        <v>300</v>
      </c>
      <c r="B592" s="279"/>
      <c r="C592" s="20" t="s">
        <v>299</v>
      </c>
      <c r="D592" s="20" t="s">
        <v>118</v>
      </c>
      <c r="E592" s="40"/>
      <c r="F592" s="2"/>
      <c r="G592" s="10">
        <f t="shared" si="79"/>
        <v>0</v>
      </c>
      <c r="H592" s="10">
        <f t="shared" si="79"/>
        <v>0</v>
      </c>
    </row>
    <row r="593" spans="1:8" ht="15.75" hidden="1" x14ac:dyDescent="0.25">
      <c r="A593" s="288"/>
      <c r="B593" s="279"/>
      <c r="C593" s="20" t="s">
        <v>299</v>
      </c>
      <c r="D593" s="20" t="s">
        <v>118</v>
      </c>
      <c r="E593" s="40"/>
      <c r="F593" s="2"/>
      <c r="G593" s="10">
        <f t="shared" si="79"/>
        <v>0</v>
      </c>
      <c r="H593" s="10">
        <f t="shared" si="79"/>
        <v>0</v>
      </c>
    </row>
    <row r="594" spans="1:8" ht="31.5" hidden="1" x14ac:dyDescent="0.25">
      <c r="A594" s="25" t="s">
        <v>131</v>
      </c>
      <c r="B594" s="279"/>
      <c r="C594" s="20" t="s">
        <v>299</v>
      </c>
      <c r="D594" s="20" t="s">
        <v>118</v>
      </c>
      <c r="E594" s="40" t="s">
        <v>132</v>
      </c>
      <c r="F594" s="2"/>
      <c r="G594" s="10">
        <f t="shared" si="79"/>
        <v>0</v>
      </c>
      <c r="H594" s="10">
        <f t="shared" si="79"/>
        <v>0</v>
      </c>
    </row>
    <row r="595" spans="1:8" ht="47.25" hidden="1" x14ac:dyDescent="0.25">
      <c r="A595" s="25" t="s">
        <v>133</v>
      </c>
      <c r="B595" s="279"/>
      <c r="C595" s="20" t="s">
        <v>299</v>
      </c>
      <c r="D595" s="20" t="s">
        <v>118</v>
      </c>
      <c r="E595" s="40" t="s">
        <v>134</v>
      </c>
      <c r="F595" s="2"/>
      <c r="G595" s="10">
        <f>'пр.6.1.ведом.22-23'!G400</f>
        <v>0</v>
      </c>
      <c r="H595" s="10">
        <f>'пр.6.1.ведом.22-23'!H400</f>
        <v>0</v>
      </c>
    </row>
    <row r="596" spans="1:8" ht="47.25" hidden="1" x14ac:dyDescent="0.25">
      <c r="A596" s="45" t="s">
        <v>1315</v>
      </c>
      <c r="B596" s="279"/>
      <c r="C596" s="20" t="s">
        <v>299</v>
      </c>
      <c r="D596" s="20" t="s">
        <v>118</v>
      </c>
      <c r="E596" s="40" t="s">
        <v>134</v>
      </c>
      <c r="F596" s="2">
        <v>903</v>
      </c>
      <c r="G596" s="10">
        <f>G595</f>
        <v>0</v>
      </c>
      <c r="H596" s="10">
        <f>H595</f>
        <v>0</v>
      </c>
    </row>
    <row r="597" spans="1:8" ht="63" x14ac:dyDescent="0.25">
      <c r="A597" s="41" t="s">
        <v>1357</v>
      </c>
      <c r="B597" s="7" t="s">
        <v>324</v>
      </c>
      <c r="C597" s="72"/>
      <c r="D597" s="72"/>
      <c r="E597" s="72"/>
      <c r="F597" s="72"/>
      <c r="G597" s="59">
        <f>G598</f>
        <v>168</v>
      </c>
      <c r="H597" s="59">
        <f>H598</f>
        <v>147</v>
      </c>
    </row>
    <row r="598" spans="1:8" ht="63" x14ac:dyDescent="0.25">
      <c r="A598" s="34" t="s">
        <v>1025</v>
      </c>
      <c r="B598" s="7" t="s">
        <v>934</v>
      </c>
      <c r="C598" s="7"/>
      <c r="D598" s="7"/>
      <c r="E598" s="72"/>
      <c r="F598" s="72"/>
      <c r="G598" s="59">
        <f>G605+G611+G627+G638+G599</f>
        <v>168</v>
      </c>
      <c r="H598" s="59">
        <f>H605+H611+H627+H638+H599</f>
        <v>147</v>
      </c>
    </row>
    <row r="599" spans="1:8" s="203" customFormat="1" ht="15.75" x14ac:dyDescent="0.25">
      <c r="A599" s="31" t="s">
        <v>117</v>
      </c>
      <c r="B599" s="40" t="s">
        <v>934</v>
      </c>
      <c r="C599" s="40" t="s">
        <v>118</v>
      </c>
      <c r="D599" s="40"/>
      <c r="E599" s="72"/>
      <c r="F599" s="72"/>
      <c r="G599" s="10">
        <f t="shared" ref="G599:H602" si="80">G600</f>
        <v>12</v>
      </c>
      <c r="H599" s="10">
        <f t="shared" si="80"/>
        <v>40</v>
      </c>
    </row>
    <row r="600" spans="1:8" s="203" customFormat="1" ht="15.75" x14ac:dyDescent="0.25">
      <c r="A600" s="31" t="s">
        <v>139</v>
      </c>
      <c r="B600" s="40" t="s">
        <v>934</v>
      </c>
      <c r="C600" s="40" t="s">
        <v>118</v>
      </c>
      <c r="D600" s="40" t="s">
        <v>140</v>
      </c>
      <c r="E600" s="72"/>
      <c r="F600" s="72"/>
      <c r="G600" s="10">
        <f t="shared" si="80"/>
        <v>12</v>
      </c>
      <c r="H600" s="10">
        <f t="shared" si="80"/>
        <v>40</v>
      </c>
    </row>
    <row r="601" spans="1:8" s="203" customFormat="1" ht="47.25" x14ac:dyDescent="0.25">
      <c r="A601" s="31" t="s">
        <v>1080</v>
      </c>
      <c r="B601" s="20" t="s">
        <v>1026</v>
      </c>
      <c r="C601" s="40" t="s">
        <v>118</v>
      </c>
      <c r="D601" s="40" t="s">
        <v>140</v>
      </c>
      <c r="E601" s="72"/>
      <c r="F601" s="72"/>
      <c r="G601" s="10">
        <f t="shared" si="80"/>
        <v>12</v>
      </c>
      <c r="H601" s="10">
        <f t="shared" si="80"/>
        <v>40</v>
      </c>
    </row>
    <row r="602" spans="1:8" s="203" customFormat="1" ht="31.5" x14ac:dyDescent="0.25">
      <c r="A602" s="25" t="s">
        <v>131</v>
      </c>
      <c r="B602" s="20" t="s">
        <v>1026</v>
      </c>
      <c r="C602" s="40" t="s">
        <v>118</v>
      </c>
      <c r="D602" s="40" t="s">
        <v>140</v>
      </c>
      <c r="E602" s="2">
        <v>200</v>
      </c>
      <c r="F602" s="72"/>
      <c r="G602" s="10">
        <f t="shared" si="80"/>
        <v>12</v>
      </c>
      <c r="H602" s="10">
        <f t="shared" si="80"/>
        <v>40</v>
      </c>
    </row>
    <row r="603" spans="1:8" s="203" customFormat="1" ht="47.25" x14ac:dyDescent="0.25">
      <c r="A603" s="25" t="s">
        <v>133</v>
      </c>
      <c r="B603" s="20" t="s">
        <v>1026</v>
      </c>
      <c r="C603" s="40" t="s">
        <v>118</v>
      </c>
      <c r="D603" s="40" t="s">
        <v>140</v>
      </c>
      <c r="E603" s="2">
        <v>240</v>
      </c>
      <c r="F603" s="72"/>
      <c r="G603" s="10">
        <f>'пр.6.1.ведом.22-23'!G145</f>
        <v>12</v>
      </c>
      <c r="H603" s="10">
        <f>'пр.6.1.ведом.22-23'!H145</f>
        <v>40</v>
      </c>
    </row>
    <row r="604" spans="1:8" s="203" customFormat="1" ht="47.25" x14ac:dyDescent="0.25">
      <c r="A604" s="45" t="s">
        <v>623</v>
      </c>
      <c r="B604" s="20" t="s">
        <v>1026</v>
      </c>
      <c r="C604" s="40" t="s">
        <v>118</v>
      </c>
      <c r="D604" s="40" t="s">
        <v>140</v>
      </c>
      <c r="E604" s="2">
        <v>240</v>
      </c>
      <c r="F604" s="2">
        <v>908</v>
      </c>
      <c r="G604" s="10">
        <f>G603</f>
        <v>12</v>
      </c>
      <c r="H604" s="10">
        <f>H603</f>
        <v>40</v>
      </c>
    </row>
    <row r="605" spans="1:8" ht="15.75" hidden="1" x14ac:dyDescent="0.25">
      <c r="A605" s="31" t="s">
        <v>390</v>
      </c>
      <c r="B605" s="40" t="s">
        <v>934</v>
      </c>
      <c r="C605" s="40" t="s">
        <v>234</v>
      </c>
      <c r="D605" s="40"/>
      <c r="E605" s="72"/>
      <c r="F605" s="72"/>
      <c r="G605" s="10">
        <f t="shared" ref="G605:H608" si="81">G606</f>
        <v>0</v>
      </c>
      <c r="H605" s="10">
        <f t="shared" si="81"/>
        <v>0</v>
      </c>
    </row>
    <row r="606" spans="1:8" ht="31.5" hidden="1" x14ac:dyDescent="0.25">
      <c r="A606" s="31" t="s">
        <v>569</v>
      </c>
      <c r="B606" s="40" t="s">
        <v>934</v>
      </c>
      <c r="C606" s="40" t="s">
        <v>234</v>
      </c>
      <c r="D606" s="40" t="s">
        <v>234</v>
      </c>
      <c r="E606" s="72"/>
      <c r="F606" s="72"/>
      <c r="G606" s="10">
        <f t="shared" si="81"/>
        <v>0</v>
      </c>
      <c r="H606" s="10">
        <f t="shared" si="81"/>
        <v>0</v>
      </c>
    </row>
    <row r="607" spans="1:8" ht="47.25" hidden="1" x14ac:dyDescent="0.25">
      <c r="A607" s="31" t="s">
        <v>1080</v>
      </c>
      <c r="B607" s="20" t="s">
        <v>1026</v>
      </c>
      <c r="C607" s="40" t="s">
        <v>234</v>
      </c>
      <c r="D607" s="40" t="s">
        <v>234</v>
      </c>
      <c r="E607" s="72"/>
      <c r="F607" s="72"/>
      <c r="G607" s="10">
        <f t="shared" si="81"/>
        <v>0</v>
      </c>
      <c r="H607" s="10">
        <f t="shared" si="81"/>
        <v>0</v>
      </c>
    </row>
    <row r="608" spans="1:8" ht="31.5" hidden="1" x14ac:dyDescent="0.25">
      <c r="A608" s="25" t="s">
        <v>131</v>
      </c>
      <c r="B608" s="20" t="s">
        <v>1026</v>
      </c>
      <c r="C608" s="40" t="s">
        <v>234</v>
      </c>
      <c r="D608" s="40" t="s">
        <v>234</v>
      </c>
      <c r="E608" s="2">
        <v>200</v>
      </c>
      <c r="F608" s="72"/>
      <c r="G608" s="10">
        <f t="shared" si="81"/>
        <v>0</v>
      </c>
      <c r="H608" s="10">
        <f t="shared" si="81"/>
        <v>0</v>
      </c>
    </row>
    <row r="609" spans="1:8" ht="47.25" hidden="1" x14ac:dyDescent="0.25">
      <c r="A609" s="25" t="s">
        <v>133</v>
      </c>
      <c r="B609" s="20" t="s">
        <v>1026</v>
      </c>
      <c r="C609" s="40" t="s">
        <v>234</v>
      </c>
      <c r="D609" s="40" t="s">
        <v>234</v>
      </c>
      <c r="E609" s="2">
        <v>240</v>
      </c>
      <c r="F609" s="72"/>
      <c r="G609" s="10">
        <f>'пр.6.1.ведом.22-23'!G1037</f>
        <v>0</v>
      </c>
      <c r="H609" s="10">
        <f>'пр.6.1.ведом.22-23'!H1037</f>
        <v>0</v>
      </c>
    </row>
    <row r="610" spans="1:8" ht="47.25" hidden="1" x14ac:dyDescent="0.25">
      <c r="A610" s="45" t="s">
        <v>623</v>
      </c>
      <c r="B610" s="20" t="s">
        <v>1026</v>
      </c>
      <c r="C610" s="40" t="s">
        <v>234</v>
      </c>
      <c r="D610" s="40" t="s">
        <v>234</v>
      </c>
      <c r="E610" s="2">
        <v>240</v>
      </c>
      <c r="F610" s="2">
        <v>908</v>
      </c>
      <c r="G610" s="10">
        <f>G609</f>
        <v>0</v>
      </c>
      <c r="H610" s="10">
        <f>H609</f>
        <v>0</v>
      </c>
    </row>
    <row r="611" spans="1:8" ht="15.75" x14ac:dyDescent="0.25">
      <c r="A611" s="25" t="s">
        <v>263</v>
      </c>
      <c r="B611" s="40" t="s">
        <v>934</v>
      </c>
      <c r="C611" s="40" t="s">
        <v>264</v>
      </c>
      <c r="D611" s="73"/>
      <c r="E611" s="73"/>
      <c r="F611" s="73"/>
      <c r="G611" s="10">
        <f>G612+G617+G622</f>
        <v>146</v>
      </c>
      <c r="H611" s="10">
        <f>H612+H617+H622</f>
        <v>95</v>
      </c>
    </row>
    <row r="612" spans="1:8" ht="15.75" x14ac:dyDescent="0.25">
      <c r="A612" s="25" t="s">
        <v>404</v>
      </c>
      <c r="B612" s="40" t="s">
        <v>934</v>
      </c>
      <c r="C612" s="40" t="s">
        <v>264</v>
      </c>
      <c r="D612" s="40" t="s">
        <v>118</v>
      </c>
      <c r="E612" s="73"/>
      <c r="F612" s="73"/>
      <c r="G612" s="10">
        <f t="shared" ref="G612:H614" si="82">G613</f>
        <v>80</v>
      </c>
      <c r="H612" s="10">
        <f t="shared" si="82"/>
        <v>25</v>
      </c>
    </row>
    <row r="613" spans="1:8" ht="47.25" x14ac:dyDescent="0.25">
      <c r="A613" s="31" t="s">
        <v>1081</v>
      </c>
      <c r="B613" s="20" t="s">
        <v>935</v>
      </c>
      <c r="C613" s="40" t="s">
        <v>264</v>
      </c>
      <c r="D613" s="40" t="s">
        <v>118</v>
      </c>
      <c r="E613" s="72"/>
      <c r="F613" s="72"/>
      <c r="G613" s="10">
        <f t="shared" si="82"/>
        <v>80</v>
      </c>
      <c r="H613" s="10">
        <f t="shared" si="82"/>
        <v>25</v>
      </c>
    </row>
    <row r="614" spans="1:8" ht="47.25" x14ac:dyDescent="0.25">
      <c r="A614" s="31" t="s">
        <v>272</v>
      </c>
      <c r="B614" s="20" t="s">
        <v>935</v>
      </c>
      <c r="C614" s="40" t="s">
        <v>264</v>
      </c>
      <c r="D614" s="40" t="s">
        <v>118</v>
      </c>
      <c r="E614" s="40" t="s">
        <v>273</v>
      </c>
      <c r="F614" s="72"/>
      <c r="G614" s="10">
        <f t="shared" si="82"/>
        <v>80</v>
      </c>
      <c r="H614" s="10">
        <f t="shared" si="82"/>
        <v>25</v>
      </c>
    </row>
    <row r="615" spans="1:8" ht="15.75" x14ac:dyDescent="0.25">
      <c r="A615" s="31" t="s">
        <v>274</v>
      </c>
      <c r="B615" s="20" t="s">
        <v>935</v>
      </c>
      <c r="C615" s="40" t="s">
        <v>264</v>
      </c>
      <c r="D615" s="40" t="s">
        <v>118</v>
      </c>
      <c r="E615" s="40" t="s">
        <v>275</v>
      </c>
      <c r="F615" s="72"/>
      <c r="G615" s="10">
        <f>'пр.6.1.ведом.22-23'!G603</f>
        <v>80</v>
      </c>
      <c r="H615" s="10">
        <f>'пр.6.1.ведом.22-23'!H603</f>
        <v>25</v>
      </c>
    </row>
    <row r="616" spans="1:8" ht="31.5" x14ac:dyDescent="0.25">
      <c r="A616" s="31" t="s">
        <v>403</v>
      </c>
      <c r="B616" s="20" t="s">
        <v>935</v>
      </c>
      <c r="C616" s="40" t="s">
        <v>264</v>
      </c>
      <c r="D616" s="40" t="s">
        <v>118</v>
      </c>
      <c r="E616" s="40" t="s">
        <v>275</v>
      </c>
      <c r="F616" s="2">
        <v>906</v>
      </c>
      <c r="G616" s="10">
        <f>G615</f>
        <v>80</v>
      </c>
      <c r="H616" s="10">
        <f>H615</f>
        <v>25</v>
      </c>
    </row>
    <row r="617" spans="1:8" ht="15.75" x14ac:dyDescent="0.25">
      <c r="A617" s="29" t="s">
        <v>425</v>
      </c>
      <c r="B617" s="40" t="s">
        <v>934</v>
      </c>
      <c r="C617" s="40" t="s">
        <v>264</v>
      </c>
      <c r="D617" s="40" t="s">
        <v>213</v>
      </c>
      <c r="E617" s="40"/>
      <c r="F617" s="73"/>
      <c r="G617" s="10">
        <f t="shared" ref="G617:H619" si="83">G618</f>
        <v>60</v>
      </c>
      <c r="H617" s="10">
        <f t="shared" si="83"/>
        <v>70</v>
      </c>
    </row>
    <row r="618" spans="1:8" ht="47.25" x14ac:dyDescent="0.25">
      <c r="A618" s="31" t="s">
        <v>1081</v>
      </c>
      <c r="B618" s="20" t="s">
        <v>935</v>
      </c>
      <c r="C618" s="40" t="s">
        <v>264</v>
      </c>
      <c r="D618" s="40" t="s">
        <v>213</v>
      </c>
      <c r="E618" s="40"/>
      <c r="F618" s="72"/>
      <c r="G618" s="10">
        <f t="shared" si="83"/>
        <v>60</v>
      </c>
      <c r="H618" s="10">
        <f t="shared" si="83"/>
        <v>70</v>
      </c>
    </row>
    <row r="619" spans="1:8" ht="47.25" x14ac:dyDescent="0.25">
      <c r="A619" s="31" t="s">
        <v>272</v>
      </c>
      <c r="B619" s="20" t="s">
        <v>935</v>
      </c>
      <c r="C619" s="40" t="s">
        <v>264</v>
      </c>
      <c r="D619" s="40" t="s">
        <v>213</v>
      </c>
      <c r="E619" s="40" t="s">
        <v>273</v>
      </c>
      <c r="F619" s="72"/>
      <c r="G619" s="10">
        <f t="shared" si="83"/>
        <v>60</v>
      </c>
      <c r="H619" s="10">
        <f t="shared" si="83"/>
        <v>70</v>
      </c>
    </row>
    <row r="620" spans="1:8" ht="15.75" x14ac:dyDescent="0.25">
      <c r="A620" s="31" t="s">
        <v>274</v>
      </c>
      <c r="B620" s="20" t="s">
        <v>935</v>
      </c>
      <c r="C620" s="40" t="s">
        <v>264</v>
      </c>
      <c r="D620" s="40" t="s">
        <v>213</v>
      </c>
      <c r="E620" s="40" t="s">
        <v>275</v>
      </c>
      <c r="F620" s="72"/>
      <c r="G620" s="10">
        <f>'пр.6.1.ведом.22-23'!G685</f>
        <v>60</v>
      </c>
      <c r="H620" s="10">
        <f>'пр.6.1.ведом.22-23'!H685</f>
        <v>70</v>
      </c>
    </row>
    <row r="621" spans="1:8" ht="31.5" x14ac:dyDescent="0.25">
      <c r="A621" s="31" t="s">
        <v>403</v>
      </c>
      <c r="B621" s="20" t="s">
        <v>935</v>
      </c>
      <c r="C621" s="40" t="s">
        <v>264</v>
      </c>
      <c r="D621" s="40" t="s">
        <v>213</v>
      </c>
      <c r="E621" s="40" t="s">
        <v>275</v>
      </c>
      <c r="F621" s="2">
        <v>906</v>
      </c>
      <c r="G621" s="10">
        <f>G620</f>
        <v>60</v>
      </c>
      <c r="H621" s="10">
        <f>H620</f>
        <v>70</v>
      </c>
    </row>
    <row r="622" spans="1:8" s="203" customFormat="1" ht="15.75" x14ac:dyDescent="0.25">
      <c r="A622" s="29" t="s">
        <v>265</v>
      </c>
      <c r="B622" s="40" t="s">
        <v>934</v>
      </c>
      <c r="C622" s="40" t="s">
        <v>264</v>
      </c>
      <c r="D622" s="40" t="s">
        <v>215</v>
      </c>
      <c r="E622" s="40"/>
      <c r="F622" s="73"/>
      <c r="G622" s="10">
        <f t="shared" ref="G622:H624" si="84">G623</f>
        <v>6</v>
      </c>
      <c r="H622" s="10">
        <f t="shared" si="84"/>
        <v>0</v>
      </c>
    </row>
    <row r="623" spans="1:8" s="203" customFormat="1" ht="47.25" x14ac:dyDescent="0.25">
      <c r="A623" s="31" t="s">
        <v>1080</v>
      </c>
      <c r="B623" s="20" t="s">
        <v>1026</v>
      </c>
      <c r="C623" s="40" t="s">
        <v>264</v>
      </c>
      <c r="D623" s="40" t="s">
        <v>215</v>
      </c>
      <c r="E623" s="40"/>
      <c r="F623" s="72"/>
      <c r="G623" s="10">
        <f t="shared" si="84"/>
        <v>6</v>
      </c>
      <c r="H623" s="10">
        <f t="shared" si="84"/>
        <v>0</v>
      </c>
    </row>
    <row r="624" spans="1:8" s="203" customFormat="1" ht="47.25" x14ac:dyDescent="0.25">
      <c r="A624" s="31" t="s">
        <v>272</v>
      </c>
      <c r="B624" s="20" t="s">
        <v>1026</v>
      </c>
      <c r="C624" s="40" t="s">
        <v>264</v>
      </c>
      <c r="D624" s="40" t="s">
        <v>215</v>
      </c>
      <c r="E624" s="40" t="s">
        <v>132</v>
      </c>
      <c r="F624" s="72"/>
      <c r="G624" s="10">
        <f t="shared" si="84"/>
        <v>6</v>
      </c>
      <c r="H624" s="10">
        <f t="shared" si="84"/>
        <v>0</v>
      </c>
    </row>
    <row r="625" spans="1:8" s="203" customFormat="1" ht="15.75" x14ac:dyDescent="0.25">
      <c r="A625" s="31" t="s">
        <v>274</v>
      </c>
      <c r="B625" s="20" t="s">
        <v>1026</v>
      </c>
      <c r="C625" s="40" t="s">
        <v>264</v>
      </c>
      <c r="D625" s="40" t="s">
        <v>215</v>
      </c>
      <c r="E625" s="40" t="s">
        <v>134</v>
      </c>
      <c r="F625" s="72"/>
      <c r="G625" s="10">
        <f>'пр.6.1.ведом.22-23'!G331</f>
        <v>6</v>
      </c>
      <c r="H625" s="10">
        <f>'пр.6.1.ведом.22-23'!H331</f>
        <v>0</v>
      </c>
    </row>
    <row r="626" spans="1:8" s="203" customFormat="1" ht="47.25" x14ac:dyDescent="0.25">
      <c r="A626" s="45" t="s">
        <v>261</v>
      </c>
      <c r="B626" s="20" t="s">
        <v>1026</v>
      </c>
      <c r="C626" s="40" t="s">
        <v>264</v>
      </c>
      <c r="D626" s="40" t="s">
        <v>215</v>
      </c>
      <c r="E626" s="40" t="s">
        <v>134</v>
      </c>
      <c r="F626" s="2">
        <v>903</v>
      </c>
      <c r="G626" s="10">
        <f>G625</f>
        <v>6</v>
      </c>
      <c r="H626" s="10">
        <f>H623</f>
        <v>0</v>
      </c>
    </row>
    <row r="627" spans="1:8" ht="15.75" x14ac:dyDescent="0.25">
      <c r="A627" s="31" t="s">
        <v>298</v>
      </c>
      <c r="B627" s="20" t="s">
        <v>934</v>
      </c>
      <c r="C627" s="40" t="s">
        <v>299</v>
      </c>
      <c r="D627" s="40"/>
      <c r="E627" s="40"/>
      <c r="F627" s="2"/>
      <c r="G627" s="10">
        <f>G628+G633</f>
        <v>10</v>
      </c>
      <c r="H627" s="10">
        <f>H628+H633</f>
        <v>4</v>
      </c>
    </row>
    <row r="628" spans="1:8" ht="15.75" x14ac:dyDescent="0.25">
      <c r="A628" s="31" t="s">
        <v>300</v>
      </c>
      <c r="B628" s="20" t="s">
        <v>934</v>
      </c>
      <c r="C628" s="40" t="s">
        <v>299</v>
      </c>
      <c r="D628" s="40" t="s">
        <v>118</v>
      </c>
      <c r="E628" s="40"/>
      <c r="F628" s="2"/>
      <c r="G628" s="10">
        <f t="shared" ref="G628:H630" si="85">G629</f>
        <v>10</v>
      </c>
      <c r="H628" s="10">
        <f t="shared" si="85"/>
        <v>0</v>
      </c>
    </row>
    <row r="629" spans="1:8" ht="48.95" customHeight="1" x14ac:dyDescent="0.25">
      <c r="A629" s="31" t="s">
        <v>1080</v>
      </c>
      <c r="B629" s="20" t="s">
        <v>1026</v>
      </c>
      <c r="C629" s="40" t="s">
        <v>299</v>
      </c>
      <c r="D629" s="40" t="s">
        <v>118</v>
      </c>
      <c r="E629" s="40"/>
      <c r="F629" s="2"/>
      <c r="G629" s="10">
        <f t="shared" si="85"/>
        <v>10</v>
      </c>
      <c r="H629" s="10">
        <f t="shared" si="85"/>
        <v>0</v>
      </c>
    </row>
    <row r="630" spans="1:8" ht="31.5" x14ac:dyDescent="0.25">
      <c r="A630" s="25" t="s">
        <v>131</v>
      </c>
      <c r="B630" s="20" t="s">
        <v>1026</v>
      </c>
      <c r="C630" s="40" t="s">
        <v>299</v>
      </c>
      <c r="D630" s="40" t="s">
        <v>118</v>
      </c>
      <c r="E630" s="40" t="s">
        <v>132</v>
      </c>
      <c r="F630" s="2"/>
      <c r="G630" s="10">
        <f t="shared" si="85"/>
        <v>10</v>
      </c>
      <c r="H630" s="10">
        <f t="shared" si="85"/>
        <v>0</v>
      </c>
    </row>
    <row r="631" spans="1:8" ht="47.25" x14ac:dyDescent="0.25">
      <c r="A631" s="25" t="s">
        <v>133</v>
      </c>
      <c r="B631" s="20" t="s">
        <v>1026</v>
      </c>
      <c r="C631" s="40" t="s">
        <v>299</v>
      </c>
      <c r="D631" s="40" t="s">
        <v>118</v>
      </c>
      <c r="E631" s="40" t="s">
        <v>134</v>
      </c>
      <c r="F631" s="2"/>
      <c r="G631" s="10">
        <f>'пр.6.1.ведом.22-23'!G405</f>
        <v>10</v>
      </c>
      <c r="H631" s="10">
        <f>'пр.6.1.ведом.22-23'!H405</f>
        <v>0</v>
      </c>
    </row>
    <row r="632" spans="1:8" ht="47.25" x14ac:dyDescent="0.25">
      <c r="A632" s="45" t="s">
        <v>261</v>
      </c>
      <c r="B632" s="20" t="s">
        <v>1026</v>
      </c>
      <c r="C632" s="40" t="s">
        <v>299</v>
      </c>
      <c r="D632" s="40" t="s">
        <v>118</v>
      </c>
      <c r="E632" s="40" t="s">
        <v>134</v>
      </c>
      <c r="F632" s="2">
        <v>903</v>
      </c>
      <c r="G632" s="10">
        <f>G631</f>
        <v>10</v>
      </c>
      <c r="H632" s="10">
        <f>H631</f>
        <v>0</v>
      </c>
    </row>
    <row r="633" spans="1:8" s="203" customFormat="1" ht="31.5" x14ac:dyDescent="0.25">
      <c r="A633" s="31" t="s">
        <v>333</v>
      </c>
      <c r="B633" s="20" t="s">
        <v>934</v>
      </c>
      <c r="C633" s="40" t="s">
        <v>299</v>
      </c>
      <c r="D633" s="40" t="s">
        <v>150</v>
      </c>
      <c r="E633" s="40"/>
      <c r="F633" s="2"/>
      <c r="G633" s="10">
        <f t="shared" ref="G633:H635" si="86">G634</f>
        <v>0</v>
      </c>
      <c r="H633" s="10">
        <f t="shared" si="86"/>
        <v>4</v>
      </c>
    </row>
    <row r="634" spans="1:8" s="203" customFormat="1" ht="52.35" customHeight="1" x14ac:dyDescent="0.25">
      <c r="A634" s="31" t="s">
        <v>1080</v>
      </c>
      <c r="B634" s="20" t="s">
        <v>1026</v>
      </c>
      <c r="C634" s="40" t="s">
        <v>299</v>
      </c>
      <c r="D634" s="40" t="s">
        <v>150</v>
      </c>
      <c r="E634" s="40"/>
      <c r="F634" s="2"/>
      <c r="G634" s="10">
        <f t="shared" si="86"/>
        <v>0</v>
      </c>
      <c r="H634" s="10">
        <f t="shared" si="86"/>
        <v>4</v>
      </c>
    </row>
    <row r="635" spans="1:8" s="203" customFormat="1" ht="31.5" x14ac:dyDescent="0.25">
      <c r="A635" s="25" t="s">
        <v>131</v>
      </c>
      <c r="B635" s="20" t="s">
        <v>1026</v>
      </c>
      <c r="C635" s="40" t="s">
        <v>299</v>
      </c>
      <c r="D635" s="40" t="s">
        <v>150</v>
      </c>
      <c r="E635" s="40" t="s">
        <v>132</v>
      </c>
      <c r="F635" s="2"/>
      <c r="G635" s="10">
        <f t="shared" si="86"/>
        <v>0</v>
      </c>
      <c r="H635" s="10">
        <f t="shared" si="86"/>
        <v>4</v>
      </c>
    </row>
    <row r="636" spans="1:8" s="203" customFormat="1" ht="47.25" x14ac:dyDescent="0.25">
      <c r="A636" s="25" t="s">
        <v>133</v>
      </c>
      <c r="B636" s="20" t="s">
        <v>1026</v>
      </c>
      <c r="C636" s="40" t="s">
        <v>299</v>
      </c>
      <c r="D636" s="40" t="s">
        <v>150</v>
      </c>
      <c r="E636" s="40" t="s">
        <v>134</v>
      </c>
      <c r="F636" s="2"/>
      <c r="G636" s="10">
        <f>'пр.6.1.ведом.22-23'!G444</f>
        <v>0</v>
      </c>
      <c r="H636" s="10">
        <f>'пр.6.1.ведом.22-23'!H444</f>
        <v>4</v>
      </c>
    </row>
    <row r="637" spans="1:8" s="203" customFormat="1" ht="47.25" x14ac:dyDescent="0.25">
      <c r="A637" s="45" t="s">
        <v>261</v>
      </c>
      <c r="B637" s="20" t="s">
        <v>1026</v>
      </c>
      <c r="C637" s="40" t="s">
        <v>299</v>
      </c>
      <c r="D637" s="40" t="s">
        <v>150</v>
      </c>
      <c r="E637" s="40" t="s">
        <v>134</v>
      </c>
      <c r="F637" s="2">
        <v>903</v>
      </c>
      <c r="G637" s="10">
        <f>G634</f>
        <v>0</v>
      </c>
      <c r="H637" s="10">
        <f>H634</f>
        <v>4</v>
      </c>
    </row>
    <row r="638" spans="1:8" ht="15.75" x14ac:dyDescent="0.25">
      <c r="A638" s="73" t="s">
        <v>490</v>
      </c>
      <c r="B638" s="40" t="s">
        <v>934</v>
      </c>
      <c r="C638" s="40" t="s">
        <v>491</v>
      </c>
      <c r="D638" s="73"/>
      <c r="E638" s="73"/>
      <c r="F638" s="73"/>
      <c r="G638" s="10">
        <f t="shared" ref="G638:H639" si="87">G639</f>
        <v>0</v>
      </c>
      <c r="H638" s="10">
        <f t="shared" si="87"/>
        <v>8</v>
      </c>
    </row>
    <row r="639" spans="1:8" ht="15.75" x14ac:dyDescent="0.25">
      <c r="A639" s="73" t="s">
        <v>492</v>
      </c>
      <c r="B639" s="40" t="s">
        <v>934</v>
      </c>
      <c r="C639" s="40" t="s">
        <v>491</v>
      </c>
      <c r="D639" s="40" t="s">
        <v>118</v>
      </c>
      <c r="E639" s="73"/>
      <c r="F639" s="73"/>
      <c r="G639" s="10">
        <f t="shared" si="87"/>
        <v>0</v>
      </c>
      <c r="H639" s="10">
        <f t="shared" si="87"/>
        <v>8</v>
      </c>
    </row>
    <row r="640" spans="1:8" ht="47.25" x14ac:dyDescent="0.25">
      <c r="A640" s="31" t="s">
        <v>1081</v>
      </c>
      <c r="B640" s="40" t="s">
        <v>935</v>
      </c>
      <c r="C640" s="40" t="s">
        <v>491</v>
      </c>
      <c r="D640" s="40" t="s">
        <v>118</v>
      </c>
      <c r="E640" s="73"/>
      <c r="F640" s="73"/>
      <c r="G640" s="10">
        <f>G641</f>
        <v>0</v>
      </c>
      <c r="H640" s="10">
        <f>H641</f>
        <v>8</v>
      </c>
    </row>
    <row r="641" spans="1:8" ht="47.25" x14ac:dyDescent="0.25">
      <c r="A641" s="25" t="s">
        <v>272</v>
      </c>
      <c r="B641" s="40" t="s">
        <v>935</v>
      </c>
      <c r="C641" s="40" t="s">
        <v>491</v>
      </c>
      <c r="D641" s="40" t="s">
        <v>118</v>
      </c>
      <c r="E641" s="40" t="s">
        <v>273</v>
      </c>
      <c r="F641" s="73"/>
      <c r="G641" s="10">
        <f>G642</f>
        <v>0</v>
      </c>
      <c r="H641" s="10">
        <f>H642</f>
        <v>8</v>
      </c>
    </row>
    <row r="642" spans="1:8" ht="15.75" x14ac:dyDescent="0.25">
      <c r="A642" s="25" t="s">
        <v>274</v>
      </c>
      <c r="B642" s="40" t="s">
        <v>935</v>
      </c>
      <c r="C642" s="40" t="s">
        <v>491</v>
      </c>
      <c r="D642" s="40" t="s">
        <v>118</v>
      </c>
      <c r="E642" s="40" t="s">
        <v>275</v>
      </c>
      <c r="F642" s="73"/>
      <c r="G642" s="10">
        <f>'пр.6.1.ведом.22-23'!G797</f>
        <v>0</v>
      </c>
      <c r="H642" s="10">
        <f>'пр.6.1.ведом.22-23'!H797</f>
        <v>8</v>
      </c>
    </row>
    <row r="643" spans="1:8" ht="47.25" x14ac:dyDescent="0.25">
      <c r="A643" s="45" t="s">
        <v>480</v>
      </c>
      <c r="B643" s="40" t="s">
        <v>935</v>
      </c>
      <c r="C643" s="40" t="s">
        <v>491</v>
      </c>
      <c r="D643" s="40" t="s">
        <v>118</v>
      </c>
      <c r="E643" s="40" t="s">
        <v>275</v>
      </c>
      <c r="F643" s="2">
        <v>907</v>
      </c>
      <c r="G643" s="10">
        <f>G642</f>
        <v>0</v>
      </c>
      <c r="H643" s="10">
        <f>H642</f>
        <v>8</v>
      </c>
    </row>
    <row r="644" spans="1:8" ht="47.25" x14ac:dyDescent="0.25">
      <c r="A644" s="41" t="s">
        <v>1362</v>
      </c>
      <c r="B644" s="7" t="s">
        <v>543</v>
      </c>
      <c r="C644" s="2"/>
      <c r="D644" s="2"/>
      <c r="E644" s="2"/>
      <c r="F644" s="2"/>
      <c r="G644" s="59">
        <f>G645+G685</f>
        <v>1920</v>
      </c>
      <c r="H644" s="59">
        <f>H645+H685</f>
        <v>2173</v>
      </c>
    </row>
    <row r="645" spans="1:8" ht="49.7" customHeight="1" x14ac:dyDescent="0.25">
      <c r="A645" s="23" t="s">
        <v>1433</v>
      </c>
      <c r="B645" s="7" t="s">
        <v>1274</v>
      </c>
      <c r="C645" s="7"/>
      <c r="D645" s="7"/>
      <c r="E645" s="3"/>
      <c r="F645" s="3"/>
      <c r="G645" s="59">
        <f>G646</f>
        <v>1920</v>
      </c>
      <c r="H645" s="59">
        <f>H646</f>
        <v>2173</v>
      </c>
    </row>
    <row r="646" spans="1:8" ht="15.75" x14ac:dyDescent="0.25">
      <c r="A646" s="73" t="s">
        <v>390</v>
      </c>
      <c r="B646" s="40" t="s">
        <v>1274</v>
      </c>
      <c r="C646" s="40" t="s">
        <v>234</v>
      </c>
      <c r="D646" s="40"/>
      <c r="E646" s="2"/>
      <c r="F646" s="2"/>
      <c r="G646" s="10">
        <f t="shared" ref="G646:H646" si="88">G647</f>
        <v>1920</v>
      </c>
      <c r="H646" s="10">
        <f t="shared" si="88"/>
        <v>2173</v>
      </c>
    </row>
    <row r="647" spans="1:8" ht="15.75" x14ac:dyDescent="0.25">
      <c r="A647" s="73" t="s">
        <v>541</v>
      </c>
      <c r="B647" s="40" t="s">
        <v>1274</v>
      </c>
      <c r="C647" s="40" t="s">
        <v>234</v>
      </c>
      <c r="D647" s="40" t="s">
        <v>215</v>
      </c>
      <c r="E647" s="2"/>
      <c r="F647" s="2"/>
      <c r="G647" s="10">
        <f>G648+G652+G662+G666+G670+G677+G681</f>
        <v>1920</v>
      </c>
      <c r="H647" s="10">
        <f>H648+H652+H662+H666+H670+H677+H681</f>
        <v>2173</v>
      </c>
    </row>
    <row r="648" spans="1:8" ht="31.5" x14ac:dyDescent="0.25">
      <c r="A648" s="25" t="s">
        <v>546</v>
      </c>
      <c r="B648" s="20" t="s">
        <v>1429</v>
      </c>
      <c r="C648" s="40" t="s">
        <v>234</v>
      </c>
      <c r="D648" s="40" t="s">
        <v>215</v>
      </c>
      <c r="E648" s="2"/>
      <c r="F648" s="2"/>
      <c r="G648" s="10">
        <f t="shared" ref="G648:H649" si="89">G649</f>
        <v>365</v>
      </c>
      <c r="H648" s="10">
        <f t="shared" si="89"/>
        <v>365</v>
      </c>
    </row>
    <row r="649" spans="1:8" ht="31.5" x14ac:dyDescent="0.25">
      <c r="A649" s="25" t="s">
        <v>131</v>
      </c>
      <c r="B649" s="20" t="s">
        <v>1429</v>
      </c>
      <c r="C649" s="40" t="s">
        <v>234</v>
      </c>
      <c r="D649" s="40" t="s">
        <v>215</v>
      </c>
      <c r="E649" s="2">
        <v>200</v>
      </c>
      <c r="F649" s="2"/>
      <c r="G649" s="10">
        <f t="shared" si="89"/>
        <v>365</v>
      </c>
      <c r="H649" s="10">
        <f t="shared" si="89"/>
        <v>365</v>
      </c>
    </row>
    <row r="650" spans="1:8" ht="47.25" x14ac:dyDescent="0.25">
      <c r="A650" s="25" t="s">
        <v>133</v>
      </c>
      <c r="B650" s="20" t="s">
        <v>1429</v>
      </c>
      <c r="C650" s="40" t="s">
        <v>234</v>
      </c>
      <c r="D650" s="40" t="s">
        <v>215</v>
      </c>
      <c r="E650" s="2">
        <v>240</v>
      </c>
      <c r="F650" s="2"/>
      <c r="G650" s="10">
        <f>'пр.6.1.ведом.22-23'!G967</f>
        <v>365</v>
      </c>
      <c r="H650" s="10">
        <f>'пр.6.1.ведом.22-23'!H967</f>
        <v>365</v>
      </c>
    </row>
    <row r="651" spans="1:8" ht="47.25" x14ac:dyDescent="0.25">
      <c r="A651" s="45" t="s">
        <v>623</v>
      </c>
      <c r="B651" s="20" t="s">
        <v>1429</v>
      </c>
      <c r="C651" s="40" t="s">
        <v>234</v>
      </c>
      <c r="D651" s="40" t="s">
        <v>215</v>
      </c>
      <c r="E651" s="2">
        <v>240</v>
      </c>
      <c r="F651" s="2">
        <v>908</v>
      </c>
      <c r="G651" s="10">
        <f>G650</f>
        <v>365</v>
      </c>
      <c r="H651" s="10">
        <f>H650</f>
        <v>365</v>
      </c>
    </row>
    <row r="652" spans="1:8" ht="15.75" x14ac:dyDescent="0.25">
      <c r="A652" s="25" t="s">
        <v>548</v>
      </c>
      <c r="B652" s="20" t="s">
        <v>1418</v>
      </c>
      <c r="C652" s="40" t="s">
        <v>234</v>
      </c>
      <c r="D652" s="40" t="s">
        <v>215</v>
      </c>
      <c r="E652" s="2"/>
      <c r="F652" s="2"/>
      <c r="G652" s="10">
        <f>G653+G656+G659</f>
        <v>1080</v>
      </c>
      <c r="H652" s="10">
        <f>H653+H656+H659</f>
        <v>1188</v>
      </c>
    </row>
    <row r="653" spans="1:8" ht="31.5" x14ac:dyDescent="0.25">
      <c r="A653" s="25" t="s">
        <v>131</v>
      </c>
      <c r="B653" s="20" t="s">
        <v>1418</v>
      </c>
      <c r="C653" s="40" t="s">
        <v>234</v>
      </c>
      <c r="D653" s="40" t="s">
        <v>215</v>
      </c>
      <c r="E653" s="2">
        <v>200</v>
      </c>
      <c r="F653" s="2"/>
      <c r="G653" s="10">
        <f t="shared" ref="G653:H653" si="90">G654</f>
        <v>1080</v>
      </c>
      <c r="H653" s="10">
        <f t="shared" si="90"/>
        <v>1188</v>
      </c>
    </row>
    <row r="654" spans="1:8" ht="47.25" x14ac:dyDescent="0.25">
      <c r="A654" s="25" t="s">
        <v>133</v>
      </c>
      <c r="B654" s="20" t="s">
        <v>1418</v>
      </c>
      <c r="C654" s="40" t="s">
        <v>234</v>
      </c>
      <c r="D654" s="40" t="s">
        <v>215</v>
      </c>
      <c r="E654" s="2">
        <v>240</v>
      </c>
      <c r="F654" s="2"/>
      <c r="G654" s="10">
        <f>'пр.6.1.ведом.22-23'!G970</f>
        <v>1080</v>
      </c>
      <c r="H654" s="10">
        <f>'пр.6.1.ведом.22-23'!H970</f>
        <v>1188</v>
      </c>
    </row>
    <row r="655" spans="1:8" ht="47.25" x14ac:dyDescent="0.25">
      <c r="A655" s="45" t="s">
        <v>623</v>
      </c>
      <c r="B655" s="20" t="s">
        <v>1418</v>
      </c>
      <c r="C655" s="40" t="s">
        <v>234</v>
      </c>
      <c r="D655" s="40" t="s">
        <v>215</v>
      </c>
      <c r="E655" s="2">
        <v>240</v>
      </c>
      <c r="F655" s="2">
        <v>908</v>
      </c>
      <c r="G655" s="10">
        <f>G654</f>
        <v>1080</v>
      </c>
      <c r="H655" s="10">
        <f>H654</f>
        <v>1188</v>
      </c>
    </row>
    <row r="656" spans="1:8" ht="15.75" hidden="1" x14ac:dyDescent="0.25">
      <c r="A656" s="25" t="s">
        <v>135</v>
      </c>
      <c r="B656" s="20" t="s">
        <v>1418</v>
      </c>
      <c r="C656" s="40" t="s">
        <v>234</v>
      </c>
      <c r="D656" s="40" t="s">
        <v>215</v>
      </c>
      <c r="E656" s="2">
        <v>800</v>
      </c>
      <c r="F656" s="2"/>
      <c r="G656" s="10">
        <f>G657</f>
        <v>0</v>
      </c>
      <c r="H656" s="10">
        <f>H657</f>
        <v>0</v>
      </c>
    </row>
    <row r="657" spans="1:8" ht="47.25" hidden="1" x14ac:dyDescent="0.25">
      <c r="A657" s="25" t="s">
        <v>836</v>
      </c>
      <c r="B657" s="20" t="s">
        <v>1418</v>
      </c>
      <c r="C657" s="40" t="s">
        <v>234</v>
      </c>
      <c r="D657" s="40" t="s">
        <v>215</v>
      </c>
      <c r="E657" s="2">
        <v>830</v>
      </c>
      <c r="F657" s="2"/>
      <c r="G657" s="10">
        <f>'пр.6.1.ведом.22-23'!G972</f>
        <v>0</v>
      </c>
      <c r="H657" s="10">
        <f>'пр.6.1.ведом.22-23'!H972</f>
        <v>0</v>
      </c>
    </row>
    <row r="658" spans="1:8" ht="47.25" hidden="1" x14ac:dyDescent="0.25">
      <c r="A658" s="45" t="s">
        <v>623</v>
      </c>
      <c r="B658" s="20" t="s">
        <v>1418</v>
      </c>
      <c r="C658" s="40" t="s">
        <v>234</v>
      </c>
      <c r="D658" s="40" t="s">
        <v>215</v>
      </c>
      <c r="E658" s="2">
        <v>830</v>
      </c>
      <c r="F658" s="2">
        <v>908</v>
      </c>
      <c r="G658" s="10">
        <f>G657</f>
        <v>0</v>
      </c>
      <c r="H658" s="10">
        <f>H657</f>
        <v>0</v>
      </c>
    </row>
    <row r="659" spans="1:8" ht="15.75" hidden="1" x14ac:dyDescent="0.25">
      <c r="A659" s="25" t="s">
        <v>135</v>
      </c>
      <c r="B659" s="20" t="s">
        <v>1418</v>
      </c>
      <c r="C659" s="40" t="s">
        <v>234</v>
      </c>
      <c r="D659" s="40" t="s">
        <v>215</v>
      </c>
      <c r="E659" s="2">
        <v>800</v>
      </c>
      <c r="F659" s="2"/>
      <c r="G659" s="10">
        <f>G660</f>
        <v>0</v>
      </c>
      <c r="H659" s="10">
        <f>H660</f>
        <v>0</v>
      </c>
    </row>
    <row r="660" spans="1:8" ht="15.75" hidden="1" x14ac:dyDescent="0.25">
      <c r="A660" s="25" t="s">
        <v>1077</v>
      </c>
      <c r="B660" s="20" t="s">
        <v>1418</v>
      </c>
      <c r="C660" s="40" t="s">
        <v>234</v>
      </c>
      <c r="D660" s="40" t="s">
        <v>215</v>
      </c>
      <c r="E660" s="2">
        <v>850</v>
      </c>
      <c r="F660" s="2"/>
      <c r="G660" s="10">
        <f>'пр.6.1.ведом.22-23'!G973</f>
        <v>0</v>
      </c>
      <c r="H660" s="10">
        <f>'пр.6.1.ведом.22-23'!H973</f>
        <v>0</v>
      </c>
    </row>
    <row r="661" spans="1:8" ht="47.25" hidden="1" x14ac:dyDescent="0.25">
      <c r="A661" s="45" t="s">
        <v>623</v>
      </c>
      <c r="B661" s="20" t="s">
        <v>1418</v>
      </c>
      <c r="C661" s="40" t="s">
        <v>234</v>
      </c>
      <c r="D661" s="40" t="s">
        <v>215</v>
      </c>
      <c r="E661" s="2">
        <v>850</v>
      </c>
      <c r="F661" s="2">
        <v>908</v>
      </c>
      <c r="G661" s="10">
        <f>G660</f>
        <v>0</v>
      </c>
      <c r="H661" s="10">
        <f>H660</f>
        <v>0</v>
      </c>
    </row>
    <row r="662" spans="1:8" ht="15.75" hidden="1" x14ac:dyDescent="0.25">
      <c r="A662" s="25" t="s">
        <v>550</v>
      </c>
      <c r="B662" s="20" t="s">
        <v>1298</v>
      </c>
      <c r="C662" s="40" t="s">
        <v>234</v>
      </c>
      <c r="D662" s="40" t="s">
        <v>215</v>
      </c>
      <c r="E662" s="2"/>
      <c r="F662" s="2"/>
      <c r="G662" s="10">
        <f t="shared" ref="G662:H662" si="91">G663</f>
        <v>0</v>
      </c>
      <c r="H662" s="10">
        <f t="shared" si="91"/>
        <v>0</v>
      </c>
    </row>
    <row r="663" spans="1:8" ht="31.5" hidden="1" x14ac:dyDescent="0.25">
      <c r="A663" s="25" t="s">
        <v>131</v>
      </c>
      <c r="B663" s="20" t="s">
        <v>1298</v>
      </c>
      <c r="C663" s="40" t="s">
        <v>234</v>
      </c>
      <c r="D663" s="40" t="s">
        <v>215</v>
      </c>
      <c r="E663" s="2">
        <v>200</v>
      </c>
      <c r="F663" s="2"/>
      <c r="G663" s="10">
        <f>G664</f>
        <v>0</v>
      </c>
      <c r="H663" s="10">
        <f>H664</f>
        <v>0</v>
      </c>
    </row>
    <row r="664" spans="1:8" ht="47.25" hidden="1" x14ac:dyDescent="0.25">
      <c r="A664" s="25" t="s">
        <v>133</v>
      </c>
      <c r="B664" s="20" t="s">
        <v>1298</v>
      </c>
      <c r="C664" s="40" t="s">
        <v>234</v>
      </c>
      <c r="D664" s="40" t="s">
        <v>215</v>
      </c>
      <c r="E664" s="2">
        <v>240</v>
      </c>
      <c r="F664" s="2"/>
      <c r="G664" s="10">
        <f>'пр.6.1.ведом.22-23'!G976</f>
        <v>0</v>
      </c>
      <c r="H664" s="10">
        <f>'пр.6.1.ведом.22-23'!H976</f>
        <v>0</v>
      </c>
    </row>
    <row r="665" spans="1:8" ht="47.25" hidden="1" x14ac:dyDescent="0.25">
      <c r="A665" s="45" t="s">
        <v>623</v>
      </c>
      <c r="B665" s="20" t="s">
        <v>1298</v>
      </c>
      <c r="C665" s="40" t="s">
        <v>234</v>
      </c>
      <c r="D665" s="40" t="s">
        <v>215</v>
      </c>
      <c r="E665" s="2">
        <v>240</v>
      </c>
      <c r="F665" s="2">
        <v>908</v>
      </c>
      <c r="G665" s="10">
        <f>G664</f>
        <v>0</v>
      </c>
      <c r="H665" s="10">
        <f>H664</f>
        <v>0</v>
      </c>
    </row>
    <row r="666" spans="1:8" ht="15.75" x14ac:dyDescent="0.25">
      <c r="A666" s="25" t="s">
        <v>555</v>
      </c>
      <c r="B666" s="20" t="s">
        <v>1275</v>
      </c>
      <c r="C666" s="40" t="s">
        <v>234</v>
      </c>
      <c r="D666" s="40" t="s">
        <v>215</v>
      </c>
      <c r="E666" s="2"/>
      <c r="F666" s="2"/>
      <c r="G666" s="10">
        <f t="shared" ref="G666:H667" si="92">G667</f>
        <v>50</v>
      </c>
      <c r="H666" s="10">
        <f t="shared" si="92"/>
        <v>55</v>
      </c>
    </row>
    <row r="667" spans="1:8" ht="31.5" x14ac:dyDescent="0.25">
      <c r="A667" s="25" t="s">
        <v>131</v>
      </c>
      <c r="B667" s="20" t="s">
        <v>1275</v>
      </c>
      <c r="C667" s="40" t="s">
        <v>234</v>
      </c>
      <c r="D667" s="40" t="s">
        <v>215</v>
      </c>
      <c r="E667" s="2">
        <v>200</v>
      </c>
      <c r="F667" s="2"/>
      <c r="G667" s="10">
        <f t="shared" si="92"/>
        <v>50</v>
      </c>
      <c r="H667" s="10">
        <f t="shared" si="92"/>
        <v>55</v>
      </c>
    </row>
    <row r="668" spans="1:8" ht="47.25" x14ac:dyDescent="0.25">
      <c r="A668" s="25" t="s">
        <v>133</v>
      </c>
      <c r="B668" s="20" t="s">
        <v>1275</v>
      </c>
      <c r="C668" s="40" t="s">
        <v>234</v>
      </c>
      <c r="D668" s="40" t="s">
        <v>215</v>
      </c>
      <c r="E668" s="2">
        <v>240</v>
      </c>
      <c r="F668" s="2"/>
      <c r="G668" s="10">
        <f>'пр.6.1.ведом.22-23'!G979</f>
        <v>50</v>
      </c>
      <c r="H668" s="10">
        <f>'пр.6.1.ведом.22-23'!H979</f>
        <v>55</v>
      </c>
    </row>
    <row r="669" spans="1:8" ht="47.25" x14ac:dyDescent="0.25">
      <c r="A669" s="45" t="s">
        <v>623</v>
      </c>
      <c r="B669" s="20" t="s">
        <v>1275</v>
      </c>
      <c r="C669" s="40" t="s">
        <v>234</v>
      </c>
      <c r="D669" s="40" t="s">
        <v>215</v>
      </c>
      <c r="E669" s="2">
        <v>240</v>
      </c>
      <c r="F669" s="2">
        <v>908</v>
      </c>
      <c r="G669" s="10">
        <f>G668</f>
        <v>50</v>
      </c>
      <c r="H669" s="10">
        <f>H668</f>
        <v>55</v>
      </c>
    </row>
    <row r="670" spans="1:8" ht="31.5" x14ac:dyDescent="0.25">
      <c r="A670" s="306" t="s">
        <v>1279</v>
      </c>
      <c r="B670" s="20" t="s">
        <v>1276</v>
      </c>
      <c r="C670" s="40" t="s">
        <v>234</v>
      </c>
      <c r="D670" s="40" t="s">
        <v>215</v>
      </c>
      <c r="E670" s="2"/>
      <c r="F670" s="2"/>
      <c r="G670" s="10">
        <f>G671+G674</f>
        <v>375</v>
      </c>
      <c r="H670" s="10">
        <f>H671+H674</f>
        <v>375</v>
      </c>
    </row>
    <row r="671" spans="1:8" ht="31.5" x14ac:dyDescent="0.25">
      <c r="A671" s="25" t="s">
        <v>131</v>
      </c>
      <c r="B671" s="20" t="s">
        <v>1276</v>
      </c>
      <c r="C671" s="40" t="s">
        <v>234</v>
      </c>
      <c r="D671" s="40" t="s">
        <v>215</v>
      </c>
      <c r="E671" s="2">
        <v>200</v>
      </c>
      <c r="F671" s="2"/>
      <c r="G671" s="10">
        <f t="shared" ref="G671:H671" si="93">G672</f>
        <v>300</v>
      </c>
      <c r="H671" s="10">
        <f t="shared" si="93"/>
        <v>300</v>
      </c>
    </row>
    <row r="672" spans="1:8" ht="47.25" x14ac:dyDescent="0.25">
      <c r="A672" s="25" t="s">
        <v>133</v>
      </c>
      <c r="B672" s="20" t="s">
        <v>1276</v>
      </c>
      <c r="C672" s="40" t="s">
        <v>234</v>
      </c>
      <c r="D672" s="40" t="s">
        <v>215</v>
      </c>
      <c r="E672" s="2">
        <v>240</v>
      </c>
      <c r="F672" s="2"/>
      <c r="G672" s="10">
        <f>'пр.6.1.ведом.22-23'!G982</f>
        <v>300</v>
      </c>
      <c r="H672" s="10">
        <f>'пр.6.1.ведом.22-23'!H982</f>
        <v>300</v>
      </c>
    </row>
    <row r="673" spans="1:8" ht="47.25" x14ac:dyDescent="0.25">
      <c r="A673" s="45" t="s">
        <v>623</v>
      </c>
      <c r="B673" s="20" t="s">
        <v>1276</v>
      </c>
      <c r="C673" s="40" t="s">
        <v>234</v>
      </c>
      <c r="D673" s="40" t="s">
        <v>215</v>
      </c>
      <c r="E673" s="2">
        <v>240</v>
      </c>
      <c r="F673" s="2">
        <v>908</v>
      </c>
      <c r="G673" s="10">
        <f>G672</f>
        <v>300</v>
      </c>
      <c r="H673" s="10">
        <f>H672</f>
        <v>300</v>
      </c>
    </row>
    <row r="674" spans="1:8" ht="15.75" x14ac:dyDescent="0.25">
      <c r="A674" s="29" t="s">
        <v>135</v>
      </c>
      <c r="B674" s="20" t="s">
        <v>1276</v>
      </c>
      <c r="C674" s="40" t="s">
        <v>234</v>
      </c>
      <c r="D674" s="40" t="s">
        <v>215</v>
      </c>
      <c r="E674" s="2">
        <v>800</v>
      </c>
      <c r="F674" s="2"/>
      <c r="G674" s="10">
        <f>G675</f>
        <v>75</v>
      </c>
      <c r="H674" s="10">
        <f>H675</f>
        <v>75</v>
      </c>
    </row>
    <row r="675" spans="1:8" s="203" customFormat="1" ht="15.75" x14ac:dyDescent="0.25">
      <c r="A675" s="25" t="s">
        <v>704</v>
      </c>
      <c r="B675" s="20" t="s">
        <v>1276</v>
      </c>
      <c r="C675" s="40" t="s">
        <v>234</v>
      </c>
      <c r="D675" s="40" t="s">
        <v>215</v>
      </c>
      <c r="E675" s="2">
        <v>850</v>
      </c>
      <c r="F675" s="2"/>
      <c r="G675" s="10">
        <f>'пр.6.1.ведом.22-23'!G984</f>
        <v>75</v>
      </c>
      <c r="H675" s="10">
        <f>'пр.6.1.ведом.22-23'!H984</f>
        <v>75</v>
      </c>
    </row>
    <row r="676" spans="1:8" s="203" customFormat="1" ht="47.25" x14ac:dyDescent="0.25">
      <c r="A676" s="45" t="s">
        <v>623</v>
      </c>
      <c r="B676" s="20" t="s">
        <v>1276</v>
      </c>
      <c r="C676" s="40" t="s">
        <v>234</v>
      </c>
      <c r="D676" s="40" t="s">
        <v>215</v>
      </c>
      <c r="E676" s="2">
        <v>850</v>
      </c>
      <c r="F676" s="2">
        <v>908</v>
      </c>
      <c r="G676" s="10">
        <f>G675</f>
        <v>75</v>
      </c>
      <c r="H676" s="10">
        <f>H675</f>
        <v>75</v>
      </c>
    </row>
    <row r="677" spans="1:8" s="203" customFormat="1" ht="31.5" x14ac:dyDescent="0.25">
      <c r="A677" s="45" t="s">
        <v>559</v>
      </c>
      <c r="B677" s="20" t="s">
        <v>1277</v>
      </c>
      <c r="C677" s="40" t="s">
        <v>234</v>
      </c>
      <c r="D677" s="40" t="s">
        <v>215</v>
      </c>
      <c r="E677" s="2"/>
      <c r="F677" s="2"/>
      <c r="G677" s="10">
        <f t="shared" ref="G677:H678" si="94">G678</f>
        <v>0</v>
      </c>
      <c r="H677" s="10">
        <f t="shared" si="94"/>
        <v>130</v>
      </c>
    </row>
    <row r="678" spans="1:8" s="203" customFormat="1" ht="31.5" x14ac:dyDescent="0.25">
      <c r="A678" s="25" t="s">
        <v>131</v>
      </c>
      <c r="B678" s="20" t="s">
        <v>1277</v>
      </c>
      <c r="C678" s="40" t="s">
        <v>234</v>
      </c>
      <c r="D678" s="40" t="s">
        <v>215</v>
      </c>
      <c r="E678" s="2">
        <v>200</v>
      </c>
      <c r="F678" s="2"/>
      <c r="G678" s="10">
        <f t="shared" si="94"/>
        <v>0</v>
      </c>
      <c r="H678" s="10">
        <f t="shared" si="94"/>
        <v>130</v>
      </c>
    </row>
    <row r="679" spans="1:8" ht="47.25" x14ac:dyDescent="0.25">
      <c r="A679" s="25" t="s">
        <v>133</v>
      </c>
      <c r="B679" s="20" t="s">
        <v>1277</v>
      </c>
      <c r="C679" s="40" t="s">
        <v>234</v>
      </c>
      <c r="D679" s="40" t="s">
        <v>215</v>
      </c>
      <c r="E679" s="2">
        <v>240</v>
      </c>
      <c r="F679" s="2"/>
      <c r="G679" s="10">
        <f>'пр.6.1.ведом.22-23'!G987</f>
        <v>0</v>
      </c>
      <c r="H679" s="10">
        <f>'пр.6.1.ведом.22-23'!H987</f>
        <v>130</v>
      </c>
    </row>
    <row r="680" spans="1:8" ht="47.25" x14ac:dyDescent="0.25">
      <c r="A680" s="45" t="s">
        <v>623</v>
      </c>
      <c r="B680" s="20" t="s">
        <v>1277</v>
      </c>
      <c r="C680" s="40" t="s">
        <v>234</v>
      </c>
      <c r="D680" s="40" t="s">
        <v>215</v>
      </c>
      <c r="E680" s="2">
        <v>850</v>
      </c>
      <c r="F680" s="2">
        <v>908</v>
      </c>
      <c r="G680" s="10">
        <f>G679</f>
        <v>0</v>
      </c>
      <c r="H680" s="10">
        <f>H679</f>
        <v>130</v>
      </c>
    </row>
    <row r="681" spans="1:8" ht="31.5" x14ac:dyDescent="0.25">
      <c r="A681" s="229" t="s">
        <v>1088</v>
      </c>
      <c r="B681" s="20" t="s">
        <v>1278</v>
      </c>
      <c r="C681" s="40" t="s">
        <v>234</v>
      </c>
      <c r="D681" s="40" t="s">
        <v>215</v>
      </c>
      <c r="E681" s="2"/>
      <c r="F681" s="2"/>
      <c r="G681" s="10">
        <f>G682</f>
        <v>50</v>
      </c>
      <c r="H681" s="10">
        <f>H682</f>
        <v>60</v>
      </c>
    </row>
    <row r="682" spans="1:8" ht="31.5" x14ac:dyDescent="0.25">
      <c r="A682" s="25" t="s">
        <v>131</v>
      </c>
      <c r="B682" s="20" t="s">
        <v>1278</v>
      </c>
      <c r="C682" s="40" t="s">
        <v>234</v>
      </c>
      <c r="D682" s="40" t="s">
        <v>215</v>
      </c>
      <c r="E682" s="2">
        <v>200</v>
      </c>
      <c r="F682" s="2"/>
      <c r="G682" s="10">
        <f>G683</f>
        <v>50</v>
      </c>
      <c r="H682" s="10">
        <f>H683</f>
        <v>60</v>
      </c>
    </row>
    <row r="683" spans="1:8" ht="47.25" x14ac:dyDescent="0.25">
      <c r="A683" s="25" t="s">
        <v>133</v>
      </c>
      <c r="B683" s="20" t="s">
        <v>1278</v>
      </c>
      <c r="C683" s="40" t="s">
        <v>234</v>
      </c>
      <c r="D683" s="40" t="s">
        <v>215</v>
      </c>
      <c r="E683" s="2">
        <v>240</v>
      </c>
      <c r="F683" s="2"/>
      <c r="G683" s="10">
        <f>'пр.6.1.ведом.22-23'!G990</f>
        <v>50</v>
      </c>
      <c r="H683" s="10">
        <f>'пр.6.1.ведом.22-23'!H990</f>
        <v>60</v>
      </c>
    </row>
    <row r="684" spans="1:8" ht="47.25" x14ac:dyDescent="0.25">
      <c r="A684" s="45" t="s">
        <v>623</v>
      </c>
      <c r="B684" s="20" t="s">
        <v>1278</v>
      </c>
      <c r="C684" s="40" t="s">
        <v>234</v>
      </c>
      <c r="D684" s="40" t="s">
        <v>215</v>
      </c>
      <c r="E684" s="2">
        <v>240</v>
      </c>
      <c r="F684" s="2">
        <v>908</v>
      </c>
      <c r="G684" s="10">
        <f>G683</f>
        <v>50</v>
      </c>
      <c r="H684" s="10">
        <f>H683</f>
        <v>60</v>
      </c>
    </row>
    <row r="685" spans="1:8" ht="31.5" hidden="1" x14ac:dyDescent="0.25">
      <c r="A685" s="23" t="s">
        <v>891</v>
      </c>
      <c r="B685" s="24" t="s">
        <v>1296</v>
      </c>
      <c r="C685" s="7"/>
      <c r="D685" s="7"/>
      <c r="E685" s="3"/>
      <c r="F685" s="3"/>
      <c r="G685" s="59">
        <f>G686</f>
        <v>0</v>
      </c>
      <c r="H685" s="59">
        <f>H686</f>
        <v>0</v>
      </c>
    </row>
    <row r="686" spans="1:8" ht="15.75" hidden="1" x14ac:dyDescent="0.25">
      <c r="A686" s="73" t="s">
        <v>390</v>
      </c>
      <c r="B686" s="20" t="s">
        <v>1296</v>
      </c>
      <c r="C686" s="40" t="s">
        <v>234</v>
      </c>
      <c r="D686" s="40"/>
      <c r="E686" s="2"/>
      <c r="F686" s="2"/>
      <c r="G686" s="10">
        <f t="shared" ref="G686:H686" si="95">G687</f>
        <v>0</v>
      </c>
      <c r="H686" s="10">
        <f t="shared" si="95"/>
        <v>0</v>
      </c>
    </row>
    <row r="687" spans="1:8" ht="15.75" hidden="1" x14ac:dyDescent="0.25">
      <c r="A687" s="73" t="s">
        <v>541</v>
      </c>
      <c r="B687" s="20" t="s">
        <v>1296</v>
      </c>
      <c r="C687" s="40" t="s">
        <v>234</v>
      </c>
      <c r="D687" s="40" t="s">
        <v>215</v>
      </c>
      <c r="E687" s="2"/>
      <c r="F687" s="2"/>
      <c r="G687" s="10">
        <f>G688+G692</f>
        <v>0</v>
      </c>
      <c r="H687" s="10">
        <f>H688+H692</f>
        <v>0</v>
      </c>
    </row>
    <row r="688" spans="1:8" ht="47.25" hidden="1" x14ac:dyDescent="0.25">
      <c r="A688" s="25" t="s">
        <v>690</v>
      </c>
      <c r="B688" s="20" t="s">
        <v>1327</v>
      </c>
      <c r="C688" s="40" t="s">
        <v>234</v>
      </c>
      <c r="D688" s="40" t="s">
        <v>215</v>
      </c>
      <c r="E688" s="2"/>
      <c r="F688" s="2"/>
      <c r="G688" s="10">
        <f>G689</f>
        <v>0</v>
      </c>
      <c r="H688" s="10">
        <f>H689</f>
        <v>0</v>
      </c>
    </row>
    <row r="689" spans="1:8" ht="31.5" hidden="1" x14ac:dyDescent="0.25">
      <c r="A689" s="25" t="s">
        <v>131</v>
      </c>
      <c r="B689" s="20" t="s">
        <v>1327</v>
      </c>
      <c r="C689" s="40" t="s">
        <v>234</v>
      </c>
      <c r="D689" s="40" t="s">
        <v>215</v>
      </c>
      <c r="E689" s="20" t="s">
        <v>132</v>
      </c>
      <c r="F689" s="2"/>
      <c r="G689" s="10">
        <f>G690</f>
        <v>0</v>
      </c>
      <c r="H689" s="10">
        <f>H690</f>
        <v>0</v>
      </c>
    </row>
    <row r="690" spans="1:8" ht="47.25" hidden="1" x14ac:dyDescent="0.25">
      <c r="A690" s="25" t="s">
        <v>133</v>
      </c>
      <c r="B690" s="20" t="s">
        <v>1327</v>
      </c>
      <c r="C690" s="40" t="s">
        <v>234</v>
      </c>
      <c r="D690" s="40" t="s">
        <v>215</v>
      </c>
      <c r="E690" s="20" t="s">
        <v>134</v>
      </c>
      <c r="F690" s="2"/>
      <c r="G690" s="10">
        <f>'пр.6.1.ведом.22-23'!G994</f>
        <v>0</v>
      </c>
      <c r="H690" s="10">
        <f>'пр.6.1.ведом.22-23'!H994</f>
        <v>0</v>
      </c>
    </row>
    <row r="691" spans="1:8" ht="47.25" hidden="1" x14ac:dyDescent="0.25">
      <c r="A691" s="45" t="s">
        <v>623</v>
      </c>
      <c r="B691" s="20" t="s">
        <v>1327</v>
      </c>
      <c r="C691" s="40" t="s">
        <v>234</v>
      </c>
      <c r="D691" s="40" t="s">
        <v>215</v>
      </c>
      <c r="E691" s="20" t="s">
        <v>134</v>
      </c>
      <c r="F691" s="2">
        <v>908</v>
      </c>
      <c r="G691" s="10">
        <f>G690</f>
        <v>0</v>
      </c>
      <c r="H691" s="10">
        <f>H690</f>
        <v>0</v>
      </c>
    </row>
    <row r="692" spans="1:8" ht="63" hidden="1" x14ac:dyDescent="0.25">
      <c r="A692" s="25" t="s">
        <v>1070</v>
      </c>
      <c r="B692" s="20" t="s">
        <v>1295</v>
      </c>
      <c r="C692" s="40" t="s">
        <v>234</v>
      </c>
      <c r="D692" s="40" t="s">
        <v>215</v>
      </c>
      <c r="E692" s="20"/>
      <c r="F692" s="2"/>
      <c r="G692" s="10">
        <f>G693</f>
        <v>0</v>
      </c>
      <c r="H692" s="10">
        <f>H693</f>
        <v>0</v>
      </c>
    </row>
    <row r="693" spans="1:8" ht="31.5" hidden="1" x14ac:dyDescent="0.25">
      <c r="A693" s="25" t="s">
        <v>131</v>
      </c>
      <c r="B693" s="20" t="s">
        <v>1295</v>
      </c>
      <c r="C693" s="40" t="s">
        <v>234</v>
      </c>
      <c r="D693" s="40" t="s">
        <v>215</v>
      </c>
      <c r="E693" s="20" t="s">
        <v>132</v>
      </c>
      <c r="F693" s="2"/>
      <c r="G693" s="10">
        <f>G694</f>
        <v>0</v>
      </c>
      <c r="H693" s="10">
        <f>H694</f>
        <v>0</v>
      </c>
    </row>
    <row r="694" spans="1:8" ht="47.25" hidden="1" x14ac:dyDescent="0.25">
      <c r="A694" s="25" t="s">
        <v>133</v>
      </c>
      <c r="B694" s="20" t="s">
        <v>1295</v>
      </c>
      <c r="C694" s="40" t="s">
        <v>234</v>
      </c>
      <c r="D694" s="40" t="s">
        <v>215</v>
      </c>
      <c r="E694" s="20" t="s">
        <v>134</v>
      </c>
      <c r="F694" s="2"/>
      <c r="G694" s="10">
        <f>'пр.6.1.ведом.22-23'!G997</f>
        <v>0</v>
      </c>
      <c r="H694" s="10">
        <f>'пр.6.1.ведом.22-23'!H997</f>
        <v>0</v>
      </c>
    </row>
    <row r="695" spans="1:8" ht="47.25" hidden="1" x14ac:dyDescent="0.25">
      <c r="A695" s="45" t="s">
        <v>623</v>
      </c>
      <c r="B695" s="20" t="s">
        <v>1295</v>
      </c>
      <c r="C695" s="40" t="s">
        <v>234</v>
      </c>
      <c r="D695" s="40" t="s">
        <v>215</v>
      </c>
      <c r="E695" s="20" t="s">
        <v>134</v>
      </c>
      <c r="F695" s="2">
        <v>908</v>
      </c>
      <c r="G695" s="10">
        <f>G694</f>
        <v>0</v>
      </c>
      <c r="H695" s="10">
        <f>H694</f>
        <v>0</v>
      </c>
    </row>
    <row r="696" spans="1:8" ht="47.25" x14ac:dyDescent="0.25">
      <c r="A696" s="34" t="s">
        <v>1344</v>
      </c>
      <c r="B696" s="194" t="s">
        <v>182</v>
      </c>
      <c r="C696" s="7"/>
      <c r="D696" s="7"/>
      <c r="E696" s="7"/>
      <c r="F696" s="3"/>
      <c r="G696" s="59">
        <f>G697+G704</f>
        <v>274</v>
      </c>
      <c r="H696" s="59">
        <f>H697+H704</f>
        <v>274</v>
      </c>
    </row>
    <row r="697" spans="1:8" ht="47.25" x14ac:dyDescent="0.25">
      <c r="A697" s="34" t="s">
        <v>1006</v>
      </c>
      <c r="B697" s="194" t="s">
        <v>877</v>
      </c>
      <c r="C697" s="7"/>
      <c r="D697" s="7"/>
      <c r="E697" s="7"/>
      <c r="F697" s="3"/>
      <c r="G697" s="59">
        <f>G698</f>
        <v>274</v>
      </c>
      <c r="H697" s="59">
        <f>H698</f>
        <v>274</v>
      </c>
    </row>
    <row r="698" spans="1:8" ht="15.75" x14ac:dyDescent="0.25">
      <c r="A698" s="29" t="s">
        <v>232</v>
      </c>
      <c r="B698" s="5" t="s">
        <v>877</v>
      </c>
      <c r="C698" s="40" t="s">
        <v>150</v>
      </c>
      <c r="D698" s="40"/>
      <c r="E698" s="40"/>
      <c r="F698" s="2"/>
      <c r="G698" s="10">
        <f t="shared" ref="G698:H701" si="96">G699</f>
        <v>274</v>
      </c>
      <c r="H698" s="10">
        <f t="shared" si="96"/>
        <v>274</v>
      </c>
    </row>
    <row r="699" spans="1:8" ht="15.75" x14ac:dyDescent="0.25">
      <c r="A699" s="29" t="s">
        <v>233</v>
      </c>
      <c r="B699" s="30" t="s">
        <v>877</v>
      </c>
      <c r="C699" s="40" t="s">
        <v>150</v>
      </c>
      <c r="D699" s="40" t="s">
        <v>234</v>
      </c>
      <c r="E699" s="40"/>
      <c r="F699" s="2"/>
      <c r="G699" s="10">
        <f>G700</f>
        <v>274</v>
      </c>
      <c r="H699" s="10">
        <f>H700</f>
        <v>274</v>
      </c>
    </row>
    <row r="700" spans="1:8" ht="31.5" x14ac:dyDescent="0.25">
      <c r="A700" s="25" t="s">
        <v>235</v>
      </c>
      <c r="B700" s="20" t="s">
        <v>898</v>
      </c>
      <c r="C700" s="40" t="s">
        <v>150</v>
      </c>
      <c r="D700" s="40" t="s">
        <v>234</v>
      </c>
      <c r="E700" s="40"/>
      <c r="F700" s="2"/>
      <c r="G700" s="10">
        <f t="shared" si="96"/>
        <v>274</v>
      </c>
      <c r="H700" s="10">
        <f t="shared" si="96"/>
        <v>274</v>
      </c>
    </row>
    <row r="701" spans="1:8" ht="15.75" x14ac:dyDescent="0.25">
      <c r="A701" s="29" t="s">
        <v>135</v>
      </c>
      <c r="B701" s="20" t="s">
        <v>898</v>
      </c>
      <c r="C701" s="40" t="s">
        <v>150</v>
      </c>
      <c r="D701" s="40" t="s">
        <v>234</v>
      </c>
      <c r="E701" s="40" t="s">
        <v>145</v>
      </c>
      <c r="F701" s="2"/>
      <c r="G701" s="10">
        <f t="shared" si="96"/>
        <v>274</v>
      </c>
      <c r="H701" s="10">
        <f t="shared" si="96"/>
        <v>274</v>
      </c>
    </row>
    <row r="702" spans="1:8" ht="63" x14ac:dyDescent="0.25">
      <c r="A702" s="29" t="s">
        <v>184</v>
      </c>
      <c r="B702" s="20" t="s">
        <v>898</v>
      </c>
      <c r="C702" s="40" t="s">
        <v>150</v>
      </c>
      <c r="D702" s="40" t="s">
        <v>234</v>
      </c>
      <c r="E702" s="40" t="s">
        <v>160</v>
      </c>
      <c r="F702" s="2"/>
      <c r="G702" s="10">
        <f>'пр.6.1.ведом.22-23'!G197</f>
        <v>274</v>
      </c>
      <c r="H702" s="10">
        <f>'пр.6.1.ведом.22-23'!H197</f>
        <v>274</v>
      </c>
    </row>
    <row r="703" spans="1:8" ht="31.5" x14ac:dyDescent="0.25">
      <c r="A703" s="29" t="s">
        <v>148</v>
      </c>
      <c r="B703" s="20" t="s">
        <v>898</v>
      </c>
      <c r="C703" s="40" t="s">
        <v>150</v>
      </c>
      <c r="D703" s="40" t="s">
        <v>234</v>
      </c>
      <c r="E703" s="40" t="s">
        <v>160</v>
      </c>
      <c r="F703" s="2">
        <v>902</v>
      </c>
      <c r="G703" s="10">
        <f>G702</f>
        <v>274</v>
      </c>
      <c r="H703" s="10">
        <f>H702</f>
        <v>274</v>
      </c>
    </row>
    <row r="704" spans="1:8" ht="47.25" hidden="1" x14ac:dyDescent="0.25">
      <c r="A704" s="214" t="s">
        <v>1007</v>
      </c>
      <c r="B704" s="24" t="s">
        <v>879</v>
      </c>
      <c r="C704" s="40"/>
      <c r="D704" s="40"/>
      <c r="E704" s="40"/>
      <c r="F704" s="2"/>
      <c r="G704" s="10">
        <f t="shared" ref="G704:H708" si="97">G705</f>
        <v>0</v>
      </c>
      <c r="H704" s="10">
        <f t="shared" si="97"/>
        <v>0</v>
      </c>
    </row>
    <row r="705" spans="1:8" ht="15.75" hidden="1" x14ac:dyDescent="0.25">
      <c r="A705" s="29" t="s">
        <v>232</v>
      </c>
      <c r="B705" s="5" t="s">
        <v>877</v>
      </c>
      <c r="C705" s="40" t="s">
        <v>150</v>
      </c>
      <c r="D705" s="40"/>
      <c r="E705" s="40"/>
      <c r="F705" s="2"/>
      <c r="G705" s="10">
        <f t="shared" si="97"/>
        <v>0</v>
      </c>
      <c r="H705" s="10">
        <f t="shared" si="97"/>
        <v>0</v>
      </c>
    </row>
    <row r="706" spans="1:8" ht="15.75" hidden="1" x14ac:dyDescent="0.25">
      <c r="A706" s="29" t="s">
        <v>233</v>
      </c>
      <c r="B706" s="30" t="s">
        <v>877</v>
      </c>
      <c r="C706" s="40" t="s">
        <v>150</v>
      </c>
      <c r="D706" s="40" t="s">
        <v>234</v>
      </c>
      <c r="E706" s="40"/>
      <c r="F706" s="2"/>
      <c r="G706" s="10">
        <f t="shared" si="97"/>
        <v>0</v>
      </c>
      <c r="H706" s="10">
        <f t="shared" si="97"/>
        <v>0</v>
      </c>
    </row>
    <row r="707" spans="1:8" ht="15.75" hidden="1" x14ac:dyDescent="0.25">
      <c r="A707" s="25" t="s">
        <v>878</v>
      </c>
      <c r="B707" s="5" t="s">
        <v>899</v>
      </c>
      <c r="C707" s="40" t="s">
        <v>150</v>
      </c>
      <c r="D707" s="40" t="s">
        <v>234</v>
      </c>
      <c r="E707" s="40"/>
      <c r="F707" s="2"/>
      <c r="G707" s="10">
        <f t="shared" si="97"/>
        <v>0</v>
      </c>
      <c r="H707" s="10">
        <f t="shared" si="97"/>
        <v>0</v>
      </c>
    </row>
    <row r="708" spans="1:8" ht="15.75" hidden="1" x14ac:dyDescent="0.25">
      <c r="A708" s="29" t="s">
        <v>135</v>
      </c>
      <c r="B708" s="5" t="s">
        <v>899</v>
      </c>
      <c r="C708" s="40" t="s">
        <v>150</v>
      </c>
      <c r="D708" s="40" t="s">
        <v>234</v>
      </c>
      <c r="E708" s="40" t="s">
        <v>145</v>
      </c>
      <c r="F708" s="2"/>
      <c r="G708" s="10">
        <f t="shared" si="97"/>
        <v>0</v>
      </c>
      <c r="H708" s="10">
        <f t="shared" si="97"/>
        <v>0</v>
      </c>
    </row>
    <row r="709" spans="1:8" ht="63" hidden="1" x14ac:dyDescent="0.25">
      <c r="A709" s="29" t="s">
        <v>184</v>
      </c>
      <c r="B709" s="5" t="s">
        <v>899</v>
      </c>
      <c r="C709" s="40" t="s">
        <v>150</v>
      </c>
      <c r="D709" s="40" t="s">
        <v>234</v>
      </c>
      <c r="E709" s="40" t="s">
        <v>160</v>
      </c>
      <c r="F709" s="2"/>
      <c r="G709" s="10">
        <f>'пр.6.1.ведом.22-23'!G204</f>
        <v>0</v>
      </c>
      <c r="H709" s="10">
        <f>'пр.6.1.ведом.22-23'!H204</f>
        <v>0</v>
      </c>
    </row>
    <row r="710" spans="1:8" ht="31.5" hidden="1" x14ac:dyDescent="0.25">
      <c r="A710" s="29" t="s">
        <v>148</v>
      </c>
      <c r="B710" s="5" t="s">
        <v>899</v>
      </c>
      <c r="C710" s="40" t="s">
        <v>150</v>
      </c>
      <c r="D710" s="40" t="s">
        <v>234</v>
      </c>
      <c r="E710" s="40" t="s">
        <v>160</v>
      </c>
      <c r="F710" s="2">
        <v>902</v>
      </c>
      <c r="G710" s="10">
        <f>G709</f>
        <v>0</v>
      </c>
      <c r="H710" s="10">
        <f>H709</f>
        <v>0</v>
      </c>
    </row>
    <row r="711" spans="1:8" ht="78.75" x14ac:dyDescent="0.25">
      <c r="A711" s="41" t="s">
        <v>1526</v>
      </c>
      <c r="B711" s="7" t="s">
        <v>518</v>
      </c>
      <c r="C711" s="7"/>
      <c r="D711" s="7"/>
      <c r="E711" s="72"/>
      <c r="F711" s="3"/>
      <c r="G711" s="59">
        <f>G712+G719+G726+G733+G740+G747+G754</f>
        <v>700</v>
      </c>
      <c r="H711" s="59">
        <f>H712+H719+H726+H733+H740+H747+H754</f>
        <v>700</v>
      </c>
    </row>
    <row r="712" spans="1:8" ht="31.5" x14ac:dyDescent="0.25">
      <c r="A712" s="23" t="s">
        <v>963</v>
      </c>
      <c r="B712" s="24" t="s">
        <v>965</v>
      </c>
      <c r="C712" s="40"/>
      <c r="D712" s="40"/>
      <c r="E712" s="40"/>
      <c r="F712" s="2"/>
      <c r="G712" s="59">
        <f>G713</f>
        <v>700</v>
      </c>
      <c r="H712" s="59">
        <f>H713</f>
        <v>700</v>
      </c>
    </row>
    <row r="713" spans="1:8" ht="15.75" x14ac:dyDescent="0.25">
      <c r="A713" s="29" t="s">
        <v>390</v>
      </c>
      <c r="B713" s="40" t="s">
        <v>965</v>
      </c>
      <c r="C713" s="40" t="s">
        <v>234</v>
      </c>
      <c r="D713" s="40"/>
      <c r="E713" s="73"/>
      <c r="F713" s="2"/>
      <c r="G713" s="10">
        <f t="shared" ref="G713:H713" si="98">G714</f>
        <v>700</v>
      </c>
      <c r="H713" s="10">
        <f t="shared" si="98"/>
        <v>700</v>
      </c>
    </row>
    <row r="714" spans="1:8" ht="15.75" x14ac:dyDescent="0.25">
      <c r="A714" s="29" t="s">
        <v>517</v>
      </c>
      <c r="B714" s="40" t="s">
        <v>965</v>
      </c>
      <c r="C714" s="40" t="s">
        <v>234</v>
      </c>
      <c r="D714" s="40" t="s">
        <v>213</v>
      </c>
      <c r="E714" s="73"/>
      <c r="F714" s="2"/>
      <c r="G714" s="10">
        <f>G715</f>
        <v>700</v>
      </c>
      <c r="H714" s="10">
        <f>H715</f>
        <v>700</v>
      </c>
    </row>
    <row r="715" spans="1:8" ht="15.75" x14ac:dyDescent="0.25">
      <c r="A715" s="45" t="s">
        <v>521</v>
      </c>
      <c r="B715" s="20" t="s">
        <v>966</v>
      </c>
      <c r="C715" s="40" t="s">
        <v>234</v>
      </c>
      <c r="D715" s="40" t="s">
        <v>213</v>
      </c>
      <c r="E715" s="40"/>
      <c r="F715" s="2"/>
      <c r="G715" s="10">
        <f t="shared" ref="G715:H716" si="99">G716</f>
        <v>700</v>
      </c>
      <c r="H715" s="10">
        <f t="shared" si="99"/>
        <v>700</v>
      </c>
    </row>
    <row r="716" spans="1:8" ht="31.5" x14ac:dyDescent="0.25">
      <c r="A716" s="31" t="s">
        <v>131</v>
      </c>
      <c r="B716" s="20" t="s">
        <v>966</v>
      </c>
      <c r="C716" s="40" t="s">
        <v>234</v>
      </c>
      <c r="D716" s="40" t="s">
        <v>213</v>
      </c>
      <c r="E716" s="40" t="s">
        <v>132</v>
      </c>
      <c r="F716" s="2"/>
      <c r="G716" s="10">
        <f t="shared" si="99"/>
        <v>700</v>
      </c>
      <c r="H716" s="10">
        <f t="shared" si="99"/>
        <v>700</v>
      </c>
    </row>
    <row r="717" spans="1:8" ht="47.25" x14ac:dyDescent="0.25">
      <c r="A717" s="31" t="s">
        <v>133</v>
      </c>
      <c r="B717" s="20" t="s">
        <v>966</v>
      </c>
      <c r="C717" s="40" t="s">
        <v>234</v>
      </c>
      <c r="D717" s="40" t="s">
        <v>213</v>
      </c>
      <c r="E717" s="40" t="s">
        <v>134</v>
      </c>
      <c r="F717" s="2"/>
      <c r="G717" s="10">
        <f>'пр.6.1.ведом.22-23'!G923</f>
        <v>700</v>
      </c>
      <c r="H717" s="10">
        <f>'пр.6.1.ведом.22-23'!H923</f>
        <v>700</v>
      </c>
    </row>
    <row r="718" spans="1:8" ht="47.25" x14ac:dyDescent="0.25">
      <c r="A718" s="45" t="s">
        <v>623</v>
      </c>
      <c r="B718" s="20" t="s">
        <v>966</v>
      </c>
      <c r="C718" s="40" t="s">
        <v>234</v>
      </c>
      <c r="D718" s="40" t="s">
        <v>213</v>
      </c>
      <c r="E718" s="40" t="s">
        <v>134</v>
      </c>
      <c r="F718" s="2">
        <v>908</v>
      </c>
      <c r="G718" s="6">
        <f>G717</f>
        <v>700</v>
      </c>
      <c r="H718" s="6">
        <f>H717</f>
        <v>700</v>
      </c>
    </row>
    <row r="719" spans="1:8" ht="31.5" hidden="1" x14ac:dyDescent="0.25">
      <c r="A719" s="34" t="s">
        <v>967</v>
      </c>
      <c r="B719" s="24" t="s">
        <v>968</v>
      </c>
      <c r="C719" s="40"/>
      <c r="D719" s="40"/>
      <c r="E719" s="40"/>
      <c r="F719" s="2"/>
      <c r="G719" s="59">
        <f>G720</f>
        <v>0</v>
      </c>
      <c r="H719" s="59">
        <f>H720</f>
        <v>0</v>
      </c>
    </row>
    <row r="720" spans="1:8" ht="15.75" hidden="1" x14ac:dyDescent="0.25">
      <c r="A720" s="29" t="s">
        <v>390</v>
      </c>
      <c r="B720" s="40" t="s">
        <v>968</v>
      </c>
      <c r="C720" s="40" t="s">
        <v>234</v>
      </c>
      <c r="D720" s="40"/>
      <c r="E720" s="73"/>
      <c r="F720" s="2"/>
      <c r="G720" s="10">
        <f t="shared" ref="G720:H720" si="100">G721</f>
        <v>0</v>
      </c>
      <c r="H720" s="10">
        <f t="shared" si="100"/>
        <v>0</v>
      </c>
    </row>
    <row r="721" spans="1:8" ht="15.75" hidden="1" x14ac:dyDescent="0.25">
      <c r="A721" s="29" t="s">
        <v>517</v>
      </c>
      <c r="B721" s="40" t="s">
        <v>968</v>
      </c>
      <c r="C721" s="40" t="s">
        <v>234</v>
      </c>
      <c r="D721" s="40" t="s">
        <v>213</v>
      </c>
      <c r="E721" s="73"/>
      <c r="F721" s="2"/>
      <c r="G721" s="10">
        <f>G722</f>
        <v>0</v>
      </c>
      <c r="H721" s="10">
        <f>H722</f>
        <v>0</v>
      </c>
    </row>
    <row r="722" spans="1:8" ht="15.75" hidden="1" x14ac:dyDescent="0.25">
      <c r="A722" s="45" t="s">
        <v>523</v>
      </c>
      <c r="B722" s="20" t="s">
        <v>971</v>
      </c>
      <c r="C722" s="40" t="s">
        <v>234</v>
      </c>
      <c r="D722" s="40" t="s">
        <v>213</v>
      </c>
      <c r="E722" s="40"/>
      <c r="F722" s="2"/>
      <c r="G722" s="10">
        <f>G723</f>
        <v>0</v>
      </c>
      <c r="H722" s="10">
        <f>H723</f>
        <v>0</v>
      </c>
    </row>
    <row r="723" spans="1:8" ht="31.5" hidden="1" x14ac:dyDescent="0.25">
      <c r="A723" s="31" t="s">
        <v>131</v>
      </c>
      <c r="B723" s="20" t="s">
        <v>971</v>
      </c>
      <c r="C723" s="40" t="s">
        <v>234</v>
      </c>
      <c r="D723" s="40" t="s">
        <v>213</v>
      </c>
      <c r="E723" s="40" t="s">
        <v>132</v>
      </c>
      <c r="F723" s="2"/>
      <c r="G723" s="10">
        <f t="shared" ref="G723:H723" si="101">G724</f>
        <v>0</v>
      </c>
      <c r="H723" s="10">
        <f t="shared" si="101"/>
        <v>0</v>
      </c>
    </row>
    <row r="724" spans="1:8" ht="47.25" hidden="1" x14ac:dyDescent="0.25">
      <c r="A724" s="31" t="s">
        <v>133</v>
      </c>
      <c r="B724" s="20" t="s">
        <v>971</v>
      </c>
      <c r="C724" s="40" t="s">
        <v>234</v>
      </c>
      <c r="D724" s="40" t="s">
        <v>213</v>
      </c>
      <c r="E724" s="40" t="s">
        <v>134</v>
      </c>
      <c r="F724" s="2"/>
      <c r="G724" s="10">
        <f>'пр.6.1.ведом.22-23'!G927</f>
        <v>0</v>
      </c>
      <c r="H724" s="10">
        <f>'пр.6.1.ведом.22-23'!H927</f>
        <v>0</v>
      </c>
    </row>
    <row r="725" spans="1:8" ht="47.25" hidden="1" x14ac:dyDescent="0.25">
      <c r="A725" s="45" t="s">
        <v>623</v>
      </c>
      <c r="B725" s="20" t="s">
        <v>971</v>
      </c>
      <c r="C725" s="40" t="s">
        <v>234</v>
      </c>
      <c r="D725" s="40" t="s">
        <v>213</v>
      </c>
      <c r="E725" s="40" t="s">
        <v>134</v>
      </c>
      <c r="F725" s="2">
        <v>908</v>
      </c>
      <c r="G725" s="6">
        <f>G724</f>
        <v>0</v>
      </c>
      <c r="H725" s="6">
        <f>H724</f>
        <v>0</v>
      </c>
    </row>
    <row r="726" spans="1:8" ht="31.5" hidden="1" x14ac:dyDescent="0.25">
      <c r="A726" s="58" t="s">
        <v>969</v>
      </c>
      <c r="B726" s="24" t="s">
        <v>970</v>
      </c>
      <c r="C726" s="40"/>
      <c r="D726" s="40"/>
      <c r="E726" s="40"/>
      <c r="F726" s="2"/>
      <c r="G726" s="59">
        <f>G727</f>
        <v>0</v>
      </c>
      <c r="H726" s="59">
        <f>H727</f>
        <v>0</v>
      </c>
    </row>
    <row r="727" spans="1:8" ht="15.75" hidden="1" x14ac:dyDescent="0.25">
      <c r="A727" s="29" t="s">
        <v>390</v>
      </c>
      <c r="B727" s="40" t="s">
        <v>970</v>
      </c>
      <c r="C727" s="40" t="s">
        <v>234</v>
      </c>
      <c r="D727" s="40"/>
      <c r="E727" s="73"/>
      <c r="F727" s="2"/>
      <c r="G727" s="10">
        <f t="shared" ref="G727:H727" si="102">G728</f>
        <v>0</v>
      </c>
      <c r="H727" s="10">
        <f t="shared" si="102"/>
        <v>0</v>
      </c>
    </row>
    <row r="728" spans="1:8" ht="15.75" hidden="1" x14ac:dyDescent="0.25">
      <c r="A728" s="29" t="s">
        <v>517</v>
      </c>
      <c r="B728" s="40" t="s">
        <v>970</v>
      </c>
      <c r="C728" s="40" t="s">
        <v>234</v>
      </c>
      <c r="D728" s="40" t="s">
        <v>213</v>
      </c>
      <c r="E728" s="73"/>
      <c r="F728" s="2"/>
      <c r="G728" s="10">
        <f>G729</f>
        <v>0</v>
      </c>
      <c r="H728" s="10">
        <f>H729</f>
        <v>0</v>
      </c>
    </row>
    <row r="729" spans="1:8" ht="15.75" hidden="1" x14ac:dyDescent="0.25">
      <c r="A729" s="45" t="s">
        <v>525</v>
      </c>
      <c r="B729" s="20" t="s">
        <v>972</v>
      </c>
      <c r="C729" s="40" t="s">
        <v>234</v>
      </c>
      <c r="D729" s="40" t="s">
        <v>213</v>
      </c>
      <c r="E729" s="40"/>
      <c r="F729" s="2"/>
      <c r="G729" s="10">
        <f>G730</f>
        <v>0</v>
      </c>
      <c r="H729" s="10">
        <f>H730</f>
        <v>0</v>
      </c>
    </row>
    <row r="730" spans="1:8" ht="31.5" hidden="1" x14ac:dyDescent="0.25">
      <c r="A730" s="31" t="s">
        <v>131</v>
      </c>
      <c r="B730" s="20" t="s">
        <v>972</v>
      </c>
      <c r="C730" s="40" t="s">
        <v>234</v>
      </c>
      <c r="D730" s="40" t="s">
        <v>213</v>
      </c>
      <c r="E730" s="40" t="s">
        <v>132</v>
      </c>
      <c r="F730" s="2"/>
      <c r="G730" s="10">
        <f t="shared" ref="G730:H730" si="103">G731</f>
        <v>0</v>
      </c>
      <c r="H730" s="10">
        <f t="shared" si="103"/>
        <v>0</v>
      </c>
    </row>
    <row r="731" spans="1:8" ht="47.25" hidden="1" x14ac:dyDescent="0.25">
      <c r="A731" s="31" t="s">
        <v>133</v>
      </c>
      <c r="B731" s="20" t="s">
        <v>972</v>
      </c>
      <c r="C731" s="40" t="s">
        <v>234</v>
      </c>
      <c r="D731" s="40" t="s">
        <v>213</v>
      </c>
      <c r="E731" s="40" t="s">
        <v>134</v>
      </c>
      <c r="F731" s="2"/>
      <c r="G731" s="10">
        <f>'пр.6.1.ведом.22-23'!G931</f>
        <v>0</v>
      </c>
      <c r="H731" s="10">
        <f>'пр.6.1.ведом.22-23'!H931</f>
        <v>0</v>
      </c>
    </row>
    <row r="732" spans="1:8" ht="47.25" hidden="1" x14ac:dyDescent="0.25">
      <c r="A732" s="45" t="s">
        <v>623</v>
      </c>
      <c r="B732" s="20" t="s">
        <v>972</v>
      </c>
      <c r="C732" s="40" t="s">
        <v>234</v>
      </c>
      <c r="D732" s="40" t="s">
        <v>213</v>
      </c>
      <c r="E732" s="40" t="s">
        <v>134</v>
      </c>
      <c r="F732" s="2">
        <v>908</v>
      </c>
      <c r="G732" s="6">
        <f>G731</f>
        <v>0</v>
      </c>
      <c r="H732" s="6">
        <f>H731</f>
        <v>0</v>
      </c>
    </row>
    <row r="733" spans="1:8" ht="31.5" hidden="1" x14ac:dyDescent="0.25">
      <c r="A733" s="58" t="s">
        <v>973</v>
      </c>
      <c r="B733" s="24" t="s">
        <v>974</v>
      </c>
      <c r="C733" s="40"/>
      <c r="D733" s="40"/>
      <c r="E733" s="40"/>
      <c r="F733" s="2"/>
      <c r="G733" s="59">
        <f t="shared" ref="G733:H735" si="104">G734</f>
        <v>0</v>
      </c>
      <c r="H733" s="59">
        <f t="shared" si="104"/>
        <v>0</v>
      </c>
    </row>
    <row r="734" spans="1:8" ht="15.75" hidden="1" x14ac:dyDescent="0.25">
      <c r="A734" s="29" t="s">
        <v>390</v>
      </c>
      <c r="B734" s="40" t="s">
        <v>974</v>
      </c>
      <c r="C734" s="40" t="s">
        <v>234</v>
      </c>
      <c r="D734" s="40"/>
      <c r="E734" s="73"/>
      <c r="F734" s="2"/>
      <c r="G734" s="10">
        <f t="shared" si="104"/>
        <v>0</v>
      </c>
      <c r="H734" s="10">
        <f t="shared" si="104"/>
        <v>0</v>
      </c>
    </row>
    <row r="735" spans="1:8" ht="15.75" hidden="1" x14ac:dyDescent="0.25">
      <c r="A735" s="29" t="s">
        <v>517</v>
      </c>
      <c r="B735" s="40" t="s">
        <v>974</v>
      </c>
      <c r="C735" s="40" t="s">
        <v>234</v>
      </c>
      <c r="D735" s="40" t="s">
        <v>213</v>
      </c>
      <c r="E735" s="73"/>
      <c r="F735" s="2"/>
      <c r="G735" s="10">
        <f t="shared" si="104"/>
        <v>0</v>
      </c>
      <c r="H735" s="10">
        <f t="shared" si="104"/>
        <v>0</v>
      </c>
    </row>
    <row r="736" spans="1:8" ht="31.5" hidden="1" x14ac:dyDescent="0.25">
      <c r="A736" s="45" t="s">
        <v>527</v>
      </c>
      <c r="B736" s="20" t="s">
        <v>975</v>
      </c>
      <c r="C736" s="40" t="s">
        <v>234</v>
      </c>
      <c r="D736" s="40" t="s">
        <v>213</v>
      </c>
      <c r="E736" s="40"/>
      <c r="F736" s="2"/>
      <c r="G736" s="10">
        <f t="shared" ref="G736:H737" si="105">G737</f>
        <v>0</v>
      </c>
      <c r="H736" s="10">
        <f t="shared" si="105"/>
        <v>0</v>
      </c>
    </row>
    <row r="737" spans="1:8" ht="31.5" hidden="1" x14ac:dyDescent="0.25">
      <c r="A737" s="31" t="s">
        <v>131</v>
      </c>
      <c r="B737" s="20" t="s">
        <v>975</v>
      </c>
      <c r="C737" s="40" t="s">
        <v>234</v>
      </c>
      <c r="D737" s="40" t="s">
        <v>213</v>
      </c>
      <c r="E737" s="40" t="s">
        <v>132</v>
      </c>
      <c r="F737" s="2"/>
      <c r="G737" s="10">
        <f t="shared" si="105"/>
        <v>0</v>
      </c>
      <c r="H737" s="10">
        <f t="shared" si="105"/>
        <v>0</v>
      </c>
    </row>
    <row r="738" spans="1:8" ht="47.25" hidden="1" x14ac:dyDescent="0.25">
      <c r="A738" s="31" t="s">
        <v>133</v>
      </c>
      <c r="B738" s="20" t="s">
        <v>975</v>
      </c>
      <c r="C738" s="40" t="s">
        <v>234</v>
      </c>
      <c r="D738" s="40" t="s">
        <v>213</v>
      </c>
      <c r="E738" s="40" t="s">
        <v>134</v>
      </c>
      <c r="F738" s="2"/>
      <c r="G738" s="10">
        <f>'пр.6.1.ведом.22-23'!G935</f>
        <v>0</v>
      </c>
      <c r="H738" s="10">
        <f>'пр.6.1.ведом.22-23'!H935</f>
        <v>0</v>
      </c>
    </row>
    <row r="739" spans="1:8" ht="47.25" hidden="1" x14ac:dyDescent="0.25">
      <c r="A739" s="45" t="s">
        <v>623</v>
      </c>
      <c r="B739" s="20" t="s">
        <v>975</v>
      </c>
      <c r="C739" s="40" t="s">
        <v>234</v>
      </c>
      <c r="D739" s="40" t="s">
        <v>213</v>
      </c>
      <c r="E739" s="40" t="s">
        <v>134</v>
      </c>
      <c r="F739" s="2">
        <v>908</v>
      </c>
      <c r="G739" s="6">
        <f>G738</f>
        <v>0</v>
      </c>
      <c r="H739" s="6">
        <f>H738</f>
        <v>0</v>
      </c>
    </row>
    <row r="740" spans="1:8" ht="31.5" hidden="1" x14ac:dyDescent="0.25">
      <c r="A740" s="34" t="s">
        <v>1014</v>
      </c>
      <c r="B740" s="24" t="s">
        <v>1015</v>
      </c>
      <c r="C740" s="40"/>
      <c r="D740" s="40"/>
      <c r="E740" s="40"/>
      <c r="F740" s="2"/>
      <c r="G740" s="59">
        <f>G741</f>
        <v>0</v>
      </c>
      <c r="H740" s="59">
        <f>H741</f>
        <v>0</v>
      </c>
    </row>
    <row r="741" spans="1:8" ht="15.75" hidden="1" x14ac:dyDescent="0.25">
      <c r="A741" s="29" t="s">
        <v>390</v>
      </c>
      <c r="B741" s="40" t="s">
        <v>518</v>
      </c>
      <c r="C741" s="40" t="s">
        <v>234</v>
      </c>
      <c r="D741" s="40"/>
      <c r="E741" s="73"/>
      <c r="F741" s="2"/>
      <c r="G741" s="10">
        <f t="shared" ref="G741:H741" si="106">G742</f>
        <v>0</v>
      </c>
      <c r="H741" s="10">
        <f t="shared" si="106"/>
        <v>0</v>
      </c>
    </row>
    <row r="742" spans="1:8" ht="15.75" hidden="1" x14ac:dyDescent="0.25">
      <c r="A742" s="29" t="s">
        <v>517</v>
      </c>
      <c r="B742" s="40" t="s">
        <v>518</v>
      </c>
      <c r="C742" s="40" t="s">
        <v>234</v>
      </c>
      <c r="D742" s="40" t="s">
        <v>213</v>
      </c>
      <c r="E742" s="73"/>
      <c r="F742" s="2"/>
      <c r="G742" s="10">
        <f>G743</f>
        <v>0</v>
      </c>
      <c r="H742" s="10">
        <f>H743</f>
        <v>0</v>
      </c>
    </row>
    <row r="743" spans="1:8" ht="15.75" hidden="1" x14ac:dyDescent="0.25">
      <c r="A743" s="45" t="s">
        <v>529</v>
      </c>
      <c r="B743" s="20" t="s">
        <v>1018</v>
      </c>
      <c r="C743" s="40" t="s">
        <v>234</v>
      </c>
      <c r="D743" s="40" t="s">
        <v>213</v>
      </c>
      <c r="E743" s="40"/>
      <c r="F743" s="2"/>
      <c r="G743" s="10">
        <f t="shared" ref="G743:H744" si="107">G744</f>
        <v>0</v>
      </c>
      <c r="H743" s="10">
        <f t="shared" si="107"/>
        <v>0</v>
      </c>
    </row>
    <row r="744" spans="1:8" ht="31.5" hidden="1" x14ac:dyDescent="0.25">
      <c r="A744" s="31" t="s">
        <v>131</v>
      </c>
      <c r="B744" s="20" t="s">
        <v>1018</v>
      </c>
      <c r="C744" s="40" t="s">
        <v>234</v>
      </c>
      <c r="D744" s="40" t="s">
        <v>213</v>
      </c>
      <c r="E744" s="40" t="s">
        <v>132</v>
      </c>
      <c r="F744" s="2"/>
      <c r="G744" s="10">
        <f t="shared" si="107"/>
        <v>0</v>
      </c>
      <c r="H744" s="10">
        <f t="shared" si="107"/>
        <v>0</v>
      </c>
    </row>
    <row r="745" spans="1:8" ht="47.25" hidden="1" x14ac:dyDescent="0.25">
      <c r="A745" s="31" t="s">
        <v>133</v>
      </c>
      <c r="B745" s="20" t="s">
        <v>1018</v>
      </c>
      <c r="C745" s="40" t="s">
        <v>234</v>
      </c>
      <c r="D745" s="40" t="s">
        <v>213</v>
      </c>
      <c r="E745" s="40" t="s">
        <v>134</v>
      </c>
      <c r="F745" s="2"/>
      <c r="G745" s="10">
        <f>'пр.6.1.ведом.22-23'!G939</f>
        <v>0</v>
      </c>
      <c r="H745" s="10">
        <f>'пр.6.1.ведом.22-23'!H939</f>
        <v>0</v>
      </c>
    </row>
    <row r="746" spans="1:8" ht="47.25" hidden="1" x14ac:dyDescent="0.25">
      <c r="A746" s="45" t="s">
        <v>623</v>
      </c>
      <c r="B746" s="20" t="s">
        <v>1018</v>
      </c>
      <c r="C746" s="40" t="s">
        <v>234</v>
      </c>
      <c r="D746" s="40" t="s">
        <v>213</v>
      </c>
      <c r="E746" s="40" t="s">
        <v>134</v>
      </c>
      <c r="F746" s="2">
        <v>908</v>
      </c>
      <c r="G746" s="6">
        <f>G745</f>
        <v>0</v>
      </c>
      <c r="H746" s="6">
        <f>H745</f>
        <v>0</v>
      </c>
    </row>
    <row r="747" spans="1:8" ht="47.25" hidden="1" x14ac:dyDescent="0.25">
      <c r="A747" s="220" t="s">
        <v>1016</v>
      </c>
      <c r="B747" s="24" t="s">
        <v>1017</v>
      </c>
      <c r="C747" s="40"/>
      <c r="D747" s="40"/>
      <c r="E747" s="40"/>
      <c r="F747" s="2"/>
      <c r="G747" s="59">
        <f>G748</f>
        <v>0</v>
      </c>
      <c r="H747" s="59">
        <f>H748</f>
        <v>0</v>
      </c>
    </row>
    <row r="748" spans="1:8" ht="15.75" hidden="1" x14ac:dyDescent="0.25">
      <c r="A748" s="29" t="s">
        <v>390</v>
      </c>
      <c r="B748" s="40" t="s">
        <v>518</v>
      </c>
      <c r="C748" s="40" t="s">
        <v>234</v>
      </c>
      <c r="D748" s="40"/>
      <c r="E748" s="73"/>
      <c r="F748" s="2"/>
      <c r="G748" s="10">
        <f t="shared" ref="G748:H748" si="108">G749</f>
        <v>0</v>
      </c>
      <c r="H748" s="10">
        <f t="shared" si="108"/>
        <v>0</v>
      </c>
    </row>
    <row r="749" spans="1:8" ht="15.75" hidden="1" x14ac:dyDescent="0.25">
      <c r="A749" s="29" t="s">
        <v>517</v>
      </c>
      <c r="B749" s="40" t="s">
        <v>518</v>
      </c>
      <c r="C749" s="40" t="s">
        <v>234</v>
      </c>
      <c r="D749" s="40" t="s">
        <v>213</v>
      </c>
      <c r="E749" s="73"/>
      <c r="F749" s="2"/>
      <c r="G749" s="10">
        <f>G750</f>
        <v>0</v>
      </c>
      <c r="H749" s="10">
        <f>H750</f>
        <v>0</v>
      </c>
    </row>
    <row r="750" spans="1:8" ht="31.5" hidden="1" x14ac:dyDescent="0.25">
      <c r="A750" s="174" t="s">
        <v>531</v>
      </c>
      <c r="B750" s="20" t="s">
        <v>1019</v>
      </c>
      <c r="C750" s="40" t="s">
        <v>234</v>
      </c>
      <c r="D750" s="40" t="s">
        <v>213</v>
      </c>
      <c r="E750" s="40"/>
      <c r="F750" s="2"/>
      <c r="G750" s="10">
        <f t="shared" ref="G750:H751" si="109">G751</f>
        <v>0</v>
      </c>
      <c r="H750" s="10">
        <f t="shared" si="109"/>
        <v>0</v>
      </c>
    </row>
    <row r="751" spans="1:8" ht="31.5" hidden="1" x14ac:dyDescent="0.25">
      <c r="A751" s="31" t="s">
        <v>131</v>
      </c>
      <c r="B751" s="20" t="s">
        <v>1019</v>
      </c>
      <c r="C751" s="40" t="s">
        <v>234</v>
      </c>
      <c r="D751" s="40" t="s">
        <v>213</v>
      </c>
      <c r="E751" s="40" t="s">
        <v>132</v>
      </c>
      <c r="F751" s="2"/>
      <c r="G751" s="10">
        <f t="shared" si="109"/>
        <v>0</v>
      </c>
      <c r="H751" s="10">
        <f t="shared" si="109"/>
        <v>0</v>
      </c>
    </row>
    <row r="752" spans="1:8" ht="47.25" hidden="1" x14ac:dyDescent="0.25">
      <c r="A752" s="31" t="s">
        <v>133</v>
      </c>
      <c r="B752" s="20" t="s">
        <v>1019</v>
      </c>
      <c r="C752" s="40" t="s">
        <v>234</v>
      </c>
      <c r="D752" s="40" t="s">
        <v>213</v>
      </c>
      <c r="E752" s="40" t="s">
        <v>134</v>
      </c>
      <c r="F752" s="2"/>
      <c r="G752" s="10">
        <f>'пр.6.1.ведом.22-23'!G943</f>
        <v>0</v>
      </c>
      <c r="H752" s="10">
        <f>'пр.6.1.ведом.22-23'!H943</f>
        <v>0</v>
      </c>
    </row>
    <row r="753" spans="1:8" ht="47.25" hidden="1" x14ac:dyDescent="0.25">
      <c r="A753" s="45" t="s">
        <v>623</v>
      </c>
      <c r="B753" s="20" t="s">
        <v>1019</v>
      </c>
      <c r="C753" s="40" t="s">
        <v>234</v>
      </c>
      <c r="D753" s="40" t="s">
        <v>213</v>
      </c>
      <c r="E753" s="40" t="s">
        <v>134</v>
      </c>
      <c r="F753" s="2">
        <v>908</v>
      </c>
      <c r="G753" s="6">
        <f>G752</f>
        <v>0</v>
      </c>
      <c r="H753" s="6">
        <f>H752</f>
        <v>0</v>
      </c>
    </row>
    <row r="754" spans="1:8" ht="31.5" hidden="1" x14ac:dyDescent="0.25">
      <c r="A754" s="220" t="s">
        <v>977</v>
      </c>
      <c r="B754" s="24" t="s">
        <v>978</v>
      </c>
      <c r="C754" s="40"/>
      <c r="D754" s="40"/>
      <c r="E754" s="40"/>
      <c r="F754" s="2"/>
      <c r="G754" s="59">
        <f t="shared" ref="G754:H756" si="110">G755</f>
        <v>0</v>
      </c>
      <c r="H754" s="59">
        <f t="shared" si="110"/>
        <v>0</v>
      </c>
    </row>
    <row r="755" spans="1:8" ht="15.75" hidden="1" x14ac:dyDescent="0.25">
      <c r="A755" s="29" t="s">
        <v>390</v>
      </c>
      <c r="B755" s="40" t="s">
        <v>518</v>
      </c>
      <c r="C755" s="40" t="s">
        <v>234</v>
      </c>
      <c r="D755" s="40"/>
      <c r="E755" s="73"/>
      <c r="F755" s="2"/>
      <c r="G755" s="10">
        <f t="shared" si="110"/>
        <v>0</v>
      </c>
      <c r="H755" s="10">
        <f t="shared" si="110"/>
        <v>0</v>
      </c>
    </row>
    <row r="756" spans="1:8" ht="15.75" hidden="1" x14ac:dyDescent="0.25">
      <c r="A756" s="29" t="s">
        <v>517</v>
      </c>
      <c r="B756" s="40" t="s">
        <v>518</v>
      </c>
      <c r="C756" s="40" t="s">
        <v>234</v>
      </c>
      <c r="D756" s="40" t="s">
        <v>213</v>
      </c>
      <c r="E756" s="73"/>
      <c r="F756" s="2"/>
      <c r="G756" s="10">
        <f t="shared" si="110"/>
        <v>0</v>
      </c>
      <c r="H756" s="10">
        <f t="shared" si="110"/>
        <v>0</v>
      </c>
    </row>
    <row r="757" spans="1:8" ht="15.75" hidden="1" x14ac:dyDescent="0.25">
      <c r="A757" s="174" t="s">
        <v>533</v>
      </c>
      <c r="B757" s="20" t="s">
        <v>976</v>
      </c>
      <c r="C757" s="40" t="s">
        <v>234</v>
      </c>
      <c r="D757" s="40" t="s">
        <v>213</v>
      </c>
      <c r="E757" s="40"/>
      <c r="F757" s="2"/>
      <c r="G757" s="10">
        <f t="shared" ref="G757:H758" si="111">G758</f>
        <v>0</v>
      </c>
      <c r="H757" s="10">
        <f t="shared" si="111"/>
        <v>0</v>
      </c>
    </row>
    <row r="758" spans="1:8" ht="31.5" hidden="1" x14ac:dyDescent="0.3">
      <c r="A758" s="25" t="s">
        <v>131</v>
      </c>
      <c r="B758" s="20" t="s">
        <v>976</v>
      </c>
      <c r="C758" s="40" t="s">
        <v>234</v>
      </c>
      <c r="D758" s="40" t="s">
        <v>213</v>
      </c>
      <c r="E758" s="2">
        <v>200</v>
      </c>
      <c r="F758" s="77"/>
      <c r="G758" s="6">
        <f t="shared" si="111"/>
        <v>0</v>
      </c>
      <c r="H758" s="6">
        <f t="shared" si="111"/>
        <v>0</v>
      </c>
    </row>
    <row r="759" spans="1:8" ht="47.25" hidden="1" x14ac:dyDescent="0.3">
      <c r="A759" s="25" t="s">
        <v>133</v>
      </c>
      <c r="B759" s="20" t="s">
        <v>976</v>
      </c>
      <c r="C759" s="40" t="s">
        <v>234</v>
      </c>
      <c r="D759" s="40" t="s">
        <v>213</v>
      </c>
      <c r="E759" s="2">
        <v>240</v>
      </c>
      <c r="F759" s="77"/>
      <c r="G759" s="6">
        <f>'пр.6.1.ведом.22-23'!G947</f>
        <v>0</v>
      </c>
      <c r="H759" s="6">
        <f>'пр.6.1.ведом.22-23'!H947</f>
        <v>0</v>
      </c>
    </row>
    <row r="760" spans="1:8" ht="47.25" hidden="1" x14ac:dyDescent="0.25">
      <c r="A760" s="45" t="s">
        <v>623</v>
      </c>
      <c r="B760" s="20" t="s">
        <v>976</v>
      </c>
      <c r="C760" s="40" t="s">
        <v>234</v>
      </c>
      <c r="D760" s="40" t="s">
        <v>213</v>
      </c>
      <c r="E760" s="2">
        <v>240</v>
      </c>
      <c r="F760" s="2">
        <v>908</v>
      </c>
      <c r="G760" s="6">
        <f>G759</f>
        <v>0</v>
      </c>
      <c r="H760" s="6">
        <f>H759</f>
        <v>0</v>
      </c>
    </row>
    <row r="761" spans="1:8" ht="47.25" x14ac:dyDescent="0.25">
      <c r="A761" s="23" t="s">
        <v>1349</v>
      </c>
      <c r="B761" s="24" t="s">
        <v>335</v>
      </c>
      <c r="C761" s="7"/>
      <c r="D761" s="7"/>
      <c r="E761" s="3"/>
      <c r="F761" s="3"/>
      <c r="G761" s="4">
        <f t="shared" ref="G761:H763" si="112">G762</f>
        <v>120</v>
      </c>
      <c r="H761" s="4">
        <f t="shared" si="112"/>
        <v>120</v>
      </c>
    </row>
    <row r="762" spans="1:8" ht="31.5" x14ac:dyDescent="0.25">
      <c r="A762" s="23" t="s">
        <v>1049</v>
      </c>
      <c r="B762" s="24" t="s">
        <v>1050</v>
      </c>
      <c r="C762" s="7"/>
      <c r="D762" s="7"/>
      <c r="E762" s="3"/>
      <c r="F762" s="3"/>
      <c r="G762" s="4">
        <f t="shared" si="112"/>
        <v>120</v>
      </c>
      <c r="H762" s="4">
        <f t="shared" si="112"/>
        <v>120</v>
      </c>
    </row>
    <row r="763" spans="1:8" ht="15.75" x14ac:dyDescent="0.25">
      <c r="A763" s="29" t="s">
        <v>117</v>
      </c>
      <c r="B763" s="20" t="s">
        <v>1050</v>
      </c>
      <c r="C763" s="40" t="s">
        <v>118</v>
      </c>
      <c r="D763" s="40"/>
      <c r="E763" s="2"/>
      <c r="F763" s="2"/>
      <c r="G763" s="6">
        <f t="shared" si="112"/>
        <v>120</v>
      </c>
      <c r="H763" s="6">
        <f t="shared" si="112"/>
        <v>120</v>
      </c>
    </row>
    <row r="764" spans="1:8" ht="15.75" x14ac:dyDescent="0.25">
      <c r="A764" s="29" t="s">
        <v>139</v>
      </c>
      <c r="B764" s="20" t="s">
        <v>1050</v>
      </c>
      <c r="C764" s="40" t="s">
        <v>118</v>
      </c>
      <c r="D764" s="40" t="s">
        <v>140</v>
      </c>
      <c r="E764" s="2"/>
      <c r="F764" s="2"/>
      <c r="G764" s="6">
        <f>G765+G775+G779+G783+G787+G791</f>
        <v>120</v>
      </c>
      <c r="H764" s="6">
        <f>H765+H775+H779+H783+H787+H791</f>
        <v>120</v>
      </c>
    </row>
    <row r="765" spans="1:8" s="203" customFormat="1" ht="31.5" x14ac:dyDescent="0.25">
      <c r="A765" s="25" t="s">
        <v>336</v>
      </c>
      <c r="B765" s="20" t="s">
        <v>1051</v>
      </c>
      <c r="C765" s="40" t="s">
        <v>118</v>
      </c>
      <c r="D765" s="40" t="s">
        <v>140</v>
      </c>
      <c r="E765" s="2"/>
      <c r="F765" s="2"/>
      <c r="G765" s="6">
        <f>G766+G769+G772</f>
        <v>100</v>
      </c>
      <c r="H765" s="6">
        <f>H766+H769+H772</f>
        <v>100</v>
      </c>
    </row>
    <row r="766" spans="1:8" s="203" customFormat="1" ht="31.5" hidden="1" x14ac:dyDescent="0.25">
      <c r="A766" s="25" t="s">
        <v>131</v>
      </c>
      <c r="B766" s="20" t="s">
        <v>1051</v>
      </c>
      <c r="C766" s="40" t="s">
        <v>118</v>
      </c>
      <c r="D766" s="40" t="s">
        <v>140</v>
      </c>
      <c r="E766" s="2">
        <v>200</v>
      </c>
      <c r="F766" s="2"/>
      <c r="G766" s="6">
        <f t="shared" ref="G766:H766" si="113">G767</f>
        <v>0</v>
      </c>
      <c r="H766" s="6">
        <f t="shared" si="113"/>
        <v>100</v>
      </c>
    </row>
    <row r="767" spans="1:8" s="203" customFormat="1" ht="47.25" hidden="1" x14ac:dyDescent="0.25">
      <c r="A767" s="25" t="s">
        <v>133</v>
      </c>
      <c r="B767" s="20" t="s">
        <v>1051</v>
      </c>
      <c r="C767" s="40" t="s">
        <v>118</v>
      </c>
      <c r="D767" s="40" t="s">
        <v>140</v>
      </c>
      <c r="E767" s="2">
        <v>240</v>
      </c>
      <c r="F767" s="2"/>
      <c r="G767" s="6">
        <f>'пр.6.1.ведом.22-23'!G255</f>
        <v>0</v>
      </c>
      <c r="H767" s="6">
        <f>'пр.6.1.ведом.22-23'!H255</f>
        <v>100</v>
      </c>
    </row>
    <row r="768" spans="1:8" s="203" customFormat="1" ht="31.5" hidden="1" x14ac:dyDescent="0.25">
      <c r="A768" s="45" t="s">
        <v>403</v>
      </c>
      <c r="B768" s="20" t="s">
        <v>1051</v>
      </c>
      <c r="C768" s="40" t="s">
        <v>118</v>
      </c>
      <c r="D768" s="40" t="s">
        <v>140</v>
      </c>
      <c r="E768" s="2">
        <v>240</v>
      </c>
      <c r="F768" s="2">
        <v>903</v>
      </c>
      <c r="G768" s="6">
        <f>G767</f>
        <v>0</v>
      </c>
      <c r="H768" s="6">
        <f>H767</f>
        <v>100</v>
      </c>
    </row>
    <row r="769" spans="1:8" ht="31.5" hidden="1" x14ac:dyDescent="0.25">
      <c r="A769" s="25" t="s">
        <v>131</v>
      </c>
      <c r="B769" s="20" t="s">
        <v>1051</v>
      </c>
      <c r="C769" s="40" t="s">
        <v>118</v>
      </c>
      <c r="D769" s="40" t="s">
        <v>140</v>
      </c>
      <c r="E769" s="2">
        <v>200</v>
      </c>
      <c r="F769" s="2"/>
      <c r="G769" s="6">
        <f t="shared" ref="G769:H769" si="114">G770</f>
        <v>0</v>
      </c>
      <c r="H769" s="6">
        <f t="shared" si="114"/>
        <v>0</v>
      </c>
    </row>
    <row r="770" spans="1:8" ht="47.25" hidden="1" x14ac:dyDescent="0.25">
      <c r="A770" s="25" t="s">
        <v>133</v>
      </c>
      <c r="B770" s="20" t="s">
        <v>1051</v>
      </c>
      <c r="C770" s="40" t="s">
        <v>118</v>
      </c>
      <c r="D770" s="40" t="s">
        <v>140</v>
      </c>
      <c r="E770" s="2">
        <v>240</v>
      </c>
      <c r="F770" s="2"/>
      <c r="G770" s="6">
        <f>'пр.6.1.ведом.22-23'!G544</f>
        <v>0</v>
      </c>
      <c r="H770" s="6">
        <f>'пр.6.1.ведом.22-23'!H544</f>
        <v>0</v>
      </c>
    </row>
    <row r="771" spans="1:8" ht="31.5" hidden="1" x14ac:dyDescent="0.25">
      <c r="A771" s="45" t="s">
        <v>403</v>
      </c>
      <c r="B771" s="20" t="s">
        <v>1051</v>
      </c>
      <c r="C771" s="40" t="s">
        <v>118</v>
      </c>
      <c r="D771" s="40" t="s">
        <v>140</v>
      </c>
      <c r="E771" s="2">
        <v>240</v>
      </c>
      <c r="F771" s="2">
        <v>906</v>
      </c>
      <c r="G771" s="6">
        <f>G770</f>
        <v>0</v>
      </c>
      <c r="H771" s="6">
        <f>H770</f>
        <v>0</v>
      </c>
    </row>
    <row r="772" spans="1:8" ht="31.5" x14ac:dyDescent="0.25">
      <c r="A772" s="25" t="s">
        <v>131</v>
      </c>
      <c r="B772" s="20" t="s">
        <v>1051</v>
      </c>
      <c r="C772" s="40" t="s">
        <v>118</v>
      </c>
      <c r="D772" s="40" t="s">
        <v>140</v>
      </c>
      <c r="E772" s="2">
        <v>200</v>
      </c>
      <c r="F772" s="2"/>
      <c r="G772" s="6">
        <f t="shared" ref="G772:H772" si="115">G773</f>
        <v>100</v>
      </c>
      <c r="H772" s="6">
        <f t="shared" si="115"/>
        <v>0</v>
      </c>
    </row>
    <row r="773" spans="1:8" ht="47.25" x14ac:dyDescent="0.25">
      <c r="A773" s="25" t="s">
        <v>133</v>
      </c>
      <c r="B773" s="20" t="s">
        <v>1051</v>
      </c>
      <c r="C773" s="40" t="s">
        <v>118</v>
      </c>
      <c r="D773" s="40" t="s">
        <v>140</v>
      </c>
      <c r="E773" s="2">
        <v>240</v>
      </c>
      <c r="F773" s="2"/>
      <c r="G773" s="6">
        <f>'пр.6.1.ведом.22-23'!G763</f>
        <v>100</v>
      </c>
      <c r="H773" s="6">
        <f>'пр.6.1.ведом.22-23'!H763</f>
        <v>0</v>
      </c>
    </row>
    <row r="774" spans="1:8" ht="47.25" x14ac:dyDescent="0.25">
      <c r="A774" s="45" t="s">
        <v>480</v>
      </c>
      <c r="B774" s="20" t="s">
        <v>1051</v>
      </c>
      <c r="C774" s="40" t="s">
        <v>118</v>
      </c>
      <c r="D774" s="40" t="s">
        <v>140</v>
      </c>
      <c r="E774" s="2">
        <v>240</v>
      </c>
      <c r="F774" s="2">
        <v>907</v>
      </c>
      <c r="G774" s="6">
        <f>G773</f>
        <v>100</v>
      </c>
      <c r="H774" s="6">
        <f>H773</f>
        <v>0</v>
      </c>
    </row>
    <row r="775" spans="1:8" ht="31.5" hidden="1" x14ac:dyDescent="0.25">
      <c r="A775" s="25" t="s">
        <v>336</v>
      </c>
      <c r="B775" s="20" t="s">
        <v>1056</v>
      </c>
      <c r="C775" s="40" t="s">
        <v>118</v>
      </c>
      <c r="D775" s="40" t="s">
        <v>140</v>
      </c>
      <c r="E775" s="2"/>
      <c r="F775" s="2"/>
      <c r="G775" s="6">
        <f>G776</f>
        <v>0</v>
      </c>
      <c r="H775" s="6">
        <f>H776</f>
        <v>0</v>
      </c>
    </row>
    <row r="776" spans="1:8" ht="31.5" hidden="1" x14ac:dyDescent="0.25">
      <c r="A776" s="25" t="s">
        <v>131</v>
      </c>
      <c r="B776" s="20" t="s">
        <v>1056</v>
      </c>
      <c r="C776" s="40" t="s">
        <v>118</v>
      </c>
      <c r="D776" s="40" t="s">
        <v>140</v>
      </c>
      <c r="E776" s="2">
        <v>200</v>
      </c>
      <c r="F776" s="2"/>
      <c r="G776" s="6">
        <f t="shared" ref="G776:H776" si="116">G777</f>
        <v>0</v>
      </c>
      <c r="H776" s="6">
        <f t="shared" si="116"/>
        <v>0</v>
      </c>
    </row>
    <row r="777" spans="1:8" ht="47.25" hidden="1" x14ac:dyDescent="0.25">
      <c r="A777" s="25" t="s">
        <v>133</v>
      </c>
      <c r="B777" s="20" t="s">
        <v>1056</v>
      </c>
      <c r="C777" s="40" t="s">
        <v>118</v>
      </c>
      <c r="D777" s="40" t="s">
        <v>140</v>
      </c>
      <c r="E777" s="2">
        <v>240</v>
      </c>
      <c r="F777" s="2"/>
      <c r="G777" s="6">
        <v>0</v>
      </c>
      <c r="H777" s="6">
        <v>0</v>
      </c>
    </row>
    <row r="778" spans="1:8" ht="31.5" hidden="1" x14ac:dyDescent="0.25">
      <c r="A778" s="45" t="s">
        <v>403</v>
      </c>
      <c r="B778" s="20" t="s">
        <v>1056</v>
      </c>
      <c r="C778" s="40" t="s">
        <v>118</v>
      </c>
      <c r="D778" s="40" t="s">
        <v>140</v>
      </c>
      <c r="E778" s="2">
        <v>240</v>
      </c>
      <c r="F778" s="2">
        <v>906</v>
      </c>
      <c r="G778" s="6">
        <f>G777</f>
        <v>0</v>
      </c>
      <c r="H778" s="6">
        <f>H777</f>
        <v>0</v>
      </c>
    </row>
    <row r="779" spans="1:8" ht="31.5" x14ac:dyDescent="0.25">
      <c r="A779" s="25" t="s">
        <v>338</v>
      </c>
      <c r="B779" s="20" t="s">
        <v>1052</v>
      </c>
      <c r="C779" s="40" t="s">
        <v>118</v>
      </c>
      <c r="D779" s="40" t="s">
        <v>140</v>
      </c>
      <c r="E779" s="2"/>
      <c r="F779" s="2"/>
      <c r="G779" s="6">
        <f t="shared" ref="G779:H780" si="117">G780</f>
        <v>20</v>
      </c>
      <c r="H779" s="6">
        <f t="shared" si="117"/>
        <v>20</v>
      </c>
    </row>
    <row r="780" spans="1:8" ht="31.5" x14ac:dyDescent="0.25">
      <c r="A780" s="25" t="s">
        <v>131</v>
      </c>
      <c r="B780" s="20" t="s">
        <v>1052</v>
      </c>
      <c r="C780" s="40" t="s">
        <v>118</v>
      </c>
      <c r="D780" s="40" t="s">
        <v>140</v>
      </c>
      <c r="E780" s="2">
        <v>200</v>
      </c>
      <c r="F780" s="2"/>
      <c r="G780" s="6">
        <f t="shared" si="117"/>
        <v>20</v>
      </c>
      <c r="H780" s="6">
        <f t="shared" si="117"/>
        <v>20</v>
      </c>
    </row>
    <row r="781" spans="1:8" ht="47.25" x14ac:dyDescent="0.25">
      <c r="A781" s="25" t="s">
        <v>133</v>
      </c>
      <c r="B781" s="20" t="s">
        <v>1052</v>
      </c>
      <c r="C781" s="40" t="s">
        <v>118</v>
      </c>
      <c r="D781" s="40" t="s">
        <v>140</v>
      </c>
      <c r="E781" s="2">
        <v>240</v>
      </c>
      <c r="F781" s="2"/>
      <c r="G781" s="6">
        <f>'пр.6.1.ведом.22-23'!G264</f>
        <v>20</v>
      </c>
      <c r="H781" s="6">
        <f>'пр.6.1.ведом.22-23'!H264</f>
        <v>20</v>
      </c>
    </row>
    <row r="782" spans="1:8" ht="47.25" x14ac:dyDescent="0.25">
      <c r="A782" s="25" t="s">
        <v>1076</v>
      </c>
      <c r="B782" s="20" t="s">
        <v>1052</v>
      </c>
      <c r="C782" s="40" t="s">
        <v>118</v>
      </c>
      <c r="D782" s="40" t="s">
        <v>140</v>
      </c>
      <c r="E782" s="2">
        <v>240</v>
      </c>
      <c r="F782" s="2">
        <v>903</v>
      </c>
      <c r="G782" s="6">
        <f>G781</f>
        <v>20</v>
      </c>
      <c r="H782" s="6">
        <f>H781</f>
        <v>20</v>
      </c>
    </row>
    <row r="783" spans="1:8" ht="63" hidden="1" x14ac:dyDescent="0.25">
      <c r="A783" s="31" t="s">
        <v>771</v>
      </c>
      <c r="B783" s="20" t="s">
        <v>1053</v>
      </c>
      <c r="C783" s="40" t="s">
        <v>118</v>
      </c>
      <c r="D783" s="40" t="s">
        <v>140</v>
      </c>
      <c r="E783" s="2"/>
      <c r="F783" s="2"/>
      <c r="G783" s="6">
        <f t="shared" ref="G783:H784" si="118">G784</f>
        <v>0</v>
      </c>
      <c r="H783" s="6">
        <f t="shared" si="118"/>
        <v>0</v>
      </c>
    </row>
    <row r="784" spans="1:8" ht="31.5" hidden="1" x14ac:dyDescent="0.25">
      <c r="A784" s="25" t="s">
        <v>131</v>
      </c>
      <c r="B784" s="20" t="s">
        <v>1053</v>
      </c>
      <c r="C784" s="20" t="s">
        <v>118</v>
      </c>
      <c r="D784" s="20" t="s">
        <v>140</v>
      </c>
      <c r="E784" s="20" t="s">
        <v>132</v>
      </c>
      <c r="F784" s="177"/>
      <c r="G784" s="6">
        <f t="shared" si="118"/>
        <v>0</v>
      </c>
      <c r="H784" s="6">
        <f t="shared" si="118"/>
        <v>0</v>
      </c>
    </row>
    <row r="785" spans="1:8" ht="47.25" hidden="1" x14ac:dyDescent="0.25">
      <c r="A785" s="25" t="s">
        <v>133</v>
      </c>
      <c r="B785" s="20" t="s">
        <v>1053</v>
      </c>
      <c r="C785" s="20" t="s">
        <v>118</v>
      </c>
      <c r="D785" s="20" t="s">
        <v>140</v>
      </c>
      <c r="E785" s="20" t="s">
        <v>134</v>
      </c>
      <c r="F785" s="177"/>
      <c r="G785" s="6">
        <f>'пр.6.1.ведом.22-23'!G258</f>
        <v>0</v>
      </c>
      <c r="H785" s="6">
        <f>'пр.6.1.ведом.22-23'!H258</f>
        <v>0</v>
      </c>
    </row>
    <row r="786" spans="1:8" ht="31.5" hidden="1" x14ac:dyDescent="0.25">
      <c r="A786" s="25" t="s">
        <v>403</v>
      </c>
      <c r="B786" s="20" t="s">
        <v>1053</v>
      </c>
      <c r="C786" s="40" t="s">
        <v>118</v>
      </c>
      <c r="D786" s="40" t="s">
        <v>140</v>
      </c>
      <c r="E786" s="2">
        <v>240</v>
      </c>
      <c r="F786" s="2">
        <v>906</v>
      </c>
      <c r="G786" s="6">
        <f>G785</f>
        <v>0</v>
      </c>
      <c r="H786" s="6">
        <f>H785</f>
        <v>0</v>
      </c>
    </row>
    <row r="787" spans="1:8" ht="47.25" hidden="1" x14ac:dyDescent="0.25">
      <c r="A787" s="25" t="s">
        <v>679</v>
      </c>
      <c r="B787" s="20" t="s">
        <v>1054</v>
      </c>
      <c r="C787" s="40" t="s">
        <v>118</v>
      </c>
      <c r="D787" s="40" t="s">
        <v>140</v>
      </c>
      <c r="E787" s="2"/>
      <c r="F787" s="177"/>
      <c r="G787" s="6">
        <f t="shared" ref="G787:H788" si="119">G788</f>
        <v>0</v>
      </c>
      <c r="H787" s="6">
        <f t="shared" si="119"/>
        <v>0</v>
      </c>
    </row>
    <row r="788" spans="1:8" ht="31.5" hidden="1" x14ac:dyDescent="0.25">
      <c r="A788" s="25" t="s">
        <v>131</v>
      </c>
      <c r="B788" s="20" t="s">
        <v>1054</v>
      </c>
      <c r="C788" s="40" t="s">
        <v>118</v>
      </c>
      <c r="D788" s="40" t="s">
        <v>140</v>
      </c>
      <c r="E788" s="2">
        <v>200</v>
      </c>
      <c r="F788" s="177"/>
      <c r="G788" s="6">
        <f t="shared" si="119"/>
        <v>0</v>
      </c>
      <c r="H788" s="6">
        <f t="shared" si="119"/>
        <v>0</v>
      </c>
    </row>
    <row r="789" spans="1:8" ht="47.25" hidden="1" x14ac:dyDescent="0.25">
      <c r="A789" s="25" t="s">
        <v>133</v>
      </c>
      <c r="B789" s="20" t="s">
        <v>1054</v>
      </c>
      <c r="C789" s="40" t="s">
        <v>118</v>
      </c>
      <c r="D789" s="40" t="s">
        <v>140</v>
      </c>
      <c r="E789" s="2">
        <v>240</v>
      </c>
      <c r="F789" s="177"/>
      <c r="G789" s="6">
        <f>'пр.6.1.ведом.22-23'!G261</f>
        <v>0</v>
      </c>
      <c r="H789" s="6">
        <f>'пр.6.1.ведом.22-23'!H261</f>
        <v>0</v>
      </c>
    </row>
    <row r="790" spans="1:8" ht="47.25" hidden="1" x14ac:dyDescent="0.25">
      <c r="A790" s="45" t="s">
        <v>261</v>
      </c>
      <c r="B790" s="20" t="s">
        <v>1054</v>
      </c>
      <c r="C790" s="40" t="s">
        <v>118</v>
      </c>
      <c r="D790" s="40" t="s">
        <v>140</v>
      </c>
      <c r="E790" s="2">
        <v>240</v>
      </c>
      <c r="F790" s="2">
        <v>903</v>
      </c>
      <c r="G790" s="6">
        <f>G789</f>
        <v>0</v>
      </c>
      <c r="H790" s="6">
        <f>H789</f>
        <v>0</v>
      </c>
    </row>
    <row r="791" spans="1:8" ht="31.5" hidden="1" x14ac:dyDescent="0.25">
      <c r="A791" s="31" t="s">
        <v>772</v>
      </c>
      <c r="B791" s="20" t="s">
        <v>1055</v>
      </c>
      <c r="C791" s="20" t="s">
        <v>118</v>
      </c>
      <c r="D791" s="20" t="s">
        <v>140</v>
      </c>
      <c r="E791" s="20"/>
      <c r="F791" s="177"/>
      <c r="G791" s="6">
        <f t="shared" ref="G791:H792" si="120">G792</f>
        <v>0</v>
      </c>
      <c r="H791" s="6">
        <f t="shared" si="120"/>
        <v>0</v>
      </c>
    </row>
    <row r="792" spans="1:8" ht="31.5" hidden="1" x14ac:dyDescent="0.25">
      <c r="A792" s="25" t="s">
        <v>131</v>
      </c>
      <c r="B792" s="20" t="s">
        <v>1055</v>
      </c>
      <c r="C792" s="20" t="s">
        <v>118</v>
      </c>
      <c r="D792" s="20" t="s">
        <v>140</v>
      </c>
      <c r="E792" s="20" t="s">
        <v>132</v>
      </c>
      <c r="F792" s="177"/>
      <c r="G792" s="6">
        <f t="shared" si="120"/>
        <v>0</v>
      </c>
      <c r="H792" s="6">
        <f t="shared" si="120"/>
        <v>0</v>
      </c>
    </row>
    <row r="793" spans="1:8" ht="47.25" hidden="1" x14ac:dyDescent="0.25">
      <c r="A793" s="25" t="s">
        <v>133</v>
      </c>
      <c r="B793" s="20" t="s">
        <v>1055</v>
      </c>
      <c r="C793" s="20" t="s">
        <v>118</v>
      </c>
      <c r="D793" s="20" t="s">
        <v>140</v>
      </c>
      <c r="E793" s="20" t="s">
        <v>134</v>
      </c>
      <c r="F793" s="177"/>
      <c r="G793" s="6">
        <f>'пр.6.1.ведом.22-23'!G267</f>
        <v>0</v>
      </c>
      <c r="H793" s="6">
        <f>'пр.6.1.ведом.22-23'!H267</f>
        <v>0</v>
      </c>
    </row>
    <row r="794" spans="1:8" ht="47.25" hidden="1" x14ac:dyDescent="0.25">
      <c r="A794" s="25" t="s">
        <v>1076</v>
      </c>
      <c r="B794" s="20" t="s">
        <v>1055</v>
      </c>
      <c r="C794" s="20" t="s">
        <v>118</v>
      </c>
      <c r="D794" s="20" t="s">
        <v>140</v>
      </c>
      <c r="E794" s="20" t="s">
        <v>134</v>
      </c>
      <c r="F794" s="2">
        <v>903</v>
      </c>
      <c r="G794" s="6">
        <f>G793</f>
        <v>0</v>
      </c>
      <c r="H794" s="6">
        <f>H793</f>
        <v>0</v>
      </c>
    </row>
    <row r="795" spans="1:8" ht="63" x14ac:dyDescent="0.25">
      <c r="A795" s="41" t="s">
        <v>1352</v>
      </c>
      <c r="B795" s="24" t="s">
        <v>705</v>
      </c>
      <c r="C795" s="7"/>
      <c r="D795" s="7"/>
      <c r="E795" s="3"/>
      <c r="F795" s="3"/>
      <c r="G795" s="4">
        <f>G796+G807+G846</f>
        <v>3815</v>
      </c>
      <c r="H795" s="4">
        <f>H796+H807+H846</f>
        <v>3965.9</v>
      </c>
    </row>
    <row r="796" spans="1:8" ht="63" x14ac:dyDescent="0.25">
      <c r="A796" s="211" t="s">
        <v>846</v>
      </c>
      <c r="B796" s="24" t="s">
        <v>852</v>
      </c>
      <c r="C796" s="7"/>
      <c r="D796" s="7"/>
      <c r="E796" s="3"/>
      <c r="F796" s="3"/>
      <c r="G796" s="4">
        <f>G797</f>
        <v>33</v>
      </c>
      <c r="H796" s="4">
        <f>H797</f>
        <v>33</v>
      </c>
    </row>
    <row r="797" spans="1:8" ht="15.75" x14ac:dyDescent="0.25">
      <c r="A797" s="29" t="s">
        <v>117</v>
      </c>
      <c r="B797" s="20" t="s">
        <v>852</v>
      </c>
      <c r="C797" s="40" t="s">
        <v>118</v>
      </c>
      <c r="D797" s="40"/>
      <c r="E797" s="2"/>
      <c r="F797" s="2"/>
      <c r="G797" s="6">
        <f t="shared" ref="G797:H797" si="121">G798</f>
        <v>33</v>
      </c>
      <c r="H797" s="6">
        <f t="shared" si="121"/>
        <v>33</v>
      </c>
    </row>
    <row r="798" spans="1:8" ht="15.75" x14ac:dyDescent="0.25">
      <c r="A798" s="29" t="s">
        <v>139</v>
      </c>
      <c r="B798" s="20" t="s">
        <v>852</v>
      </c>
      <c r="C798" s="40" t="s">
        <v>118</v>
      </c>
      <c r="D798" s="40" t="s">
        <v>140</v>
      </c>
      <c r="E798" s="2"/>
      <c r="F798" s="2"/>
      <c r="G798" s="6">
        <f>G799+G803</f>
        <v>33</v>
      </c>
      <c r="H798" s="6">
        <f>H799+H803</f>
        <v>33</v>
      </c>
    </row>
    <row r="799" spans="1:8" ht="47.25" x14ac:dyDescent="0.25">
      <c r="A799" s="98" t="s">
        <v>776</v>
      </c>
      <c r="B799" s="20" t="s">
        <v>847</v>
      </c>
      <c r="C799" s="40" t="s">
        <v>118</v>
      </c>
      <c r="D799" s="40" t="s">
        <v>140</v>
      </c>
      <c r="E799" s="2"/>
      <c r="F799" s="2"/>
      <c r="G799" s="6">
        <f t="shared" ref="G799:H800" si="122">G800</f>
        <v>28</v>
      </c>
      <c r="H799" s="6">
        <f t="shared" si="122"/>
        <v>28</v>
      </c>
    </row>
    <row r="800" spans="1:8" ht="31.5" x14ac:dyDescent="0.25">
      <c r="A800" s="25" t="s">
        <v>131</v>
      </c>
      <c r="B800" s="20" t="s">
        <v>847</v>
      </c>
      <c r="C800" s="40" t="s">
        <v>118</v>
      </c>
      <c r="D800" s="40" t="s">
        <v>140</v>
      </c>
      <c r="E800" s="2">
        <v>200</v>
      </c>
      <c r="F800" s="2"/>
      <c r="G800" s="6">
        <f t="shared" si="122"/>
        <v>28</v>
      </c>
      <c r="H800" s="6">
        <f t="shared" si="122"/>
        <v>28</v>
      </c>
    </row>
    <row r="801" spans="1:8" ht="47.25" x14ac:dyDescent="0.25">
      <c r="A801" s="25" t="s">
        <v>133</v>
      </c>
      <c r="B801" s="20" t="s">
        <v>847</v>
      </c>
      <c r="C801" s="40" t="s">
        <v>118</v>
      </c>
      <c r="D801" s="40" t="s">
        <v>140</v>
      </c>
      <c r="E801" s="2">
        <v>240</v>
      </c>
      <c r="F801" s="2"/>
      <c r="G801" s="6">
        <f>'пр.6.1.ведом.22-23'!G150</f>
        <v>28</v>
      </c>
      <c r="H801" s="6">
        <f>'пр.6.1.ведом.22-23'!H150</f>
        <v>28</v>
      </c>
    </row>
    <row r="802" spans="1:8" ht="31.5" x14ac:dyDescent="0.25">
      <c r="A802" s="29" t="s">
        <v>148</v>
      </c>
      <c r="B802" s="20" t="s">
        <v>847</v>
      </c>
      <c r="C802" s="40" t="s">
        <v>118</v>
      </c>
      <c r="D802" s="40" t="s">
        <v>140</v>
      </c>
      <c r="E802" s="2">
        <v>240</v>
      </c>
      <c r="F802" s="2">
        <v>902</v>
      </c>
      <c r="G802" s="6">
        <f>G801</f>
        <v>28</v>
      </c>
      <c r="H802" s="6">
        <f>H801</f>
        <v>28</v>
      </c>
    </row>
    <row r="803" spans="1:8" ht="47.25" x14ac:dyDescent="0.25">
      <c r="A803" s="98" t="s">
        <v>776</v>
      </c>
      <c r="B803" s="20" t="s">
        <v>847</v>
      </c>
      <c r="C803" s="40" t="s">
        <v>118</v>
      </c>
      <c r="D803" s="40" t="s">
        <v>140</v>
      </c>
      <c r="E803" s="2"/>
      <c r="F803" s="2"/>
      <c r="G803" s="6">
        <f>G804</f>
        <v>5</v>
      </c>
      <c r="H803" s="6">
        <f>H804</f>
        <v>5</v>
      </c>
    </row>
    <row r="804" spans="1:8" ht="31.5" x14ac:dyDescent="0.25">
      <c r="A804" s="25" t="s">
        <v>131</v>
      </c>
      <c r="B804" s="20" t="s">
        <v>847</v>
      </c>
      <c r="C804" s="40" t="s">
        <v>118</v>
      </c>
      <c r="D804" s="40" t="s">
        <v>140</v>
      </c>
      <c r="E804" s="2">
        <v>200</v>
      </c>
      <c r="F804" s="2"/>
      <c r="G804" s="6">
        <f>G805</f>
        <v>5</v>
      </c>
      <c r="H804" s="6">
        <f>H805</f>
        <v>5</v>
      </c>
    </row>
    <row r="805" spans="1:8" ht="47.25" x14ac:dyDescent="0.25">
      <c r="A805" s="25" t="s">
        <v>133</v>
      </c>
      <c r="B805" s="20" t="s">
        <v>847</v>
      </c>
      <c r="C805" s="40" t="s">
        <v>118</v>
      </c>
      <c r="D805" s="40" t="s">
        <v>140</v>
      </c>
      <c r="E805" s="2">
        <v>240</v>
      </c>
      <c r="F805" s="2"/>
      <c r="G805" s="6">
        <f>'пр.6.1.ведом.22-23'!G272</f>
        <v>5</v>
      </c>
      <c r="H805" s="6">
        <f>'пр.6.1.ведом.22-23'!H272</f>
        <v>5</v>
      </c>
    </row>
    <row r="806" spans="1:8" ht="47.25" x14ac:dyDescent="0.25">
      <c r="A806" s="45" t="s">
        <v>261</v>
      </c>
      <c r="B806" s="20" t="s">
        <v>847</v>
      </c>
      <c r="C806" s="40" t="s">
        <v>118</v>
      </c>
      <c r="D806" s="40" t="s">
        <v>140</v>
      </c>
      <c r="E806" s="2">
        <v>240</v>
      </c>
      <c r="F806" s="2">
        <v>903</v>
      </c>
      <c r="G806" s="6">
        <f>G805</f>
        <v>5</v>
      </c>
      <c r="H806" s="6">
        <f>H805</f>
        <v>5</v>
      </c>
    </row>
    <row r="807" spans="1:8" ht="63" x14ac:dyDescent="0.25">
      <c r="A807" s="41" t="s">
        <v>890</v>
      </c>
      <c r="B807" s="24" t="s">
        <v>888</v>
      </c>
      <c r="C807" s="40"/>
      <c r="D807" s="40"/>
      <c r="E807" s="2"/>
      <c r="F807" s="2"/>
      <c r="G807" s="4">
        <f>G808+G828+G834+G840</f>
        <v>3767</v>
      </c>
      <c r="H807" s="4">
        <f>H808+H828+H834+H840</f>
        <v>3917.9</v>
      </c>
    </row>
    <row r="808" spans="1:8" ht="15.75" x14ac:dyDescent="0.25">
      <c r="A808" s="29" t="s">
        <v>263</v>
      </c>
      <c r="B808" s="20" t="s">
        <v>888</v>
      </c>
      <c r="C808" s="40" t="s">
        <v>264</v>
      </c>
      <c r="D808" s="40"/>
      <c r="E808" s="2"/>
      <c r="F808" s="2"/>
      <c r="G808" s="6">
        <f>G809+G815+G819</f>
        <v>2234.3000000000002</v>
      </c>
      <c r="H808" s="6">
        <f>H809+H815+H819</f>
        <v>2323.8000000000002</v>
      </c>
    </row>
    <row r="809" spans="1:8" ht="15.75" x14ac:dyDescent="0.25">
      <c r="A809" s="29" t="s">
        <v>404</v>
      </c>
      <c r="B809" s="20" t="s">
        <v>888</v>
      </c>
      <c r="C809" s="40" t="s">
        <v>264</v>
      </c>
      <c r="D809" s="40" t="s">
        <v>118</v>
      </c>
      <c r="E809" s="2"/>
      <c r="F809" s="2"/>
      <c r="G809" s="6">
        <f t="shared" ref="G809:H811" si="123">G810</f>
        <v>570.9</v>
      </c>
      <c r="H809" s="6">
        <f t="shared" si="123"/>
        <v>593.79999999999995</v>
      </c>
    </row>
    <row r="810" spans="1:8" ht="47.25" x14ac:dyDescent="0.25">
      <c r="A810" s="45" t="s">
        <v>780</v>
      </c>
      <c r="B810" s="20" t="s">
        <v>936</v>
      </c>
      <c r="C810" s="40" t="s">
        <v>264</v>
      </c>
      <c r="D810" s="40" t="s">
        <v>118</v>
      </c>
      <c r="E810" s="2"/>
      <c r="F810" s="2"/>
      <c r="G810" s="6">
        <f t="shared" si="123"/>
        <v>570.9</v>
      </c>
      <c r="H810" s="6">
        <f t="shared" si="123"/>
        <v>593.79999999999995</v>
      </c>
    </row>
    <row r="811" spans="1:8" ht="47.25" x14ac:dyDescent="0.25">
      <c r="A811" s="29" t="s">
        <v>272</v>
      </c>
      <c r="B811" s="20" t="s">
        <v>936</v>
      </c>
      <c r="C811" s="40" t="s">
        <v>264</v>
      </c>
      <c r="D811" s="40" t="s">
        <v>118</v>
      </c>
      <c r="E811" s="2">
        <v>600</v>
      </c>
      <c r="F811" s="2"/>
      <c r="G811" s="6">
        <f t="shared" si="123"/>
        <v>570.9</v>
      </c>
      <c r="H811" s="6">
        <f t="shared" si="123"/>
        <v>593.79999999999995</v>
      </c>
    </row>
    <row r="812" spans="1:8" ht="15.75" x14ac:dyDescent="0.25">
      <c r="A812" s="182" t="s">
        <v>274</v>
      </c>
      <c r="B812" s="20" t="s">
        <v>936</v>
      </c>
      <c r="C812" s="40" t="s">
        <v>264</v>
      </c>
      <c r="D812" s="40" t="s">
        <v>118</v>
      </c>
      <c r="E812" s="2">
        <v>610</v>
      </c>
      <c r="F812" s="2"/>
      <c r="G812" s="6">
        <f>'пр.6.1.ведом.22-23'!G608</f>
        <v>570.9</v>
      </c>
      <c r="H812" s="6">
        <f>'пр.6.1.ведом.22-23'!H608</f>
        <v>593.79999999999995</v>
      </c>
    </row>
    <row r="813" spans="1:8" ht="31.5" x14ac:dyDescent="0.25">
      <c r="A813" s="29" t="s">
        <v>403</v>
      </c>
      <c r="B813" s="20" t="s">
        <v>936</v>
      </c>
      <c r="C813" s="40" t="s">
        <v>264</v>
      </c>
      <c r="D813" s="40" t="s">
        <v>118</v>
      </c>
      <c r="E813" s="2">
        <v>610</v>
      </c>
      <c r="F813" s="2">
        <v>906</v>
      </c>
      <c r="G813" s="6">
        <f>G812</f>
        <v>570.9</v>
      </c>
      <c r="H813" s="6">
        <f>H812</f>
        <v>593.79999999999995</v>
      </c>
    </row>
    <row r="814" spans="1:8" ht="15.75" x14ac:dyDescent="0.25">
      <c r="A814" s="45" t="s">
        <v>425</v>
      </c>
      <c r="B814" s="20" t="s">
        <v>888</v>
      </c>
      <c r="C814" s="40" t="s">
        <v>264</v>
      </c>
      <c r="D814" s="40" t="s">
        <v>213</v>
      </c>
      <c r="E814" s="2"/>
      <c r="F814" s="2"/>
      <c r="G814" s="6">
        <f t="shared" ref="G814:H816" si="124">G815</f>
        <v>870.5</v>
      </c>
      <c r="H814" s="6">
        <f t="shared" si="124"/>
        <v>905.3</v>
      </c>
    </row>
    <row r="815" spans="1:8" ht="47.25" x14ac:dyDescent="0.25">
      <c r="A815" s="45" t="s">
        <v>780</v>
      </c>
      <c r="B815" s="20" t="s">
        <v>936</v>
      </c>
      <c r="C815" s="40" t="s">
        <v>264</v>
      </c>
      <c r="D815" s="40" t="s">
        <v>213</v>
      </c>
      <c r="E815" s="2"/>
      <c r="F815" s="2"/>
      <c r="G815" s="6">
        <f t="shared" si="124"/>
        <v>870.5</v>
      </c>
      <c r="H815" s="6">
        <f t="shared" si="124"/>
        <v>905.3</v>
      </c>
    </row>
    <row r="816" spans="1:8" ht="47.25" x14ac:dyDescent="0.25">
      <c r="A816" s="29" t="s">
        <v>272</v>
      </c>
      <c r="B816" s="20" t="s">
        <v>936</v>
      </c>
      <c r="C816" s="40" t="s">
        <v>264</v>
      </c>
      <c r="D816" s="40" t="s">
        <v>213</v>
      </c>
      <c r="E816" s="2">
        <v>600</v>
      </c>
      <c r="F816" s="2"/>
      <c r="G816" s="6">
        <f t="shared" si="124"/>
        <v>870.5</v>
      </c>
      <c r="H816" s="6">
        <f t="shared" si="124"/>
        <v>905.3</v>
      </c>
    </row>
    <row r="817" spans="1:8" ht="15.75" x14ac:dyDescent="0.25">
      <c r="A817" s="182" t="s">
        <v>274</v>
      </c>
      <c r="B817" s="20" t="s">
        <v>936</v>
      </c>
      <c r="C817" s="40" t="s">
        <v>264</v>
      </c>
      <c r="D817" s="40" t="s">
        <v>213</v>
      </c>
      <c r="E817" s="2">
        <v>610</v>
      </c>
      <c r="F817" s="2"/>
      <c r="G817" s="6">
        <f>'пр.6.1.ведом.22-23'!G690</f>
        <v>870.5</v>
      </c>
      <c r="H817" s="6">
        <f>'пр.6.1.ведом.22-23'!H690</f>
        <v>905.3</v>
      </c>
    </row>
    <row r="818" spans="1:8" ht="31.5" x14ac:dyDescent="0.25">
      <c r="A818" s="29" t="s">
        <v>403</v>
      </c>
      <c r="B818" s="20" t="s">
        <v>936</v>
      </c>
      <c r="C818" s="40" t="s">
        <v>264</v>
      </c>
      <c r="D818" s="40" t="s">
        <v>213</v>
      </c>
      <c r="E818" s="2">
        <v>610</v>
      </c>
      <c r="F818" s="2">
        <v>906</v>
      </c>
      <c r="G818" s="6">
        <f>G817</f>
        <v>870.5</v>
      </c>
      <c r="H818" s="6">
        <f>H817</f>
        <v>905.3</v>
      </c>
    </row>
    <row r="819" spans="1:8" ht="15.75" x14ac:dyDescent="0.25">
      <c r="A819" s="45" t="s">
        <v>265</v>
      </c>
      <c r="B819" s="20" t="s">
        <v>888</v>
      </c>
      <c r="C819" s="40" t="s">
        <v>264</v>
      </c>
      <c r="D819" s="40" t="s">
        <v>215</v>
      </c>
      <c r="E819" s="2"/>
      <c r="F819" s="2"/>
      <c r="G819" s="6">
        <f>G824+G820</f>
        <v>792.9</v>
      </c>
      <c r="H819" s="6">
        <f>H824+H820</f>
        <v>824.7</v>
      </c>
    </row>
    <row r="820" spans="1:8" s="203" customFormat="1" ht="47.25" x14ac:dyDescent="0.25">
      <c r="A820" s="98" t="s">
        <v>1004</v>
      </c>
      <c r="B820" s="20" t="s">
        <v>889</v>
      </c>
      <c r="C820" s="40" t="s">
        <v>264</v>
      </c>
      <c r="D820" s="40" t="s">
        <v>215</v>
      </c>
      <c r="E820" s="2"/>
      <c r="F820" s="2"/>
      <c r="G820" s="6">
        <f>G821</f>
        <v>490.2</v>
      </c>
      <c r="H820" s="6">
        <f>H821</f>
        <v>509.8</v>
      </c>
    </row>
    <row r="821" spans="1:8" s="203" customFormat="1" ht="31.5" x14ac:dyDescent="0.25">
      <c r="A821" s="25" t="s">
        <v>131</v>
      </c>
      <c r="B821" s="20" t="s">
        <v>889</v>
      </c>
      <c r="C821" s="40" t="s">
        <v>264</v>
      </c>
      <c r="D821" s="40" t="s">
        <v>215</v>
      </c>
      <c r="E821" s="2">
        <v>200</v>
      </c>
      <c r="F821" s="2"/>
      <c r="G821" s="6">
        <f>G822</f>
        <v>490.2</v>
      </c>
      <c r="H821" s="6">
        <f>H822</f>
        <v>509.8</v>
      </c>
    </row>
    <row r="822" spans="1:8" s="203" customFormat="1" ht="47.25" x14ac:dyDescent="0.25">
      <c r="A822" s="25" t="s">
        <v>133</v>
      </c>
      <c r="B822" s="20" t="s">
        <v>889</v>
      </c>
      <c r="C822" s="40" t="s">
        <v>264</v>
      </c>
      <c r="D822" s="40" t="s">
        <v>215</v>
      </c>
      <c r="E822" s="2">
        <v>240</v>
      </c>
      <c r="F822" s="2"/>
      <c r="G822" s="6">
        <f>'пр.6.1.ведом.22-23'!G336</f>
        <v>490.2</v>
      </c>
      <c r="H822" s="6">
        <f>'пр.6.1.ведом.22-23'!H336</f>
        <v>509.8</v>
      </c>
    </row>
    <row r="823" spans="1:8" s="203" customFormat="1" ht="47.25" x14ac:dyDescent="0.25">
      <c r="A823" s="45" t="s">
        <v>261</v>
      </c>
      <c r="B823" s="20" t="s">
        <v>889</v>
      </c>
      <c r="C823" s="40" t="s">
        <v>264</v>
      </c>
      <c r="D823" s="40" t="s">
        <v>215</v>
      </c>
      <c r="E823" s="2">
        <v>240</v>
      </c>
      <c r="F823" s="2">
        <v>903</v>
      </c>
      <c r="G823" s="6">
        <f>'пр.6.1.ведом.22-23'!G336</f>
        <v>490.2</v>
      </c>
      <c r="H823" s="6">
        <f>'пр.6.1.ведом.22-23'!H336</f>
        <v>509.8</v>
      </c>
    </row>
    <row r="824" spans="1:8" ht="47.25" x14ac:dyDescent="0.25">
      <c r="A824" s="45" t="s">
        <v>780</v>
      </c>
      <c r="B824" s="20" t="s">
        <v>936</v>
      </c>
      <c r="C824" s="40" t="s">
        <v>264</v>
      </c>
      <c r="D824" s="40" t="s">
        <v>215</v>
      </c>
      <c r="E824" s="2"/>
      <c r="F824" s="2"/>
      <c r="G824" s="6">
        <f>G825</f>
        <v>302.7</v>
      </c>
      <c r="H824" s="6">
        <f>H825</f>
        <v>314.89999999999998</v>
      </c>
    </row>
    <row r="825" spans="1:8" ht="47.25" x14ac:dyDescent="0.25">
      <c r="A825" s="29" t="s">
        <v>272</v>
      </c>
      <c r="B825" s="20" t="s">
        <v>936</v>
      </c>
      <c r="C825" s="40" t="s">
        <v>264</v>
      </c>
      <c r="D825" s="40" t="s">
        <v>215</v>
      </c>
      <c r="E825" s="2">
        <v>600</v>
      </c>
      <c r="F825" s="2"/>
      <c r="G825" s="6">
        <f>G826</f>
        <v>302.7</v>
      </c>
      <c r="H825" s="6">
        <f>H826</f>
        <v>314.89999999999998</v>
      </c>
    </row>
    <row r="826" spans="1:8" ht="15.75" x14ac:dyDescent="0.25">
      <c r="A826" s="182" t="s">
        <v>274</v>
      </c>
      <c r="B826" s="20" t="s">
        <v>936</v>
      </c>
      <c r="C826" s="40" t="s">
        <v>264</v>
      </c>
      <c r="D826" s="40" t="s">
        <v>215</v>
      </c>
      <c r="E826" s="2">
        <v>610</v>
      </c>
      <c r="F826" s="2"/>
      <c r="G826" s="6">
        <f>'пр.6.1.ведом.22-23'!G719</f>
        <v>302.7</v>
      </c>
      <c r="H826" s="6">
        <f>'пр.6.1.ведом.22-23'!H719</f>
        <v>314.89999999999998</v>
      </c>
    </row>
    <row r="827" spans="1:8" ht="31.5" x14ac:dyDescent="0.25">
      <c r="A827" s="29" t="s">
        <v>403</v>
      </c>
      <c r="B827" s="20" t="s">
        <v>936</v>
      </c>
      <c r="C827" s="40" t="s">
        <v>264</v>
      </c>
      <c r="D827" s="40" t="s">
        <v>215</v>
      </c>
      <c r="E827" s="2">
        <v>610</v>
      </c>
      <c r="F827" s="2">
        <v>906</v>
      </c>
      <c r="G827" s="6">
        <f>G826</f>
        <v>302.7</v>
      </c>
      <c r="H827" s="6">
        <f>H826</f>
        <v>314.89999999999998</v>
      </c>
    </row>
    <row r="828" spans="1:8" ht="15.75" x14ac:dyDescent="0.25">
      <c r="A828" s="25" t="s">
        <v>298</v>
      </c>
      <c r="B828" s="20" t="s">
        <v>888</v>
      </c>
      <c r="C828" s="40" t="s">
        <v>299</v>
      </c>
      <c r="D828" s="40"/>
      <c r="E828" s="2"/>
      <c r="F828" s="2"/>
      <c r="G828" s="6">
        <f t="shared" ref="G828:H831" si="125">G829</f>
        <v>878.7</v>
      </c>
      <c r="H828" s="6">
        <f t="shared" si="125"/>
        <v>913.9</v>
      </c>
    </row>
    <row r="829" spans="1:8" ht="15.75" x14ac:dyDescent="0.25">
      <c r="A829" s="25" t="s">
        <v>300</v>
      </c>
      <c r="B829" s="20" t="s">
        <v>888</v>
      </c>
      <c r="C829" s="40" t="s">
        <v>299</v>
      </c>
      <c r="D829" s="40" t="s">
        <v>118</v>
      </c>
      <c r="E829" s="2"/>
      <c r="F829" s="2"/>
      <c r="G829" s="6">
        <f t="shared" si="125"/>
        <v>878.7</v>
      </c>
      <c r="H829" s="6">
        <f t="shared" si="125"/>
        <v>913.9</v>
      </c>
    </row>
    <row r="830" spans="1:8" ht="32.25" customHeight="1" x14ac:dyDescent="0.25">
      <c r="A830" s="45" t="s">
        <v>778</v>
      </c>
      <c r="B830" s="20" t="s">
        <v>889</v>
      </c>
      <c r="C830" s="40" t="s">
        <v>299</v>
      </c>
      <c r="D830" s="40" t="s">
        <v>118</v>
      </c>
      <c r="E830" s="2"/>
      <c r="F830" s="2"/>
      <c r="G830" s="6">
        <f t="shared" si="125"/>
        <v>878.7</v>
      </c>
      <c r="H830" s="6">
        <f t="shared" si="125"/>
        <v>913.9</v>
      </c>
    </row>
    <row r="831" spans="1:8" ht="31.5" x14ac:dyDescent="0.25">
      <c r="A831" s="25" t="s">
        <v>131</v>
      </c>
      <c r="B831" s="20" t="s">
        <v>889</v>
      </c>
      <c r="C831" s="40" t="s">
        <v>299</v>
      </c>
      <c r="D831" s="40" t="s">
        <v>118</v>
      </c>
      <c r="E831" s="2">
        <v>200</v>
      </c>
      <c r="F831" s="2"/>
      <c r="G831" s="6">
        <f t="shared" si="125"/>
        <v>878.7</v>
      </c>
      <c r="H831" s="6">
        <f t="shared" si="125"/>
        <v>913.9</v>
      </c>
    </row>
    <row r="832" spans="1:8" ht="47.25" x14ac:dyDescent="0.25">
      <c r="A832" s="25" t="s">
        <v>133</v>
      </c>
      <c r="B832" s="20" t="s">
        <v>889</v>
      </c>
      <c r="C832" s="40" t="s">
        <v>299</v>
      </c>
      <c r="D832" s="40" t="s">
        <v>118</v>
      </c>
      <c r="E832" s="2">
        <v>240</v>
      </c>
      <c r="F832" s="2"/>
      <c r="G832" s="6">
        <f>'пр.6.1.ведом.22-23'!G410</f>
        <v>878.7</v>
      </c>
      <c r="H832" s="6">
        <f>'пр.6.1.ведом.22-23'!H410</f>
        <v>913.9</v>
      </c>
    </row>
    <row r="833" spans="1:8" ht="47.25" x14ac:dyDescent="0.25">
      <c r="A833" s="45" t="s">
        <v>261</v>
      </c>
      <c r="B833" s="20" t="s">
        <v>889</v>
      </c>
      <c r="C833" s="40" t="s">
        <v>299</v>
      </c>
      <c r="D833" s="40" t="s">
        <v>118</v>
      </c>
      <c r="E833" s="2">
        <v>240</v>
      </c>
      <c r="F833" s="2">
        <v>903</v>
      </c>
      <c r="G833" s="6">
        <f>G832</f>
        <v>878.7</v>
      </c>
      <c r="H833" s="6">
        <f>H832</f>
        <v>913.9</v>
      </c>
    </row>
    <row r="834" spans="1:8" ht="15.75" x14ac:dyDescent="0.25">
      <c r="A834" s="25" t="s">
        <v>490</v>
      </c>
      <c r="B834" s="20" t="s">
        <v>888</v>
      </c>
      <c r="C834" s="40" t="s">
        <v>491</v>
      </c>
      <c r="D834" s="40"/>
      <c r="E834" s="2"/>
      <c r="F834" s="2"/>
      <c r="G834" s="6">
        <f t="shared" ref="G834:H837" si="126">G835</f>
        <v>579.1</v>
      </c>
      <c r="H834" s="6">
        <f t="shared" si="126"/>
        <v>602.29999999999995</v>
      </c>
    </row>
    <row r="835" spans="1:8" ht="15.75" x14ac:dyDescent="0.25">
      <c r="A835" s="25" t="s">
        <v>1078</v>
      </c>
      <c r="B835" s="20" t="s">
        <v>888</v>
      </c>
      <c r="C835" s="40" t="s">
        <v>491</v>
      </c>
      <c r="D835" s="40" t="s">
        <v>118</v>
      </c>
      <c r="E835" s="2"/>
      <c r="F835" s="2"/>
      <c r="G835" s="6">
        <f t="shared" si="126"/>
        <v>579.1</v>
      </c>
      <c r="H835" s="6">
        <f t="shared" si="126"/>
        <v>602.29999999999995</v>
      </c>
    </row>
    <row r="836" spans="1:8" ht="47.25" x14ac:dyDescent="0.25">
      <c r="A836" s="45" t="s">
        <v>780</v>
      </c>
      <c r="B836" s="20" t="s">
        <v>936</v>
      </c>
      <c r="C836" s="40" t="s">
        <v>491</v>
      </c>
      <c r="D836" s="40" t="s">
        <v>118</v>
      </c>
      <c r="E836" s="2"/>
      <c r="F836" s="2"/>
      <c r="G836" s="6">
        <f t="shared" si="126"/>
        <v>579.1</v>
      </c>
      <c r="H836" s="6">
        <f t="shared" si="126"/>
        <v>602.29999999999995</v>
      </c>
    </row>
    <row r="837" spans="1:8" ht="47.25" x14ac:dyDescent="0.25">
      <c r="A837" s="29" t="s">
        <v>272</v>
      </c>
      <c r="B837" s="20" t="s">
        <v>936</v>
      </c>
      <c r="C837" s="40" t="s">
        <v>491</v>
      </c>
      <c r="D837" s="40" t="s">
        <v>118</v>
      </c>
      <c r="E837" s="2">
        <v>600</v>
      </c>
      <c r="F837" s="2"/>
      <c r="G837" s="6">
        <f t="shared" si="126"/>
        <v>579.1</v>
      </c>
      <c r="H837" s="6">
        <f t="shared" si="126"/>
        <v>602.29999999999995</v>
      </c>
    </row>
    <row r="838" spans="1:8" ht="15.75" x14ac:dyDescent="0.25">
      <c r="A838" s="182" t="s">
        <v>274</v>
      </c>
      <c r="B838" s="20" t="s">
        <v>936</v>
      </c>
      <c r="C838" s="40" t="s">
        <v>491</v>
      </c>
      <c r="D838" s="40" t="s">
        <v>118</v>
      </c>
      <c r="E838" s="2">
        <v>610</v>
      </c>
      <c r="F838" s="2"/>
      <c r="G838" s="6">
        <f>'пр.6.1.ведом.22-23'!G802</f>
        <v>579.1</v>
      </c>
      <c r="H838" s="6">
        <f>'пр.6.1.ведом.22-23'!H802</f>
        <v>602.29999999999995</v>
      </c>
    </row>
    <row r="839" spans="1:8" ht="47.25" x14ac:dyDescent="0.25">
      <c r="A839" s="45" t="s">
        <v>480</v>
      </c>
      <c r="B839" s="20" t="s">
        <v>936</v>
      </c>
      <c r="C839" s="40" t="s">
        <v>491</v>
      </c>
      <c r="D839" s="40" t="s">
        <v>118</v>
      </c>
      <c r="E839" s="2">
        <v>610</v>
      </c>
      <c r="F839" s="2">
        <v>907</v>
      </c>
      <c r="G839" s="6">
        <f>G838</f>
        <v>579.1</v>
      </c>
      <c r="H839" s="6">
        <f>H838</f>
        <v>602.29999999999995</v>
      </c>
    </row>
    <row r="840" spans="1:8" ht="15.75" x14ac:dyDescent="0.25">
      <c r="A840" s="29" t="s">
        <v>582</v>
      </c>
      <c r="B840" s="20" t="s">
        <v>888</v>
      </c>
      <c r="C840" s="40" t="s">
        <v>238</v>
      </c>
      <c r="D840" s="40"/>
      <c r="E840" s="2"/>
      <c r="F840" s="2"/>
      <c r="G840" s="6">
        <f t="shared" ref="G840:H843" si="127">G841</f>
        <v>74.900000000000006</v>
      </c>
      <c r="H840" s="6">
        <f t="shared" si="127"/>
        <v>77.900000000000006</v>
      </c>
    </row>
    <row r="841" spans="1:8" ht="15.75" x14ac:dyDescent="0.25">
      <c r="A841" s="29" t="s">
        <v>583</v>
      </c>
      <c r="B841" s="20" t="s">
        <v>888</v>
      </c>
      <c r="C841" s="40" t="s">
        <v>238</v>
      </c>
      <c r="D841" s="40" t="s">
        <v>213</v>
      </c>
      <c r="E841" s="2"/>
      <c r="F841" s="2"/>
      <c r="G841" s="6">
        <f t="shared" si="127"/>
        <v>74.900000000000006</v>
      </c>
      <c r="H841" s="6">
        <f t="shared" si="127"/>
        <v>77.900000000000006</v>
      </c>
    </row>
    <row r="842" spans="1:8" ht="47.25" x14ac:dyDescent="0.25">
      <c r="A842" s="45" t="s">
        <v>778</v>
      </c>
      <c r="B842" s="20" t="s">
        <v>889</v>
      </c>
      <c r="C842" s="40" t="s">
        <v>238</v>
      </c>
      <c r="D842" s="40" t="s">
        <v>213</v>
      </c>
      <c r="E842" s="2"/>
      <c r="F842" s="2"/>
      <c r="G842" s="6">
        <f t="shared" si="127"/>
        <v>74.900000000000006</v>
      </c>
      <c r="H842" s="6">
        <f t="shared" si="127"/>
        <v>77.900000000000006</v>
      </c>
    </row>
    <row r="843" spans="1:8" ht="31.5" x14ac:dyDescent="0.25">
      <c r="A843" s="25" t="s">
        <v>131</v>
      </c>
      <c r="B843" s="20" t="s">
        <v>889</v>
      </c>
      <c r="C843" s="40" t="s">
        <v>238</v>
      </c>
      <c r="D843" s="40" t="s">
        <v>213</v>
      </c>
      <c r="E843" s="2">
        <v>200</v>
      </c>
      <c r="F843" s="2"/>
      <c r="G843" s="6">
        <f t="shared" si="127"/>
        <v>74.900000000000006</v>
      </c>
      <c r="H843" s="6">
        <f t="shared" si="127"/>
        <v>77.900000000000006</v>
      </c>
    </row>
    <row r="844" spans="1:8" ht="47.25" x14ac:dyDescent="0.25">
      <c r="A844" s="25" t="s">
        <v>133</v>
      </c>
      <c r="B844" s="20" t="s">
        <v>889</v>
      </c>
      <c r="C844" s="40" t="s">
        <v>238</v>
      </c>
      <c r="D844" s="40" t="s">
        <v>213</v>
      </c>
      <c r="E844" s="2">
        <v>240</v>
      </c>
      <c r="F844" s="2"/>
      <c r="G844" s="6">
        <f>'пр.6.1.ведом.22-23'!G487</f>
        <v>74.900000000000006</v>
      </c>
      <c r="H844" s="6">
        <f>'пр.6.1.ведом.22-23'!H487</f>
        <v>77.900000000000006</v>
      </c>
    </row>
    <row r="845" spans="1:8" ht="47.25" x14ac:dyDescent="0.25">
      <c r="A845" s="45" t="s">
        <v>261</v>
      </c>
      <c r="B845" s="20" t="s">
        <v>889</v>
      </c>
      <c r="C845" s="40" t="s">
        <v>238</v>
      </c>
      <c r="D845" s="40" t="s">
        <v>213</v>
      </c>
      <c r="E845" s="2">
        <v>240</v>
      </c>
      <c r="F845" s="2">
        <v>903</v>
      </c>
      <c r="G845" s="6">
        <f>G840</f>
        <v>74.900000000000006</v>
      </c>
      <c r="H845" s="6">
        <f>H840</f>
        <v>77.900000000000006</v>
      </c>
    </row>
    <row r="846" spans="1:8" ht="47.25" x14ac:dyDescent="0.25">
      <c r="A846" s="212" t="s">
        <v>1023</v>
      </c>
      <c r="B846" s="24" t="s">
        <v>853</v>
      </c>
      <c r="C846" s="7"/>
      <c r="D846" s="7"/>
      <c r="E846" s="3"/>
      <c r="F846" s="3"/>
      <c r="G846" s="4">
        <f t="shared" ref="G846:H848" si="128">G847</f>
        <v>15</v>
      </c>
      <c r="H846" s="4">
        <f t="shared" si="128"/>
        <v>15</v>
      </c>
    </row>
    <row r="847" spans="1:8" ht="15.75" x14ac:dyDescent="0.25">
      <c r="A847" s="224" t="s">
        <v>117</v>
      </c>
      <c r="B847" s="20" t="s">
        <v>853</v>
      </c>
      <c r="C847" s="40" t="s">
        <v>118</v>
      </c>
      <c r="D847" s="40"/>
      <c r="E847" s="2"/>
      <c r="F847" s="2"/>
      <c r="G847" s="6">
        <f t="shared" si="128"/>
        <v>15</v>
      </c>
      <c r="H847" s="6">
        <f t="shared" si="128"/>
        <v>15</v>
      </c>
    </row>
    <row r="848" spans="1:8" ht="15.75" x14ac:dyDescent="0.25">
      <c r="A848" s="224" t="s">
        <v>139</v>
      </c>
      <c r="B848" s="20" t="s">
        <v>853</v>
      </c>
      <c r="C848" s="40" t="s">
        <v>118</v>
      </c>
      <c r="D848" s="40" t="s">
        <v>140</v>
      </c>
      <c r="E848" s="2"/>
      <c r="F848" s="2"/>
      <c r="G848" s="6">
        <f t="shared" si="128"/>
        <v>15</v>
      </c>
      <c r="H848" s="6">
        <f t="shared" si="128"/>
        <v>15</v>
      </c>
    </row>
    <row r="849" spans="1:8" ht="56.25" customHeight="1" x14ac:dyDescent="0.25">
      <c r="A849" s="256" t="s">
        <v>1005</v>
      </c>
      <c r="B849" s="20" t="s">
        <v>848</v>
      </c>
      <c r="C849" s="40" t="s">
        <v>118</v>
      </c>
      <c r="D849" s="40" t="s">
        <v>140</v>
      </c>
      <c r="E849" s="2"/>
      <c r="F849" s="2"/>
      <c r="G849" s="6">
        <f t="shared" ref="G849:H850" si="129">G850</f>
        <v>15</v>
      </c>
      <c r="H849" s="6">
        <f t="shared" si="129"/>
        <v>15</v>
      </c>
    </row>
    <row r="850" spans="1:8" ht="31.5" x14ac:dyDescent="0.25">
      <c r="A850" s="25" t="s">
        <v>131</v>
      </c>
      <c r="B850" s="20" t="s">
        <v>848</v>
      </c>
      <c r="C850" s="40" t="s">
        <v>118</v>
      </c>
      <c r="D850" s="40" t="s">
        <v>140</v>
      </c>
      <c r="E850" s="2">
        <v>200</v>
      </c>
      <c r="F850" s="2"/>
      <c r="G850" s="6">
        <f t="shared" si="129"/>
        <v>15</v>
      </c>
      <c r="H850" s="6">
        <f t="shared" si="129"/>
        <v>15</v>
      </c>
    </row>
    <row r="851" spans="1:8" ht="47.25" x14ac:dyDescent="0.25">
      <c r="A851" s="25" t="s">
        <v>133</v>
      </c>
      <c r="B851" s="20" t="s">
        <v>848</v>
      </c>
      <c r="C851" s="40" t="s">
        <v>118</v>
      </c>
      <c r="D851" s="40" t="s">
        <v>140</v>
      </c>
      <c r="E851" s="2">
        <v>240</v>
      </c>
      <c r="F851" s="2"/>
      <c r="G851" s="6">
        <f>'пр.6.1.ведом.22-23'!G154</f>
        <v>15</v>
      </c>
      <c r="H851" s="6">
        <f>'пр.6.1.ведом.22-23'!H154</f>
        <v>15</v>
      </c>
    </row>
    <row r="852" spans="1:8" ht="31.5" x14ac:dyDescent="0.25">
      <c r="A852" s="29" t="s">
        <v>148</v>
      </c>
      <c r="B852" s="20" t="s">
        <v>848</v>
      </c>
      <c r="C852" s="40" t="s">
        <v>118</v>
      </c>
      <c r="D852" s="40" t="s">
        <v>140</v>
      </c>
      <c r="E852" s="2">
        <v>240</v>
      </c>
      <c r="F852" s="2">
        <v>902</v>
      </c>
      <c r="G852" s="6">
        <f>G851</f>
        <v>15</v>
      </c>
      <c r="H852" s="6">
        <f>H851</f>
        <v>15</v>
      </c>
    </row>
    <row r="853" spans="1:8" ht="78.75" x14ac:dyDescent="0.25">
      <c r="A853" s="23" t="s">
        <v>1530</v>
      </c>
      <c r="B853" s="24" t="s">
        <v>711</v>
      </c>
      <c r="C853" s="7"/>
      <c r="D853" s="7"/>
      <c r="E853" s="3"/>
      <c r="F853" s="3"/>
      <c r="G853" s="4">
        <f>G854</f>
        <v>500</v>
      </c>
      <c r="H853" s="4">
        <f>H854</f>
        <v>500</v>
      </c>
    </row>
    <row r="854" spans="1:8" ht="31.5" x14ac:dyDescent="0.25">
      <c r="A854" s="23" t="s">
        <v>1066</v>
      </c>
      <c r="B854" s="24" t="s">
        <v>1087</v>
      </c>
      <c r="C854" s="7"/>
      <c r="D854" s="7"/>
      <c r="E854" s="3"/>
      <c r="F854" s="3"/>
      <c r="G854" s="4">
        <f>G855</f>
        <v>500</v>
      </c>
      <c r="H854" s="4">
        <f>H855</f>
        <v>500</v>
      </c>
    </row>
    <row r="855" spans="1:8" ht="15.75" x14ac:dyDescent="0.25">
      <c r="A855" s="25" t="s">
        <v>390</v>
      </c>
      <c r="B855" s="20" t="s">
        <v>835</v>
      </c>
      <c r="C855" s="40" t="s">
        <v>234</v>
      </c>
      <c r="D855" s="40"/>
      <c r="E855" s="2"/>
      <c r="F855" s="2"/>
      <c r="G855" s="6">
        <f t="shared" ref="G855:H858" si="130">G856</f>
        <v>500</v>
      </c>
      <c r="H855" s="6">
        <f t="shared" si="130"/>
        <v>500</v>
      </c>
    </row>
    <row r="856" spans="1:8" ht="15.75" x14ac:dyDescent="0.25">
      <c r="A856" s="25" t="s">
        <v>541</v>
      </c>
      <c r="B856" s="20" t="s">
        <v>835</v>
      </c>
      <c r="C856" s="40" t="s">
        <v>234</v>
      </c>
      <c r="D856" s="40" t="s">
        <v>215</v>
      </c>
      <c r="E856" s="2"/>
      <c r="F856" s="2"/>
      <c r="G856" s="6">
        <f t="shared" si="130"/>
        <v>500</v>
      </c>
      <c r="H856" s="6">
        <f t="shared" si="130"/>
        <v>500</v>
      </c>
    </row>
    <row r="857" spans="1:8" ht="63" x14ac:dyDescent="0.25">
      <c r="A857" s="80" t="s">
        <v>693</v>
      </c>
      <c r="B857" s="20" t="s">
        <v>835</v>
      </c>
      <c r="C857" s="40" t="s">
        <v>234</v>
      </c>
      <c r="D857" s="40" t="s">
        <v>215</v>
      </c>
      <c r="E857" s="2"/>
      <c r="F857" s="2"/>
      <c r="G857" s="6">
        <f t="shared" si="130"/>
        <v>500</v>
      </c>
      <c r="H857" s="6">
        <f t="shared" si="130"/>
        <v>500</v>
      </c>
    </row>
    <row r="858" spans="1:8" ht="31.5" x14ac:dyDescent="0.25">
      <c r="A858" s="25" t="s">
        <v>131</v>
      </c>
      <c r="B858" s="20" t="s">
        <v>835</v>
      </c>
      <c r="C858" s="40" t="s">
        <v>234</v>
      </c>
      <c r="D858" s="40" t="s">
        <v>215</v>
      </c>
      <c r="E858" s="2">
        <v>200</v>
      </c>
      <c r="F858" s="2"/>
      <c r="G858" s="6">
        <f t="shared" si="130"/>
        <v>500</v>
      </c>
      <c r="H858" s="6">
        <f t="shared" si="130"/>
        <v>500</v>
      </c>
    </row>
    <row r="859" spans="1:8" ht="47.25" x14ac:dyDescent="0.25">
      <c r="A859" s="25" t="s">
        <v>133</v>
      </c>
      <c r="B859" s="20" t="s">
        <v>835</v>
      </c>
      <c r="C859" s="40" t="s">
        <v>234</v>
      </c>
      <c r="D859" s="40" t="s">
        <v>215</v>
      </c>
      <c r="E859" s="2">
        <v>240</v>
      </c>
      <c r="F859" s="2"/>
      <c r="G859" s="6">
        <f>'пр.6.1.ведом.22-23'!G1002</f>
        <v>500</v>
      </c>
      <c r="H859" s="6">
        <f>'пр.6.1.ведом.22-23'!H1002</f>
        <v>500</v>
      </c>
    </row>
    <row r="860" spans="1:8" ht="47.25" x14ac:dyDescent="0.25">
      <c r="A860" s="45" t="s">
        <v>623</v>
      </c>
      <c r="B860" s="20" t="s">
        <v>835</v>
      </c>
      <c r="C860" s="40" t="s">
        <v>234</v>
      </c>
      <c r="D860" s="40" t="s">
        <v>215</v>
      </c>
      <c r="E860" s="2">
        <v>240</v>
      </c>
      <c r="F860" s="2">
        <v>908</v>
      </c>
      <c r="G860" s="6">
        <f>G859</f>
        <v>500</v>
      </c>
      <c r="H860" s="6">
        <f>H859</f>
        <v>500</v>
      </c>
    </row>
    <row r="861" spans="1:8" ht="78.75" hidden="1" x14ac:dyDescent="0.25">
      <c r="A861" s="58" t="s">
        <v>1354</v>
      </c>
      <c r="B861" s="24" t="s">
        <v>782</v>
      </c>
      <c r="C861" s="7"/>
      <c r="D861" s="7"/>
      <c r="E861" s="3"/>
      <c r="F861" s="3"/>
      <c r="G861" s="4">
        <f>G863</f>
        <v>0</v>
      </c>
      <c r="H861" s="4">
        <f>H863</f>
        <v>0</v>
      </c>
    </row>
    <row r="862" spans="1:8" ht="31.5" hidden="1" x14ac:dyDescent="0.25">
      <c r="A862" s="23" t="s">
        <v>930</v>
      </c>
      <c r="B862" s="24" t="s">
        <v>1020</v>
      </c>
      <c r="C862" s="7"/>
      <c r="D862" s="7"/>
      <c r="E862" s="3"/>
      <c r="F862" s="3"/>
      <c r="G862" s="4">
        <f t="shared" ref="G862:H866" si="131">G863</f>
        <v>0</v>
      </c>
      <c r="H862" s="4">
        <f t="shared" si="131"/>
        <v>0</v>
      </c>
    </row>
    <row r="863" spans="1:8" ht="15.75" hidden="1" x14ac:dyDescent="0.25">
      <c r="A863" s="45" t="s">
        <v>117</v>
      </c>
      <c r="B863" s="20" t="s">
        <v>1020</v>
      </c>
      <c r="C863" s="40" t="s">
        <v>118</v>
      </c>
      <c r="D863" s="40"/>
      <c r="E863" s="2"/>
      <c r="F863" s="2"/>
      <c r="G863" s="6">
        <f t="shared" si="131"/>
        <v>0</v>
      </c>
      <c r="H863" s="6">
        <f t="shared" si="131"/>
        <v>0</v>
      </c>
    </row>
    <row r="864" spans="1:8" ht="15.75" hidden="1" x14ac:dyDescent="0.25">
      <c r="A864" s="45" t="s">
        <v>139</v>
      </c>
      <c r="B864" s="20" t="s">
        <v>1020</v>
      </c>
      <c r="C864" s="40" t="s">
        <v>118</v>
      </c>
      <c r="D864" s="40" t="s">
        <v>140</v>
      </c>
      <c r="E864" s="2"/>
      <c r="F864" s="2"/>
      <c r="G864" s="6">
        <f t="shared" si="131"/>
        <v>0</v>
      </c>
      <c r="H864" s="6">
        <f t="shared" si="131"/>
        <v>0</v>
      </c>
    </row>
    <row r="865" spans="1:10" ht="31.5" hidden="1" x14ac:dyDescent="0.25">
      <c r="A865" s="45" t="s">
        <v>790</v>
      </c>
      <c r="B865" s="20" t="s">
        <v>1021</v>
      </c>
      <c r="C865" s="40" t="s">
        <v>118</v>
      </c>
      <c r="D865" s="40" t="s">
        <v>140</v>
      </c>
      <c r="E865" s="2"/>
      <c r="F865" s="2"/>
      <c r="G865" s="6">
        <f t="shared" si="131"/>
        <v>0</v>
      </c>
      <c r="H865" s="6">
        <f t="shared" si="131"/>
        <v>0</v>
      </c>
    </row>
    <row r="866" spans="1:10" ht="31.5" hidden="1" x14ac:dyDescent="0.25">
      <c r="A866" s="45" t="s">
        <v>131</v>
      </c>
      <c r="B866" s="20" t="s">
        <v>1021</v>
      </c>
      <c r="C866" s="40" t="s">
        <v>118</v>
      </c>
      <c r="D866" s="40" t="s">
        <v>140</v>
      </c>
      <c r="E866" s="2">
        <v>200</v>
      </c>
      <c r="F866" s="2"/>
      <c r="G866" s="6">
        <f t="shared" si="131"/>
        <v>0</v>
      </c>
      <c r="H866" s="6">
        <f t="shared" si="131"/>
        <v>0</v>
      </c>
    </row>
    <row r="867" spans="1:10" ht="47.25" hidden="1" x14ac:dyDescent="0.25">
      <c r="A867" s="45" t="s">
        <v>133</v>
      </c>
      <c r="B867" s="20" t="s">
        <v>1021</v>
      </c>
      <c r="C867" s="40" t="s">
        <v>118</v>
      </c>
      <c r="D867" s="40" t="s">
        <v>140</v>
      </c>
      <c r="E867" s="2">
        <v>240</v>
      </c>
      <c r="F867" s="2"/>
      <c r="G867" s="6">
        <f>'пр.6.1.ведом.22-23'!G520</f>
        <v>0</v>
      </c>
      <c r="H867" s="6">
        <f>'пр.6.1.ведом.22-23'!H520</f>
        <v>0</v>
      </c>
    </row>
    <row r="868" spans="1:10" ht="47.25" hidden="1" x14ac:dyDescent="0.25">
      <c r="A868" s="45" t="s">
        <v>1385</v>
      </c>
      <c r="B868" s="20" t="s">
        <v>1021</v>
      </c>
      <c r="C868" s="40" t="s">
        <v>118</v>
      </c>
      <c r="D868" s="40" t="s">
        <v>140</v>
      </c>
      <c r="E868" s="2">
        <v>240</v>
      </c>
      <c r="F868" s="2">
        <v>905</v>
      </c>
      <c r="G868" s="6">
        <f>G867</f>
        <v>0</v>
      </c>
      <c r="H868" s="6">
        <f>H867</f>
        <v>0</v>
      </c>
    </row>
    <row r="869" spans="1:10" ht="94.5" x14ac:dyDescent="0.25">
      <c r="A869" s="41" t="s">
        <v>1365</v>
      </c>
      <c r="B869" s="24" t="s">
        <v>817</v>
      </c>
      <c r="C869" s="7"/>
      <c r="D869" s="7"/>
      <c r="E869" s="3"/>
      <c r="F869" s="3"/>
      <c r="G869" s="4">
        <f>G871</f>
        <v>45</v>
      </c>
      <c r="H869" s="4">
        <f>H871</f>
        <v>50</v>
      </c>
    </row>
    <row r="870" spans="1:10" ht="47.25" x14ac:dyDescent="0.25">
      <c r="A870" s="213" t="s">
        <v>854</v>
      </c>
      <c r="B870" s="24" t="s">
        <v>1075</v>
      </c>
      <c r="C870" s="7"/>
      <c r="D870" s="7"/>
      <c r="E870" s="3"/>
      <c r="F870" s="3"/>
      <c r="G870" s="4">
        <f t="shared" ref="G870:H874" si="132">G871</f>
        <v>45</v>
      </c>
      <c r="H870" s="4">
        <f t="shared" si="132"/>
        <v>50</v>
      </c>
    </row>
    <row r="871" spans="1:10" ht="15.75" x14ac:dyDescent="0.25">
      <c r="A871" s="45" t="s">
        <v>117</v>
      </c>
      <c r="B871" s="20" t="s">
        <v>1075</v>
      </c>
      <c r="C871" s="40" t="s">
        <v>118</v>
      </c>
      <c r="D871" s="40"/>
      <c r="E871" s="2"/>
      <c r="F871" s="2"/>
      <c r="G871" s="6">
        <f t="shared" si="132"/>
        <v>45</v>
      </c>
      <c r="H871" s="6">
        <f t="shared" si="132"/>
        <v>50</v>
      </c>
    </row>
    <row r="872" spans="1:10" ht="15.75" x14ac:dyDescent="0.25">
      <c r="A872" s="45" t="s">
        <v>139</v>
      </c>
      <c r="B872" s="20" t="s">
        <v>1075</v>
      </c>
      <c r="C872" s="40" t="s">
        <v>118</v>
      </c>
      <c r="D872" s="40" t="s">
        <v>140</v>
      </c>
      <c r="E872" s="2"/>
      <c r="F872" s="2"/>
      <c r="G872" s="6">
        <f t="shared" si="132"/>
        <v>45</v>
      </c>
      <c r="H872" s="6">
        <f t="shared" si="132"/>
        <v>50</v>
      </c>
    </row>
    <row r="873" spans="1:10" ht="47.25" x14ac:dyDescent="0.25">
      <c r="A873" s="97" t="s">
        <v>171</v>
      </c>
      <c r="B873" s="20" t="s">
        <v>855</v>
      </c>
      <c r="C873" s="40" t="s">
        <v>118</v>
      </c>
      <c r="D873" s="40" t="s">
        <v>140</v>
      </c>
      <c r="E873" s="2"/>
      <c r="F873" s="2"/>
      <c r="G873" s="6">
        <f t="shared" si="132"/>
        <v>45</v>
      </c>
      <c r="H873" s="6">
        <f t="shared" si="132"/>
        <v>50</v>
      </c>
    </row>
    <row r="874" spans="1:10" ht="31.5" x14ac:dyDescent="0.25">
      <c r="A874" s="45" t="s">
        <v>131</v>
      </c>
      <c r="B874" s="20" t="s">
        <v>855</v>
      </c>
      <c r="C874" s="40" t="s">
        <v>118</v>
      </c>
      <c r="D874" s="40" t="s">
        <v>140</v>
      </c>
      <c r="E874" s="2">
        <v>200</v>
      </c>
      <c r="F874" s="2"/>
      <c r="G874" s="6">
        <f t="shared" si="132"/>
        <v>45</v>
      </c>
      <c r="H874" s="6">
        <f t="shared" si="132"/>
        <v>50</v>
      </c>
    </row>
    <row r="875" spans="1:10" ht="47.25" x14ac:dyDescent="0.25">
      <c r="A875" s="45" t="s">
        <v>133</v>
      </c>
      <c r="B875" s="20" t="s">
        <v>855</v>
      </c>
      <c r="C875" s="40" t="s">
        <v>118</v>
      </c>
      <c r="D875" s="40" t="s">
        <v>140</v>
      </c>
      <c r="E875" s="2">
        <v>240</v>
      </c>
      <c r="F875" s="2"/>
      <c r="G875" s="6">
        <f>'пр.6.1.ведом.22-23'!G159</f>
        <v>45</v>
      </c>
      <c r="H875" s="6">
        <f>'пр.6.1.ведом.22-23'!H159</f>
        <v>50</v>
      </c>
    </row>
    <row r="876" spans="1:10" ht="31.5" x14ac:dyDescent="0.25">
      <c r="A876" s="29" t="s">
        <v>148</v>
      </c>
      <c r="B876" s="20" t="s">
        <v>855</v>
      </c>
      <c r="C876" s="40" t="s">
        <v>118</v>
      </c>
      <c r="D876" s="40" t="s">
        <v>140</v>
      </c>
      <c r="E876" s="2">
        <v>240</v>
      </c>
      <c r="F876" s="2">
        <v>902</v>
      </c>
      <c r="G876" s="6">
        <f>G869</f>
        <v>45</v>
      </c>
      <c r="H876" s="6">
        <f>H869</f>
        <v>50</v>
      </c>
      <c r="J876" s="22"/>
    </row>
    <row r="877" spans="1:10" ht="78.75" x14ac:dyDescent="0.25">
      <c r="A877" s="41" t="s">
        <v>1374</v>
      </c>
      <c r="B877" s="24" t="s">
        <v>818</v>
      </c>
      <c r="C877" s="7"/>
      <c r="D877" s="7"/>
      <c r="E877" s="3"/>
      <c r="F877" s="3"/>
      <c r="G877" s="4">
        <f>G879</f>
        <v>80</v>
      </c>
      <c r="H877" s="4">
        <f>H879</f>
        <v>90</v>
      </c>
    </row>
    <row r="878" spans="1:10" ht="31.5" x14ac:dyDescent="0.25">
      <c r="A878" s="58" t="s">
        <v>856</v>
      </c>
      <c r="B878" s="24" t="s">
        <v>864</v>
      </c>
      <c r="C878" s="7"/>
      <c r="D878" s="7"/>
      <c r="E878" s="3"/>
      <c r="F878" s="3"/>
      <c r="G878" s="4">
        <f t="shared" ref="G878:H882" si="133">G879</f>
        <v>80</v>
      </c>
      <c r="H878" s="4">
        <f t="shared" si="133"/>
        <v>90</v>
      </c>
    </row>
    <row r="879" spans="1:10" ht="15.75" x14ac:dyDescent="0.25">
      <c r="A879" s="45" t="s">
        <v>117</v>
      </c>
      <c r="B879" s="20" t="s">
        <v>864</v>
      </c>
      <c r="C879" s="40" t="s">
        <v>118</v>
      </c>
      <c r="D879" s="40"/>
      <c r="E879" s="2"/>
      <c r="F879" s="2"/>
      <c r="G879" s="6">
        <f t="shared" si="133"/>
        <v>80</v>
      </c>
      <c r="H879" s="6">
        <f t="shared" si="133"/>
        <v>90</v>
      </c>
    </row>
    <row r="880" spans="1:10" ht="15.75" x14ac:dyDescent="0.25">
      <c r="A880" s="45" t="s">
        <v>139</v>
      </c>
      <c r="B880" s="20" t="s">
        <v>864</v>
      </c>
      <c r="C880" s="40" t="s">
        <v>118</v>
      </c>
      <c r="D880" s="40" t="s">
        <v>140</v>
      </c>
      <c r="E880" s="2"/>
      <c r="F880" s="2"/>
      <c r="G880" s="6">
        <f t="shared" si="133"/>
        <v>80</v>
      </c>
      <c r="H880" s="6">
        <f t="shared" si="133"/>
        <v>90</v>
      </c>
    </row>
    <row r="881" spans="1:8" ht="31.5" x14ac:dyDescent="0.25">
      <c r="A881" s="45" t="s">
        <v>175</v>
      </c>
      <c r="B881" s="20" t="s">
        <v>857</v>
      </c>
      <c r="C881" s="40" t="s">
        <v>118</v>
      </c>
      <c r="D881" s="40" t="s">
        <v>140</v>
      </c>
      <c r="E881" s="2"/>
      <c r="F881" s="2"/>
      <c r="G881" s="6">
        <f t="shared" si="133"/>
        <v>80</v>
      </c>
      <c r="H881" s="6">
        <f t="shared" si="133"/>
        <v>90</v>
      </c>
    </row>
    <row r="882" spans="1:8" ht="31.5" x14ac:dyDescent="0.25">
      <c r="A882" s="45" t="s">
        <v>131</v>
      </c>
      <c r="B882" s="20" t="s">
        <v>857</v>
      </c>
      <c r="C882" s="40" t="s">
        <v>118</v>
      </c>
      <c r="D882" s="40" t="s">
        <v>140</v>
      </c>
      <c r="E882" s="2">
        <v>200</v>
      </c>
      <c r="F882" s="2"/>
      <c r="G882" s="6">
        <f t="shared" si="133"/>
        <v>80</v>
      </c>
      <c r="H882" s="6">
        <f t="shared" si="133"/>
        <v>90</v>
      </c>
    </row>
    <row r="883" spans="1:8" ht="47.25" x14ac:dyDescent="0.25">
      <c r="A883" s="45" t="s">
        <v>133</v>
      </c>
      <c r="B883" s="20" t="s">
        <v>857</v>
      </c>
      <c r="C883" s="40" t="s">
        <v>118</v>
      </c>
      <c r="D883" s="40" t="s">
        <v>140</v>
      </c>
      <c r="E883" s="2">
        <v>240</v>
      </c>
      <c r="F883" s="2"/>
      <c r="G883" s="6">
        <f>'пр.6.1.ведом.22-23'!G164</f>
        <v>80</v>
      </c>
      <c r="H883" s="6">
        <f>'пр.6.1.ведом.22-23'!H164</f>
        <v>90</v>
      </c>
    </row>
    <row r="884" spans="1:8" ht="31.5" x14ac:dyDescent="0.25">
      <c r="A884" s="29" t="s">
        <v>148</v>
      </c>
      <c r="B884" s="20" t="s">
        <v>857</v>
      </c>
      <c r="C884" s="40" t="s">
        <v>118</v>
      </c>
      <c r="D884" s="40" t="s">
        <v>140</v>
      </c>
      <c r="E884" s="2">
        <v>240</v>
      </c>
      <c r="F884" s="2">
        <v>902</v>
      </c>
      <c r="G884" s="6">
        <f>G877</f>
        <v>80</v>
      </c>
      <c r="H884" s="6">
        <f>H877</f>
        <v>90</v>
      </c>
    </row>
    <row r="885" spans="1:8" s="203" customFormat="1" ht="47.25" x14ac:dyDescent="0.25">
      <c r="A885" s="23" t="s">
        <v>1528</v>
      </c>
      <c r="B885" s="24" t="s">
        <v>1141</v>
      </c>
      <c r="C885" s="40"/>
      <c r="D885" s="40"/>
      <c r="E885" s="2"/>
      <c r="F885" s="2"/>
      <c r="G885" s="4">
        <f t="shared" ref="G885:H891" si="134">G886</f>
        <v>204</v>
      </c>
      <c r="H885" s="4">
        <f t="shared" si="134"/>
        <v>215</v>
      </c>
    </row>
    <row r="886" spans="1:8" s="203" customFormat="1" ht="31.5" x14ac:dyDescent="0.25">
      <c r="A886" s="23" t="s">
        <v>1532</v>
      </c>
      <c r="B886" s="24" t="s">
        <v>1143</v>
      </c>
      <c r="C886" s="40"/>
      <c r="D886" s="40"/>
      <c r="E886" s="2"/>
      <c r="F886" s="2"/>
      <c r="G886" s="4">
        <f t="shared" si="134"/>
        <v>204</v>
      </c>
      <c r="H886" s="4">
        <f t="shared" si="134"/>
        <v>215</v>
      </c>
    </row>
    <row r="887" spans="1:8" s="203" customFormat="1" ht="15.75" x14ac:dyDescent="0.25">
      <c r="A887" s="29" t="s">
        <v>390</v>
      </c>
      <c r="B887" s="20" t="s">
        <v>1143</v>
      </c>
      <c r="C887" s="40" t="s">
        <v>234</v>
      </c>
      <c r="D887" s="40"/>
      <c r="E887" s="2"/>
      <c r="F887" s="2"/>
      <c r="G887" s="6">
        <f t="shared" si="134"/>
        <v>204</v>
      </c>
      <c r="H887" s="6">
        <f t="shared" si="134"/>
        <v>215</v>
      </c>
    </row>
    <row r="888" spans="1:8" s="203" customFormat="1" ht="15.75" x14ac:dyDescent="0.25">
      <c r="A888" s="29" t="s">
        <v>517</v>
      </c>
      <c r="B888" s="20" t="s">
        <v>1143</v>
      </c>
      <c r="C888" s="40" t="s">
        <v>234</v>
      </c>
      <c r="D888" s="40" t="s">
        <v>213</v>
      </c>
      <c r="E888" s="2"/>
      <c r="F888" s="2"/>
      <c r="G888" s="6">
        <f t="shared" si="134"/>
        <v>204</v>
      </c>
      <c r="H888" s="6">
        <f t="shared" si="134"/>
        <v>215</v>
      </c>
    </row>
    <row r="889" spans="1:8" s="203" customFormat="1" ht="31.5" x14ac:dyDescent="0.25">
      <c r="A889" s="29" t="s">
        <v>1145</v>
      </c>
      <c r="B889" s="20" t="s">
        <v>1144</v>
      </c>
      <c r="C889" s="40" t="s">
        <v>234</v>
      </c>
      <c r="D889" s="40" t="s">
        <v>213</v>
      </c>
      <c r="E889" s="2"/>
      <c r="F889" s="2"/>
      <c r="G889" s="6">
        <f t="shared" si="134"/>
        <v>204</v>
      </c>
      <c r="H889" s="6">
        <f t="shared" si="134"/>
        <v>215</v>
      </c>
    </row>
    <row r="890" spans="1:8" s="203" customFormat="1" ht="31.5" x14ac:dyDescent="0.25">
      <c r="A890" s="45" t="s">
        <v>131</v>
      </c>
      <c r="B890" s="20" t="s">
        <v>1144</v>
      </c>
      <c r="C890" s="40" t="s">
        <v>234</v>
      </c>
      <c r="D890" s="40" t="s">
        <v>213</v>
      </c>
      <c r="E890" s="2">
        <v>200</v>
      </c>
      <c r="F890" s="2"/>
      <c r="G890" s="6">
        <f t="shared" si="134"/>
        <v>204</v>
      </c>
      <c r="H890" s="6">
        <f t="shared" si="134"/>
        <v>215</v>
      </c>
    </row>
    <row r="891" spans="1:8" s="203" customFormat="1" ht="47.25" x14ac:dyDescent="0.25">
      <c r="A891" s="45" t="s">
        <v>133</v>
      </c>
      <c r="B891" s="20" t="s">
        <v>1144</v>
      </c>
      <c r="C891" s="40" t="s">
        <v>234</v>
      </c>
      <c r="D891" s="40" t="s">
        <v>213</v>
      </c>
      <c r="E891" s="2">
        <v>240</v>
      </c>
      <c r="F891" s="2"/>
      <c r="G891" s="6">
        <f t="shared" si="134"/>
        <v>204</v>
      </c>
      <c r="H891" s="6">
        <f t="shared" si="134"/>
        <v>215</v>
      </c>
    </row>
    <row r="892" spans="1:8" s="203" customFormat="1" ht="47.25" x14ac:dyDescent="0.25">
      <c r="A892" s="45" t="s">
        <v>623</v>
      </c>
      <c r="B892" s="20" t="s">
        <v>1144</v>
      </c>
      <c r="C892" s="40" t="s">
        <v>234</v>
      </c>
      <c r="D892" s="40" t="s">
        <v>213</v>
      </c>
      <c r="E892" s="2">
        <v>240</v>
      </c>
      <c r="F892" s="2">
        <v>908</v>
      </c>
      <c r="G892" s="6">
        <f>'пр.6.1.ведом.22-23'!G952</f>
        <v>204</v>
      </c>
      <c r="H892" s="6">
        <f>'пр.6.1.ведом.22-23'!H952</f>
        <v>215</v>
      </c>
    </row>
    <row r="893" spans="1:8" ht="15.75" x14ac:dyDescent="0.25">
      <c r="A893" s="72" t="s">
        <v>657</v>
      </c>
      <c r="B893" s="72"/>
      <c r="C893" s="72"/>
      <c r="D893" s="72"/>
      <c r="E893" s="72"/>
      <c r="F893" s="72"/>
      <c r="G893" s="120">
        <f>G877+G869+G861+G853+G795+G761+G696+G644+G597+G464+G406+G398+G356+G344+G140+G30+G9+G711+G885</f>
        <v>473252.89999999991</v>
      </c>
      <c r="H893" s="120" t="e">
        <f>H877+H869+H861+H853+H795+H761+H696+H644+H597+H464+H406+H398+H356+H344+H140+H30+H9+H711+H885</f>
        <v>#REF!</v>
      </c>
    </row>
    <row r="895" spans="1:8" x14ac:dyDescent="0.25">
      <c r="G895" s="22">
        <f>'пр.6.1.ведом.22-23'!G1151</f>
        <v>473292.89999999991</v>
      </c>
      <c r="H895" s="22">
        <f>'пр.6.1.ведом.22-23'!H1151</f>
        <v>498346.15</v>
      </c>
    </row>
    <row r="897" spans="7:8" x14ac:dyDescent="0.25">
      <c r="G897" s="22">
        <f>G895-G893</f>
        <v>40</v>
      </c>
      <c r="H897" s="22" t="e">
        <f>H895-H893</f>
        <v>#REF!</v>
      </c>
    </row>
  </sheetData>
  <mergeCells count="4">
    <mergeCell ref="A5:H5"/>
    <mergeCell ref="G3:H3"/>
    <mergeCell ref="G2:H2"/>
    <mergeCell ref="G1:H1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57"/>
  <sheetViews>
    <sheetView view="pageBreakPreview" topLeftCell="A5" zoomScale="80" zoomScaleNormal="100" zoomScaleSheetLayoutView="80" workbookViewId="0">
      <selection activeCell="G14" sqref="G14"/>
    </sheetView>
  </sheetViews>
  <sheetFormatPr defaultRowHeight="15" x14ac:dyDescent="0.25"/>
  <cols>
    <col min="1" max="1" width="25" customWidth="1"/>
    <col min="2" max="2" width="76.28515625" customWidth="1"/>
    <col min="3" max="3" width="16" style="22" customWidth="1"/>
    <col min="4" max="4" width="17.28515625" style="22" customWidth="1"/>
    <col min="5" max="5" width="13.42578125" customWidth="1"/>
    <col min="6" max="6" width="10.85546875" customWidth="1"/>
    <col min="7" max="7" width="42.28515625" customWidth="1"/>
    <col min="8" max="8" width="10.28515625" customWidth="1"/>
    <col min="9" max="9" width="10.28515625" style="203" customWidth="1"/>
    <col min="10" max="10" width="11.140625" customWidth="1"/>
    <col min="11" max="11" width="9" customWidth="1"/>
  </cols>
  <sheetData>
    <row r="1" spans="1:11" ht="15.75" x14ac:dyDescent="0.25">
      <c r="A1" s="128"/>
      <c r="B1" s="128"/>
      <c r="C1" s="724" t="s">
        <v>1511</v>
      </c>
      <c r="D1" s="724"/>
    </row>
    <row r="2" spans="1:11" ht="15.75" x14ac:dyDescent="0.25">
      <c r="A2" s="128"/>
      <c r="B2" s="128"/>
      <c r="C2" s="724" t="s">
        <v>1510</v>
      </c>
      <c r="D2" s="724"/>
    </row>
    <row r="3" spans="1:11" ht="15.75" x14ac:dyDescent="0.25">
      <c r="A3" s="128"/>
      <c r="B3" s="130"/>
      <c r="C3" s="724" t="s">
        <v>1606</v>
      </c>
      <c r="D3" s="724"/>
    </row>
    <row r="4" spans="1:11" ht="15.75" x14ac:dyDescent="0.25">
      <c r="A4" s="717" t="s">
        <v>1133</v>
      </c>
      <c r="B4" s="717"/>
      <c r="C4" s="717"/>
      <c r="D4" s="717"/>
    </row>
    <row r="5" spans="1:11" ht="15.75" x14ac:dyDescent="0.25">
      <c r="A5" s="717" t="s">
        <v>1337</v>
      </c>
      <c r="B5" s="717"/>
      <c r="C5" s="717"/>
      <c r="D5" s="717"/>
    </row>
    <row r="6" spans="1:11" ht="15.75" x14ac:dyDescent="0.25">
      <c r="A6" s="717" t="s">
        <v>1313</v>
      </c>
      <c r="B6" s="717"/>
      <c r="C6" s="717"/>
      <c r="D6" s="717"/>
    </row>
    <row r="7" spans="1:11" ht="15.75" x14ac:dyDescent="0.25">
      <c r="A7" s="131"/>
      <c r="B7" s="131"/>
      <c r="C7" s="378"/>
      <c r="D7" s="274" t="s">
        <v>698</v>
      </c>
    </row>
    <row r="8" spans="1:11" ht="33" customHeight="1" x14ac:dyDescent="0.25">
      <c r="A8" s="132" t="s">
        <v>2</v>
      </c>
      <c r="B8" s="133" t="s">
        <v>3</v>
      </c>
      <c r="C8" s="379" t="s">
        <v>1027</v>
      </c>
      <c r="D8" s="10" t="s">
        <v>1290</v>
      </c>
      <c r="H8" s="725" t="s">
        <v>1436</v>
      </c>
      <c r="I8" s="725"/>
      <c r="J8" s="725"/>
      <c r="K8" s="725"/>
    </row>
    <row r="9" spans="1:11" ht="18.75" x14ac:dyDescent="0.25">
      <c r="A9" s="134" t="s">
        <v>5</v>
      </c>
      <c r="B9" s="135" t="s">
        <v>6</v>
      </c>
      <c r="C9" s="343">
        <f>C10+C16+C21+C31+C39+C42+C48+C55+C58+C63+C71</f>
        <v>292579.47399999999</v>
      </c>
      <c r="D9" s="343">
        <f>D10+D16+D21+D31+D39+D42+D48+D55+D58+D63+D71</f>
        <v>302290.83399999997</v>
      </c>
      <c r="E9" s="22">
        <f>C10+C16+C21+C31+C39</f>
        <v>243156.6</v>
      </c>
      <c r="F9" s="22">
        <f>D10+D16+D21+D31+D39</f>
        <v>252734.1</v>
      </c>
    </row>
    <row r="10" spans="1:11" ht="18.75" x14ac:dyDescent="0.25">
      <c r="A10" s="136" t="s">
        <v>7</v>
      </c>
      <c r="B10" s="135" t="s">
        <v>8</v>
      </c>
      <c r="C10" s="343">
        <f t="shared" ref="C10:D10" si="0">C11</f>
        <v>222889</v>
      </c>
      <c r="D10" s="343">
        <f t="shared" si="0"/>
        <v>231597</v>
      </c>
      <c r="E10">
        <f>(C9+C76)*2.5%</f>
        <v>12458.06185</v>
      </c>
      <c r="F10" s="203">
        <f>(D9+D76)*5%</f>
        <v>25401.691699999999</v>
      </c>
      <c r="I10" s="335">
        <f>SUM(I16:I55)</f>
        <v>1160.4260000000004</v>
      </c>
      <c r="J10" s="334"/>
      <c r="K10" s="335">
        <f>SUM(K16:K52)</f>
        <v>1395.7660000000001</v>
      </c>
    </row>
    <row r="11" spans="1:11" ht="18.75" x14ac:dyDescent="0.25">
      <c r="A11" s="137" t="s">
        <v>9</v>
      </c>
      <c r="B11" s="138" t="s">
        <v>10</v>
      </c>
      <c r="C11" s="343">
        <f t="shared" ref="C11:D11" si="1">SUM(C12:C15)</f>
        <v>222889</v>
      </c>
      <c r="D11" s="343">
        <f t="shared" si="1"/>
        <v>231597</v>
      </c>
    </row>
    <row r="12" spans="1:11" ht="64.5" customHeight="1" x14ac:dyDescent="0.25">
      <c r="A12" s="201" t="s">
        <v>11</v>
      </c>
      <c r="B12" s="139" t="s">
        <v>12</v>
      </c>
      <c r="C12" s="352">
        <v>220139</v>
      </c>
      <c r="D12" s="352">
        <v>228667</v>
      </c>
    </row>
    <row r="13" spans="1:11" ht="94.5" x14ac:dyDescent="0.25">
      <c r="A13" s="201" t="s">
        <v>13</v>
      </c>
      <c r="B13" s="140" t="s">
        <v>14</v>
      </c>
      <c r="C13" s="352">
        <v>916</v>
      </c>
      <c r="D13" s="352">
        <v>978</v>
      </c>
    </row>
    <row r="14" spans="1:11" ht="47.25" x14ac:dyDescent="0.25">
      <c r="A14" s="201" t="s">
        <v>15</v>
      </c>
      <c r="B14" s="140" t="s">
        <v>16</v>
      </c>
      <c r="C14" s="352">
        <v>1257</v>
      </c>
      <c r="D14" s="352">
        <v>1343</v>
      </c>
    </row>
    <row r="15" spans="1:11" ht="78.75" x14ac:dyDescent="0.25">
      <c r="A15" s="201" t="s">
        <v>17</v>
      </c>
      <c r="B15" s="140" t="s">
        <v>18</v>
      </c>
      <c r="C15" s="352">
        <v>577</v>
      </c>
      <c r="D15" s="352">
        <v>609</v>
      </c>
    </row>
    <row r="16" spans="1:11" ht="31.5" x14ac:dyDescent="0.25">
      <c r="A16" s="141" t="s">
        <v>19</v>
      </c>
      <c r="B16" s="142" t="s">
        <v>20</v>
      </c>
      <c r="C16" s="438">
        <f t="shared" ref="C16:D16" si="2">C17</f>
        <v>2127.6</v>
      </c>
      <c r="D16" s="438">
        <f t="shared" si="2"/>
        <v>1949.1</v>
      </c>
      <c r="E16" s="440" t="s">
        <v>1584</v>
      </c>
      <c r="F16" s="440" t="s">
        <v>1588</v>
      </c>
      <c r="H16" s="335">
        <v>3288</v>
      </c>
      <c r="I16" s="335">
        <f>H16-C16</f>
        <v>1160.4000000000001</v>
      </c>
      <c r="J16" s="335">
        <v>3345</v>
      </c>
      <c r="K16" s="335">
        <f>J16-D16</f>
        <v>1395.9</v>
      </c>
    </row>
    <row r="17" spans="1:11" ht="31.5" x14ac:dyDescent="0.25">
      <c r="A17" s="180" t="s">
        <v>21</v>
      </c>
      <c r="B17" s="181" t="s">
        <v>22</v>
      </c>
      <c r="C17" s="343">
        <f t="shared" ref="C17:D17" si="3">SUM(C18:C20)</f>
        <v>2127.6</v>
      </c>
      <c r="D17" s="343">
        <f t="shared" si="3"/>
        <v>1949.1</v>
      </c>
      <c r="E17" s="440"/>
      <c r="F17" s="440"/>
      <c r="K17" s="334"/>
    </row>
    <row r="18" spans="1:11" ht="99" customHeight="1" x14ac:dyDescent="0.25">
      <c r="A18" s="143" t="s">
        <v>1537</v>
      </c>
      <c r="B18" s="439" t="s">
        <v>1592</v>
      </c>
      <c r="C18" s="437">
        <f>1382.2-205.4-198.7</f>
        <v>978.09999999999991</v>
      </c>
      <c r="D18" s="437">
        <f>1382.2-205.4-273.9</f>
        <v>902.9</v>
      </c>
      <c r="E18" s="440" t="s">
        <v>1585</v>
      </c>
      <c r="F18" s="440" t="s">
        <v>1589</v>
      </c>
      <c r="K18" s="334"/>
    </row>
    <row r="19" spans="1:11" ht="118.5" customHeight="1" x14ac:dyDescent="0.25">
      <c r="A19" s="241" t="s">
        <v>1538</v>
      </c>
      <c r="B19" s="439" t="s">
        <v>1593</v>
      </c>
      <c r="C19" s="437">
        <f>6.9-1.4</f>
        <v>5.5</v>
      </c>
      <c r="D19" s="437">
        <f>6.9-1.9</f>
        <v>5</v>
      </c>
      <c r="E19" s="440" t="s">
        <v>1586</v>
      </c>
      <c r="F19" s="440" t="s">
        <v>1590</v>
      </c>
      <c r="K19" s="334"/>
    </row>
    <row r="20" spans="1:11" ht="98.45" customHeight="1" x14ac:dyDescent="0.25">
      <c r="A20" s="241" t="s">
        <v>1539</v>
      </c>
      <c r="B20" s="439" t="s">
        <v>1594</v>
      </c>
      <c r="C20" s="437">
        <f>1800.3-665+8.7</f>
        <v>1144</v>
      </c>
      <c r="D20" s="437">
        <f>1800.3-665-94.1</f>
        <v>1041.2</v>
      </c>
      <c r="E20" s="440" t="s">
        <v>1587</v>
      </c>
      <c r="F20" s="440" t="s">
        <v>1591</v>
      </c>
      <c r="K20" s="334"/>
    </row>
    <row r="21" spans="1:11" ht="18.75" x14ac:dyDescent="0.25">
      <c r="A21" s="137" t="s">
        <v>23</v>
      </c>
      <c r="B21" s="138" t="s">
        <v>24</v>
      </c>
      <c r="C21" s="343">
        <f>SUM(C22+C27+C29)</f>
        <v>14911</v>
      </c>
      <c r="D21" s="343">
        <f>SUM(D22+D27+D29)</f>
        <v>15831</v>
      </c>
      <c r="K21" s="334"/>
    </row>
    <row r="22" spans="1:11" ht="31.5" x14ac:dyDescent="0.25">
      <c r="A22" s="134" t="s">
        <v>25</v>
      </c>
      <c r="B22" s="138" t="s">
        <v>26</v>
      </c>
      <c r="C22" s="343">
        <f>C23+C25</f>
        <v>14519</v>
      </c>
      <c r="D22" s="343">
        <f>D23+D25</f>
        <v>15414</v>
      </c>
      <c r="H22" s="335">
        <v>14519</v>
      </c>
      <c r="I22" s="335">
        <f>H22-C22</f>
        <v>0</v>
      </c>
      <c r="J22" s="335">
        <v>15413.9</v>
      </c>
      <c r="K22" s="335">
        <f>J22-D22</f>
        <v>-0.1000000000003638</v>
      </c>
    </row>
    <row r="23" spans="1:11" s="203" customFormat="1" ht="31.5" x14ac:dyDescent="0.25">
      <c r="A23" s="134" t="s">
        <v>1115</v>
      </c>
      <c r="B23" s="211" t="s">
        <v>28</v>
      </c>
      <c r="C23" s="343">
        <f>C24</f>
        <v>7259.5</v>
      </c>
      <c r="D23" s="343">
        <f>D24</f>
        <v>7707</v>
      </c>
      <c r="K23" s="334"/>
    </row>
    <row r="24" spans="1:11" ht="31.5" x14ac:dyDescent="0.25">
      <c r="A24" s="132" t="s">
        <v>27</v>
      </c>
      <c r="B24" s="144" t="s">
        <v>28</v>
      </c>
      <c r="C24" s="352">
        <v>7259.5</v>
      </c>
      <c r="D24" s="352">
        <v>7707</v>
      </c>
      <c r="K24" s="334"/>
    </row>
    <row r="25" spans="1:11" s="203" customFormat="1" ht="47.25" x14ac:dyDescent="0.25">
      <c r="A25" s="134" t="s">
        <v>1114</v>
      </c>
      <c r="B25" s="244" t="s">
        <v>1113</v>
      </c>
      <c r="C25" s="343">
        <f>C26</f>
        <v>7259.5</v>
      </c>
      <c r="D25" s="343">
        <f>D26</f>
        <v>7707</v>
      </c>
      <c r="K25" s="334"/>
    </row>
    <row r="26" spans="1:11" ht="63" x14ac:dyDescent="0.25">
      <c r="A26" s="132" t="s">
        <v>29</v>
      </c>
      <c r="B26" s="144" t="s">
        <v>30</v>
      </c>
      <c r="C26" s="352">
        <f>C24</f>
        <v>7259.5</v>
      </c>
      <c r="D26" s="352">
        <f>D24</f>
        <v>7707</v>
      </c>
      <c r="K26" s="334"/>
    </row>
    <row r="27" spans="1:11" ht="31.5" hidden="1" x14ac:dyDescent="0.25">
      <c r="A27" s="134" t="s">
        <v>31</v>
      </c>
      <c r="B27" s="138" t="s">
        <v>32</v>
      </c>
      <c r="C27" s="343">
        <f t="shared" ref="C27:D27" si="4">SUM(C28:C28)</f>
        <v>0</v>
      </c>
      <c r="D27" s="343">
        <f t="shared" si="4"/>
        <v>0</v>
      </c>
      <c r="K27" s="334"/>
    </row>
    <row r="28" spans="1:11" ht="21.75" hidden="1" customHeight="1" x14ac:dyDescent="0.25">
      <c r="A28" s="201" t="s">
        <v>33</v>
      </c>
      <c r="B28" s="228" t="s">
        <v>32</v>
      </c>
      <c r="C28" s="352">
        <v>0</v>
      </c>
      <c r="D28" s="352">
        <v>0</v>
      </c>
      <c r="E28" s="225"/>
      <c r="K28" s="334"/>
    </row>
    <row r="29" spans="1:11" s="203" customFormat="1" ht="36" customHeight="1" x14ac:dyDescent="0.25">
      <c r="A29" s="134" t="s">
        <v>1125</v>
      </c>
      <c r="B29" s="145" t="s">
        <v>1116</v>
      </c>
      <c r="C29" s="343">
        <f>C30</f>
        <v>392</v>
      </c>
      <c r="D29" s="352">
        <f>D30</f>
        <v>417</v>
      </c>
      <c r="K29" s="334"/>
    </row>
    <row r="30" spans="1:11" ht="31.5" x14ac:dyDescent="0.25">
      <c r="A30" s="132" t="s">
        <v>34</v>
      </c>
      <c r="B30" s="236" t="s">
        <v>35</v>
      </c>
      <c r="C30" s="352">
        <v>392</v>
      </c>
      <c r="D30" s="352">
        <v>417</v>
      </c>
      <c r="K30" s="334"/>
    </row>
    <row r="31" spans="1:11" ht="18.75" x14ac:dyDescent="0.25">
      <c r="A31" s="137" t="s">
        <v>36</v>
      </c>
      <c r="B31" s="138" t="s">
        <v>37</v>
      </c>
      <c r="C31" s="343">
        <f>C32+C34</f>
        <v>1695</v>
      </c>
      <c r="D31" s="343">
        <f t="shared" ref="D31" si="5">D32+D34</f>
        <v>1823</v>
      </c>
      <c r="K31" s="334"/>
    </row>
    <row r="32" spans="1:11" ht="18.75" x14ac:dyDescent="0.25">
      <c r="A32" s="137" t="s">
        <v>38</v>
      </c>
      <c r="B32" s="138" t="s">
        <v>39</v>
      </c>
      <c r="C32" s="343">
        <f t="shared" ref="C32:D32" si="6">C33</f>
        <v>990</v>
      </c>
      <c r="D32" s="343">
        <f t="shared" si="6"/>
        <v>1089</v>
      </c>
      <c r="K32" s="334"/>
    </row>
    <row r="33" spans="1:11" ht="47.25" x14ac:dyDescent="0.25">
      <c r="A33" s="201" t="s">
        <v>40</v>
      </c>
      <c r="B33" s="144" t="s">
        <v>41</v>
      </c>
      <c r="C33" s="352">
        <v>990</v>
      </c>
      <c r="D33" s="352">
        <v>1089</v>
      </c>
      <c r="K33" s="334"/>
    </row>
    <row r="34" spans="1:11" ht="18.75" x14ac:dyDescent="0.25">
      <c r="A34" s="137" t="s">
        <v>42</v>
      </c>
      <c r="B34" s="138" t="s">
        <v>43</v>
      </c>
      <c r="C34" s="343">
        <f>C35+C37</f>
        <v>705</v>
      </c>
      <c r="D34" s="343">
        <f>D35+D37</f>
        <v>734</v>
      </c>
      <c r="J34" s="203">
        <v>734</v>
      </c>
      <c r="K34" s="335">
        <f>J34-D34</f>
        <v>0</v>
      </c>
    </row>
    <row r="35" spans="1:11" s="203" customFormat="1" ht="18.75" x14ac:dyDescent="0.25">
      <c r="A35" s="137" t="s">
        <v>1127</v>
      </c>
      <c r="B35" s="138" t="s">
        <v>1126</v>
      </c>
      <c r="C35" s="343">
        <f>C36</f>
        <v>541</v>
      </c>
      <c r="D35" s="343">
        <f>D36</f>
        <v>563</v>
      </c>
      <c r="K35" s="334"/>
    </row>
    <row r="36" spans="1:11" ht="31.5" x14ac:dyDescent="0.25">
      <c r="A36" s="201" t="s">
        <v>44</v>
      </c>
      <c r="B36" s="144" t="s">
        <v>45</v>
      </c>
      <c r="C36" s="352">
        <v>541</v>
      </c>
      <c r="D36" s="352">
        <v>563</v>
      </c>
      <c r="K36" s="334"/>
    </row>
    <row r="37" spans="1:11" s="203" customFormat="1" ht="18.75" x14ac:dyDescent="0.25">
      <c r="A37" s="137" t="s">
        <v>1129</v>
      </c>
      <c r="B37" s="138" t="s">
        <v>1128</v>
      </c>
      <c r="C37" s="343">
        <f>C38</f>
        <v>164</v>
      </c>
      <c r="D37" s="343">
        <f>D38</f>
        <v>171</v>
      </c>
      <c r="K37" s="334"/>
    </row>
    <row r="38" spans="1:11" ht="31.5" x14ac:dyDescent="0.25">
      <c r="A38" s="201" t="s">
        <v>46</v>
      </c>
      <c r="B38" s="144" t="s">
        <v>47</v>
      </c>
      <c r="C38" s="352">
        <v>164</v>
      </c>
      <c r="D38" s="352">
        <v>171</v>
      </c>
      <c r="K38" s="334"/>
    </row>
    <row r="39" spans="1:11" ht="18.75" x14ac:dyDescent="0.25">
      <c r="A39" s="137" t="s">
        <v>48</v>
      </c>
      <c r="B39" s="138" t="s">
        <v>49</v>
      </c>
      <c r="C39" s="343">
        <f t="shared" ref="C39:D40" si="7">C40</f>
        <v>1534</v>
      </c>
      <c r="D39" s="343">
        <f t="shared" si="7"/>
        <v>1534</v>
      </c>
      <c r="K39" s="334"/>
    </row>
    <row r="40" spans="1:11" ht="31.5" x14ac:dyDescent="0.25">
      <c r="A40" s="137" t="s">
        <v>50</v>
      </c>
      <c r="B40" s="138" t="s">
        <v>51</v>
      </c>
      <c r="C40" s="343">
        <f t="shared" si="7"/>
        <v>1534</v>
      </c>
      <c r="D40" s="343">
        <f t="shared" si="7"/>
        <v>1534</v>
      </c>
      <c r="K40" s="334"/>
    </row>
    <row r="41" spans="1:11" ht="47.25" x14ac:dyDescent="0.25">
      <c r="A41" s="201" t="s">
        <v>52</v>
      </c>
      <c r="B41" s="139" t="s">
        <v>53</v>
      </c>
      <c r="C41" s="352">
        <v>1534</v>
      </c>
      <c r="D41" s="352">
        <v>1534</v>
      </c>
      <c r="K41" s="334"/>
    </row>
    <row r="42" spans="1:11" ht="36" customHeight="1" x14ac:dyDescent="0.25">
      <c r="A42" s="137" t="s">
        <v>54</v>
      </c>
      <c r="B42" s="146" t="s">
        <v>55</v>
      </c>
      <c r="C42" s="343">
        <f t="shared" ref="C42:D42" si="8">C43</f>
        <v>45000</v>
      </c>
      <c r="D42" s="343">
        <f t="shared" si="8"/>
        <v>45000</v>
      </c>
      <c r="E42" s="22"/>
      <c r="F42" s="22"/>
      <c r="H42" s="232">
        <v>45000</v>
      </c>
      <c r="I42" s="232">
        <f>H42-C42</f>
        <v>0</v>
      </c>
      <c r="J42" s="232">
        <v>45000</v>
      </c>
      <c r="K42" s="335">
        <f>J42-D42</f>
        <v>0</v>
      </c>
    </row>
    <row r="43" spans="1:11" ht="78.75" x14ac:dyDescent="0.25">
      <c r="A43" s="137" t="s">
        <v>56</v>
      </c>
      <c r="B43" s="146" t="s">
        <v>57</v>
      </c>
      <c r="C43" s="343">
        <f t="shared" ref="C43:D43" si="9">C44+C46</f>
        <v>45000</v>
      </c>
      <c r="D43" s="343">
        <f t="shared" si="9"/>
        <v>45000</v>
      </c>
      <c r="K43" s="334"/>
    </row>
    <row r="44" spans="1:11" ht="63" x14ac:dyDescent="0.25">
      <c r="A44" s="137" t="s">
        <v>58</v>
      </c>
      <c r="B44" s="138" t="s">
        <v>59</v>
      </c>
      <c r="C44" s="343">
        <f t="shared" ref="C44:D44" si="10">C45</f>
        <v>40000</v>
      </c>
      <c r="D44" s="343">
        <f t="shared" si="10"/>
        <v>40000</v>
      </c>
      <c r="K44" s="334"/>
    </row>
    <row r="45" spans="1:11" ht="71.45" customHeight="1" x14ac:dyDescent="0.25">
      <c r="A45" s="201" t="s">
        <v>60</v>
      </c>
      <c r="B45" s="144" t="s">
        <v>61</v>
      </c>
      <c r="C45" s="352">
        <v>40000</v>
      </c>
      <c r="D45" s="352">
        <v>40000</v>
      </c>
      <c r="K45" s="334"/>
    </row>
    <row r="46" spans="1:11" ht="40.700000000000003" customHeight="1" x14ac:dyDescent="0.25">
      <c r="A46" s="137" t="s">
        <v>62</v>
      </c>
      <c r="B46" s="138" t="s">
        <v>63</v>
      </c>
      <c r="C46" s="343">
        <f t="shared" ref="C46:D46" si="11">C47</f>
        <v>5000</v>
      </c>
      <c r="D46" s="343">
        <f t="shared" si="11"/>
        <v>5000</v>
      </c>
      <c r="K46" s="334"/>
    </row>
    <row r="47" spans="1:11" ht="31.5" x14ac:dyDescent="0.25">
      <c r="A47" s="201" t="s">
        <v>64</v>
      </c>
      <c r="B47" s="144" t="s">
        <v>65</v>
      </c>
      <c r="C47" s="352">
        <v>5000</v>
      </c>
      <c r="D47" s="352">
        <v>5000</v>
      </c>
      <c r="K47" s="334"/>
    </row>
    <row r="48" spans="1:11" ht="26.45" customHeight="1" x14ac:dyDescent="0.25">
      <c r="A48" s="137" t="s">
        <v>66</v>
      </c>
      <c r="B48" s="235" t="s">
        <v>67</v>
      </c>
      <c r="C48" s="343">
        <f t="shared" ref="C48:D48" si="12">SUM(C49)</f>
        <v>3346.6739999999995</v>
      </c>
      <c r="D48" s="343">
        <f t="shared" si="12"/>
        <v>3480.5339999999997</v>
      </c>
      <c r="H48" s="232">
        <v>3346.7</v>
      </c>
      <c r="I48" s="232">
        <f>H48-C48</f>
        <v>2.6000000000294676E-2</v>
      </c>
      <c r="J48" s="232">
        <v>3480.5</v>
      </c>
      <c r="K48" s="335">
        <f>J48-D48</f>
        <v>-3.3999999999650754E-2</v>
      </c>
    </row>
    <row r="49" spans="1:11" ht="18.75" x14ac:dyDescent="0.25">
      <c r="A49" s="137" t="s">
        <v>68</v>
      </c>
      <c r="B49" s="146" t="s">
        <v>69</v>
      </c>
      <c r="C49" s="343">
        <f>C50+C51+C52</f>
        <v>3346.6739999999995</v>
      </c>
      <c r="D49" s="343">
        <f>D50+D51+D52</f>
        <v>3480.5339999999997</v>
      </c>
      <c r="E49" t="s">
        <v>1603</v>
      </c>
      <c r="F49" t="s">
        <v>1602</v>
      </c>
      <c r="K49" s="334"/>
    </row>
    <row r="50" spans="1:11" ht="31.5" x14ac:dyDescent="0.25">
      <c r="A50" s="137" t="s">
        <v>70</v>
      </c>
      <c r="B50" s="146" t="s">
        <v>71</v>
      </c>
      <c r="C50" s="438">
        <f>405-218.088</f>
        <v>186.91200000000001</v>
      </c>
      <c r="D50" s="438">
        <f>405-210.612</f>
        <v>194.38800000000001</v>
      </c>
      <c r="E50" t="s">
        <v>1596</v>
      </c>
      <c r="F50" t="s">
        <v>1597</v>
      </c>
      <c r="K50" s="334"/>
    </row>
    <row r="51" spans="1:11" ht="18.75" x14ac:dyDescent="0.25">
      <c r="A51" s="137" t="s">
        <v>72</v>
      </c>
      <c r="B51" s="146" t="s">
        <v>73</v>
      </c>
      <c r="C51" s="438">
        <f>228.8-56.138</f>
        <v>172.66200000000001</v>
      </c>
      <c r="D51" s="438">
        <f>228.8-49.232</f>
        <v>179.56800000000001</v>
      </c>
      <c r="E51" t="s">
        <v>1598</v>
      </c>
      <c r="F51" t="s">
        <v>1599</v>
      </c>
      <c r="K51" s="334"/>
    </row>
    <row r="52" spans="1:11" s="203" customFormat="1" ht="33.75" customHeight="1" x14ac:dyDescent="0.25">
      <c r="A52" s="137" t="s">
        <v>1595</v>
      </c>
      <c r="B52" s="235" t="s">
        <v>1117</v>
      </c>
      <c r="C52" s="343">
        <f>C53+C54</f>
        <v>2987.0999999999995</v>
      </c>
      <c r="D52" s="343">
        <f>D53+D54</f>
        <v>3106.5779999999995</v>
      </c>
      <c r="K52" s="334"/>
    </row>
    <row r="53" spans="1:11" ht="18.75" x14ac:dyDescent="0.25">
      <c r="A53" s="201" t="s">
        <v>795</v>
      </c>
      <c r="B53" s="139" t="s">
        <v>796</v>
      </c>
      <c r="C53" s="437">
        <f>3588-372.3-423.36</f>
        <v>2792.3399999999997</v>
      </c>
      <c r="D53" s="437">
        <f>3588-238.5-445.47</f>
        <v>2904.0299999999997</v>
      </c>
      <c r="E53" t="s">
        <v>1600</v>
      </c>
      <c r="F53" t="s">
        <v>1601</v>
      </c>
      <c r="K53" s="334"/>
    </row>
    <row r="54" spans="1:11" ht="18.75" x14ac:dyDescent="0.25">
      <c r="A54" s="201" t="s">
        <v>797</v>
      </c>
      <c r="B54" s="139" t="s">
        <v>798</v>
      </c>
      <c r="C54" s="437">
        <f>131+63.76</f>
        <v>194.76</v>
      </c>
      <c r="D54" s="437">
        <f>131+71.548</f>
        <v>202.548</v>
      </c>
      <c r="E54" t="s">
        <v>1604</v>
      </c>
      <c r="F54" t="s">
        <v>1605</v>
      </c>
      <c r="K54" s="334"/>
    </row>
    <row r="55" spans="1:11" ht="31.5" x14ac:dyDescent="0.25">
      <c r="A55" s="137" t="s">
        <v>74</v>
      </c>
      <c r="B55" s="146" t="s">
        <v>75</v>
      </c>
      <c r="C55" s="343">
        <f>C57</f>
        <v>833.9</v>
      </c>
      <c r="D55" s="343">
        <f>D57</f>
        <v>833.9</v>
      </c>
      <c r="K55" s="334"/>
    </row>
    <row r="56" spans="1:11" ht="18.75" x14ac:dyDescent="0.25">
      <c r="A56" s="137" t="s">
        <v>76</v>
      </c>
      <c r="B56" s="146" t="s">
        <v>77</v>
      </c>
      <c r="C56" s="343">
        <f>C57</f>
        <v>833.9</v>
      </c>
      <c r="D56" s="343">
        <f>D57</f>
        <v>833.9</v>
      </c>
      <c r="K56" s="334"/>
    </row>
    <row r="57" spans="1:11" ht="31.5" x14ac:dyDescent="0.25">
      <c r="A57" s="201" t="s">
        <v>78</v>
      </c>
      <c r="B57" s="139" t="s">
        <v>79</v>
      </c>
      <c r="C57" s="352">
        <v>833.9</v>
      </c>
      <c r="D57" s="352">
        <v>833.9</v>
      </c>
      <c r="K57" s="334"/>
    </row>
    <row r="58" spans="1:11" ht="31.5" x14ac:dyDescent="0.25">
      <c r="A58" s="137" t="s">
        <v>80</v>
      </c>
      <c r="B58" s="146" t="s">
        <v>81</v>
      </c>
      <c r="C58" s="343">
        <f t="shared" ref="C58:D58" si="13">SUM(C59+C61)</f>
        <v>236</v>
      </c>
      <c r="D58" s="343">
        <f t="shared" si="13"/>
        <v>236</v>
      </c>
      <c r="K58" s="334"/>
    </row>
    <row r="59" spans="1:11" ht="78.75" x14ac:dyDescent="0.25">
      <c r="A59" s="137" t="s">
        <v>82</v>
      </c>
      <c r="B59" s="146" t="s">
        <v>83</v>
      </c>
      <c r="C59" s="343">
        <f t="shared" ref="C59:D59" si="14">C60</f>
        <v>235</v>
      </c>
      <c r="D59" s="343">
        <f t="shared" si="14"/>
        <v>235</v>
      </c>
      <c r="K59" s="334"/>
    </row>
    <row r="60" spans="1:11" ht="78.75" x14ac:dyDescent="0.25">
      <c r="A60" s="201" t="s">
        <v>84</v>
      </c>
      <c r="B60" s="139" t="s">
        <v>699</v>
      </c>
      <c r="C60" s="352">
        <v>235</v>
      </c>
      <c r="D60" s="352">
        <v>235</v>
      </c>
      <c r="K60" s="334"/>
    </row>
    <row r="61" spans="1:11" ht="31.5" x14ac:dyDescent="0.25">
      <c r="A61" s="137" t="s">
        <v>85</v>
      </c>
      <c r="B61" s="146" t="s">
        <v>86</v>
      </c>
      <c r="C61" s="343">
        <f t="shared" ref="C61:D61" si="15">SUM(C62)</f>
        <v>1</v>
      </c>
      <c r="D61" s="343">
        <f t="shared" si="15"/>
        <v>1</v>
      </c>
      <c r="K61" s="334"/>
    </row>
    <row r="62" spans="1:11" ht="47.25" x14ac:dyDescent="0.25">
      <c r="A62" s="201" t="s">
        <v>87</v>
      </c>
      <c r="B62" s="139" t="s">
        <v>88</v>
      </c>
      <c r="C62" s="352">
        <v>1</v>
      </c>
      <c r="D62" s="352">
        <v>1</v>
      </c>
      <c r="K62" s="334"/>
    </row>
    <row r="63" spans="1:11" ht="18.75" x14ac:dyDescent="0.25">
      <c r="A63" s="137" t="s">
        <v>89</v>
      </c>
      <c r="B63" s="146" t="s">
        <v>90</v>
      </c>
      <c r="C63" s="343">
        <f>C64</f>
        <v>6.3</v>
      </c>
      <c r="D63" s="343">
        <f>D64</f>
        <v>6.3</v>
      </c>
      <c r="K63" s="334"/>
    </row>
    <row r="64" spans="1:11" ht="31.5" x14ac:dyDescent="0.25">
      <c r="A64" s="137" t="s">
        <v>1096</v>
      </c>
      <c r="B64" s="235" t="s">
        <v>91</v>
      </c>
      <c r="C64" s="376">
        <f>C65+C67+C69</f>
        <v>6.3</v>
      </c>
      <c r="D64" s="376">
        <f>D65+D67+D69</f>
        <v>6.3</v>
      </c>
      <c r="K64" s="334"/>
    </row>
    <row r="65" spans="1:11" s="203" customFormat="1" ht="54.75" customHeight="1" x14ac:dyDescent="0.25">
      <c r="A65" s="137" t="s">
        <v>1110</v>
      </c>
      <c r="B65" s="245" t="s">
        <v>1109</v>
      </c>
      <c r="C65" s="376">
        <f>C66</f>
        <v>2.5</v>
      </c>
      <c r="D65" s="376">
        <f>D66</f>
        <v>2.5</v>
      </c>
      <c r="K65" s="334"/>
    </row>
    <row r="66" spans="1:11" s="203" customFormat="1" ht="72" customHeight="1" x14ac:dyDescent="0.25">
      <c r="A66" s="201" t="s">
        <v>1098</v>
      </c>
      <c r="B66" s="246" t="s">
        <v>1104</v>
      </c>
      <c r="C66" s="372">
        <v>2.5</v>
      </c>
      <c r="D66" s="372">
        <v>2.5</v>
      </c>
      <c r="K66" s="334"/>
    </row>
    <row r="67" spans="1:11" s="203" customFormat="1" ht="78.75" hidden="1" x14ac:dyDescent="0.25">
      <c r="A67" s="137" t="s">
        <v>1112</v>
      </c>
      <c r="B67" s="245" t="s">
        <v>1111</v>
      </c>
      <c r="C67" s="376">
        <f>C68</f>
        <v>0</v>
      </c>
      <c r="D67" s="376">
        <f>D68</f>
        <v>0</v>
      </c>
      <c r="K67" s="334"/>
    </row>
    <row r="68" spans="1:11" ht="96" hidden="1" customHeight="1" x14ac:dyDescent="0.25">
      <c r="A68" s="201" t="s">
        <v>1097</v>
      </c>
      <c r="B68" s="246" t="s">
        <v>1105</v>
      </c>
      <c r="C68" s="372">
        <v>0</v>
      </c>
      <c r="D68" s="372">
        <v>0</v>
      </c>
      <c r="K68" s="334"/>
    </row>
    <row r="69" spans="1:11" s="203" customFormat="1" ht="70.5" customHeight="1" x14ac:dyDescent="0.25">
      <c r="A69" s="137" t="s">
        <v>1108</v>
      </c>
      <c r="B69" s="247" t="s">
        <v>1107</v>
      </c>
      <c r="C69" s="376">
        <f>C70</f>
        <v>3.8</v>
      </c>
      <c r="D69" s="376">
        <f>D70</f>
        <v>3.8</v>
      </c>
    </row>
    <row r="70" spans="1:11" ht="87.75" customHeight="1" x14ac:dyDescent="0.25">
      <c r="A70" s="201" t="s">
        <v>1101</v>
      </c>
      <c r="B70" s="248" t="s">
        <v>1106</v>
      </c>
      <c r="C70" s="352">
        <v>3.8</v>
      </c>
      <c r="D70" s="352">
        <v>3.8</v>
      </c>
    </row>
    <row r="71" spans="1:11" ht="18.75" hidden="1" x14ac:dyDescent="0.25">
      <c r="A71" s="3" t="s">
        <v>1099</v>
      </c>
      <c r="B71" s="179" t="s">
        <v>767</v>
      </c>
      <c r="C71" s="343">
        <f>C72</f>
        <v>0</v>
      </c>
      <c r="D71" s="343">
        <f>D72</f>
        <v>0</v>
      </c>
    </row>
    <row r="72" spans="1:11" ht="18.75" hidden="1" x14ac:dyDescent="0.25">
      <c r="A72" s="3" t="s">
        <v>1100</v>
      </c>
      <c r="B72" s="179" t="s">
        <v>768</v>
      </c>
      <c r="C72" s="343">
        <f t="shared" ref="C72:D72" si="16">SUM(C73)</f>
        <v>0</v>
      </c>
      <c r="D72" s="343">
        <f t="shared" si="16"/>
        <v>0</v>
      </c>
    </row>
    <row r="73" spans="1:11" ht="18.75" hidden="1" x14ac:dyDescent="0.25">
      <c r="A73" s="2" t="s">
        <v>769</v>
      </c>
      <c r="B73" s="178" t="s">
        <v>770</v>
      </c>
      <c r="C73" s="352">
        <v>0</v>
      </c>
      <c r="D73" s="352">
        <v>0</v>
      </c>
    </row>
    <row r="74" spans="1:11" ht="18.75" x14ac:dyDescent="0.25">
      <c r="A74" s="137" t="s">
        <v>92</v>
      </c>
      <c r="B74" s="138" t="s">
        <v>93</v>
      </c>
      <c r="C74" s="343">
        <f>SUM(C75+C149)</f>
        <v>441148.3</v>
      </c>
      <c r="D74" s="343">
        <f>SUM(D75+D149)</f>
        <v>471917.49999999994</v>
      </c>
      <c r="E74" s="22">
        <f>C74-C76</f>
        <v>235405.3</v>
      </c>
      <c r="F74" s="22">
        <f>D74-D76</f>
        <v>266174.49999999994</v>
      </c>
    </row>
    <row r="75" spans="1:11" ht="31.5" x14ac:dyDescent="0.25">
      <c r="A75" s="137" t="s">
        <v>94</v>
      </c>
      <c r="B75" s="138" t="s">
        <v>95</v>
      </c>
      <c r="C75" s="343">
        <f>SUM(C76+C81+C115+C141)</f>
        <v>441148.3</v>
      </c>
      <c r="D75" s="343">
        <f>SUM(D76+D81+D115+D141)</f>
        <v>471917.49999999994</v>
      </c>
      <c r="E75">
        <v>265225.5</v>
      </c>
    </row>
    <row r="76" spans="1:11" ht="18.75" x14ac:dyDescent="0.25">
      <c r="A76" s="137" t="s">
        <v>814</v>
      </c>
      <c r="B76" s="147" t="s">
        <v>96</v>
      </c>
      <c r="C76" s="343">
        <f>C77+C79</f>
        <v>205743</v>
      </c>
      <c r="D76" s="343">
        <f>D77+D79</f>
        <v>205743</v>
      </c>
      <c r="E76" s="22">
        <f>E74-E75</f>
        <v>-29820.200000000012</v>
      </c>
    </row>
    <row r="77" spans="1:11" s="203" customFormat="1" ht="18.75" x14ac:dyDescent="0.25">
      <c r="A77" s="137" t="s">
        <v>1131</v>
      </c>
      <c r="B77" s="147" t="s">
        <v>1130</v>
      </c>
      <c r="C77" s="343">
        <f t="shared" ref="C77:D77" si="17">C78</f>
        <v>154837</v>
      </c>
      <c r="D77" s="343">
        <f t="shared" si="17"/>
        <v>154837</v>
      </c>
    </row>
    <row r="78" spans="1:11" ht="36.75" customHeight="1" x14ac:dyDescent="0.25">
      <c r="A78" s="201" t="s">
        <v>813</v>
      </c>
      <c r="B78" s="144" t="s">
        <v>1140</v>
      </c>
      <c r="C78" s="352">
        <v>154837</v>
      </c>
      <c r="D78" s="352">
        <v>154837</v>
      </c>
    </row>
    <row r="79" spans="1:11" s="203" customFormat="1" ht="31.5" x14ac:dyDescent="0.25">
      <c r="A79" s="134" t="s">
        <v>1451</v>
      </c>
      <c r="B79" s="138" t="s">
        <v>1452</v>
      </c>
      <c r="C79" s="343">
        <f>C80</f>
        <v>50906</v>
      </c>
      <c r="D79" s="343">
        <f>D80</f>
        <v>50906</v>
      </c>
    </row>
    <row r="80" spans="1:11" s="203" customFormat="1" ht="31.5" x14ac:dyDescent="0.25">
      <c r="A80" s="132" t="s">
        <v>1453</v>
      </c>
      <c r="B80" s="144" t="s">
        <v>1454</v>
      </c>
      <c r="C80" s="352">
        <v>50906</v>
      </c>
      <c r="D80" s="352">
        <v>50906</v>
      </c>
    </row>
    <row r="81" spans="1:6" ht="31.5" x14ac:dyDescent="0.25">
      <c r="A81" s="137" t="s">
        <v>812</v>
      </c>
      <c r="B81" s="138" t="s">
        <v>97</v>
      </c>
      <c r="C81" s="343">
        <f>C91+C96+C99+C92+C94+C88+C86+C82+C84</f>
        <v>14026.500000000002</v>
      </c>
      <c r="D81" s="343">
        <f>D91+D96+D99+D92+D94+D88+D86+D82+D84</f>
        <v>13511.800000000001</v>
      </c>
    </row>
    <row r="82" spans="1:6" s="203" customFormat="1" ht="47.25" hidden="1" x14ac:dyDescent="0.25">
      <c r="A82" s="260" t="s">
        <v>1155</v>
      </c>
      <c r="B82" s="261" t="s">
        <v>1157</v>
      </c>
      <c r="C82" s="345">
        <f>C83</f>
        <v>0</v>
      </c>
      <c r="D82" s="345">
        <f>D83</f>
        <v>0</v>
      </c>
    </row>
    <row r="83" spans="1:6" s="203" customFormat="1" ht="47.25" hidden="1" x14ac:dyDescent="0.25">
      <c r="A83" s="201" t="s">
        <v>1154</v>
      </c>
      <c r="B83" s="263" t="s">
        <v>1156</v>
      </c>
      <c r="C83" s="352">
        <v>0</v>
      </c>
      <c r="D83" s="352">
        <v>0</v>
      </c>
    </row>
    <row r="84" spans="1:6" s="203" customFormat="1" ht="53.45" customHeight="1" x14ac:dyDescent="0.25">
      <c r="A84" s="137" t="s">
        <v>1466</v>
      </c>
      <c r="B84" s="348" t="s">
        <v>1468</v>
      </c>
      <c r="C84" s="343">
        <f>C85</f>
        <v>1677.7</v>
      </c>
      <c r="D84" s="343">
        <f>D85</f>
        <v>2245</v>
      </c>
    </row>
    <row r="85" spans="1:6" s="203" customFormat="1" ht="47.25" x14ac:dyDescent="0.25">
      <c r="A85" s="201" t="s">
        <v>1467</v>
      </c>
      <c r="B85" s="405" t="s">
        <v>1469</v>
      </c>
      <c r="C85" s="352">
        <v>1677.7</v>
      </c>
      <c r="D85" s="352">
        <v>2245</v>
      </c>
      <c r="E85" s="232">
        <f>'пр.6.1.ведом.22-23'!G680-167.95</f>
        <v>1581.4999999999998</v>
      </c>
      <c r="F85" s="232">
        <f>'пр.6.1.ведом.22-23'!H680-224.75</f>
        <v>2116.25</v>
      </c>
    </row>
    <row r="86" spans="1:6" s="203" customFormat="1" ht="47.25" hidden="1" x14ac:dyDescent="0.25">
      <c r="A86" s="137" t="s">
        <v>1158</v>
      </c>
      <c r="B86" s="262" t="s">
        <v>1161</v>
      </c>
      <c r="C86" s="343">
        <f>C87</f>
        <v>0</v>
      </c>
      <c r="D86" s="343">
        <f>D87</f>
        <v>0</v>
      </c>
    </row>
    <row r="87" spans="1:6" s="203" customFormat="1" ht="47.25" hidden="1" x14ac:dyDescent="0.25">
      <c r="A87" s="201" t="s">
        <v>1159</v>
      </c>
      <c r="B87" s="263" t="s">
        <v>1160</v>
      </c>
      <c r="C87" s="352">
        <v>0</v>
      </c>
      <c r="D87" s="352">
        <v>0</v>
      </c>
    </row>
    <row r="88" spans="1:6" s="203" customFormat="1" ht="18.75" hidden="1" x14ac:dyDescent="0.25">
      <c r="A88" s="282"/>
      <c r="B88" s="283" t="s">
        <v>1284</v>
      </c>
      <c r="C88" s="343">
        <f>C89</f>
        <v>0</v>
      </c>
      <c r="D88" s="343">
        <f>D89</f>
        <v>0</v>
      </c>
    </row>
    <row r="89" spans="1:6" s="203" customFormat="1" ht="18.75" hidden="1" x14ac:dyDescent="0.25">
      <c r="A89" s="280"/>
      <c r="B89" s="281"/>
      <c r="C89" s="352">
        <v>0</v>
      </c>
      <c r="D89" s="343">
        <v>0</v>
      </c>
      <c r="E89" s="232">
        <f>'пр.6.1.ведом.22-23'!G400-'пр.6.1.ведом.22-23'!R1096</f>
        <v>0</v>
      </c>
    </row>
    <row r="90" spans="1:6" ht="31.5" x14ac:dyDescent="0.25">
      <c r="A90" s="240" t="s">
        <v>1118</v>
      </c>
      <c r="B90" s="138" t="s">
        <v>1132</v>
      </c>
      <c r="C90" s="343">
        <f>C91</f>
        <v>267.8</v>
      </c>
      <c r="D90" s="343">
        <f>D91</f>
        <v>262.8</v>
      </c>
    </row>
    <row r="91" spans="1:6" s="203" customFormat="1" ht="31.5" x14ac:dyDescent="0.25">
      <c r="A91" s="241" t="s">
        <v>792</v>
      </c>
      <c r="B91" s="144" t="s">
        <v>794</v>
      </c>
      <c r="C91" s="352">
        <v>267.8</v>
      </c>
      <c r="D91" s="352">
        <v>262.8</v>
      </c>
      <c r="E91" s="232">
        <f>'пр.6.1.ведом.22-23'!G452-'пр.6.1.ведом.22-23'!L452</f>
        <v>267.8</v>
      </c>
      <c r="F91" s="232">
        <f>'пр.6.1.ведом.22-23'!H452-'пр.6.1.ведом.22-23'!M452</f>
        <v>262.8</v>
      </c>
    </row>
    <row r="92" spans="1:6" ht="40.700000000000003" hidden="1" customHeight="1" x14ac:dyDescent="0.25">
      <c r="A92" s="240" t="s">
        <v>1119</v>
      </c>
      <c r="B92" s="146" t="s">
        <v>826</v>
      </c>
      <c r="C92" s="343">
        <f>C93</f>
        <v>0</v>
      </c>
      <c r="D92" s="343">
        <f>D93</f>
        <v>0</v>
      </c>
    </row>
    <row r="93" spans="1:6" ht="39.75" hidden="1" customHeight="1" x14ac:dyDescent="0.25">
      <c r="A93" s="241" t="s">
        <v>825</v>
      </c>
      <c r="B93" s="139" t="s">
        <v>826</v>
      </c>
      <c r="C93" s="352">
        <v>0</v>
      </c>
      <c r="D93" s="352">
        <v>0</v>
      </c>
    </row>
    <row r="94" spans="1:6" s="203" customFormat="1" ht="19.5" hidden="1" customHeight="1" x14ac:dyDescent="0.25">
      <c r="A94" s="267" t="s">
        <v>1151</v>
      </c>
      <c r="B94" s="266" t="s">
        <v>1152</v>
      </c>
      <c r="C94" s="343">
        <f>C95</f>
        <v>0</v>
      </c>
      <c r="D94" s="343">
        <f>D95</f>
        <v>0</v>
      </c>
    </row>
    <row r="95" spans="1:6" s="203" customFormat="1" ht="87.75" hidden="1" customHeight="1" x14ac:dyDescent="0.25">
      <c r="A95" s="268" t="s">
        <v>1149</v>
      </c>
      <c r="B95" s="269" t="s">
        <v>1189</v>
      </c>
      <c r="C95" s="352">
        <v>0</v>
      </c>
      <c r="D95" s="352">
        <v>0</v>
      </c>
    </row>
    <row r="96" spans="1:6" ht="60.75" customHeight="1" x14ac:dyDescent="0.25">
      <c r="A96" s="328" t="s">
        <v>1441</v>
      </c>
      <c r="B96" s="138" t="s">
        <v>1442</v>
      </c>
      <c r="C96" s="343">
        <f t="shared" ref="C96:D98" si="18">SUM(C97)</f>
        <v>5193.6000000000004</v>
      </c>
      <c r="D96" s="343">
        <f t="shared" si="18"/>
        <v>4931.6000000000004</v>
      </c>
    </row>
    <row r="97" spans="1:7" ht="68.25" customHeight="1" x14ac:dyDescent="0.25">
      <c r="A97" s="329" t="s">
        <v>1443</v>
      </c>
      <c r="B97" s="144" t="s">
        <v>1422</v>
      </c>
      <c r="C97" s="352">
        <v>5193.6000000000004</v>
      </c>
      <c r="D97" s="352">
        <v>4931.6000000000004</v>
      </c>
      <c r="E97" s="232">
        <f>'пр.6.1.ведом.22-23'!G672-519.93</f>
        <v>4895.72</v>
      </c>
      <c r="F97" s="232">
        <f>'пр.6.1.ведом.22-23'!H672-493.7</f>
        <v>4648.7500000000009</v>
      </c>
    </row>
    <row r="98" spans="1:7" ht="18.75" x14ac:dyDescent="0.25">
      <c r="A98" s="240" t="s">
        <v>1123</v>
      </c>
      <c r="B98" s="138" t="s">
        <v>1122</v>
      </c>
      <c r="C98" s="343">
        <f t="shared" si="18"/>
        <v>6887.4000000000005</v>
      </c>
      <c r="D98" s="343">
        <f t="shared" si="18"/>
        <v>6072.4000000000005</v>
      </c>
    </row>
    <row r="99" spans="1:7" ht="18.75" x14ac:dyDescent="0.25">
      <c r="A99" s="201" t="s">
        <v>810</v>
      </c>
      <c r="B99" s="144" t="s">
        <v>98</v>
      </c>
      <c r="C99" s="369">
        <f>C100+C101+C102+C104+C105+C108+C109+C110+C111+C112+C114+C107+C113+C103</f>
        <v>6887.4000000000005</v>
      </c>
      <c r="D99" s="369">
        <f>D100+D101+D102+D104+D105+D108+D109+D110+D111+D112+D114+D107+D113+D103</f>
        <v>6072.4000000000005</v>
      </c>
    </row>
    <row r="100" spans="1:7" ht="81" customHeight="1" x14ac:dyDescent="0.25">
      <c r="A100" s="721"/>
      <c r="B100" s="428" t="s">
        <v>1574</v>
      </c>
      <c r="C100" s="352">
        <v>65.2</v>
      </c>
      <c r="D100" s="352">
        <v>65.2</v>
      </c>
      <c r="E100" s="335" t="e">
        <f>'пр.6.1.ведом.22-23'!#REF!</f>
        <v>#REF!</v>
      </c>
      <c r="F100" s="335" t="e">
        <f>'пр.6.1.ведом.22-23'!#REF!</f>
        <v>#REF!</v>
      </c>
    </row>
    <row r="101" spans="1:7" s="203" customFormat="1" ht="144.75" customHeight="1" x14ac:dyDescent="0.25">
      <c r="A101" s="722"/>
      <c r="B101" s="430" t="s">
        <v>1579</v>
      </c>
      <c r="C101" s="370">
        <v>1666.6</v>
      </c>
      <c r="D101" s="370">
        <v>915</v>
      </c>
      <c r="E101" s="339">
        <f>'пр.6.1.ведом.22-23'!G598</f>
        <v>1666.6</v>
      </c>
      <c r="F101" s="339">
        <f>'пр.6.1.ведом.22-23'!H598</f>
        <v>915</v>
      </c>
    </row>
    <row r="102" spans="1:7" s="203" customFormat="1" ht="143.44999999999999" hidden="1" customHeight="1" x14ac:dyDescent="0.25">
      <c r="A102" s="722"/>
      <c r="B102" s="265" t="s">
        <v>1153</v>
      </c>
      <c r="C102" s="370">
        <v>0</v>
      </c>
      <c r="D102" s="370">
        <v>0</v>
      </c>
      <c r="E102" s="232" t="e">
        <f>'пр.6.1.ведом.22-23'!#REF!</f>
        <v>#REF!</v>
      </c>
      <c r="F102" s="232" t="e">
        <f>'пр.6.1.ведом.22-23'!#REF!</f>
        <v>#REF!</v>
      </c>
    </row>
    <row r="103" spans="1:7" s="203" customFormat="1" ht="153" customHeight="1" x14ac:dyDescent="0.25">
      <c r="A103" s="722"/>
      <c r="B103" s="433" t="s">
        <v>1582</v>
      </c>
      <c r="C103" s="370">
        <v>200</v>
      </c>
      <c r="D103" s="370">
        <f>C103</f>
        <v>200</v>
      </c>
      <c r="E103" s="232"/>
      <c r="F103" s="232"/>
    </row>
    <row r="104" spans="1:7" ht="94.5" x14ac:dyDescent="0.25">
      <c r="A104" s="722"/>
      <c r="B104" s="429" t="s">
        <v>1575</v>
      </c>
      <c r="C104" s="371">
        <v>2161.1</v>
      </c>
      <c r="D104" s="371">
        <v>2161.1</v>
      </c>
      <c r="E104" s="335">
        <f>'пр.6.1.ведом.22-23'!G728</f>
        <v>0</v>
      </c>
      <c r="F104" s="335">
        <f>'пр.6.1.ведом.22-23'!H728</f>
        <v>0</v>
      </c>
    </row>
    <row r="105" spans="1:7" ht="67.7" hidden="1" customHeight="1" x14ac:dyDescent="0.25">
      <c r="A105" s="722"/>
      <c r="B105" s="149" t="s">
        <v>1420</v>
      </c>
      <c r="C105" s="372"/>
      <c r="D105" s="372"/>
      <c r="F105" s="203"/>
    </row>
    <row r="106" spans="1:7" ht="116.45" hidden="1" customHeight="1" x14ac:dyDescent="0.25">
      <c r="A106" s="722"/>
      <c r="B106" s="249" t="s">
        <v>802</v>
      </c>
      <c r="C106" s="373">
        <v>0</v>
      </c>
      <c r="D106" s="373">
        <v>0</v>
      </c>
      <c r="F106" s="203"/>
    </row>
    <row r="107" spans="1:7" ht="132.75" customHeight="1" x14ac:dyDescent="0.25">
      <c r="A107" s="722"/>
      <c r="B107" s="428" t="s">
        <v>1573</v>
      </c>
      <c r="C107" s="352">
        <v>40</v>
      </c>
      <c r="D107" s="352">
        <v>40</v>
      </c>
      <c r="E107" s="339">
        <f>'пр.6.1.ведом.22-23'!G51</f>
        <v>0</v>
      </c>
      <c r="F107" s="339">
        <f>'пр.6.1.ведом.22-23'!H51</f>
        <v>0</v>
      </c>
    </row>
    <row r="108" spans="1:7" ht="80.45" customHeight="1" x14ac:dyDescent="0.25">
      <c r="A108" s="722"/>
      <c r="B108" s="428" t="s">
        <v>1576</v>
      </c>
      <c r="C108" s="352">
        <v>1731.8</v>
      </c>
      <c r="D108" s="352">
        <v>1665.2</v>
      </c>
      <c r="E108" s="339" t="e">
        <f>'пр.6.1.ведом.22-23'!#REF!</f>
        <v>#REF!</v>
      </c>
      <c r="F108" s="339" t="e">
        <f>'пр.6.1.ведом.22-23'!#REF!</f>
        <v>#REF!</v>
      </c>
    </row>
    <row r="109" spans="1:7" ht="99" customHeight="1" x14ac:dyDescent="0.25">
      <c r="A109" s="722"/>
      <c r="B109" s="428" t="s">
        <v>1578</v>
      </c>
      <c r="C109" s="352">
        <v>255</v>
      </c>
      <c r="D109" s="352">
        <v>255</v>
      </c>
      <c r="E109" s="339">
        <f>'пр.6.1.ведом.22-23'!G200</f>
        <v>0</v>
      </c>
      <c r="F109" s="339">
        <f>'пр.6.1.ведом.22-23'!H200</f>
        <v>0</v>
      </c>
    </row>
    <row r="110" spans="1:7" ht="100.5" customHeight="1" x14ac:dyDescent="0.25">
      <c r="A110" s="722"/>
      <c r="B110" s="428" t="s">
        <v>1577</v>
      </c>
      <c r="C110" s="352">
        <v>516.6</v>
      </c>
      <c r="D110" s="352">
        <v>516.6</v>
      </c>
      <c r="E110" s="339" t="e">
        <f>'пр.6.1.ведом.22-23'!#REF!</f>
        <v>#REF!</v>
      </c>
      <c r="F110" s="339" t="e">
        <f>'пр.6.1.ведом.22-23'!#REF!</f>
        <v>#REF!</v>
      </c>
    </row>
    <row r="111" spans="1:7" s="203" customFormat="1" ht="95.25" hidden="1" customHeight="1" x14ac:dyDescent="0.25">
      <c r="A111" s="722"/>
      <c r="B111" s="269" t="s">
        <v>1162</v>
      </c>
      <c r="C111" s="380">
        <v>0</v>
      </c>
      <c r="D111" s="352">
        <v>0</v>
      </c>
    </row>
    <row r="112" spans="1:7" ht="165.2" customHeight="1" x14ac:dyDescent="0.25">
      <c r="A112" s="722"/>
      <c r="B112" s="431" t="s">
        <v>1580</v>
      </c>
      <c r="C112" s="369">
        <v>173.3</v>
      </c>
      <c r="D112" s="369">
        <v>173.3</v>
      </c>
      <c r="E112" s="339" t="e">
        <f>'пр.6.1.ведом.22-23'!#REF!</f>
        <v>#REF!</v>
      </c>
      <c r="F112" s="339" t="e">
        <f>'пр.6.1.ведом.22-23'!#REF!</f>
        <v>#REF!</v>
      </c>
      <c r="G112" s="334"/>
    </row>
    <row r="113" spans="1:7" s="203" customFormat="1" ht="84.75" customHeight="1" x14ac:dyDescent="0.25">
      <c r="A113" s="722"/>
      <c r="B113" s="432" t="s">
        <v>1581</v>
      </c>
      <c r="C113" s="369">
        <v>77.8</v>
      </c>
      <c r="D113" s="369">
        <v>81</v>
      </c>
      <c r="E113" s="339">
        <f>'пр.6.1.ведом.22-23'!G668</f>
        <v>0</v>
      </c>
      <c r="F113" s="339">
        <f>'пр.6.1.ведом.22-23'!H668</f>
        <v>0</v>
      </c>
    </row>
    <row r="114" spans="1:7" s="203" customFormat="1" ht="63" hidden="1" x14ac:dyDescent="0.25">
      <c r="A114" s="723"/>
      <c r="B114" s="315" t="s">
        <v>1422</v>
      </c>
      <c r="C114" s="369">
        <v>0</v>
      </c>
      <c r="D114" s="369">
        <v>0</v>
      </c>
      <c r="E114" s="335"/>
      <c r="F114" s="335"/>
    </row>
    <row r="115" spans="1:7" ht="24.75" customHeight="1" x14ac:dyDescent="0.25">
      <c r="A115" s="137" t="s">
        <v>809</v>
      </c>
      <c r="B115" s="235" t="s">
        <v>100</v>
      </c>
      <c r="C115" s="343">
        <f>C139+C116+C137</f>
        <v>214152.7</v>
      </c>
      <c r="D115" s="343">
        <f>D139+D116+D137</f>
        <v>245436.59999999998</v>
      </c>
      <c r="F115" s="203"/>
    </row>
    <row r="116" spans="1:7" ht="31.5" x14ac:dyDescent="0.25">
      <c r="A116" s="137" t="s">
        <v>808</v>
      </c>
      <c r="B116" s="146" t="s">
        <v>101</v>
      </c>
      <c r="C116" s="343">
        <f t="shared" ref="C116:D116" si="19">C117</f>
        <v>213589.5</v>
      </c>
      <c r="D116" s="343">
        <f t="shared" si="19"/>
        <v>245088.89999999997</v>
      </c>
      <c r="F116" s="203"/>
    </row>
    <row r="117" spans="1:7" ht="31.5" x14ac:dyDescent="0.25">
      <c r="A117" s="201" t="s">
        <v>807</v>
      </c>
      <c r="B117" s="139" t="s">
        <v>102</v>
      </c>
      <c r="C117" s="352">
        <f>SUM(C118+C119+C120+C121+C122+C123+C124+C127+C128+C129+C130+C131+C132+C133)</f>
        <v>213589.5</v>
      </c>
      <c r="D117" s="352">
        <f>SUM(D118+D119+D120+D121+D122+D123+D124+D127+D128+D129+D130+D131+D132+D133)</f>
        <v>245088.89999999997</v>
      </c>
      <c r="F117" s="203"/>
    </row>
    <row r="118" spans="1:7" ht="116.45" customHeight="1" x14ac:dyDescent="0.25">
      <c r="A118" s="721"/>
      <c r="B118" s="429" t="s">
        <v>1559</v>
      </c>
      <c r="C118" s="372">
        <v>115047.8</v>
      </c>
      <c r="D118" s="372">
        <v>134211.70000000001</v>
      </c>
      <c r="E118" s="339">
        <f>'пр.6.1.ведом.22-23'!G624</f>
        <v>115047.8</v>
      </c>
      <c r="F118" s="339">
        <f>'пр.6.1.ведом.22-23'!H624</f>
        <v>134211.70000000001</v>
      </c>
    </row>
    <row r="119" spans="1:7" ht="83.25" customHeight="1" x14ac:dyDescent="0.25">
      <c r="A119" s="722"/>
      <c r="B119" s="428" t="s">
        <v>1568</v>
      </c>
      <c r="C119" s="372">
        <v>70113.2</v>
      </c>
      <c r="D119" s="372">
        <v>74475.8</v>
      </c>
      <c r="E119" s="339">
        <f>'пр.6.1.ведом.22-23'!G567</f>
        <v>70113.2</v>
      </c>
      <c r="F119" s="339">
        <f>'пр.6.1.ведом.22-23'!H567</f>
        <v>74475.8</v>
      </c>
    </row>
    <row r="120" spans="1:7" ht="112.7" customHeight="1" x14ac:dyDescent="0.25">
      <c r="A120" s="722"/>
      <c r="B120" s="428" t="s">
        <v>1561</v>
      </c>
      <c r="C120" s="372">
        <v>4743.8999999999996</v>
      </c>
      <c r="D120" s="372">
        <f t="shared" ref="D120:D129" si="20">C120</f>
        <v>4743.8999999999996</v>
      </c>
      <c r="E120" s="341">
        <f>'пр.6.1.ведом.22-23'!G326+'пр.6.1.ведом.22-23'!G564+'пр.6.1.ведом.22-23'!G630+'пр.6.1.ведом.22-23'!G706</f>
        <v>4743.8999999999996</v>
      </c>
      <c r="F120" s="341">
        <f>'пр.6.1.ведом.22-23'!H326+'пр.6.1.ведом.22-23'!H564+'пр.6.1.ведом.22-23'!H630+'пр.6.1.ведом.22-23'!H706</f>
        <v>4743.8999999999996</v>
      </c>
      <c r="G120" s="342"/>
    </row>
    <row r="121" spans="1:7" ht="115.5" customHeight="1" x14ac:dyDescent="0.25">
      <c r="A121" s="722"/>
      <c r="B121" s="428" t="s">
        <v>1560</v>
      </c>
      <c r="C121" s="372">
        <f>пр.1дох.22!C148</f>
        <v>0</v>
      </c>
      <c r="D121" s="372">
        <f t="shared" si="20"/>
        <v>0</v>
      </c>
      <c r="E121" s="339">
        <f>'пр.6.1.ведом.22-23'!G703+'пр.6.1.ведом.22-23'!G627+'пр.6.1.ведом.22-23'!G561+'пр.6.1.ведом.22-23'!G323</f>
        <v>2185</v>
      </c>
      <c r="F121" s="339">
        <f>'пр.6.1.ведом.22-23'!H703+'пр.6.1.ведом.22-23'!H627+'пр.6.1.ведом.22-23'!H561+'пр.6.1.ведом.22-23'!H323</f>
        <v>2185</v>
      </c>
    </row>
    <row r="122" spans="1:7" ht="114.75" customHeight="1" x14ac:dyDescent="0.25">
      <c r="A122" s="722"/>
      <c r="B122" s="428" t="s">
        <v>1562</v>
      </c>
      <c r="C122" s="372">
        <v>1411.1</v>
      </c>
      <c r="D122" s="372">
        <v>1411.1</v>
      </c>
      <c r="E122" s="339">
        <f>'пр.6.1.ведом.22-23'!G79</f>
        <v>1411.1</v>
      </c>
      <c r="F122" s="339">
        <f>'пр.6.1.ведом.22-23'!H79</f>
        <v>1411.1</v>
      </c>
    </row>
    <row r="123" spans="1:7" ht="144" customHeight="1" x14ac:dyDescent="0.25">
      <c r="A123" s="722"/>
      <c r="B123" s="428" t="s">
        <v>1564</v>
      </c>
      <c r="C123" s="372">
        <v>264.2</v>
      </c>
      <c r="D123" s="372">
        <v>274.8</v>
      </c>
      <c r="E123" s="339">
        <f>'пр.6.1.ведом.22-23'!G208</f>
        <v>264.2</v>
      </c>
      <c r="F123" s="339">
        <f>'пр.6.1.ведом.22-23'!H208</f>
        <v>274.8</v>
      </c>
    </row>
    <row r="124" spans="1:7" ht="65.25" customHeight="1" x14ac:dyDescent="0.25">
      <c r="A124" s="722"/>
      <c r="B124" s="428" t="s">
        <v>1565</v>
      </c>
      <c r="C124" s="372">
        <f>SUM(C125:C126)</f>
        <v>3978.2</v>
      </c>
      <c r="D124" s="372">
        <f>SUM(D125:D126)</f>
        <v>3606.4</v>
      </c>
      <c r="E124" s="335">
        <f>'пр.6.1.ведом.22-23'!G237</f>
        <v>3650.4</v>
      </c>
      <c r="F124" s="335">
        <f>'пр.6.1.ведом.22-23'!H237</f>
        <v>3606.4</v>
      </c>
      <c r="G124" s="335"/>
    </row>
    <row r="125" spans="1:7" ht="81.75" customHeight="1" x14ac:dyDescent="0.25">
      <c r="A125" s="722"/>
      <c r="B125" s="435" t="s">
        <v>1566</v>
      </c>
      <c r="C125" s="372">
        <f>пр.1дох.22!C152</f>
        <v>3156.9</v>
      </c>
      <c r="D125" s="372">
        <v>2759</v>
      </c>
      <c r="F125" s="203"/>
    </row>
    <row r="126" spans="1:7" ht="160.5" customHeight="1" x14ac:dyDescent="0.25">
      <c r="A126" s="722"/>
      <c r="B126" s="435" t="s">
        <v>1567</v>
      </c>
      <c r="C126" s="372">
        <v>821.3</v>
      </c>
      <c r="D126" s="372">
        <v>847.4</v>
      </c>
      <c r="F126" s="203"/>
    </row>
    <row r="127" spans="1:7" ht="128.25" customHeight="1" x14ac:dyDescent="0.25">
      <c r="A127" s="722"/>
      <c r="B127" s="428" t="s">
        <v>1569</v>
      </c>
      <c r="C127" s="372">
        <f>пр.1дох.22!C154</f>
        <v>384.5</v>
      </c>
      <c r="D127" s="372">
        <f t="shared" si="20"/>
        <v>384.5</v>
      </c>
      <c r="E127" s="339">
        <f>'пр.6.1.ведом.22-23'!G384</f>
        <v>341.4</v>
      </c>
      <c r="F127" s="339">
        <f>'пр.6.1.ведом.22-23'!H384</f>
        <v>341.4</v>
      </c>
    </row>
    <row r="128" spans="1:7" ht="116.45" customHeight="1" x14ac:dyDescent="0.25">
      <c r="A128" s="722"/>
      <c r="B128" s="428" t="s">
        <v>1558</v>
      </c>
      <c r="C128" s="372">
        <v>909.3</v>
      </c>
      <c r="D128" s="372">
        <v>909.3</v>
      </c>
      <c r="E128" s="339">
        <f>'пр.6.1.ведом.22-23'!G633</f>
        <v>909.3</v>
      </c>
      <c r="F128" s="339">
        <f>'пр.6.1.ведом.22-23'!H633</f>
        <v>909.3</v>
      </c>
    </row>
    <row r="129" spans="1:6" ht="51.75" customHeight="1" x14ac:dyDescent="0.25">
      <c r="A129" s="722"/>
      <c r="B129" s="428" t="s">
        <v>1570</v>
      </c>
      <c r="C129" s="372">
        <f>пр.1дох.22!C156</f>
        <v>1420.8</v>
      </c>
      <c r="D129" s="372">
        <f t="shared" si="20"/>
        <v>1420.8</v>
      </c>
      <c r="E129" s="339">
        <f>'пр.6.1.ведом.22-23'!G84</f>
        <v>1334.3</v>
      </c>
      <c r="F129" s="339">
        <f>'пр.6.1.ведом.22-23'!H84</f>
        <v>1334.3</v>
      </c>
    </row>
    <row r="130" spans="1:6" ht="197.45" customHeight="1" x14ac:dyDescent="0.25">
      <c r="A130" s="722"/>
      <c r="B130" s="433" t="s">
        <v>1563</v>
      </c>
      <c r="C130" s="372">
        <v>22.3</v>
      </c>
      <c r="D130" s="372">
        <v>22.3</v>
      </c>
      <c r="E130" s="339">
        <f>'пр.6.1.ведом.22-23'!G506</f>
        <v>22.3</v>
      </c>
      <c r="F130" s="339">
        <f>'пр.6.1.ведом.22-23'!H506</f>
        <v>22.3</v>
      </c>
    </row>
    <row r="131" spans="1:6" s="203" customFormat="1" ht="164.25" customHeight="1" x14ac:dyDescent="0.25">
      <c r="A131" s="722"/>
      <c r="B131" s="436" t="s">
        <v>1571</v>
      </c>
      <c r="C131" s="372">
        <v>2469.1</v>
      </c>
      <c r="D131" s="372">
        <v>10803.2</v>
      </c>
      <c r="E131" s="339">
        <f>'пр.6.1.ведом.22-23'!G536</f>
        <v>2469.1</v>
      </c>
      <c r="F131" s="339">
        <f>'пр.6.1.ведом.22-23'!H536</f>
        <v>10803.2</v>
      </c>
    </row>
    <row r="132" spans="1:6" s="203" customFormat="1" ht="63" hidden="1" x14ac:dyDescent="0.25">
      <c r="A132" s="722"/>
      <c r="B132" s="139" t="s">
        <v>1444</v>
      </c>
      <c r="C132" s="372"/>
      <c r="D132" s="372"/>
      <c r="E132" s="339">
        <f>'пр.6.1.ведом.22-23'!G997</f>
        <v>0</v>
      </c>
      <c r="F132" s="339">
        <f>'пр.6.1.ведом.22-23'!H997</f>
        <v>0</v>
      </c>
    </row>
    <row r="133" spans="1:6" s="203" customFormat="1" ht="79.5" customHeight="1" x14ac:dyDescent="0.25">
      <c r="A133" s="722"/>
      <c r="B133" s="434" t="s">
        <v>1572</v>
      </c>
      <c r="C133" s="374">
        <f>SUM(C134:C136)</f>
        <v>12825.1</v>
      </c>
      <c r="D133" s="374">
        <f>SUM(D134:D136)</f>
        <v>12825.1</v>
      </c>
      <c r="E133" s="232"/>
      <c r="F133" s="232"/>
    </row>
    <row r="134" spans="1:6" s="203" customFormat="1" ht="55.5" customHeight="1" x14ac:dyDescent="0.25">
      <c r="A134" s="722"/>
      <c r="B134" s="317" t="s">
        <v>1445</v>
      </c>
      <c r="C134" s="375">
        <v>9911</v>
      </c>
      <c r="D134" s="372">
        <f>C134</f>
        <v>9911</v>
      </c>
      <c r="E134" s="339">
        <f>'пр.6.1.ведом.22-23'!G700+'пр.6.1.ведом.22-23'!G621+'пр.6.1.ведом.22-23'!G558+'пр.6.1.ведом.22-23'!G320</f>
        <v>9911</v>
      </c>
      <c r="F134" s="339">
        <f>'пр.6.1.ведом.22-23'!H700+'пр.6.1.ведом.22-23'!H621+'пр.6.1.ведом.22-23'!H558+'пр.6.1.ведом.22-23'!H320</f>
        <v>9911</v>
      </c>
    </row>
    <row r="135" spans="1:6" s="203" customFormat="1" ht="63" x14ac:dyDescent="0.25">
      <c r="A135" s="722"/>
      <c r="B135" s="317" t="s">
        <v>1446</v>
      </c>
      <c r="C135" s="375">
        <v>2100.6</v>
      </c>
      <c r="D135" s="372">
        <f>C135</f>
        <v>2100.6</v>
      </c>
      <c r="E135" s="339">
        <f>'пр.6.1.ведом.22-23'!G381</f>
        <v>2100.6</v>
      </c>
      <c r="F135" s="339">
        <f>'пр.6.1.ведом.22-23'!H381</f>
        <v>2100.6</v>
      </c>
    </row>
    <row r="136" spans="1:6" s="203" customFormat="1" ht="57.75" customHeight="1" x14ac:dyDescent="0.25">
      <c r="A136" s="723"/>
      <c r="B136" s="317" t="s">
        <v>1447</v>
      </c>
      <c r="C136" s="375">
        <v>813.5</v>
      </c>
      <c r="D136" s="372">
        <f>C136</f>
        <v>813.5</v>
      </c>
      <c r="E136" s="339">
        <f>'пр.6.1.ведом.22-23'!G792</f>
        <v>813.5</v>
      </c>
      <c r="F136" s="339">
        <f>'пр.6.1.ведом.22-23'!H792</f>
        <v>813.5</v>
      </c>
    </row>
    <row r="137" spans="1:6" s="203" customFormat="1" ht="63" hidden="1" x14ac:dyDescent="0.25">
      <c r="A137" s="137" t="s">
        <v>1163</v>
      </c>
      <c r="B137" s="262" t="s">
        <v>1165</v>
      </c>
      <c r="C137" s="376">
        <f>C138</f>
        <v>0</v>
      </c>
      <c r="D137" s="376">
        <f>D138</f>
        <v>0</v>
      </c>
    </row>
    <row r="138" spans="1:6" s="203" customFormat="1" ht="63" hidden="1" x14ac:dyDescent="0.25">
      <c r="A138" s="201" t="s">
        <v>1164</v>
      </c>
      <c r="B138" s="263" t="s">
        <v>1165</v>
      </c>
      <c r="C138" s="372">
        <v>0</v>
      </c>
      <c r="D138" s="372">
        <v>0</v>
      </c>
      <c r="E138" s="232">
        <f>'пр.6.1.ведом.22-23'!G73</f>
        <v>0</v>
      </c>
      <c r="F138" s="232">
        <f>'пр.6.1.ведом.22-23'!H73</f>
        <v>0</v>
      </c>
    </row>
    <row r="139" spans="1:6" ht="31.5" x14ac:dyDescent="0.25">
      <c r="A139" s="137" t="s">
        <v>806</v>
      </c>
      <c r="B139" s="146" t="s">
        <v>103</v>
      </c>
      <c r="C139" s="343">
        <f t="shared" ref="C139:D139" si="21">C140</f>
        <v>563.20000000000005</v>
      </c>
      <c r="D139" s="343">
        <f t="shared" si="21"/>
        <v>347.7</v>
      </c>
      <c r="F139" s="203"/>
    </row>
    <row r="140" spans="1:6" ht="31.5" x14ac:dyDescent="0.25">
      <c r="A140" s="201" t="s">
        <v>805</v>
      </c>
      <c r="B140" s="139" t="s">
        <v>104</v>
      </c>
      <c r="C140" s="352">
        <v>563.20000000000005</v>
      </c>
      <c r="D140" s="352">
        <v>347.7</v>
      </c>
      <c r="E140" s="339">
        <f>'пр.6.1.ведом.22-23'!G74</f>
        <v>563.20000000000005</v>
      </c>
      <c r="F140" s="339">
        <f>'пр.6.1.ведом.22-23'!H74</f>
        <v>347.7</v>
      </c>
    </row>
    <row r="141" spans="1:6" ht="18.75" x14ac:dyDescent="0.25">
      <c r="A141" s="137" t="s">
        <v>804</v>
      </c>
      <c r="B141" s="146" t="s">
        <v>105</v>
      </c>
      <c r="C141" s="343">
        <f>C142</f>
        <v>7226.1</v>
      </c>
      <c r="D141" s="343">
        <f>D142</f>
        <v>7226.1</v>
      </c>
      <c r="F141" s="203"/>
    </row>
    <row r="142" spans="1:6" s="203" customFormat="1" ht="51.75" customHeight="1" x14ac:dyDescent="0.25">
      <c r="A142" s="351" t="s">
        <v>1388</v>
      </c>
      <c r="B142" s="307" t="s">
        <v>1386</v>
      </c>
      <c r="C142" s="343">
        <f>C143</f>
        <v>7226.1</v>
      </c>
      <c r="D142" s="343">
        <f>D143</f>
        <v>7226.1</v>
      </c>
    </row>
    <row r="143" spans="1:6" s="203" customFormat="1" ht="65.25" customHeight="1" x14ac:dyDescent="0.25">
      <c r="A143" s="201" t="s">
        <v>1389</v>
      </c>
      <c r="B143" s="292" t="s">
        <v>1583</v>
      </c>
      <c r="C143" s="352">
        <v>7226.1</v>
      </c>
      <c r="D143" s="352">
        <v>7226.1</v>
      </c>
      <c r="E143" s="335">
        <f>'пр.6.1.ведом.22-23'!G618</f>
        <v>7226.1</v>
      </c>
      <c r="F143" s="232">
        <f>'пр.6.1.ведом.22-23'!H618</f>
        <v>7226.1</v>
      </c>
    </row>
    <row r="144" spans="1:6" ht="18.75" hidden="1" x14ac:dyDescent="0.25">
      <c r="A144" s="137" t="s">
        <v>803</v>
      </c>
      <c r="B144" s="146" t="s">
        <v>106</v>
      </c>
      <c r="C144" s="343">
        <f t="shared" ref="C144:D144" si="22">C145</f>
        <v>0</v>
      </c>
      <c r="D144" s="343">
        <f t="shared" si="22"/>
        <v>0</v>
      </c>
    </row>
    <row r="145" spans="1:4" s="203" customFormat="1" ht="31.5" hidden="1" x14ac:dyDescent="0.25">
      <c r="A145" s="201" t="s">
        <v>815</v>
      </c>
      <c r="B145" s="139" t="s">
        <v>1124</v>
      </c>
      <c r="C145" s="352">
        <f>SUM(C146:C148)</f>
        <v>0</v>
      </c>
      <c r="D145" s="352">
        <f>SUM(D146:D148)</f>
        <v>0</v>
      </c>
    </row>
    <row r="146" spans="1:4" ht="126" hidden="1" x14ac:dyDescent="0.25">
      <c r="A146" s="721"/>
      <c r="B146" s="151" t="s">
        <v>787</v>
      </c>
      <c r="C146" s="375">
        <f>пр.1дох.22!C178</f>
        <v>0</v>
      </c>
      <c r="D146" s="375">
        <f>C146</f>
        <v>0</v>
      </c>
    </row>
    <row r="147" spans="1:4" ht="126" hidden="1" x14ac:dyDescent="0.25">
      <c r="A147" s="722"/>
      <c r="B147" s="151" t="s">
        <v>788</v>
      </c>
      <c r="C147" s="375">
        <f>пр.1дох.22!C179</f>
        <v>0</v>
      </c>
      <c r="D147" s="375">
        <f t="shared" ref="D147:D148" si="23">C147</f>
        <v>0</v>
      </c>
    </row>
    <row r="148" spans="1:4" ht="126" hidden="1" x14ac:dyDescent="0.25">
      <c r="A148" s="723"/>
      <c r="B148" s="151" t="s">
        <v>829</v>
      </c>
      <c r="C148" s="375">
        <f>пр.1дох.22!C180</f>
        <v>0</v>
      </c>
      <c r="D148" s="375">
        <f t="shared" si="23"/>
        <v>0</v>
      </c>
    </row>
    <row r="149" spans="1:4" ht="18.75" hidden="1" x14ac:dyDescent="0.25">
      <c r="A149" s="19" t="s">
        <v>783</v>
      </c>
      <c r="B149" s="187" t="s">
        <v>784</v>
      </c>
      <c r="C149" s="377">
        <f>SUM(C150)</f>
        <v>0</v>
      </c>
      <c r="D149" s="377">
        <f>SUM(D150)</f>
        <v>0</v>
      </c>
    </row>
    <row r="150" spans="1:4" ht="18.75" hidden="1" x14ac:dyDescent="0.25">
      <c r="A150" s="19" t="s">
        <v>785</v>
      </c>
      <c r="B150" s="187" t="s">
        <v>786</v>
      </c>
      <c r="C150" s="377">
        <f>SUM(C151)</f>
        <v>0</v>
      </c>
      <c r="D150" s="377">
        <f>SUM(D151)</f>
        <v>0</v>
      </c>
    </row>
    <row r="151" spans="1:4" ht="18.75" hidden="1" x14ac:dyDescent="0.25">
      <c r="A151" s="715" t="s">
        <v>834</v>
      </c>
      <c r="B151" s="190" t="s">
        <v>786</v>
      </c>
      <c r="C151" s="377">
        <f>SUM(C153:C154)</f>
        <v>0</v>
      </c>
      <c r="D151" s="377">
        <f>SUM(D153:D154)</f>
        <v>0</v>
      </c>
    </row>
    <row r="152" spans="1:4" ht="18.75" hidden="1" x14ac:dyDescent="0.25">
      <c r="A152" s="716"/>
      <c r="B152" s="190" t="s">
        <v>99</v>
      </c>
      <c r="C152" s="377"/>
      <c r="D152" s="377"/>
    </row>
    <row r="153" spans="1:4" ht="94.5" hidden="1" x14ac:dyDescent="0.25">
      <c r="A153" s="716"/>
      <c r="B153" s="188" t="s">
        <v>831</v>
      </c>
      <c r="C153" s="375">
        <v>0</v>
      </c>
      <c r="D153" s="375">
        <v>0</v>
      </c>
    </row>
    <row r="154" spans="1:4" ht="78.75" hidden="1" x14ac:dyDescent="0.25">
      <c r="A154" s="726"/>
      <c r="B154" s="188" t="s">
        <v>832</v>
      </c>
      <c r="C154" s="375">
        <v>0</v>
      </c>
      <c r="D154" s="375">
        <v>0</v>
      </c>
    </row>
    <row r="155" spans="1:4" ht="18.75" x14ac:dyDescent="0.25">
      <c r="A155" s="201"/>
      <c r="B155" s="184" t="s">
        <v>107</v>
      </c>
      <c r="C155" s="343">
        <f>SUM(C9+C74)</f>
        <v>733727.77399999998</v>
      </c>
      <c r="D155" s="343">
        <f>SUM(D9+D74)</f>
        <v>774208.33399999992</v>
      </c>
    </row>
    <row r="156" spans="1:4" x14ac:dyDescent="0.25">
      <c r="C156" s="115">
        <f>C74-C76</f>
        <v>235405.3</v>
      </c>
      <c r="D156" s="115">
        <f>D74-D76</f>
        <v>266174.49999999994</v>
      </c>
    </row>
    <row r="157" spans="1:4" x14ac:dyDescent="0.25">
      <c r="C157" s="22">
        <f>C9+C78+C80</f>
        <v>498322.47399999999</v>
      </c>
      <c r="D157" s="22">
        <f>D9+D78+D80</f>
        <v>508033.83399999997</v>
      </c>
    </row>
  </sheetData>
  <mergeCells count="11">
    <mergeCell ref="C3:D3"/>
    <mergeCell ref="C2:D2"/>
    <mergeCell ref="C1:D1"/>
    <mergeCell ref="H8:K8"/>
    <mergeCell ref="A151:A154"/>
    <mergeCell ref="A4:D4"/>
    <mergeCell ref="A5:D5"/>
    <mergeCell ref="A6:D6"/>
    <mergeCell ref="A146:A148"/>
    <mergeCell ref="A118:A136"/>
    <mergeCell ref="A100:A114"/>
  </mergeCells>
  <hyperlinks>
    <hyperlink ref="B66" r:id="rId1" display="consultantplus://offline/ref=90DD075742B43C415054D7C57EEE35341F87E5BC1D9D1BDE3A747C0D881C15D50B24F795703DF0A84C588B73F9A8AC3C8A6AC02CDB9A5E68c4m2F"/>
    <hyperlink ref="B68" r:id="rId2" display="consultantplus://offline/ref=90DD075742B43C415054D7C57EEE35341F87E5BC1D9D1BDE3A747C0D881C15D50B24F795703DF2AD4E588B73F9A8AC3C8A6AC02CDB9A5E68c4m2F"/>
    <hyperlink ref="B70" r:id="rId3" display="consultantplus://offline/ref=90DD075742B43C415054D7C57EEE35341F87E5BC1D9D1BDE3A747C0D881C15D50B24F795703CF7A64B588B73F9A8AC3C8A6AC02CDB9A5E68c4m2F"/>
    <hyperlink ref="B69" r:id="rId4" display="consultantplus://offline/ref=90DD075742B43C415054D7C57EEE35341F87E5BC1D9D1BDE3A747C0D881C15D50B24F795703CF7A64B588B73F9A8AC3C8A6AC02CDB9A5E68c4m2F"/>
    <hyperlink ref="B65" r:id="rId5" display="consultantplus://offline/ref=90DD075742B43C415054D7C57EEE35341F87E5BC1D9D1BDE3A747C0D881C15D50B24F795703DF0A84C588B73F9A8AC3C8A6AC02CDB9A5E68c4m2F"/>
    <hyperlink ref="B67" r:id="rId6" display="consultantplus://offline/ref=90DD075742B43C415054D7C57EEE35341F87E5BC1D9D1BDE3A747C0D881C15D50B24F795703DF2AD4E588B73F9A8AC3C8A6AC02CDB9A5E68c4m2F"/>
  </hyperlinks>
  <pageMargins left="0.23622047244094491" right="0.23622047244094491" top="0.74803149606299213" bottom="0.74803149606299213" header="0.31496062992125984" footer="0.31496062992125984"/>
  <pageSetup paperSize="9" scale="73" orientation="portrait" r:id="rId7"/>
  <legacyDrawing r:id="rId8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6"/>
  <sheetViews>
    <sheetView tabSelected="1" view="pageBreakPreview" zoomScaleNormal="100" zoomScaleSheetLayoutView="100" workbookViewId="0">
      <selection activeCell="J9" sqref="J9"/>
    </sheetView>
  </sheetViews>
  <sheetFormatPr defaultColWidth="9.140625" defaultRowHeight="15" x14ac:dyDescent="0.25"/>
  <cols>
    <col min="1" max="1" width="56.28515625" style="578" customWidth="1"/>
    <col min="2" max="2" width="17.42578125" style="578" customWidth="1"/>
    <col min="3" max="3" width="8.28515625" style="578" customWidth="1"/>
    <col min="4" max="4" width="7.28515625" style="576" customWidth="1"/>
    <col min="5" max="5" width="8.7109375" style="576" customWidth="1"/>
    <col min="6" max="6" width="9.140625" style="578"/>
    <col min="7" max="7" width="11.42578125" style="115" customWidth="1"/>
    <col min="8" max="8" width="10.28515625" style="115" customWidth="1"/>
    <col min="9" max="9" width="9.140625" style="576" customWidth="1"/>
    <col min="10" max="10" width="10.7109375" style="576" customWidth="1"/>
    <col min="11" max="13" width="9.140625" style="576" customWidth="1"/>
    <col min="14" max="14" width="11.5703125" style="576" customWidth="1"/>
    <col min="15" max="16384" width="9.140625" style="576"/>
  </cols>
  <sheetData>
    <row r="1" spans="1:8" ht="15.75" x14ac:dyDescent="0.25">
      <c r="D1" s="578"/>
      <c r="E1" s="578"/>
      <c r="F1" s="711"/>
      <c r="G1" s="745" t="s">
        <v>1823</v>
      </c>
      <c r="H1" s="745"/>
    </row>
    <row r="2" spans="1:8" ht="15.75" x14ac:dyDescent="0.25">
      <c r="D2" s="578"/>
      <c r="E2" s="578"/>
      <c r="F2" s="711"/>
      <c r="G2" s="745" t="s">
        <v>591</v>
      </c>
      <c r="H2" s="745"/>
    </row>
    <row r="3" spans="1:8" ht="15.75" x14ac:dyDescent="0.25">
      <c r="D3" s="578"/>
      <c r="E3" s="578"/>
      <c r="F3" s="699"/>
      <c r="G3" s="714" t="s">
        <v>1786</v>
      </c>
      <c r="H3" s="714"/>
    </row>
    <row r="4" spans="1:8" ht="15.75" x14ac:dyDescent="0.25">
      <c r="D4" s="578"/>
      <c r="E4" s="578"/>
      <c r="F4" s="62"/>
      <c r="G4" s="645"/>
      <c r="H4" s="645"/>
    </row>
    <row r="5" spans="1:8" ht="38.25" customHeight="1" x14ac:dyDescent="0.25">
      <c r="A5" s="731" t="s">
        <v>1813</v>
      </c>
      <c r="B5" s="731"/>
      <c r="C5" s="731"/>
      <c r="D5" s="731"/>
      <c r="E5" s="731"/>
      <c r="F5" s="731"/>
      <c r="G5" s="731"/>
      <c r="H5" s="578"/>
    </row>
    <row r="6" spans="1:8" ht="16.5" x14ac:dyDescent="0.25">
      <c r="A6" s="649"/>
      <c r="B6" s="649"/>
      <c r="C6" s="649"/>
      <c r="D6" s="649"/>
      <c r="E6" s="649"/>
      <c r="F6" s="649"/>
    </row>
    <row r="7" spans="1:8" ht="15.75" x14ac:dyDescent="0.25">
      <c r="A7" s="62"/>
      <c r="B7" s="62"/>
      <c r="C7" s="62"/>
      <c r="D7" s="62"/>
      <c r="E7" s="64"/>
      <c r="F7" s="64"/>
      <c r="G7" s="275"/>
      <c r="H7" s="275" t="s">
        <v>1</v>
      </c>
    </row>
    <row r="8" spans="1:8" ht="31.5" x14ac:dyDescent="0.25">
      <c r="A8" s="66" t="s">
        <v>592</v>
      </c>
      <c r="B8" s="66" t="s">
        <v>617</v>
      </c>
      <c r="C8" s="66" t="s">
        <v>618</v>
      </c>
      <c r="D8" s="66" t="s">
        <v>619</v>
      </c>
      <c r="E8" s="66" t="s">
        <v>620</v>
      </c>
      <c r="F8" s="66" t="s">
        <v>621</v>
      </c>
      <c r="G8" s="392" t="s">
        <v>1290</v>
      </c>
      <c r="H8" s="392" t="s">
        <v>1783</v>
      </c>
    </row>
    <row r="9" spans="1:8" ht="47.25" x14ac:dyDescent="0.25">
      <c r="A9" s="58" t="s">
        <v>1394</v>
      </c>
      <c r="B9" s="7" t="s">
        <v>510</v>
      </c>
      <c r="C9" s="7"/>
      <c r="D9" s="7"/>
      <c r="E9" s="7"/>
      <c r="F9" s="7"/>
      <c r="G9" s="488">
        <f>G10+G17</f>
        <v>3048.7</v>
      </c>
      <c r="H9" s="488">
        <f>H10+H17</f>
        <v>3226.2</v>
      </c>
    </row>
    <row r="10" spans="1:8" ht="31.5" hidden="1" x14ac:dyDescent="0.25">
      <c r="A10" s="34" t="s">
        <v>999</v>
      </c>
      <c r="B10" s="7" t="s">
        <v>958</v>
      </c>
      <c r="C10" s="573"/>
      <c r="D10" s="573"/>
      <c r="E10" s="573"/>
      <c r="F10" s="573"/>
      <c r="G10" s="489">
        <f>G13</f>
        <v>0</v>
      </c>
      <c r="H10" s="489">
        <f>H13</f>
        <v>0</v>
      </c>
    </row>
    <row r="11" spans="1:8" ht="15.75" hidden="1" x14ac:dyDescent="0.25">
      <c r="A11" s="29" t="s">
        <v>232</v>
      </c>
      <c r="B11" s="573" t="s">
        <v>958</v>
      </c>
      <c r="C11" s="573" t="s">
        <v>150</v>
      </c>
      <c r="D11" s="573"/>
      <c r="E11" s="573"/>
      <c r="F11" s="573"/>
      <c r="G11" s="489">
        <f t="shared" ref="G11:H11" si="0">G12</f>
        <v>0</v>
      </c>
      <c r="H11" s="489">
        <f t="shared" si="0"/>
        <v>0</v>
      </c>
    </row>
    <row r="12" spans="1:8" ht="15.75" hidden="1" x14ac:dyDescent="0.25">
      <c r="A12" s="29" t="s">
        <v>508</v>
      </c>
      <c r="B12" s="573" t="s">
        <v>958</v>
      </c>
      <c r="C12" s="573" t="s">
        <v>150</v>
      </c>
      <c r="D12" s="573" t="s">
        <v>219</v>
      </c>
      <c r="E12" s="573"/>
      <c r="F12" s="573"/>
      <c r="G12" s="489">
        <f t="shared" ref="G12:H14" si="1">G13</f>
        <v>0</v>
      </c>
      <c r="H12" s="489">
        <f t="shared" si="1"/>
        <v>0</v>
      </c>
    </row>
    <row r="13" spans="1:8" ht="15.75" hidden="1" x14ac:dyDescent="0.25">
      <c r="A13" s="29" t="s">
        <v>1001</v>
      </c>
      <c r="B13" s="573" t="s">
        <v>1000</v>
      </c>
      <c r="C13" s="573" t="s">
        <v>150</v>
      </c>
      <c r="D13" s="573" t="s">
        <v>219</v>
      </c>
      <c r="E13" s="573"/>
      <c r="F13" s="573"/>
      <c r="G13" s="489">
        <f t="shared" si="1"/>
        <v>0</v>
      </c>
      <c r="H13" s="489">
        <f t="shared" si="1"/>
        <v>0</v>
      </c>
    </row>
    <row r="14" spans="1:8" ht="31.5" hidden="1" x14ac:dyDescent="0.25">
      <c r="A14" s="579" t="s">
        <v>131</v>
      </c>
      <c r="B14" s="573" t="s">
        <v>1000</v>
      </c>
      <c r="C14" s="573" t="s">
        <v>150</v>
      </c>
      <c r="D14" s="573" t="s">
        <v>219</v>
      </c>
      <c r="E14" s="573" t="s">
        <v>132</v>
      </c>
      <c r="F14" s="573"/>
      <c r="G14" s="489">
        <f t="shared" si="1"/>
        <v>0</v>
      </c>
      <c r="H14" s="489">
        <f t="shared" si="1"/>
        <v>0</v>
      </c>
    </row>
    <row r="15" spans="1:8" ht="31.5" hidden="1" x14ac:dyDescent="0.25">
      <c r="A15" s="579" t="s">
        <v>133</v>
      </c>
      <c r="B15" s="573" t="s">
        <v>1000</v>
      </c>
      <c r="C15" s="573" t="s">
        <v>150</v>
      </c>
      <c r="D15" s="573" t="s">
        <v>219</v>
      </c>
      <c r="E15" s="573" t="s">
        <v>134</v>
      </c>
      <c r="F15" s="573"/>
      <c r="G15" s="489">
        <f>'Пр.4 ведом.22'!G945</f>
        <v>0</v>
      </c>
      <c r="H15" s="489">
        <f>'Пр.4 ведом.22'!H945</f>
        <v>0</v>
      </c>
    </row>
    <row r="16" spans="1:8" ht="40.700000000000003" hidden="1" customHeight="1" x14ac:dyDescent="0.25">
      <c r="A16" s="45" t="s">
        <v>623</v>
      </c>
      <c r="B16" s="573" t="s">
        <v>1000</v>
      </c>
      <c r="C16" s="573" t="s">
        <v>150</v>
      </c>
      <c r="D16" s="573" t="s">
        <v>219</v>
      </c>
      <c r="E16" s="573" t="s">
        <v>134</v>
      </c>
      <c r="F16" s="573" t="s">
        <v>624</v>
      </c>
      <c r="G16" s="489">
        <f>G15</f>
        <v>0</v>
      </c>
      <c r="H16" s="489">
        <f>H15</f>
        <v>0</v>
      </c>
    </row>
    <row r="17" spans="1:9" ht="31.5" x14ac:dyDescent="0.25">
      <c r="A17" s="34" t="s">
        <v>1060</v>
      </c>
      <c r="B17" s="495" t="s">
        <v>959</v>
      </c>
      <c r="C17" s="573"/>
      <c r="D17" s="573"/>
      <c r="E17" s="573"/>
      <c r="F17" s="573"/>
      <c r="G17" s="488">
        <f t="shared" ref="G17:H19" si="2">G18</f>
        <v>3048.7</v>
      </c>
      <c r="H17" s="488">
        <f t="shared" si="2"/>
        <v>3226.2</v>
      </c>
    </row>
    <row r="18" spans="1:9" ht="15.75" x14ac:dyDescent="0.25">
      <c r="A18" s="29" t="s">
        <v>232</v>
      </c>
      <c r="B18" s="573" t="s">
        <v>959</v>
      </c>
      <c r="C18" s="573" t="s">
        <v>150</v>
      </c>
      <c r="D18" s="573"/>
      <c r="E18" s="573"/>
      <c r="F18" s="573"/>
      <c r="G18" s="489">
        <f t="shared" si="2"/>
        <v>3048.7</v>
      </c>
      <c r="H18" s="489">
        <f t="shared" si="2"/>
        <v>3226.2</v>
      </c>
    </row>
    <row r="19" spans="1:9" ht="15.75" x14ac:dyDescent="0.25">
      <c r="A19" s="29" t="s">
        <v>508</v>
      </c>
      <c r="B19" s="573" t="s">
        <v>959</v>
      </c>
      <c r="C19" s="573" t="s">
        <v>150</v>
      </c>
      <c r="D19" s="573" t="s">
        <v>219</v>
      </c>
      <c r="E19" s="573"/>
      <c r="F19" s="573"/>
      <c r="G19" s="489">
        <f t="shared" si="2"/>
        <v>3048.7</v>
      </c>
      <c r="H19" s="489">
        <f t="shared" si="2"/>
        <v>3226.2</v>
      </c>
    </row>
    <row r="20" spans="1:9" ht="15.75" x14ac:dyDescent="0.25">
      <c r="A20" s="29" t="s">
        <v>511</v>
      </c>
      <c r="B20" s="573" t="s">
        <v>1002</v>
      </c>
      <c r="C20" s="573" t="s">
        <v>150</v>
      </c>
      <c r="D20" s="573" t="s">
        <v>219</v>
      </c>
      <c r="E20" s="573"/>
      <c r="F20" s="573"/>
      <c r="G20" s="489">
        <f>G24+G27+G22</f>
        <v>3048.7</v>
      </c>
      <c r="H20" s="489">
        <f>H24+H27+H22</f>
        <v>3226.2</v>
      </c>
    </row>
    <row r="21" spans="1:9" ht="78.75" x14ac:dyDescent="0.25">
      <c r="A21" s="579" t="s">
        <v>127</v>
      </c>
      <c r="B21" s="573" t="s">
        <v>1002</v>
      </c>
      <c r="C21" s="573" t="s">
        <v>150</v>
      </c>
      <c r="D21" s="573" t="s">
        <v>219</v>
      </c>
      <c r="E21" s="573" t="s">
        <v>128</v>
      </c>
      <c r="F21" s="573"/>
      <c r="G21" s="489">
        <f>G22</f>
        <v>1907.4</v>
      </c>
      <c r="H21" s="489">
        <f>H22</f>
        <v>2062</v>
      </c>
    </row>
    <row r="22" spans="1:9" ht="15.75" x14ac:dyDescent="0.25">
      <c r="A22" s="579" t="s">
        <v>342</v>
      </c>
      <c r="B22" s="573" t="s">
        <v>1002</v>
      </c>
      <c r="C22" s="573" t="s">
        <v>150</v>
      </c>
      <c r="D22" s="573" t="s">
        <v>219</v>
      </c>
      <c r="E22" s="573" t="s">
        <v>209</v>
      </c>
      <c r="F22" s="573"/>
      <c r="G22" s="489">
        <f>'Пр.4.1 ведом.23-24 '!G950</f>
        <v>1907.4</v>
      </c>
      <c r="H22" s="489">
        <f>'Пр.4.1 ведом.23-24 '!H950</f>
        <v>2062</v>
      </c>
    </row>
    <row r="23" spans="1:9" ht="31.5" x14ac:dyDescent="0.25">
      <c r="A23" s="45" t="s">
        <v>623</v>
      </c>
      <c r="B23" s="573" t="s">
        <v>1002</v>
      </c>
      <c r="C23" s="573" t="s">
        <v>150</v>
      </c>
      <c r="D23" s="573" t="s">
        <v>219</v>
      </c>
      <c r="E23" s="573" t="s">
        <v>209</v>
      </c>
      <c r="F23" s="573" t="s">
        <v>624</v>
      </c>
      <c r="G23" s="489">
        <f>G22</f>
        <v>1907.4</v>
      </c>
      <c r="H23" s="489">
        <f>H22</f>
        <v>2062</v>
      </c>
    </row>
    <row r="24" spans="1:9" ht="31.5" x14ac:dyDescent="0.25">
      <c r="A24" s="29" t="s">
        <v>131</v>
      </c>
      <c r="B24" s="573" t="s">
        <v>1002</v>
      </c>
      <c r="C24" s="573" t="s">
        <v>150</v>
      </c>
      <c r="D24" s="573" t="s">
        <v>219</v>
      </c>
      <c r="E24" s="573" t="s">
        <v>132</v>
      </c>
      <c r="F24" s="573"/>
      <c r="G24" s="489">
        <f t="shared" ref="G24:H24" si="3">G25</f>
        <v>1141.3</v>
      </c>
      <c r="H24" s="489">
        <f t="shared" si="3"/>
        <v>1164.2</v>
      </c>
    </row>
    <row r="25" spans="1:9" ht="31.5" x14ac:dyDescent="0.25">
      <c r="A25" s="29" t="s">
        <v>133</v>
      </c>
      <c r="B25" s="573" t="s">
        <v>1002</v>
      </c>
      <c r="C25" s="573" t="s">
        <v>150</v>
      </c>
      <c r="D25" s="573" t="s">
        <v>219</v>
      </c>
      <c r="E25" s="573" t="s">
        <v>134</v>
      </c>
      <c r="F25" s="573"/>
      <c r="G25" s="489">
        <f>'Пр.4.1 ведом.23-24 '!G952</f>
        <v>1141.3</v>
      </c>
      <c r="H25" s="489">
        <f>'Пр.4.1 ведом.23-24 '!H952</f>
        <v>1164.2</v>
      </c>
    </row>
    <row r="26" spans="1:9" ht="31.5" x14ac:dyDescent="0.25">
      <c r="A26" s="45" t="s">
        <v>623</v>
      </c>
      <c r="B26" s="573" t="s">
        <v>1002</v>
      </c>
      <c r="C26" s="573" t="s">
        <v>150</v>
      </c>
      <c r="D26" s="573" t="s">
        <v>219</v>
      </c>
      <c r="E26" s="573" t="s">
        <v>134</v>
      </c>
      <c r="F26" s="573" t="s">
        <v>624</v>
      </c>
      <c r="G26" s="489">
        <f>G25</f>
        <v>1141.3</v>
      </c>
      <c r="H26" s="489">
        <f>H25</f>
        <v>1164.2</v>
      </c>
    </row>
    <row r="27" spans="1:9" ht="15.75" hidden="1" x14ac:dyDescent="0.25">
      <c r="A27" s="579" t="s">
        <v>135</v>
      </c>
      <c r="B27" s="573" t="s">
        <v>1002</v>
      </c>
      <c r="C27" s="573" t="s">
        <v>150</v>
      </c>
      <c r="D27" s="573" t="s">
        <v>219</v>
      </c>
      <c r="E27" s="573" t="s">
        <v>145</v>
      </c>
      <c r="F27" s="573"/>
      <c r="G27" s="489">
        <f t="shared" ref="G27:H27" si="4">G28</f>
        <v>0</v>
      </c>
      <c r="H27" s="489">
        <f t="shared" si="4"/>
        <v>0</v>
      </c>
    </row>
    <row r="28" spans="1:9" ht="15.75" hidden="1" x14ac:dyDescent="0.25">
      <c r="A28" s="579" t="s">
        <v>137</v>
      </c>
      <c r="B28" s="573" t="s">
        <v>1002</v>
      </c>
      <c r="C28" s="573" t="s">
        <v>150</v>
      </c>
      <c r="D28" s="573" t="s">
        <v>219</v>
      </c>
      <c r="E28" s="573" t="s">
        <v>138</v>
      </c>
      <c r="F28" s="573"/>
      <c r="G28" s="489">
        <f>'Пр.4 ведом.22'!G953</f>
        <v>0</v>
      </c>
      <c r="H28" s="489">
        <f>'Пр.4 ведом.22'!H953</f>
        <v>0</v>
      </c>
    </row>
    <row r="29" spans="1:9" ht="31.5" hidden="1" x14ac:dyDescent="0.25">
      <c r="A29" s="45" t="s">
        <v>623</v>
      </c>
      <c r="B29" s="573" t="s">
        <v>1002</v>
      </c>
      <c r="C29" s="573" t="s">
        <v>150</v>
      </c>
      <c r="D29" s="573" t="s">
        <v>219</v>
      </c>
      <c r="E29" s="573" t="s">
        <v>138</v>
      </c>
      <c r="F29" s="573" t="s">
        <v>624</v>
      </c>
      <c r="G29" s="489">
        <f>G28</f>
        <v>0</v>
      </c>
      <c r="H29" s="489">
        <f>H28</f>
        <v>0</v>
      </c>
    </row>
    <row r="30" spans="1:9" ht="47.25" x14ac:dyDescent="0.25">
      <c r="A30" s="58" t="s">
        <v>1395</v>
      </c>
      <c r="B30" s="7" t="s">
        <v>344</v>
      </c>
      <c r="C30" s="7"/>
      <c r="D30" s="7"/>
      <c r="E30" s="7"/>
      <c r="F30" s="7"/>
      <c r="G30" s="59">
        <f>G31+G60+G68+G97+G113</f>
        <v>3446.1</v>
      </c>
      <c r="H30" s="59">
        <f>H31+H60+H68+H97+H113</f>
        <v>3410.4</v>
      </c>
      <c r="I30" s="22">
        <f>H30-G30</f>
        <v>-35.699999999999818</v>
      </c>
    </row>
    <row r="31" spans="1:9" ht="31.5" x14ac:dyDescent="0.25">
      <c r="A31" s="58" t="s">
        <v>625</v>
      </c>
      <c r="B31" s="7" t="s">
        <v>346</v>
      </c>
      <c r="C31" s="7"/>
      <c r="D31" s="7"/>
      <c r="E31" s="7"/>
      <c r="F31" s="7"/>
      <c r="G31" s="59">
        <f>G33+G43+G53</f>
        <v>760.1</v>
      </c>
      <c r="H31" s="59">
        <f>H33+H43+H53</f>
        <v>760.1</v>
      </c>
    </row>
    <row r="32" spans="1:9" ht="47.25" x14ac:dyDescent="0.25">
      <c r="A32" s="571" t="s">
        <v>1029</v>
      </c>
      <c r="B32" s="495" t="s">
        <v>892</v>
      </c>
      <c r="C32" s="7"/>
      <c r="D32" s="7"/>
      <c r="E32" s="573"/>
      <c r="F32" s="573"/>
      <c r="G32" s="59">
        <f>G33</f>
        <v>280</v>
      </c>
      <c r="H32" s="59">
        <f>H33</f>
        <v>280</v>
      </c>
    </row>
    <row r="33" spans="1:8" ht="15.75" x14ac:dyDescent="0.25">
      <c r="A33" s="45" t="s">
        <v>263</v>
      </c>
      <c r="B33" s="573" t="s">
        <v>892</v>
      </c>
      <c r="C33" s="573" t="s">
        <v>264</v>
      </c>
      <c r="D33" s="573"/>
      <c r="E33" s="573"/>
      <c r="F33" s="573"/>
      <c r="G33" s="10">
        <f t="shared" ref="G33:H33" si="5">G34</f>
        <v>280</v>
      </c>
      <c r="H33" s="10">
        <f t="shared" si="5"/>
        <v>280</v>
      </c>
    </row>
    <row r="34" spans="1:8" ht="15.75" x14ac:dyDescent="0.25">
      <c r="A34" s="45" t="s">
        <v>466</v>
      </c>
      <c r="B34" s="573" t="s">
        <v>892</v>
      </c>
      <c r="C34" s="573" t="s">
        <v>264</v>
      </c>
      <c r="D34" s="573" t="s">
        <v>264</v>
      </c>
      <c r="E34" s="573"/>
      <c r="F34" s="573"/>
      <c r="G34" s="10">
        <f>G35+G39</f>
        <v>280</v>
      </c>
      <c r="H34" s="10">
        <f>H35+H39</f>
        <v>280</v>
      </c>
    </row>
    <row r="35" spans="1:8" ht="31.5" x14ac:dyDescent="0.25">
      <c r="A35" s="98" t="s">
        <v>1035</v>
      </c>
      <c r="B35" s="580" t="s">
        <v>893</v>
      </c>
      <c r="C35" s="573" t="s">
        <v>264</v>
      </c>
      <c r="D35" s="573" t="s">
        <v>264</v>
      </c>
      <c r="E35" s="573"/>
      <c r="F35" s="573"/>
      <c r="G35" s="10">
        <f>G36</f>
        <v>280</v>
      </c>
      <c r="H35" s="10">
        <f>H36</f>
        <v>280</v>
      </c>
    </row>
    <row r="36" spans="1:8" ht="78.75" x14ac:dyDescent="0.25">
      <c r="A36" s="579" t="s">
        <v>127</v>
      </c>
      <c r="B36" s="580" t="s">
        <v>893</v>
      </c>
      <c r="C36" s="573" t="s">
        <v>264</v>
      </c>
      <c r="D36" s="573" t="s">
        <v>264</v>
      </c>
      <c r="E36" s="573" t="s">
        <v>128</v>
      </c>
      <c r="F36" s="573"/>
      <c r="G36" s="10">
        <f>G37</f>
        <v>280</v>
      </c>
      <c r="H36" s="10">
        <f>H37</f>
        <v>280</v>
      </c>
    </row>
    <row r="37" spans="1:8" ht="15.75" x14ac:dyDescent="0.25">
      <c r="A37" s="579" t="s">
        <v>342</v>
      </c>
      <c r="B37" s="580" t="s">
        <v>893</v>
      </c>
      <c r="C37" s="573" t="s">
        <v>264</v>
      </c>
      <c r="D37" s="573" t="s">
        <v>264</v>
      </c>
      <c r="E37" s="573" t="s">
        <v>209</v>
      </c>
      <c r="F37" s="573"/>
      <c r="G37" s="10">
        <f>'Пр.4.1 ведом.23-24 '!G348</f>
        <v>280</v>
      </c>
      <c r="H37" s="10">
        <f>'Пр.4.1 ведом.23-24 '!H348</f>
        <v>280</v>
      </c>
    </row>
    <row r="38" spans="1:8" ht="47.25" x14ac:dyDescent="0.25">
      <c r="A38" s="45" t="s">
        <v>261</v>
      </c>
      <c r="B38" s="580" t="s">
        <v>893</v>
      </c>
      <c r="C38" s="573" t="s">
        <v>264</v>
      </c>
      <c r="D38" s="573" t="s">
        <v>264</v>
      </c>
      <c r="E38" s="573" t="s">
        <v>209</v>
      </c>
      <c r="F38" s="573" t="s">
        <v>627</v>
      </c>
      <c r="G38" s="489">
        <f>G37</f>
        <v>280</v>
      </c>
      <c r="H38" s="489">
        <f>H37</f>
        <v>280</v>
      </c>
    </row>
    <row r="39" spans="1:8" ht="15.75" hidden="1" x14ac:dyDescent="0.25">
      <c r="A39" s="579" t="s">
        <v>1030</v>
      </c>
      <c r="B39" s="580" t="s">
        <v>1046</v>
      </c>
      <c r="C39" s="573" t="s">
        <v>264</v>
      </c>
      <c r="D39" s="573" t="s">
        <v>264</v>
      </c>
      <c r="E39" s="573"/>
      <c r="F39" s="573"/>
      <c r="G39" s="10">
        <f>G40</f>
        <v>0</v>
      </c>
      <c r="H39" s="10">
        <f>H40</f>
        <v>0</v>
      </c>
    </row>
    <row r="40" spans="1:8" ht="31.5" hidden="1" x14ac:dyDescent="0.25">
      <c r="A40" s="579" t="s">
        <v>131</v>
      </c>
      <c r="B40" s="580" t="s">
        <v>1046</v>
      </c>
      <c r="C40" s="573" t="s">
        <v>264</v>
      </c>
      <c r="D40" s="573" t="s">
        <v>264</v>
      </c>
      <c r="E40" s="573" t="s">
        <v>132</v>
      </c>
      <c r="F40" s="573"/>
      <c r="G40" s="10">
        <f>G41</f>
        <v>0</v>
      </c>
      <c r="H40" s="10">
        <f>H41</f>
        <v>0</v>
      </c>
    </row>
    <row r="41" spans="1:8" ht="31.5" hidden="1" x14ac:dyDescent="0.25">
      <c r="A41" s="579" t="s">
        <v>133</v>
      </c>
      <c r="B41" s="580" t="s">
        <v>1046</v>
      </c>
      <c r="C41" s="573" t="s">
        <v>264</v>
      </c>
      <c r="D41" s="573" t="s">
        <v>264</v>
      </c>
      <c r="E41" s="573" t="s">
        <v>134</v>
      </c>
      <c r="F41" s="573"/>
      <c r="G41" s="10">
        <f>'Пр.3 Рд,пр, ЦС,ВР 22'!F752</f>
        <v>0</v>
      </c>
      <c r="H41" s="10">
        <f>'Пр.3 Рд,пр, ЦС,ВР 22'!G752</f>
        <v>0</v>
      </c>
    </row>
    <row r="42" spans="1:8" ht="47.25" hidden="1" x14ac:dyDescent="0.25">
      <c r="A42" s="45" t="s">
        <v>261</v>
      </c>
      <c r="B42" s="580" t="s">
        <v>1046</v>
      </c>
      <c r="C42" s="573" t="s">
        <v>264</v>
      </c>
      <c r="D42" s="573" t="s">
        <v>264</v>
      </c>
      <c r="E42" s="573" t="s">
        <v>134</v>
      </c>
      <c r="F42" s="573" t="s">
        <v>627</v>
      </c>
      <c r="G42" s="489">
        <f>G41</f>
        <v>0</v>
      </c>
      <c r="H42" s="489">
        <f>H41</f>
        <v>0</v>
      </c>
    </row>
    <row r="43" spans="1:8" ht="63" x14ac:dyDescent="0.25">
      <c r="A43" s="494" t="s">
        <v>1031</v>
      </c>
      <c r="B43" s="495" t="s">
        <v>894</v>
      </c>
      <c r="C43" s="573"/>
      <c r="D43" s="573"/>
      <c r="E43" s="573"/>
      <c r="F43" s="573"/>
      <c r="G43" s="59">
        <f>G44</f>
        <v>455.1</v>
      </c>
      <c r="H43" s="59">
        <f>H44</f>
        <v>455.1</v>
      </c>
    </row>
    <row r="44" spans="1:8" ht="15.75" x14ac:dyDescent="0.25">
      <c r="A44" s="45" t="s">
        <v>263</v>
      </c>
      <c r="B44" s="573" t="s">
        <v>894</v>
      </c>
      <c r="C44" s="573" t="s">
        <v>264</v>
      </c>
      <c r="D44" s="573"/>
      <c r="E44" s="573"/>
      <c r="F44" s="573"/>
      <c r="G44" s="10">
        <f>G45</f>
        <v>455.1</v>
      </c>
      <c r="H44" s="10">
        <f>H45</f>
        <v>455.1</v>
      </c>
    </row>
    <row r="45" spans="1:8" ht="15.75" x14ac:dyDescent="0.25">
      <c r="A45" s="45" t="s">
        <v>466</v>
      </c>
      <c r="B45" s="573" t="s">
        <v>894</v>
      </c>
      <c r="C45" s="573" t="s">
        <v>264</v>
      </c>
      <c r="D45" s="573" t="s">
        <v>264</v>
      </c>
      <c r="E45" s="573"/>
      <c r="F45" s="573"/>
      <c r="G45" s="10">
        <f>G46+G50</f>
        <v>455.1</v>
      </c>
      <c r="H45" s="10">
        <f>H46+H50</f>
        <v>455.1</v>
      </c>
    </row>
    <row r="46" spans="1:8" ht="15.75" x14ac:dyDescent="0.25">
      <c r="A46" s="579" t="s">
        <v>1032</v>
      </c>
      <c r="B46" s="580" t="s">
        <v>901</v>
      </c>
      <c r="C46" s="573" t="s">
        <v>264</v>
      </c>
      <c r="D46" s="573" t="s">
        <v>264</v>
      </c>
      <c r="E46" s="573"/>
      <c r="F46" s="573"/>
      <c r="G46" s="10">
        <f>G47</f>
        <v>40.1</v>
      </c>
      <c r="H46" s="10">
        <f>H47</f>
        <v>40.1</v>
      </c>
    </row>
    <row r="47" spans="1:8" ht="78.75" x14ac:dyDescent="0.25">
      <c r="A47" s="579" t="s">
        <v>127</v>
      </c>
      <c r="B47" s="580" t="s">
        <v>901</v>
      </c>
      <c r="C47" s="573" t="s">
        <v>264</v>
      </c>
      <c r="D47" s="573" t="s">
        <v>264</v>
      </c>
      <c r="E47" s="573" t="s">
        <v>128</v>
      </c>
      <c r="F47" s="573"/>
      <c r="G47" s="10">
        <f t="shared" ref="G47:H47" si="6">G48</f>
        <v>40.1</v>
      </c>
      <c r="H47" s="10">
        <f t="shared" si="6"/>
        <v>40.1</v>
      </c>
    </row>
    <row r="48" spans="1:8" ht="15.75" x14ac:dyDescent="0.25">
      <c r="A48" s="579" t="s">
        <v>342</v>
      </c>
      <c r="B48" s="580" t="s">
        <v>901</v>
      </c>
      <c r="C48" s="573" t="s">
        <v>264</v>
      </c>
      <c r="D48" s="573" t="s">
        <v>264</v>
      </c>
      <c r="E48" s="573" t="s">
        <v>209</v>
      </c>
      <c r="F48" s="573"/>
      <c r="G48" s="10">
        <f>'Пр.4.1 ведом.23-24 '!G355</f>
        <v>40.1</v>
      </c>
      <c r="H48" s="10">
        <f>'Пр.4.1 ведом.23-24 '!H355</f>
        <v>40.1</v>
      </c>
    </row>
    <row r="49" spans="1:8" ht="47.25" x14ac:dyDescent="0.25">
      <c r="A49" s="45" t="s">
        <v>261</v>
      </c>
      <c r="B49" s="580" t="s">
        <v>901</v>
      </c>
      <c r="C49" s="573" t="s">
        <v>264</v>
      </c>
      <c r="D49" s="573" t="s">
        <v>264</v>
      </c>
      <c r="E49" s="573" t="s">
        <v>209</v>
      </c>
      <c r="F49" s="573" t="s">
        <v>627</v>
      </c>
      <c r="G49" s="489">
        <f>G48</f>
        <v>40.1</v>
      </c>
      <c r="H49" s="489">
        <f>H48</f>
        <v>40.1</v>
      </c>
    </row>
    <row r="50" spans="1:8" ht="31.5" x14ac:dyDescent="0.25">
      <c r="A50" s="579" t="s">
        <v>131</v>
      </c>
      <c r="B50" s="580" t="s">
        <v>901</v>
      </c>
      <c r="C50" s="573" t="s">
        <v>264</v>
      </c>
      <c r="D50" s="573" t="s">
        <v>264</v>
      </c>
      <c r="E50" s="573" t="s">
        <v>132</v>
      </c>
      <c r="F50" s="573"/>
      <c r="G50" s="10">
        <f t="shared" ref="G50:H50" si="7">G51</f>
        <v>415</v>
      </c>
      <c r="H50" s="10">
        <f t="shared" si="7"/>
        <v>415</v>
      </c>
    </row>
    <row r="51" spans="1:8" ht="31.5" x14ac:dyDescent="0.25">
      <c r="A51" s="579" t="s">
        <v>133</v>
      </c>
      <c r="B51" s="580" t="s">
        <v>901</v>
      </c>
      <c r="C51" s="573" t="s">
        <v>264</v>
      </c>
      <c r="D51" s="573" t="s">
        <v>264</v>
      </c>
      <c r="E51" s="573" t="s">
        <v>134</v>
      </c>
      <c r="F51" s="573"/>
      <c r="G51" s="489">
        <f>'Пр.4.1 ведом.23-24 '!G357</f>
        <v>415</v>
      </c>
      <c r="H51" s="489">
        <f>'Пр.4.1 ведом.23-24 '!H357</f>
        <v>415</v>
      </c>
    </row>
    <row r="52" spans="1:8" ht="47.25" x14ac:dyDescent="0.25">
      <c r="A52" s="45" t="s">
        <v>261</v>
      </c>
      <c r="B52" s="580" t="s">
        <v>901</v>
      </c>
      <c r="C52" s="573" t="s">
        <v>264</v>
      </c>
      <c r="D52" s="573" t="s">
        <v>264</v>
      </c>
      <c r="E52" s="573" t="s">
        <v>134</v>
      </c>
      <c r="F52" s="573" t="s">
        <v>627</v>
      </c>
      <c r="G52" s="489">
        <f>G51</f>
        <v>415</v>
      </c>
      <c r="H52" s="489">
        <f>H51</f>
        <v>415</v>
      </c>
    </row>
    <row r="53" spans="1:8" ht="33" customHeight="1" x14ac:dyDescent="0.25">
      <c r="A53" s="494" t="s">
        <v>1037</v>
      </c>
      <c r="B53" s="495" t="s">
        <v>1033</v>
      </c>
      <c r="C53" s="573"/>
      <c r="D53" s="573"/>
      <c r="E53" s="573"/>
      <c r="F53" s="573"/>
      <c r="G53" s="488">
        <f>G56</f>
        <v>25</v>
      </c>
      <c r="H53" s="488">
        <f>H56</f>
        <v>25</v>
      </c>
    </row>
    <row r="54" spans="1:8" ht="16.5" customHeight="1" x14ac:dyDescent="0.25">
      <c r="A54" s="45" t="s">
        <v>263</v>
      </c>
      <c r="B54" s="573" t="s">
        <v>1033</v>
      </c>
      <c r="C54" s="573" t="s">
        <v>264</v>
      </c>
      <c r="D54" s="573"/>
      <c r="E54" s="573"/>
      <c r="F54" s="573"/>
      <c r="G54" s="10">
        <f>G55</f>
        <v>25</v>
      </c>
      <c r="H54" s="10">
        <f>H55</f>
        <v>25</v>
      </c>
    </row>
    <row r="55" spans="1:8" ht="18.75" customHeight="1" x14ac:dyDescent="0.25">
      <c r="A55" s="45" t="s">
        <v>466</v>
      </c>
      <c r="B55" s="573" t="s">
        <v>1033</v>
      </c>
      <c r="C55" s="573" t="s">
        <v>264</v>
      </c>
      <c r="D55" s="573" t="s">
        <v>264</v>
      </c>
      <c r="E55" s="573"/>
      <c r="F55" s="573"/>
      <c r="G55" s="10">
        <f>G56</f>
        <v>25</v>
      </c>
      <c r="H55" s="10">
        <f>H56</f>
        <v>25</v>
      </c>
    </row>
    <row r="56" spans="1:8" ht="47.25" x14ac:dyDescent="0.25">
      <c r="A56" s="231" t="s">
        <v>1034</v>
      </c>
      <c r="B56" s="580" t="s">
        <v>1047</v>
      </c>
      <c r="C56" s="573" t="s">
        <v>264</v>
      </c>
      <c r="D56" s="573" t="s">
        <v>264</v>
      </c>
      <c r="E56" s="580"/>
      <c r="F56" s="573"/>
      <c r="G56" s="489">
        <f t="shared" ref="G56:H56" si="8">G57</f>
        <v>25</v>
      </c>
      <c r="H56" s="489">
        <f t="shared" si="8"/>
        <v>25</v>
      </c>
    </row>
    <row r="57" spans="1:8" ht="15.75" x14ac:dyDescent="0.25">
      <c r="A57" s="579" t="s">
        <v>248</v>
      </c>
      <c r="B57" s="580" t="s">
        <v>1047</v>
      </c>
      <c r="C57" s="573" t="s">
        <v>264</v>
      </c>
      <c r="D57" s="573" t="s">
        <v>264</v>
      </c>
      <c r="E57" s="580" t="s">
        <v>249</v>
      </c>
      <c r="F57" s="573"/>
      <c r="G57" s="489">
        <f>G58</f>
        <v>25</v>
      </c>
      <c r="H57" s="489">
        <f>H58</f>
        <v>25</v>
      </c>
    </row>
    <row r="58" spans="1:8" ht="32.25" customHeight="1" x14ac:dyDescent="0.25">
      <c r="A58" s="579" t="s">
        <v>1196</v>
      </c>
      <c r="B58" s="580" t="s">
        <v>1047</v>
      </c>
      <c r="C58" s="573" t="s">
        <v>264</v>
      </c>
      <c r="D58" s="573" t="s">
        <v>264</v>
      </c>
      <c r="E58" s="580" t="s">
        <v>1195</v>
      </c>
      <c r="F58" s="573"/>
      <c r="G58" s="10">
        <f>'Пр.4.1 ведом.23-24 '!G361</f>
        <v>25</v>
      </c>
      <c r="H58" s="10">
        <f>'Пр.4.1 ведом.23-24 '!H361</f>
        <v>25</v>
      </c>
    </row>
    <row r="59" spans="1:8" ht="47.25" x14ac:dyDescent="0.25">
      <c r="A59" s="45" t="s">
        <v>261</v>
      </c>
      <c r="B59" s="580" t="s">
        <v>1047</v>
      </c>
      <c r="C59" s="573" t="s">
        <v>264</v>
      </c>
      <c r="D59" s="573" t="s">
        <v>264</v>
      </c>
      <c r="E59" s="573" t="s">
        <v>1195</v>
      </c>
      <c r="F59" s="573" t="s">
        <v>627</v>
      </c>
      <c r="G59" s="489">
        <f>G58</f>
        <v>25</v>
      </c>
      <c r="H59" s="489">
        <f>H58</f>
        <v>25</v>
      </c>
    </row>
    <row r="60" spans="1:8" ht="31.5" x14ac:dyDescent="0.25">
      <c r="A60" s="58" t="s">
        <v>1396</v>
      </c>
      <c r="B60" s="7" t="s">
        <v>353</v>
      </c>
      <c r="C60" s="7"/>
      <c r="D60" s="7"/>
      <c r="E60" s="7"/>
      <c r="F60" s="7"/>
      <c r="G60" s="59">
        <f>G61</f>
        <v>253.1</v>
      </c>
      <c r="H60" s="59">
        <f>H61</f>
        <v>217.4</v>
      </c>
    </row>
    <row r="61" spans="1:8" ht="31.5" x14ac:dyDescent="0.25">
      <c r="A61" s="494" t="s">
        <v>905</v>
      </c>
      <c r="B61" s="495" t="s">
        <v>904</v>
      </c>
      <c r="C61" s="7"/>
      <c r="D61" s="7"/>
      <c r="E61" s="7"/>
      <c r="F61" s="7"/>
      <c r="G61" s="59">
        <f>G62</f>
        <v>253.1</v>
      </c>
      <c r="H61" s="59">
        <f>H62</f>
        <v>217.4</v>
      </c>
    </row>
    <row r="62" spans="1:8" ht="15.75" x14ac:dyDescent="0.25">
      <c r="A62" s="45" t="s">
        <v>243</v>
      </c>
      <c r="B62" s="573" t="s">
        <v>904</v>
      </c>
      <c r="C62" s="573" t="s">
        <v>244</v>
      </c>
      <c r="D62" s="573"/>
      <c r="E62" s="573"/>
      <c r="F62" s="573"/>
      <c r="G62" s="10">
        <f t="shared" ref="G62:H65" si="9">G63</f>
        <v>253.1</v>
      </c>
      <c r="H62" s="10">
        <f t="shared" si="9"/>
        <v>217.4</v>
      </c>
    </row>
    <row r="63" spans="1:8" ht="15.75" x14ac:dyDescent="0.25">
      <c r="A63" s="45" t="s">
        <v>252</v>
      </c>
      <c r="B63" s="573" t="s">
        <v>904</v>
      </c>
      <c r="C63" s="573" t="s">
        <v>244</v>
      </c>
      <c r="D63" s="573" t="s">
        <v>215</v>
      </c>
      <c r="E63" s="573"/>
      <c r="F63" s="573"/>
      <c r="G63" s="10">
        <f>G64</f>
        <v>253.1</v>
      </c>
      <c r="H63" s="10">
        <f>H64</f>
        <v>217.4</v>
      </c>
    </row>
    <row r="64" spans="1:8" ht="31.5" x14ac:dyDescent="0.25">
      <c r="A64" s="579" t="s">
        <v>824</v>
      </c>
      <c r="B64" s="580" t="s">
        <v>906</v>
      </c>
      <c r="C64" s="573" t="s">
        <v>244</v>
      </c>
      <c r="D64" s="573" t="s">
        <v>215</v>
      </c>
      <c r="E64" s="573"/>
      <c r="F64" s="573"/>
      <c r="G64" s="10">
        <f t="shared" si="9"/>
        <v>253.1</v>
      </c>
      <c r="H64" s="10">
        <f t="shared" si="9"/>
        <v>217.4</v>
      </c>
    </row>
    <row r="65" spans="1:8" ht="15.75" x14ac:dyDescent="0.25">
      <c r="A65" s="29" t="s">
        <v>248</v>
      </c>
      <c r="B65" s="580" t="s">
        <v>906</v>
      </c>
      <c r="C65" s="573" t="s">
        <v>244</v>
      </c>
      <c r="D65" s="573" t="s">
        <v>215</v>
      </c>
      <c r="E65" s="573" t="s">
        <v>249</v>
      </c>
      <c r="F65" s="573"/>
      <c r="G65" s="10">
        <f t="shared" si="9"/>
        <v>253.1</v>
      </c>
      <c r="H65" s="10">
        <f t="shared" si="9"/>
        <v>217.4</v>
      </c>
    </row>
    <row r="66" spans="1:8" ht="31.5" x14ac:dyDescent="0.25">
      <c r="A66" s="29" t="s">
        <v>250</v>
      </c>
      <c r="B66" s="580" t="s">
        <v>906</v>
      </c>
      <c r="C66" s="573" t="s">
        <v>244</v>
      </c>
      <c r="D66" s="573" t="s">
        <v>215</v>
      </c>
      <c r="E66" s="573" t="s">
        <v>251</v>
      </c>
      <c r="F66" s="573"/>
      <c r="G66" s="10">
        <f>'Пр.4.1 ведом.23-24 '!G481</f>
        <v>253.1</v>
      </c>
      <c r="H66" s="10">
        <f>'Пр.4.1 ведом.23-24 '!H481</f>
        <v>217.4</v>
      </c>
    </row>
    <row r="67" spans="1:8" ht="47.25" x14ac:dyDescent="0.25">
      <c r="A67" s="45" t="s">
        <v>261</v>
      </c>
      <c r="B67" s="580" t="s">
        <v>906</v>
      </c>
      <c r="C67" s="573" t="s">
        <v>244</v>
      </c>
      <c r="D67" s="573" t="s">
        <v>215</v>
      </c>
      <c r="E67" s="573" t="s">
        <v>251</v>
      </c>
      <c r="F67" s="573" t="s">
        <v>627</v>
      </c>
      <c r="G67" s="10">
        <f t="shared" ref="G67:H67" si="10">G60</f>
        <v>253.1</v>
      </c>
      <c r="H67" s="10">
        <f t="shared" si="10"/>
        <v>217.4</v>
      </c>
    </row>
    <row r="68" spans="1:8" ht="54" customHeight="1" x14ac:dyDescent="0.25">
      <c r="A68" s="572" t="s">
        <v>1397</v>
      </c>
      <c r="B68" s="7" t="s">
        <v>356</v>
      </c>
      <c r="C68" s="7"/>
      <c r="D68" s="7"/>
      <c r="E68" s="7"/>
      <c r="F68" s="7"/>
      <c r="G68" s="59">
        <f>G69+G76+G83+G90</f>
        <v>210</v>
      </c>
      <c r="H68" s="59">
        <f>H69+H76+H83+H90</f>
        <v>210</v>
      </c>
    </row>
    <row r="69" spans="1:8" ht="47.25" hidden="1" x14ac:dyDescent="0.25">
      <c r="A69" s="215" t="s">
        <v>1042</v>
      </c>
      <c r="B69" s="495" t="s">
        <v>907</v>
      </c>
      <c r="C69" s="7"/>
      <c r="D69" s="7"/>
      <c r="E69" s="7"/>
      <c r="F69" s="7"/>
      <c r="G69" s="59">
        <f t="shared" ref="G69:H73" si="11">G70</f>
        <v>0</v>
      </c>
      <c r="H69" s="59">
        <f t="shared" si="11"/>
        <v>0</v>
      </c>
    </row>
    <row r="70" spans="1:8" ht="15.75" hidden="1" x14ac:dyDescent="0.25">
      <c r="A70" s="45" t="s">
        <v>232</v>
      </c>
      <c r="B70" s="573" t="s">
        <v>907</v>
      </c>
      <c r="C70" s="573" t="s">
        <v>150</v>
      </c>
      <c r="D70" s="573"/>
      <c r="E70" s="573"/>
      <c r="F70" s="573"/>
      <c r="G70" s="10">
        <f t="shared" si="11"/>
        <v>0</v>
      </c>
      <c r="H70" s="10">
        <f t="shared" si="11"/>
        <v>0</v>
      </c>
    </row>
    <row r="71" spans="1:8" ht="15.75" hidden="1" x14ac:dyDescent="0.25">
      <c r="A71" s="45" t="s">
        <v>237</v>
      </c>
      <c r="B71" s="573" t="s">
        <v>907</v>
      </c>
      <c r="C71" s="573" t="s">
        <v>150</v>
      </c>
      <c r="D71" s="573" t="s">
        <v>238</v>
      </c>
      <c r="E71" s="573"/>
      <c r="F71" s="573"/>
      <c r="G71" s="10">
        <f t="shared" si="11"/>
        <v>0</v>
      </c>
      <c r="H71" s="10">
        <f t="shared" si="11"/>
        <v>0</v>
      </c>
    </row>
    <row r="72" spans="1:8" ht="47.25" hidden="1" x14ac:dyDescent="0.25">
      <c r="A72" s="579" t="s">
        <v>375</v>
      </c>
      <c r="B72" s="580" t="s">
        <v>1316</v>
      </c>
      <c r="C72" s="573" t="s">
        <v>150</v>
      </c>
      <c r="D72" s="573" t="s">
        <v>238</v>
      </c>
      <c r="E72" s="573"/>
      <c r="F72" s="573"/>
      <c r="G72" s="10">
        <f t="shared" si="11"/>
        <v>0</v>
      </c>
      <c r="H72" s="10">
        <f t="shared" si="11"/>
        <v>0</v>
      </c>
    </row>
    <row r="73" spans="1:8" ht="15.75" hidden="1" x14ac:dyDescent="0.25">
      <c r="A73" s="579" t="s">
        <v>248</v>
      </c>
      <c r="B73" s="580" t="s">
        <v>1316</v>
      </c>
      <c r="C73" s="573" t="s">
        <v>150</v>
      </c>
      <c r="D73" s="573" t="s">
        <v>238</v>
      </c>
      <c r="E73" s="573" t="s">
        <v>249</v>
      </c>
      <c r="F73" s="573"/>
      <c r="G73" s="10">
        <f t="shared" si="11"/>
        <v>0</v>
      </c>
      <c r="H73" s="10">
        <f t="shared" si="11"/>
        <v>0</v>
      </c>
    </row>
    <row r="74" spans="1:8" ht="31.5" hidden="1" x14ac:dyDescent="0.25">
      <c r="A74" s="579" t="s">
        <v>250</v>
      </c>
      <c r="B74" s="580" t="s">
        <v>1316</v>
      </c>
      <c r="C74" s="573" t="s">
        <v>150</v>
      </c>
      <c r="D74" s="573" t="s">
        <v>238</v>
      </c>
      <c r="E74" s="573" t="s">
        <v>251</v>
      </c>
      <c r="F74" s="573"/>
      <c r="G74" s="10">
        <f>'Пр.4 ведом.22'!G284</f>
        <v>0</v>
      </c>
      <c r="H74" s="10">
        <f>'Пр.4 ведом.22'!H284</f>
        <v>0</v>
      </c>
    </row>
    <row r="75" spans="1:8" ht="47.25" hidden="1" x14ac:dyDescent="0.25">
      <c r="A75" s="45" t="s">
        <v>261</v>
      </c>
      <c r="B75" s="580" t="s">
        <v>1316</v>
      </c>
      <c r="C75" s="573" t="s">
        <v>150</v>
      </c>
      <c r="D75" s="573" t="s">
        <v>238</v>
      </c>
      <c r="E75" s="573" t="s">
        <v>251</v>
      </c>
      <c r="F75" s="573" t="s">
        <v>627</v>
      </c>
      <c r="G75" s="10">
        <f>G74</f>
        <v>0</v>
      </c>
      <c r="H75" s="10">
        <f>H74</f>
        <v>0</v>
      </c>
    </row>
    <row r="76" spans="1:8" ht="31.5" x14ac:dyDescent="0.25">
      <c r="A76" s="494" t="s">
        <v>1041</v>
      </c>
      <c r="B76" s="7" t="s">
        <v>1199</v>
      </c>
      <c r="C76" s="7"/>
      <c r="D76" s="7"/>
      <c r="E76" s="7"/>
      <c r="F76" s="7"/>
      <c r="G76" s="59">
        <f t="shared" ref="G76:H80" si="12">G77</f>
        <v>210</v>
      </c>
      <c r="H76" s="59">
        <f t="shared" si="12"/>
        <v>210</v>
      </c>
    </row>
    <row r="77" spans="1:8" ht="15.75" x14ac:dyDescent="0.25">
      <c r="A77" s="45" t="s">
        <v>232</v>
      </c>
      <c r="B77" s="573" t="s">
        <v>1199</v>
      </c>
      <c r="C77" s="573" t="s">
        <v>150</v>
      </c>
      <c r="D77" s="573"/>
      <c r="E77" s="573"/>
      <c r="F77" s="573"/>
      <c r="G77" s="10">
        <f t="shared" si="12"/>
        <v>210</v>
      </c>
      <c r="H77" s="10">
        <f t="shared" si="12"/>
        <v>210</v>
      </c>
    </row>
    <row r="78" spans="1:8" ht="15.75" x14ac:dyDescent="0.25">
      <c r="A78" s="45" t="s">
        <v>237</v>
      </c>
      <c r="B78" s="573" t="s">
        <v>1199</v>
      </c>
      <c r="C78" s="573" t="s">
        <v>150</v>
      </c>
      <c r="D78" s="573" t="s">
        <v>238</v>
      </c>
      <c r="E78" s="573"/>
      <c r="F78" s="573"/>
      <c r="G78" s="10">
        <f t="shared" si="12"/>
        <v>210</v>
      </c>
      <c r="H78" s="10">
        <f t="shared" si="12"/>
        <v>210</v>
      </c>
    </row>
    <row r="79" spans="1:8" ht="101.25" customHeight="1" x14ac:dyDescent="0.25">
      <c r="A79" s="579" t="s">
        <v>1501</v>
      </c>
      <c r="B79" s="580" t="s">
        <v>1200</v>
      </c>
      <c r="C79" s="573" t="s">
        <v>150</v>
      </c>
      <c r="D79" s="573" t="s">
        <v>238</v>
      </c>
      <c r="E79" s="573"/>
      <c r="F79" s="573"/>
      <c r="G79" s="10">
        <f t="shared" si="12"/>
        <v>210</v>
      </c>
      <c r="H79" s="10">
        <f t="shared" si="12"/>
        <v>210</v>
      </c>
    </row>
    <row r="80" spans="1:8" ht="31.5" x14ac:dyDescent="0.25">
      <c r="A80" s="579" t="s">
        <v>272</v>
      </c>
      <c r="B80" s="580" t="s">
        <v>1200</v>
      </c>
      <c r="C80" s="573" t="s">
        <v>150</v>
      </c>
      <c r="D80" s="573" t="s">
        <v>238</v>
      </c>
      <c r="E80" s="573" t="s">
        <v>273</v>
      </c>
      <c r="F80" s="573"/>
      <c r="G80" s="10">
        <f t="shared" si="12"/>
        <v>210</v>
      </c>
      <c r="H80" s="10">
        <f t="shared" si="12"/>
        <v>210</v>
      </c>
    </row>
    <row r="81" spans="1:8" ht="63" x14ac:dyDescent="0.25">
      <c r="A81" s="579" t="s">
        <v>1089</v>
      </c>
      <c r="B81" s="580" t="s">
        <v>1200</v>
      </c>
      <c r="C81" s="573" t="s">
        <v>150</v>
      </c>
      <c r="D81" s="573" t="s">
        <v>238</v>
      </c>
      <c r="E81" s="573" t="s">
        <v>372</v>
      </c>
      <c r="F81" s="573"/>
      <c r="G81" s="10">
        <f>'Пр.4.1 ведом.23-24 '!G289</f>
        <v>210</v>
      </c>
      <c r="H81" s="10">
        <f>'Пр.4.1 ведом.23-24 '!H289</f>
        <v>210</v>
      </c>
    </row>
    <row r="82" spans="1:8" ht="47.25" x14ac:dyDescent="0.25">
      <c r="A82" s="45" t="s">
        <v>261</v>
      </c>
      <c r="B82" s="580" t="s">
        <v>1200</v>
      </c>
      <c r="C82" s="573" t="s">
        <v>150</v>
      </c>
      <c r="D82" s="573" t="s">
        <v>238</v>
      </c>
      <c r="E82" s="573" t="s">
        <v>372</v>
      </c>
      <c r="F82" s="573" t="s">
        <v>627</v>
      </c>
      <c r="G82" s="10">
        <f>G81</f>
        <v>210</v>
      </c>
      <c r="H82" s="10">
        <f>H81</f>
        <v>210</v>
      </c>
    </row>
    <row r="83" spans="1:8" ht="31.5" hidden="1" x14ac:dyDescent="0.25">
      <c r="A83" s="494" t="s">
        <v>995</v>
      </c>
      <c r="B83" s="495" t="s">
        <v>1309</v>
      </c>
      <c r="C83" s="7"/>
      <c r="D83" s="7"/>
      <c r="E83" s="7"/>
      <c r="F83" s="7"/>
      <c r="G83" s="59">
        <f t="shared" ref="G83:H87" si="13">G84</f>
        <v>0</v>
      </c>
      <c r="H83" s="59">
        <f t="shared" si="13"/>
        <v>0</v>
      </c>
    </row>
    <row r="84" spans="1:8" ht="15.75" hidden="1" x14ac:dyDescent="0.25">
      <c r="A84" s="45" t="s">
        <v>232</v>
      </c>
      <c r="B84" s="573" t="s">
        <v>1309</v>
      </c>
      <c r="C84" s="573" t="s">
        <v>150</v>
      </c>
      <c r="D84" s="573"/>
      <c r="E84" s="573"/>
      <c r="F84" s="573"/>
      <c r="G84" s="10">
        <f t="shared" si="13"/>
        <v>0</v>
      </c>
      <c r="H84" s="10">
        <f t="shared" si="13"/>
        <v>0</v>
      </c>
    </row>
    <row r="85" spans="1:8" ht="15.75" hidden="1" x14ac:dyDescent="0.25">
      <c r="A85" s="45" t="s">
        <v>237</v>
      </c>
      <c r="B85" s="573" t="s">
        <v>1309</v>
      </c>
      <c r="C85" s="573" t="s">
        <v>150</v>
      </c>
      <c r="D85" s="573" t="s">
        <v>238</v>
      </c>
      <c r="E85" s="573"/>
      <c r="F85" s="573"/>
      <c r="G85" s="10">
        <f t="shared" si="13"/>
        <v>0</v>
      </c>
      <c r="H85" s="10">
        <f t="shared" si="13"/>
        <v>0</v>
      </c>
    </row>
    <row r="86" spans="1:8" ht="31.5" hidden="1" x14ac:dyDescent="0.25">
      <c r="A86" s="252" t="s">
        <v>1043</v>
      </c>
      <c r="B86" s="580" t="s">
        <v>1310</v>
      </c>
      <c r="C86" s="573" t="s">
        <v>150</v>
      </c>
      <c r="D86" s="573" t="s">
        <v>238</v>
      </c>
      <c r="E86" s="573"/>
      <c r="F86" s="573"/>
      <c r="G86" s="10">
        <f t="shared" si="13"/>
        <v>0</v>
      </c>
      <c r="H86" s="10">
        <f t="shared" si="13"/>
        <v>0</v>
      </c>
    </row>
    <row r="87" spans="1:8" ht="31.5" hidden="1" x14ac:dyDescent="0.25">
      <c r="A87" s="579" t="s">
        <v>131</v>
      </c>
      <c r="B87" s="580" t="s">
        <v>1310</v>
      </c>
      <c r="C87" s="573" t="s">
        <v>150</v>
      </c>
      <c r="D87" s="573" t="s">
        <v>238</v>
      </c>
      <c r="E87" s="573" t="s">
        <v>132</v>
      </c>
      <c r="F87" s="573"/>
      <c r="G87" s="10">
        <f t="shared" si="13"/>
        <v>0</v>
      </c>
      <c r="H87" s="10">
        <f t="shared" si="13"/>
        <v>0</v>
      </c>
    </row>
    <row r="88" spans="1:8" ht="31.5" hidden="1" x14ac:dyDescent="0.25">
      <c r="A88" s="579" t="s">
        <v>133</v>
      </c>
      <c r="B88" s="580" t="s">
        <v>1310</v>
      </c>
      <c r="C88" s="573" t="s">
        <v>150</v>
      </c>
      <c r="D88" s="573" t="s">
        <v>238</v>
      </c>
      <c r="E88" s="573" t="s">
        <v>134</v>
      </c>
      <c r="F88" s="573"/>
      <c r="G88" s="10">
        <f>'Пр.4 ведом.22'!G292</f>
        <v>0</v>
      </c>
      <c r="H88" s="10">
        <f>'Пр.4 ведом.22'!H292</f>
        <v>0</v>
      </c>
    </row>
    <row r="89" spans="1:8" ht="47.25" hidden="1" x14ac:dyDescent="0.25">
      <c r="A89" s="45" t="s">
        <v>261</v>
      </c>
      <c r="B89" s="580" t="s">
        <v>1310</v>
      </c>
      <c r="C89" s="573" t="s">
        <v>150</v>
      </c>
      <c r="D89" s="573" t="s">
        <v>238</v>
      </c>
      <c r="E89" s="573" t="s">
        <v>134</v>
      </c>
      <c r="F89" s="9" t="s">
        <v>627</v>
      </c>
      <c r="G89" s="10">
        <f>G88</f>
        <v>0</v>
      </c>
      <c r="H89" s="10">
        <f>H88</f>
        <v>0</v>
      </c>
    </row>
    <row r="90" spans="1:8" ht="31.5" hidden="1" x14ac:dyDescent="0.25">
      <c r="A90" s="503" t="s">
        <v>1102</v>
      </c>
      <c r="B90" s="495" t="s">
        <v>1201</v>
      </c>
      <c r="C90" s="7"/>
      <c r="D90" s="7"/>
      <c r="E90" s="7"/>
      <c r="F90" s="7"/>
      <c r="G90" s="59">
        <f t="shared" ref="G90:H94" si="14">G91</f>
        <v>0</v>
      </c>
      <c r="H90" s="59">
        <f t="shared" si="14"/>
        <v>0</v>
      </c>
    </row>
    <row r="91" spans="1:8" ht="15.75" hidden="1" x14ac:dyDescent="0.25">
      <c r="A91" s="45" t="s">
        <v>232</v>
      </c>
      <c r="B91" s="573" t="s">
        <v>1201</v>
      </c>
      <c r="C91" s="573" t="s">
        <v>150</v>
      </c>
      <c r="D91" s="573"/>
      <c r="E91" s="573"/>
      <c r="F91" s="573"/>
      <c r="G91" s="10">
        <f t="shared" si="14"/>
        <v>0</v>
      </c>
      <c r="H91" s="10">
        <f t="shared" si="14"/>
        <v>0</v>
      </c>
    </row>
    <row r="92" spans="1:8" ht="15.75" hidden="1" x14ac:dyDescent="0.25">
      <c r="A92" s="45" t="s">
        <v>237</v>
      </c>
      <c r="B92" s="573" t="s">
        <v>1201</v>
      </c>
      <c r="C92" s="573" t="s">
        <v>150</v>
      </c>
      <c r="D92" s="573" t="s">
        <v>238</v>
      </c>
      <c r="E92" s="573"/>
      <c r="F92" s="573"/>
      <c r="G92" s="10">
        <f t="shared" si="14"/>
        <v>0</v>
      </c>
      <c r="H92" s="10">
        <f t="shared" si="14"/>
        <v>0</v>
      </c>
    </row>
    <row r="93" spans="1:8" ht="31.5" hidden="1" x14ac:dyDescent="0.25">
      <c r="A93" s="231" t="s">
        <v>1398</v>
      </c>
      <c r="B93" s="580" t="s">
        <v>1202</v>
      </c>
      <c r="C93" s="573" t="s">
        <v>150</v>
      </c>
      <c r="D93" s="573" t="s">
        <v>238</v>
      </c>
      <c r="E93" s="573"/>
      <c r="F93" s="573"/>
      <c r="G93" s="10">
        <f t="shared" si="14"/>
        <v>0</v>
      </c>
      <c r="H93" s="10">
        <f t="shared" si="14"/>
        <v>0</v>
      </c>
    </row>
    <row r="94" spans="1:8" ht="31.5" hidden="1" x14ac:dyDescent="0.25">
      <c r="A94" s="579" t="s">
        <v>131</v>
      </c>
      <c r="B94" s="580" t="s">
        <v>1202</v>
      </c>
      <c r="C94" s="573" t="s">
        <v>150</v>
      </c>
      <c r="D94" s="573" t="s">
        <v>238</v>
      </c>
      <c r="E94" s="573" t="s">
        <v>132</v>
      </c>
      <c r="F94" s="573"/>
      <c r="G94" s="10">
        <f t="shared" si="14"/>
        <v>0</v>
      </c>
      <c r="H94" s="10">
        <f t="shared" si="14"/>
        <v>0</v>
      </c>
    </row>
    <row r="95" spans="1:8" ht="31.5" hidden="1" x14ac:dyDescent="0.25">
      <c r="A95" s="579" t="s">
        <v>133</v>
      </c>
      <c r="B95" s="580" t="s">
        <v>1202</v>
      </c>
      <c r="C95" s="573" t="s">
        <v>150</v>
      </c>
      <c r="D95" s="573" t="s">
        <v>238</v>
      </c>
      <c r="E95" s="573" t="s">
        <v>134</v>
      </c>
      <c r="F95" s="573"/>
      <c r="G95" s="10">
        <f>'Пр.4 ведом.22'!G296</f>
        <v>0</v>
      </c>
      <c r="H95" s="10">
        <f>'Пр.4 ведом.22'!H296</f>
        <v>0</v>
      </c>
    </row>
    <row r="96" spans="1:8" ht="47.25" hidden="1" x14ac:dyDescent="0.25">
      <c r="A96" s="45" t="s">
        <v>261</v>
      </c>
      <c r="B96" s="580" t="s">
        <v>1202</v>
      </c>
      <c r="C96" s="573" t="s">
        <v>150</v>
      </c>
      <c r="D96" s="573" t="s">
        <v>238</v>
      </c>
      <c r="E96" s="573" t="s">
        <v>134</v>
      </c>
      <c r="F96" s="9" t="s">
        <v>627</v>
      </c>
      <c r="G96" s="10">
        <f>G95</f>
        <v>0</v>
      </c>
      <c r="H96" s="10">
        <f>H95</f>
        <v>0</v>
      </c>
    </row>
    <row r="97" spans="1:8" ht="78.75" x14ac:dyDescent="0.25">
      <c r="A97" s="572" t="s">
        <v>1348</v>
      </c>
      <c r="B97" s="7" t="s">
        <v>359</v>
      </c>
      <c r="C97" s="7"/>
      <c r="D97" s="7"/>
      <c r="E97" s="7"/>
      <c r="F97" s="8"/>
      <c r="G97" s="59">
        <f>G98</f>
        <v>655.9</v>
      </c>
      <c r="H97" s="59">
        <f>H98</f>
        <v>655.9</v>
      </c>
    </row>
    <row r="98" spans="1:8" ht="47.25" x14ac:dyDescent="0.25">
      <c r="A98" s="250" t="s">
        <v>1044</v>
      </c>
      <c r="B98" s="7" t="s">
        <v>909</v>
      </c>
      <c r="C98" s="7"/>
      <c r="D98" s="7"/>
      <c r="E98" s="7"/>
      <c r="F98" s="8"/>
      <c r="G98" s="59">
        <f>G99</f>
        <v>655.9</v>
      </c>
      <c r="H98" s="59">
        <f>H99</f>
        <v>655.9</v>
      </c>
    </row>
    <row r="99" spans="1:8" ht="15.75" x14ac:dyDescent="0.25">
      <c r="A99" s="45" t="s">
        <v>117</v>
      </c>
      <c r="B99" s="573" t="s">
        <v>909</v>
      </c>
      <c r="C99" s="573" t="s">
        <v>118</v>
      </c>
      <c r="D99" s="573"/>
      <c r="E99" s="573"/>
      <c r="F99" s="9"/>
      <c r="G99" s="10">
        <f t="shared" ref="G99:H102" si="15">G100</f>
        <v>655.9</v>
      </c>
      <c r="H99" s="10">
        <f t="shared" si="15"/>
        <v>655.9</v>
      </c>
    </row>
    <row r="100" spans="1:8" ht="15.75" x14ac:dyDescent="0.25">
      <c r="A100" s="45" t="s">
        <v>139</v>
      </c>
      <c r="B100" s="573" t="s">
        <v>909</v>
      </c>
      <c r="C100" s="573" t="s">
        <v>118</v>
      </c>
      <c r="D100" s="573" t="s">
        <v>140</v>
      </c>
      <c r="E100" s="573"/>
      <c r="F100" s="9"/>
      <c r="G100" s="10">
        <f>G101+G105+G109</f>
        <v>655.9</v>
      </c>
      <c r="H100" s="10">
        <f>H101+H105+H109</f>
        <v>655.9</v>
      </c>
    </row>
    <row r="101" spans="1:8" ht="31.5" x14ac:dyDescent="0.25">
      <c r="A101" s="98" t="s">
        <v>1095</v>
      </c>
      <c r="B101" s="573" t="s">
        <v>1198</v>
      </c>
      <c r="C101" s="573" t="s">
        <v>118</v>
      </c>
      <c r="D101" s="573" t="s">
        <v>140</v>
      </c>
      <c r="E101" s="573"/>
      <c r="F101" s="9"/>
      <c r="G101" s="10">
        <f t="shared" si="15"/>
        <v>447.3</v>
      </c>
      <c r="H101" s="10">
        <f t="shared" si="15"/>
        <v>447.3</v>
      </c>
    </row>
    <row r="102" spans="1:8" ht="31.5" x14ac:dyDescent="0.25">
      <c r="A102" s="29" t="s">
        <v>131</v>
      </c>
      <c r="B102" s="573" t="s">
        <v>1198</v>
      </c>
      <c r="C102" s="573" t="s">
        <v>118</v>
      </c>
      <c r="D102" s="573" t="s">
        <v>140</v>
      </c>
      <c r="E102" s="573" t="s">
        <v>132</v>
      </c>
      <c r="F102" s="9"/>
      <c r="G102" s="10">
        <f t="shared" si="15"/>
        <v>447.3</v>
      </c>
      <c r="H102" s="10">
        <f t="shared" si="15"/>
        <v>447.3</v>
      </c>
    </row>
    <row r="103" spans="1:8" ht="31.5" x14ac:dyDescent="0.25">
      <c r="A103" s="29" t="s">
        <v>133</v>
      </c>
      <c r="B103" s="573" t="s">
        <v>1198</v>
      </c>
      <c r="C103" s="573" t="s">
        <v>118</v>
      </c>
      <c r="D103" s="573" t="s">
        <v>140</v>
      </c>
      <c r="E103" s="573" t="s">
        <v>134</v>
      </c>
      <c r="F103" s="9"/>
      <c r="G103" s="10">
        <f>'Пр.4.1 ведом.23-24 '!G249</f>
        <v>447.3</v>
      </c>
      <c r="H103" s="10">
        <f>'Пр.4.1 ведом.23-24 '!H249</f>
        <v>447.3</v>
      </c>
    </row>
    <row r="104" spans="1:8" ht="47.25" x14ac:dyDescent="0.25">
      <c r="A104" s="45" t="s">
        <v>261</v>
      </c>
      <c r="B104" s="573" t="s">
        <v>1198</v>
      </c>
      <c r="C104" s="573" t="s">
        <v>118</v>
      </c>
      <c r="D104" s="573" t="s">
        <v>140</v>
      </c>
      <c r="E104" s="573" t="s">
        <v>134</v>
      </c>
      <c r="F104" s="9" t="s">
        <v>627</v>
      </c>
      <c r="G104" s="10">
        <f>G103</f>
        <v>447.3</v>
      </c>
      <c r="H104" s="10">
        <f>H103</f>
        <v>447.3</v>
      </c>
    </row>
    <row r="105" spans="1:8" ht="31.5" x14ac:dyDescent="0.25">
      <c r="A105" s="45" t="s">
        <v>1622</v>
      </c>
      <c r="B105" s="573" t="s">
        <v>1656</v>
      </c>
      <c r="C105" s="573" t="s">
        <v>118</v>
      </c>
      <c r="D105" s="573" t="s">
        <v>140</v>
      </c>
      <c r="E105" s="573"/>
      <c r="F105" s="9"/>
      <c r="G105" s="10">
        <f>G106</f>
        <v>208.6</v>
      </c>
      <c r="H105" s="10">
        <f>H106</f>
        <v>208.6</v>
      </c>
    </row>
    <row r="106" spans="1:8" ht="31.5" x14ac:dyDescent="0.25">
      <c r="A106" s="29" t="s">
        <v>131</v>
      </c>
      <c r="B106" s="573" t="s">
        <v>1656</v>
      </c>
      <c r="C106" s="573" t="s">
        <v>118</v>
      </c>
      <c r="D106" s="573" t="s">
        <v>140</v>
      </c>
      <c r="E106" s="573" t="s">
        <v>132</v>
      </c>
      <c r="F106" s="9"/>
      <c r="G106" s="10">
        <f>G107</f>
        <v>208.6</v>
      </c>
      <c r="H106" s="10">
        <f>H107</f>
        <v>208.6</v>
      </c>
    </row>
    <row r="107" spans="1:8" ht="31.5" x14ac:dyDescent="0.25">
      <c r="A107" s="29" t="s">
        <v>133</v>
      </c>
      <c r="B107" s="573" t="s">
        <v>1656</v>
      </c>
      <c r="C107" s="573" t="s">
        <v>118</v>
      </c>
      <c r="D107" s="573" t="s">
        <v>140</v>
      </c>
      <c r="E107" s="573" t="s">
        <v>134</v>
      </c>
      <c r="F107" s="9"/>
      <c r="G107" s="10">
        <f>'Пр.4.1 ведом.23-24 '!G252</f>
        <v>208.6</v>
      </c>
      <c r="H107" s="10">
        <f>'Пр.4.1 ведом.23-24 '!H252</f>
        <v>208.6</v>
      </c>
    </row>
    <row r="108" spans="1:8" ht="47.25" x14ac:dyDescent="0.25">
      <c r="A108" s="45" t="s">
        <v>261</v>
      </c>
      <c r="B108" s="573" t="s">
        <v>1656</v>
      </c>
      <c r="C108" s="573" t="s">
        <v>118</v>
      </c>
      <c r="D108" s="573" t="s">
        <v>140</v>
      </c>
      <c r="E108" s="573" t="s">
        <v>134</v>
      </c>
      <c r="F108" s="9" t="s">
        <v>627</v>
      </c>
      <c r="G108" s="10">
        <f>G107</f>
        <v>208.6</v>
      </c>
      <c r="H108" s="10">
        <f>H107</f>
        <v>208.6</v>
      </c>
    </row>
    <row r="109" spans="1:8" ht="31.5" hidden="1" x14ac:dyDescent="0.25">
      <c r="A109" s="29" t="s">
        <v>1750</v>
      </c>
      <c r="B109" s="9" t="s">
        <v>1751</v>
      </c>
      <c r="C109" s="573" t="s">
        <v>118</v>
      </c>
      <c r="D109" s="573" t="s">
        <v>140</v>
      </c>
      <c r="E109" s="573"/>
      <c r="F109" s="9"/>
      <c r="G109" s="10">
        <f>G110</f>
        <v>0</v>
      </c>
      <c r="H109" s="10">
        <f>H110</f>
        <v>0</v>
      </c>
    </row>
    <row r="110" spans="1:8" ht="31.5" hidden="1" x14ac:dyDescent="0.25">
      <c r="A110" s="29" t="s">
        <v>131</v>
      </c>
      <c r="B110" s="9" t="s">
        <v>1751</v>
      </c>
      <c r="C110" s="573" t="s">
        <v>118</v>
      </c>
      <c r="D110" s="573" t="s">
        <v>140</v>
      </c>
      <c r="E110" s="573" t="s">
        <v>132</v>
      </c>
      <c r="F110" s="9"/>
      <c r="G110" s="10">
        <f>G111</f>
        <v>0</v>
      </c>
      <c r="H110" s="10">
        <f>H111</f>
        <v>0</v>
      </c>
    </row>
    <row r="111" spans="1:8" ht="31.5" hidden="1" x14ac:dyDescent="0.25">
      <c r="A111" s="29" t="s">
        <v>133</v>
      </c>
      <c r="B111" s="9" t="s">
        <v>1751</v>
      </c>
      <c r="C111" s="573" t="s">
        <v>118</v>
      </c>
      <c r="D111" s="573" t="s">
        <v>140</v>
      </c>
      <c r="E111" s="573" t="s">
        <v>134</v>
      </c>
      <c r="F111" s="9"/>
      <c r="G111" s="10"/>
      <c r="H111" s="10">
        <f>'Пр.4 ведом.22'!H254</f>
        <v>0</v>
      </c>
    </row>
    <row r="112" spans="1:8" ht="47.25" hidden="1" x14ac:dyDescent="0.25">
      <c r="A112" s="45" t="s">
        <v>261</v>
      </c>
      <c r="B112" s="9" t="s">
        <v>1751</v>
      </c>
      <c r="C112" s="573" t="s">
        <v>118</v>
      </c>
      <c r="D112" s="573" t="s">
        <v>140</v>
      </c>
      <c r="E112" s="573" t="s">
        <v>134</v>
      </c>
      <c r="F112" s="9" t="s">
        <v>627</v>
      </c>
      <c r="G112" s="10">
        <f>G111</f>
        <v>0</v>
      </c>
      <c r="H112" s="10">
        <f>H111</f>
        <v>0</v>
      </c>
    </row>
    <row r="113" spans="1:8" ht="39.200000000000003" customHeight="1" x14ac:dyDescent="0.25">
      <c r="A113" s="58" t="s">
        <v>629</v>
      </c>
      <c r="B113" s="7" t="s">
        <v>362</v>
      </c>
      <c r="C113" s="7"/>
      <c r="D113" s="7"/>
      <c r="E113" s="7"/>
      <c r="F113" s="7"/>
      <c r="G113" s="59">
        <f>G114+G124+G134</f>
        <v>1567</v>
      </c>
      <c r="H113" s="59">
        <f>H114+H124+H134</f>
        <v>1567</v>
      </c>
    </row>
    <row r="114" spans="1:8" ht="31.5" x14ac:dyDescent="0.25">
      <c r="A114" s="494" t="s">
        <v>1038</v>
      </c>
      <c r="B114" s="495" t="s">
        <v>913</v>
      </c>
      <c r="C114" s="573"/>
      <c r="D114" s="573"/>
      <c r="E114" s="573"/>
      <c r="F114" s="573"/>
      <c r="G114" s="59">
        <f>G115</f>
        <v>630</v>
      </c>
      <c r="H114" s="59">
        <f>H115</f>
        <v>630</v>
      </c>
    </row>
    <row r="115" spans="1:8" ht="15.75" x14ac:dyDescent="0.25">
      <c r="A115" s="45" t="s">
        <v>243</v>
      </c>
      <c r="B115" s="573" t="s">
        <v>913</v>
      </c>
      <c r="C115" s="573" t="s">
        <v>244</v>
      </c>
      <c r="D115" s="573"/>
      <c r="E115" s="573"/>
      <c r="F115" s="573"/>
      <c r="G115" s="10">
        <f t="shared" ref="G115:H121" si="16">G116</f>
        <v>630</v>
      </c>
      <c r="H115" s="10">
        <f t="shared" si="16"/>
        <v>630</v>
      </c>
    </row>
    <row r="116" spans="1:8" ht="15.75" x14ac:dyDescent="0.25">
      <c r="A116" s="45" t="s">
        <v>252</v>
      </c>
      <c r="B116" s="573" t="s">
        <v>913</v>
      </c>
      <c r="C116" s="573" t="s">
        <v>244</v>
      </c>
      <c r="D116" s="573" t="s">
        <v>215</v>
      </c>
      <c r="E116" s="573"/>
      <c r="F116" s="573"/>
      <c r="G116" s="10">
        <f>G117</f>
        <v>630</v>
      </c>
      <c r="H116" s="10">
        <f>H117</f>
        <v>630</v>
      </c>
    </row>
    <row r="117" spans="1:8" ht="47.25" x14ac:dyDescent="0.25">
      <c r="A117" s="98" t="s">
        <v>1039</v>
      </c>
      <c r="B117" s="580" t="s">
        <v>1224</v>
      </c>
      <c r="C117" s="573" t="s">
        <v>244</v>
      </c>
      <c r="D117" s="573" t="s">
        <v>215</v>
      </c>
      <c r="E117" s="573"/>
      <c r="F117" s="573"/>
      <c r="G117" s="10">
        <f>G121+G118</f>
        <v>630</v>
      </c>
      <c r="H117" s="10">
        <f>H121+H118</f>
        <v>630</v>
      </c>
    </row>
    <row r="118" spans="1:8" ht="31.5" hidden="1" x14ac:dyDescent="0.25">
      <c r="A118" s="29" t="s">
        <v>131</v>
      </c>
      <c r="B118" s="580" t="s">
        <v>1224</v>
      </c>
      <c r="C118" s="573" t="s">
        <v>244</v>
      </c>
      <c r="D118" s="573" t="s">
        <v>215</v>
      </c>
      <c r="E118" s="573" t="s">
        <v>132</v>
      </c>
      <c r="F118" s="573"/>
      <c r="G118" s="10">
        <f>G119</f>
        <v>0</v>
      </c>
      <c r="H118" s="10">
        <f>H119</f>
        <v>0</v>
      </c>
    </row>
    <row r="119" spans="1:8" ht="31.5" hidden="1" x14ac:dyDescent="0.25">
      <c r="A119" s="29" t="s">
        <v>133</v>
      </c>
      <c r="B119" s="580" t="s">
        <v>1224</v>
      </c>
      <c r="C119" s="573" t="s">
        <v>244</v>
      </c>
      <c r="D119" s="573" t="s">
        <v>215</v>
      </c>
      <c r="E119" s="573" t="s">
        <v>134</v>
      </c>
      <c r="F119" s="573"/>
      <c r="G119" s="10">
        <f>'Пр.4 ведом.22'!G485</f>
        <v>0</v>
      </c>
      <c r="H119" s="10">
        <f>'Пр.4 ведом.22'!H485</f>
        <v>0</v>
      </c>
    </row>
    <row r="120" spans="1:8" ht="47.25" hidden="1" x14ac:dyDescent="0.25">
      <c r="A120" s="45" t="s">
        <v>261</v>
      </c>
      <c r="B120" s="580" t="s">
        <v>1224</v>
      </c>
      <c r="C120" s="573" t="s">
        <v>244</v>
      </c>
      <c r="D120" s="573" t="s">
        <v>215</v>
      </c>
      <c r="E120" s="573" t="s">
        <v>134</v>
      </c>
      <c r="F120" s="573" t="s">
        <v>627</v>
      </c>
      <c r="G120" s="10">
        <f>G119</f>
        <v>0</v>
      </c>
      <c r="H120" s="10">
        <f>H119</f>
        <v>0</v>
      </c>
    </row>
    <row r="121" spans="1:8" ht="15.75" x14ac:dyDescent="0.25">
      <c r="A121" s="579" t="s">
        <v>248</v>
      </c>
      <c r="B121" s="580" t="s">
        <v>1224</v>
      </c>
      <c r="C121" s="573" t="s">
        <v>244</v>
      </c>
      <c r="D121" s="573" t="s">
        <v>215</v>
      </c>
      <c r="E121" s="573" t="s">
        <v>249</v>
      </c>
      <c r="F121" s="573"/>
      <c r="G121" s="10">
        <f t="shared" si="16"/>
        <v>630</v>
      </c>
      <c r="H121" s="10">
        <f t="shared" si="16"/>
        <v>630</v>
      </c>
    </row>
    <row r="122" spans="1:8" ht="31.5" x14ac:dyDescent="0.25">
      <c r="A122" s="579" t="s">
        <v>348</v>
      </c>
      <c r="B122" s="580" t="s">
        <v>1224</v>
      </c>
      <c r="C122" s="573" t="s">
        <v>244</v>
      </c>
      <c r="D122" s="573" t="s">
        <v>215</v>
      </c>
      <c r="E122" s="573" t="s">
        <v>349</v>
      </c>
      <c r="F122" s="573"/>
      <c r="G122" s="10">
        <f>'Пр.4.1 ведом.23-24 '!G488</f>
        <v>630</v>
      </c>
      <c r="H122" s="10">
        <f>'Пр.4.1 ведом.23-24 '!H488</f>
        <v>630</v>
      </c>
    </row>
    <row r="123" spans="1:8" ht="47.25" x14ac:dyDescent="0.25">
      <c r="A123" s="45" t="s">
        <v>261</v>
      </c>
      <c r="B123" s="580" t="s">
        <v>1224</v>
      </c>
      <c r="C123" s="573" t="s">
        <v>244</v>
      </c>
      <c r="D123" s="573" t="s">
        <v>215</v>
      </c>
      <c r="E123" s="573" t="s">
        <v>349</v>
      </c>
      <c r="F123" s="573" t="s">
        <v>627</v>
      </c>
      <c r="G123" s="10">
        <f>G122</f>
        <v>630</v>
      </c>
      <c r="H123" s="10">
        <f>H122</f>
        <v>630</v>
      </c>
    </row>
    <row r="124" spans="1:8" ht="31.5" x14ac:dyDescent="0.25">
      <c r="A124" s="494" t="s">
        <v>1399</v>
      </c>
      <c r="B124" s="495" t="s">
        <v>1226</v>
      </c>
      <c r="C124" s="7"/>
      <c r="D124" s="7"/>
      <c r="E124" s="7"/>
      <c r="F124" s="7"/>
      <c r="G124" s="59">
        <f>G125</f>
        <v>257</v>
      </c>
      <c r="H124" s="59">
        <f>H125</f>
        <v>257</v>
      </c>
    </row>
    <row r="125" spans="1:8" ht="15.75" x14ac:dyDescent="0.25">
      <c r="A125" s="45" t="s">
        <v>243</v>
      </c>
      <c r="B125" s="573" t="s">
        <v>1226</v>
      </c>
      <c r="C125" s="573" t="s">
        <v>244</v>
      </c>
      <c r="D125" s="573"/>
      <c r="E125" s="573"/>
      <c r="F125" s="573"/>
      <c r="G125" s="10">
        <f t="shared" ref="G125:H125" si="17">G126</f>
        <v>257</v>
      </c>
      <c r="H125" s="10">
        <f t="shared" si="17"/>
        <v>257</v>
      </c>
    </row>
    <row r="126" spans="1:8" ht="15.75" x14ac:dyDescent="0.25">
      <c r="A126" s="45" t="s">
        <v>252</v>
      </c>
      <c r="B126" s="573" t="s">
        <v>1226</v>
      </c>
      <c r="C126" s="573" t="s">
        <v>244</v>
      </c>
      <c r="D126" s="573" t="s">
        <v>215</v>
      </c>
      <c r="E126" s="573"/>
      <c r="F126" s="573"/>
      <c r="G126" s="10">
        <f>G127</f>
        <v>257</v>
      </c>
      <c r="H126" s="10">
        <f>H127</f>
        <v>257</v>
      </c>
    </row>
    <row r="127" spans="1:8" ht="31.5" x14ac:dyDescent="0.25">
      <c r="A127" s="579" t="s">
        <v>1225</v>
      </c>
      <c r="B127" s="580" t="s">
        <v>1227</v>
      </c>
      <c r="C127" s="573" t="s">
        <v>244</v>
      </c>
      <c r="D127" s="573" t="s">
        <v>215</v>
      </c>
      <c r="E127" s="573"/>
      <c r="F127" s="573"/>
      <c r="G127" s="10">
        <f>G128+G131</f>
        <v>257</v>
      </c>
      <c r="H127" s="10">
        <f>H128+H131</f>
        <v>257</v>
      </c>
    </row>
    <row r="128" spans="1:8" ht="31.5" hidden="1" x14ac:dyDescent="0.25">
      <c r="A128" s="579" t="s">
        <v>131</v>
      </c>
      <c r="B128" s="580" t="s">
        <v>1227</v>
      </c>
      <c r="C128" s="573" t="s">
        <v>244</v>
      </c>
      <c r="D128" s="573" t="s">
        <v>215</v>
      </c>
      <c r="E128" s="573" t="s">
        <v>132</v>
      </c>
      <c r="F128" s="573"/>
      <c r="G128" s="10">
        <f>G129</f>
        <v>0</v>
      </c>
      <c r="H128" s="10">
        <f>H129</f>
        <v>0</v>
      </c>
    </row>
    <row r="129" spans="1:8" ht="31.5" hidden="1" x14ac:dyDescent="0.25">
      <c r="A129" s="579" t="s">
        <v>133</v>
      </c>
      <c r="B129" s="580" t="s">
        <v>1227</v>
      </c>
      <c r="C129" s="573" t="s">
        <v>244</v>
      </c>
      <c r="D129" s="573" t="s">
        <v>215</v>
      </c>
      <c r="E129" s="573" t="s">
        <v>134</v>
      </c>
      <c r="F129" s="573"/>
      <c r="G129" s="10">
        <f>'Пр.4 ведом.22'!G491</f>
        <v>0</v>
      </c>
      <c r="H129" s="10">
        <f>'Пр.4 ведом.22'!H491</f>
        <v>0</v>
      </c>
    </row>
    <row r="130" spans="1:8" ht="47.25" hidden="1" x14ac:dyDescent="0.25">
      <c r="A130" s="45" t="s">
        <v>261</v>
      </c>
      <c r="B130" s="580" t="s">
        <v>1227</v>
      </c>
      <c r="C130" s="573" t="s">
        <v>244</v>
      </c>
      <c r="D130" s="573" t="s">
        <v>215</v>
      </c>
      <c r="E130" s="573" t="s">
        <v>134</v>
      </c>
      <c r="F130" s="573" t="s">
        <v>627</v>
      </c>
      <c r="G130" s="10">
        <f>G129</f>
        <v>0</v>
      </c>
      <c r="H130" s="10">
        <f>H129</f>
        <v>0</v>
      </c>
    </row>
    <row r="131" spans="1:8" ht="15.75" x14ac:dyDescent="0.25">
      <c r="A131" s="579" t="s">
        <v>248</v>
      </c>
      <c r="B131" s="580" t="s">
        <v>1227</v>
      </c>
      <c r="C131" s="573" t="s">
        <v>244</v>
      </c>
      <c r="D131" s="573" t="s">
        <v>215</v>
      </c>
      <c r="E131" s="573" t="s">
        <v>249</v>
      </c>
      <c r="F131" s="573"/>
      <c r="G131" s="10">
        <f>G132</f>
        <v>257</v>
      </c>
      <c r="H131" s="10">
        <f>H132</f>
        <v>257</v>
      </c>
    </row>
    <row r="132" spans="1:8" ht="31.5" x14ac:dyDescent="0.25">
      <c r="A132" s="579" t="s">
        <v>348</v>
      </c>
      <c r="B132" s="580" t="s">
        <v>1227</v>
      </c>
      <c r="C132" s="573" t="s">
        <v>244</v>
      </c>
      <c r="D132" s="573" t="s">
        <v>215</v>
      </c>
      <c r="E132" s="573" t="s">
        <v>349</v>
      </c>
      <c r="F132" s="573"/>
      <c r="G132" s="10">
        <f>'Пр.4.1 ведом.23-24 '!G494</f>
        <v>257</v>
      </c>
      <c r="H132" s="10">
        <f>'Пр.4.1 ведом.23-24 '!H494</f>
        <v>257</v>
      </c>
    </row>
    <row r="133" spans="1:8" ht="47.25" x14ac:dyDescent="0.25">
      <c r="A133" s="45" t="s">
        <v>261</v>
      </c>
      <c r="B133" s="580" t="s">
        <v>1227</v>
      </c>
      <c r="C133" s="573" t="s">
        <v>244</v>
      </c>
      <c r="D133" s="573" t="s">
        <v>215</v>
      </c>
      <c r="E133" s="573" t="s">
        <v>349</v>
      </c>
      <c r="F133" s="573" t="s">
        <v>627</v>
      </c>
      <c r="G133" s="10">
        <f>G132</f>
        <v>257</v>
      </c>
      <c r="H133" s="10">
        <f>H132</f>
        <v>257</v>
      </c>
    </row>
    <row r="134" spans="1:8" ht="31.5" x14ac:dyDescent="0.25">
      <c r="A134" s="494" t="s">
        <v>997</v>
      </c>
      <c r="B134" s="495" t="s">
        <v>1221</v>
      </c>
      <c r="C134" s="7"/>
      <c r="D134" s="7"/>
      <c r="E134" s="7"/>
      <c r="F134" s="7"/>
      <c r="G134" s="59">
        <f>G141+G135</f>
        <v>680</v>
      </c>
      <c r="H134" s="59">
        <f>H141+H135</f>
        <v>680</v>
      </c>
    </row>
    <row r="135" spans="1:8" ht="15.75" x14ac:dyDescent="0.25">
      <c r="A135" s="579" t="s">
        <v>298</v>
      </c>
      <c r="B135" s="580" t="s">
        <v>1221</v>
      </c>
      <c r="C135" s="573" t="s">
        <v>299</v>
      </c>
      <c r="D135" s="573"/>
      <c r="E135" s="7"/>
      <c r="F135" s="7"/>
      <c r="G135" s="10">
        <f t="shared" ref="G135:H138" si="18">G136</f>
        <v>260</v>
      </c>
      <c r="H135" s="10">
        <f t="shared" si="18"/>
        <v>260</v>
      </c>
    </row>
    <row r="136" spans="1:8" ht="15.75" x14ac:dyDescent="0.25">
      <c r="A136" s="579" t="s">
        <v>333</v>
      </c>
      <c r="B136" s="580" t="s">
        <v>1221</v>
      </c>
      <c r="C136" s="573" t="s">
        <v>299</v>
      </c>
      <c r="D136" s="573" t="s">
        <v>150</v>
      </c>
      <c r="E136" s="7"/>
      <c r="F136" s="7"/>
      <c r="G136" s="10">
        <f t="shared" si="18"/>
        <v>260</v>
      </c>
      <c r="H136" s="10">
        <f t="shared" si="18"/>
        <v>260</v>
      </c>
    </row>
    <row r="137" spans="1:8" ht="31.5" x14ac:dyDescent="0.25">
      <c r="A137" s="579" t="s">
        <v>996</v>
      </c>
      <c r="B137" s="580" t="s">
        <v>1222</v>
      </c>
      <c r="C137" s="573" t="s">
        <v>299</v>
      </c>
      <c r="D137" s="573" t="s">
        <v>150</v>
      </c>
      <c r="E137" s="7"/>
      <c r="F137" s="7"/>
      <c r="G137" s="10">
        <f t="shared" si="18"/>
        <v>260</v>
      </c>
      <c r="H137" s="10">
        <f t="shared" si="18"/>
        <v>260</v>
      </c>
    </row>
    <row r="138" spans="1:8" ht="31.5" x14ac:dyDescent="0.25">
      <c r="A138" s="579" t="s">
        <v>131</v>
      </c>
      <c r="B138" s="580" t="s">
        <v>1222</v>
      </c>
      <c r="C138" s="573" t="s">
        <v>299</v>
      </c>
      <c r="D138" s="573" t="s">
        <v>150</v>
      </c>
      <c r="E138" s="573" t="s">
        <v>132</v>
      </c>
      <c r="F138" s="573"/>
      <c r="G138" s="10">
        <f t="shared" si="18"/>
        <v>260</v>
      </c>
      <c r="H138" s="10">
        <f t="shared" si="18"/>
        <v>260</v>
      </c>
    </row>
    <row r="139" spans="1:8" ht="31.5" x14ac:dyDescent="0.25">
      <c r="A139" s="579" t="s">
        <v>133</v>
      </c>
      <c r="B139" s="580" t="s">
        <v>1222</v>
      </c>
      <c r="C139" s="573" t="s">
        <v>299</v>
      </c>
      <c r="D139" s="573" t="s">
        <v>150</v>
      </c>
      <c r="E139" s="573" t="s">
        <v>134</v>
      </c>
      <c r="F139" s="573"/>
      <c r="G139" s="10">
        <f>'Пр.4.1 ведом.23-24 '!G468</f>
        <v>260</v>
      </c>
      <c r="H139" s="10">
        <f>'Пр.4.1 ведом.23-24 '!H468</f>
        <v>260</v>
      </c>
    </row>
    <row r="140" spans="1:8" ht="47.25" x14ac:dyDescent="0.25">
      <c r="A140" s="45" t="s">
        <v>261</v>
      </c>
      <c r="B140" s="580" t="s">
        <v>1222</v>
      </c>
      <c r="C140" s="573" t="s">
        <v>299</v>
      </c>
      <c r="D140" s="573" t="s">
        <v>150</v>
      </c>
      <c r="E140" s="573" t="s">
        <v>134</v>
      </c>
      <c r="F140" s="573" t="s">
        <v>627</v>
      </c>
      <c r="G140" s="10">
        <f>G139</f>
        <v>260</v>
      </c>
      <c r="H140" s="10">
        <f>H139</f>
        <v>260</v>
      </c>
    </row>
    <row r="141" spans="1:8" ht="15.75" x14ac:dyDescent="0.25">
      <c r="A141" s="45" t="s">
        <v>243</v>
      </c>
      <c r="B141" s="580" t="s">
        <v>1221</v>
      </c>
      <c r="C141" s="573" t="s">
        <v>244</v>
      </c>
      <c r="D141" s="573"/>
      <c r="E141" s="573"/>
      <c r="F141" s="573"/>
      <c r="G141" s="10">
        <f t="shared" ref="G141:H144" si="19">G142</f>
        <v>420</v>
      </c>
      <c r="H141" s="10">
        <f t="shared" si="19"/>
        <v>420</v>
      </c>
    </row>
    <row r="142" spans="1:8" ht="15.75" x14ac:dyDescent="0.25">
      <c r="A142" s="45" t="s">
        <v>252</v>
      </c>
      <c r="B142" s="580" t="s">
        <v>1221</v>
      </c>
      <c r="C142" s="573" t="s">
        <v>244</v>
      </c>
      <c r="D142" s="573" t="s">
        <v>215</v>
      </c>
      <c r="E142" s="573"/>
      <c r="F142" s="573"/>
      <c r="G142" s="10">
        <f t="shared" si="19"/>
        <v>420</v>
      </c>
      <c r="H142" s="10">
        <f t="shared" si="19"/>
        <v>420</v>
      </c>
    </row>
    <row r="143" spans="1:8" ht="15.75" x14ac:dyDescent="0.25">
      <c r="A143" s="579" t="s">
        <v>1036</v>
      </c>
      <c r="B143" s="580" t="s">
        <v>1223</v>
      </c>
      <c r="C143" s="573" t="s">
        <v>244</v>
      </c>
      <c r="D143" s="573" t="s">
        <v>215</v>
      </c>
      <c r="E143" s="573"/>
      <c r="F143" s="573"/>
      <c r="G143" s="10">
        <f t="shared" si="19"/>
        <v>420</v>
      </c>
      <c r="H143" s="10">
        <f t="shared" si="19"/>
        <v>420</v>
      </c>
    </row>
    <row r="144" spans="1:8" ht="15.75" x14ac:dyDescent="0.25">
      <c r="A144" s="579" t="s">
        <v>248</v>
      </c>
      <c r="B144" s="580" t="s">
        <v>1223</v>
      </c>
      <c r="C144" s="573" t="s">
        <v>244</v>
      </c>
      <c r="D144" s="573" t="s">
        <v>215</v>
      </c>
      <c r="E144" s="573" t="s">
        <v>249</v>
      </c>
      <c r="F144" s="573"/>
      <c r="G144" s="10">
        <f t="shared" si="19"/>
        <v>420</v>
      </c>
      <c r="H144" s="10">
        <f t="shared" si="19"/>
        <v>420</v>
      </c>
    </row>
    <row r="145" spans="1:11" ht="31.5" x14ac:dyDescent="0.25">
      <c r="A145" s="579" t="s">
        <v>348</v>
      </c>
      <c r="B145" s="580" t="s">
        <v>1223</v>
      </c>
      <c r="C145" s="573" t="s">
        <v>244</v>
      </c>
      <c r="D145" s="573" t="s">
        <v>215</v>
      </c>
      <c r="E145" s="573" t="s">
        <v>349</v>
      </c>
      <c r="F145" s="573"/>
      <c r="G145" s="10">
        <f>'Пр.4.1 ведом.23-24 '!G498</f>
        <v>420</v>
      </c>
      <c r="H145" s="10">
        <f>'Пр.4.1 ведом.23-24 '!H498</f>
        <v>420</v>
      </c>
    </row>
    <row r="146" spans="1:11" ht="47.25" x14ac:dyDescent="0.25">
      <c r="A146" s="45" t="s">
        <v>261</v>
      </c>
      <c r="B146" s="580" t="s">
        <v>1223</v>
      </c>
      <c r="C146" s="573" t="s">
        <v>244</v>
      </c>
      <c r="D146" s="573" t="s">
        <v>215</v>
      </c>
      <c r="E146" s="573" t="s">
        <v>349</v>
      </c>
      <c r="F146" s="573" t="s">
        <v>627</v>
      </c>
      <c r="G146" s="10">
        <f>G145</f>
        <v>420</v>
      </c>
      <c r="H146" s="10">
        <f>H145</f>
        <v>420</v>
      </c>
    </row>
    <row r="147" spans="1:11" ht="31.5" x14ac:dyDescent="0.25">
      <c r="A147" s="58" t="s">
        <v>1358</v>
      </c>
      <c r="B147" s="7" t="s">
        <v>406</v>
      </c>
      <c r="C147" s="7"/>
      <c r="D147" s="7"/>
      <c r="E147" s="7"/>
      <c r="F147" s="7"/>
      <c r="G147" s="59">
        <f>G148+G169+G206+G239+G246+G275+G287+G294+G348+G301+G308+G315+G327+G334+G341</f>
        <v>340752.51000000007</v>
      </c>
      <c r="H147" s="59">
        <f>H148+H169+H206+H239+H246+H275+H287+H294+H348+H301+H308+H315+H327+H334+H341</f>
        <v>296663.40999999997</v>
      </c>
      <c r="I147" s="22">
        <f>H147-G147</f>
        <v>-44089.100000000093</v>
      </c>
      <c r="K147" s="232"/>
    </row>
    <row r="148" spans="1:11" ht="31.5" x14ac:dyDescent="0.25">
      <c r="A148" s="494" t="s">
        <v>937</v>
      </c>
      <c r="B148" s="495" t="s">
        <v>1230</v>
      </c>
      <c r="C148" s="7"/>
      <c r="D148" s="7"/>
      <c r="E148" s="7"/>
      <c r="F148" s="7"/>
      <c r="G148" s="59">
        <f>G149+G156+G161+G165</f>
        <v>85885.6</v>
      </c>
      <c r="H148" s="59">
        <f>H149+H156+H161+H165</f>
        <v>85885.6</v>
      </c>
    </row>
    <row r="149" spans="1:11" ht="15.75" x14ac:dyDescent="0.25">
      <c r="A149" s="29" t="s">
        <v>263</v>
      </c>
      <c r="B149" s="573" t="s">
        <v>1230</v>
      </c>
      <c r="C149" s="573" t="s">
        <v>264</v>
      </c>
      <c r="D149" s="573"/>
      <c r="E149" s="573"/>
      <c r="F149" s="573"/>
      <c r="G149" s="10">
        <f>G150</f>
        <v>16777.2</v>
      </c>
      <c r="H149" s="10">
        <f>H150</f>
        <v>16777.2</v>
      </c>
    </row>
    <row r="150" spans="1:11" ht="15.75" x14ac:dyDescent="0.25">
      <c r="A150" s="45" t="s">
        <v>404</v>
      </c>
      <c r="B150" s="573" t="s">
        <v>1230</v>
      </c>
      <c r="C150" s="573" t="s">
        <v>264</v>
      </c>
      <c r="D150" s="573" t="s">
        <v>118</v>
      </c>
      <c r="E150" s="573"/>
      <c r="F150" s="573"/>
      <c r="G150" s="10">
        <f>G151</f>
        <v>16777.2</v>
      </c>
      <c r="H150" s="10">
        <f>H151</f>
        <v>16777.2</v>
      </c>
    </row>
    <row r="151" spans="1:11" ht="31.5" x14ac:dyDescent="0.25">
      <c r="A151" s="579" t="s">
        <v>1229</v>
      </c>
      <c r="B151" s="580" t="s">
        <v>1231</v>
      </c>
      <c r="C151" s="573" t="s">
        <v>264</v>
      </c>
      <c r="D151" s="573" t="s">
        <v>118</v>
      </c>
      <c r="E151" s="573"/>
      <c r="F151" s="573"/>
      <c r="G151" s="10">
        <f t="shared" ref="G151:H152" si="20">G152</f>
        <v>16777.2</v>
      </c>
      <c r="H151" s="10">
        <f t="shared" si="20"/>
        <v>16777.2</v>
      </c>
    </row>
    <row r="152" spans="1:11" ht="31.5" x14ac:dyDescent="0.25">
      <c r="A152" s="579" t="s">
        <v>272</v>
      </c>
      <c r="B152" s="580" t="s">
        <v>1231</v>
      </c>
      <c r="C152" s="573" t="s">
        <v>264</v>
      </c>
      <c r="D152" s="573" t="s">
        <v>118</v>
      </c>
      <c r="E152" s="573" t="s">
        <v>273</v>
      </c>
      <c r="F152" s="573"/>
      <c r="G152" s="10">
        <f t="shared" si="20"/>
        <v>16777.2</v>
      </c>
      <c r="H152" s="10">
        <f t="shared" si="20"/>
        <v>16777.2</v>
      </c>
    </row>
    <row r="153" spans="1:11" ht="15.75" x14ac:dyDescent="0.25">
      <c r="A153" s="579" t="s">
        <v>274</v>
      </c>
      <c r="B153" s="580" t="s">
        <v>1231</v>
      </c>
      <c r="C153" s="573" t="s">
        <v>264</v>
      </c>
      <c r="D153" s="573" t="s">
        <v>118</v>
      </c>
      <c r="E153" s="573" t="s">
        <v>275</v>
      </c>
      <c r="F153" s="573"/>
      <c r="G153" s="489">
        <f>'Пр.4.1 ведом.23-24 '!G600</f>
        <v>16777.2</v>
      </c>
      <c r="H153" s="489">
        <f>'Пр.4.1 ведом.23-24 '!H600</f>
        <v>16777.2</v>
      </c>
    </row>
    <row r="154" spans="1:11" ht="31.5" x14ac:dyDescent="0.25">
      <c r="A154" s="29" t="s">
        <v>403</v>
      </c>
      <c r="B154" s="580" t="s">
        <v>1231</v>
      </c>
      <c r="C154" s="573" t="s">
        <v>264</v>
      </c>
      <c r="D154" s="573" t="s">
        <v>118</v>
      </c>
      <c r="E154" s="573" t="s">
        <v>275</v>
      </c>
      <c r="F154" s="573" t="s">
        <v>636</v>
      </c>
      <c r="G154" s="10">
        <f>G153</f>
        <v>16777.2</v>
      </c>
      <c r="H154" s="10">
        <f>H153</f>
        <v>16777.2</v>
      </c>
    </row>
    <row r="155" spans="1:11" ht="15.75" x14ac:dyDescent="0.25">
      <c r="A155" s="29" t="s">
        <v>425</v>
      </c>
      <c r="B155" s="573" t="s">
        <v>1230</v>
      </c>
      <c r="C155" s="573" t="s">
        <v>264</v>
      </c>
      <c r="D155" s="573" t="s">
        <v>213</v>
      </c>
      <c r="E155" s="573"/>
      <c r="F155" s="573"/>
      <c r="G155" s="10">
        <f t="shared" ref="G155:H157" si="21">G156</f>
        <v>30618.400000000001</v>
      </c>
      <c r="H155" s="10">
        <f t="shared" si="21"/>
        <v>30618.400000000001</v>
      </c>
    </row>
    <row r="156" spans="1:11" ht="31.5" x14ac:dyDescent="0.25">
      <c r="A156" s="579" t="s">
        <v>427</v>
      </c>
      <c r="B156" s="580" t="s">
        <v>1249</v>
      </c>
      <c r="C156" s="573" t="s">
        <v>264</v>
      </c>
      <c r="D156" s="573" t="s">
        <v>213</v>
      </c>
      <c r="E156" s="573"/>
      <c r="F156" s="573"/>
      <c r="G156" s="489">
        <f t="shared" si="21"/>
        <v>30618.400000000001</v>
      </c>
      <c r="H156" s="489">
        <f t="shared" si="21"/>
        <v>30618.400000000001</v>
      </c>
    </row>
    <row r="157" spans="1:11" ht="31.5" x14ac:dyDescent="0.25">
      <c r="A157" s="579" t="s">
        <v>272</v>
      </c>
      <c r="B157" s="580" t="s">
        <v>1249</v>
      </c>
      <c r="C157" s="573" t="s">
        <v>264</v>
      </c>
      <c r="D157" s="573" t="s">
        <v>213</v>
      </c>
      <c r="E157" s="573" t="s">
        <v>273</v>
      </c>
      <c r="F157" s="573"/>
      <c r="G157" s="489">
        <f t="shared" si="21"/>
        <v>30618.400000000001</v>
      </c>
      <c r="H157" s="489">
        <f t="shared" si="21"/>
        <v>30618.400000000001</v>
      </c>
    </row>
    <row r="158" spans="1:11" ht="15.75" x14ac:dyDescent="0.25">
      <c r="A158" s="579" t="s">
        <v>274</v>
      </c>
      <c r="B158" s="580" t="s">
        <v>1249</v>
      </c>
      <c r="C158" s="573" t="s">
        <v>264</v>
      </c>
      <c r="D158" s="573" t="s">
        <v>213</v>
      </c>
      <c r="E158" s="573" t="s">
        <v>275</v>
      </c>
      <c r="F158" s="573"/>
      <c r="G158" s="489">
        <f>'Пр.4.1 ведом.23-24 '!G662</f>
        <v>30618.400000000001</v>
      </c>
      <c r="H158" s="489">
        <f>'Пр.4.1 ведом.23-24 '!H662</f>
        <v>30618.400000000001</v>
      </c>
    </row>
    <row r="159" spans="1:11" ht="31.5" x14ac:dyDescent="0.25">
      <c r="A159" s="29" t="s">
        <v>403</v>
      </c>
      <c r="B159" s="580" t="s">
        <v>1249</v>
      </c>
      <c r="C159" s="573" t="s">
        <v>264</v>
      </c>
      <c r="D159" s="573" t="s">
        <v>213</v>
      </c>
      <c r="E159" s="573" t="s">
        <v>275</v>
      </c>
      <c r="F159" s="573" t="s">
        <v>636</v>
      </c>
      <c r="G159" s="10">
        <f>G158</f>
        <v>30618.400000000001</v>
      </c>
      <c r="H159" s="10">
        <f>H158</f>
        <v>30618.400000000001</v>
      </c>
    </row>
    <row r="160" spans="1:11" ht="15.75" x14ac:dyDescent="0.25">
      <c r="A160" s="29" t="s">
        <v>265</v>
      </c>
      <c r="B160" s="573" t="s">
        <v>1230</v>
      </c>
      <c r="C160" s="573" t="s">
        <v>264</v>
      </c>
      <c r="D160" s="573" t="s">
        <v>215</v>
      </c>
      <c r="E160" s="573"/>
      <c r="F160" s="573"/>
      <c r="G160" s="489">
        <f>G161+G165</f>
        <v>38490</v>
      </c>
      <c r="H160" s="489">
        <f>H161+H165</f>
        <v>38490</v>
      </c>
    </row>
    <row r="161" spans="1:10" ht="47.25" x14ac:dyDescent="0.25">
      <c r="A161" s="29" t="s">
        <v>270</v>
      </c>
      <c r="B161" s="580" t="s">
        <v>1260</v>
      </c>
      <c r="C161" s="573" t="s">
        <v>264</v>
      </c>
      <c r="D161" s="573" t="s">
        <v>215</v>
      </c>
      <c r="E161" s="7"/>
      <c r="F161" s="7"/>
      <c r="G161" s="10">
        <f t="shared" ref="G161:H162" si="22">G162</f>
        <v>38490</v>
      </c>
      <c r="H161" s="10">
        <f t="shared" si="22"/>
        <v>38490</v>
      </c>
    </row>
    <row r="162" spans="1:10" ht="31.5" x14ac:dyDescent="0.25">
      <c r="A162" s="29" t="s">
        <v>272</v>
      </c>
      <c r="B162" s="580" t="s">
        <v>1260</v>
      </c>
      <c r="C162" s="573" t="s">
        <v>264</v>
      </c>
      <c r="D162" s="573" t="s">
        <v>215</v>
      </c>
      <c r="E162" s="573" t="s">
        <v>273</v>
      </c>
      <c r="F162" s="573"/>
      <c r="G162" s="10">
        <f t="shared" si="22"/>
        <v>38490</v>
      </c>
      <c r="H162" s="10">
        <f t="shared" si="22"/>
        <v>38490</v>
      </c>
    </row>
    <row r="163" spans="1:10" ht="15.75" x14ac:dyDescent="0.25">
      <c r="A163" s="29" t="s">
        <v>274</v>
      </c>
      <c r="B163" s="580" t="s">
        <v>1260</v>
      </c>
      <c r="C163" s="573" t="s">
        <v>264</v>
      </c>
      <c r="D163" s="573" t="s">
        <v>215</v>
      </c>
      <c r="E163" s="573" t="s">
        <v>275</v>
      </c>
      <c r="F163" s="573"/>
      <c r="G163" s="489">
        <f>'Пр.4.1 ведом.23-24 '!G751</f>
        <v>38490</v>
      </c>
      <c r="H163" s="489">
        <f>'Пр.4.1 ведом.23-24 '!H751</f>
        <v>38490</v>
      </c>
    </row>
    <row r="164" spans="1:10" ht="31.5" x14ac:dyDescent="0.25">
      <c r="A164" s="29" t="s">
        <v>403</v>
      </c>
      <c r="B164" s="580" t="s">
        <v>1260</v>
      </c>
      <c r="C164" s="573" t="s">
        <v>264</v>
      </c>
      <c r="D164" s="573" t="s">
        <v>215</v>
      </c>
      <c r="E164" s="573" t="s">
        <v>275</v>
      </c>
      <c r="F164" s="573" t="s">
        <v>636</v>
      </c>
      <c r="G164" s="10">
        <f>G163</f>
        <v>38490</v>
      </c>
      <c r="H164" s="10">
        <f>H163</f>
        <v>38490</v>
      </c>
    </row>
    <row r="165" spans="1:10" ht="31.5" hidden="1" x14ac:dyDescent="0.25">
      <c r="A165" s="31" t="s">
        <v>1505</v>
      </c>
      <c r="B165" s="580" t="s">
        <v>1504</v>
      </c>
      <c r="C165" s="580" t="s">
        <v>264</v>
      </c>
      <c r="D165" s="580" t="s">
        <v>215</v>
      </c>
      <c r="E165" s="580"/>
      <c r="F165" s="573"/>
      <c r="G165" s="10">
        <f>G166</f>
        <v>0</v>
      </c>
      <c r="H165" s="10">
        <f>H166</f>
        <v>0</v>
      </c>
    </row>
    <row r="166" spans="1:10" ht="31.5" hidden="1" x14ac:dyDescent="0.25">
      <c r="A166" s="579" t="s">
        <v>272</v>
      </c>
      <c r="B166" s="580" t="s">
        <v>1504</v>
      </c>
      <c r="C166" s="580" t="s">
        <v>264</v>
      </c>
      <c r="D166" s="580" t="s">
        <v>215</v>
      </c>
      <c r="E166" s="580" t="s">
        <v>273</v>
      </c>
      <c r="F166" s="573"/>
      <c r="G166" s="10">
        <f>G167</f>
        <v>0</v>
      </c>
      <c r="H166" s="10">
        <f>H167</f>
        <v>0</v>
      </c>
    </row>
    <row r="167" spans="1:10" ht="15.75" hidden="1" x14ac:dyDescent="0.25">
      <c r="A167" s="31" t="s">
        <v>274</v>
      </c>
      <c r="B167" s="580" t="s">
        <v>1504</v>
      </c>
      <c r="C167" s="580" t="s">
        <v>264</v>
      </c>
      <c r="D167" s="580" t="s">
        <v>215</v>
      </c>
      <c r="E167" s="580" t="s">
        <v>275</v>
      </c>
      <c r="F167" s="573"/>
      <c r="G167" s="10">
        <f>'Пр.4 ведом.22'!G753</f>
        <v>0</v>
      </c>
      <c r="H167" s="10">
        <f>'Пр.4 ведом.22'!H753</f>
        <v>0</v>
      </c>
    </row>
    <row r="168" spans="1:10" ht="31.5" hidden="1" x14ac:dyDescent="0.25">
      <c r="A168" s="182" t="s">
        <v>403</v>
      </c>
      <c r="B168" s="580" t="s">
        <v>1504</v>
      </c>
      <c r="C168" s="580" t="s">
        <v>264</v>
      </c>
      <c r="D168" s="580" t="s">
        <v>215</v>
      </c>
      <c r="E168" s="580" t="s">
        <v>275</v>
      </c>
      <c r="F168" s="573" t="s">
        <v>636</v>
      </c>
      <c r="G168" s="10">
        <f>G165</f>
        <v>0</v>
      </c>
      <c r="H168" s="10">
        <f>H165</f>
        <v>0</v>
      </c>
    </row>
    <row r="169" spans="1:10" ht="47.25" x14ac:dyDescent="0.25">
      <c r="A169" s="494" t="s">
        <v>900</v>
      </c>
      <c r="B169" s="495" t="s">
        <v>1232</v>
      </c>
      <c r="C169" s="7"/>
      <c r="D169" s="7"/>
      <c r="E169" s="7"/>
      <c r="F169" s="7"/>
      <c r="G169" s="488">
        <f>G170</f>
        <v>219730.90000000002</v>
      </c>
      <c r="H169" s="488">
        <f>H170</f>
        <v>177704.40000000002</v>
      </c>
    </row>
    <row r="170" spans="1:10" ht="15.75" x14ac:dyDescent="0.25">
      <c r="A170" s="29" t="s">
        <v>263</v>
      </c>
      <c r="B170" s="573" t="s">
        <v>1232</v>
      </c>
      <c r="C170" s="573" t="s">
        <v>264</v>
      </c>
      <c r="D170" s="573"/>
      <c r="E170" s="573"/>
      <c r="F170" s="573"/>
      <c r="G170" s="10">
        <f>G171+G180+G197</f>
        <v>219730.90000000002</v>
      </c>
      <c r="H170" s="10">
        <f>H171+H180+H197</f>
        <v>177704.40000000002</v>
      </c>
    </row>
    <row r="171" spans="1:10" ht="15.75" x14ac:dyDescent="0.25">
      <c r="A171" s="45" t="s">
        <v>404</v>
      </c>
      <c r="B171" s="573" t="s">
        <v>1232</v>
      </c>
      <c r="C171" s="573" t="s">
        <v>264</v>
      </c>
      <c r="D171" s="573" t="s">
        <v>118</v>
      </c>
      <c r="E171" s="573"/>
      <c r="F171" s="573"/>
      <c r="G171" s="10">
        <f>G172+G176</f>
        <v>62826</v>
      </c>
      <c r="H171" s="10">
        <f>H172+H176</f>
        <v>56875</v>
      </c>
    </row>
    <row r="172" spans="1:10" ht="94.5" x14ac:dyDescent="0.25">
      <c r="A172" s="31" t="s">
        <v>293</v>
      </c>
      <c r="B172" s="580" t="s">
        <v>1390</v>
      </c>
      <c r="C172" s="573" t="s">
        <v>264</v>
      </c>
      <c r="D172" s="573" t="s">
        <v>118</v>
      </c>
      <c r="E172" s="573"/>
      <c r="F172" s="573"/>
      <c r="G172" s="489">
        <f>G173</f>
        <v>3230</v>
      </c>
      <c r="H172" s="489">
        <f>H173</f>
        <v>3230</v>
      </c>
      <c r="J172" s="232"/>
    </row>
    <row r="173" spans="1:10" ht="31.5" x14ac:dyDescent="0.25">
      <c r="A173" s="579" t="s">
        <v>272</v>
      </c>
      <c r="B173" s="580" t="s">
        <v>1390</v>
      </c>
      <c r="C173" s="573" t="s">
        <v>264</v>
      </c>
      <c r="D173" s="573" t="s">
        <v>118</v>
      </c>
      <c r="E173" s="573" t="s">
        <v>273</v>
      </c>
      <c r="F173" s="573"/>
      <c r="G173" s="489">
        <f>G174</f>
        <v>3230</v>
      </c>
      <c r="H173" s="489">
        <f>H174</f>
        <v>3230</v>
      </c>
    </row>
    <row r="174" spans="1:10" ht="15.75" x14ac:dyDescent="0.25">
      <c r="A174" s="579" t="s">
        <v>274</v>
      </c>
      <c r="B174" s="580" t="s">
        <v>1390</v>
      </c>
      <c r="C174" s="573" t="s">
        <v>264</v>
      </c>
      <c r="D174" s="573" t="s">
        <v>118</v>
      </c>
      <c r="E174" s="573" t="s">
        <v>275</v>
      </c>
      <c r="F174" s="573"/>
      <c r="G174" s="489">
        <f>'Пр.4.1 ведом.23-24 '!G604</f>
        <v>3230</v>
      </c>
      <c r="H174" s="489">
        <f>'Пр.4.1 ведом.23-24 '!H604</f>
        <v>3230</v>
      </c>
    </row>
    <row r="175" spans="1:10" ht="31.5" x14ac:dyDescent="0.25">
      <c r="A175" s="29" t="s">
        <v>403</v>
      </c>
      <c r="B175" s="580" t="s">
        <v>1390</v>
      </c>
      <c r="C175" s="573" t="s">
        <v>264</v>
      </c>
      <c r="D175" s="573" t="s">
        <v>118</v>
      </c>
      <c r="E175" s="573" t="s">
        <v>275</v>
      </c>
      <c r="F175" s="573" t="s">
        <v>636</v>
      </c>
      <c r="G175" s="10">
        <f>G174</f>
        <v>3230</v>
      </c>
      <c r="H175" s="10">
        <f>H174</f>
        <v>3230</v>
      </c>
    </row>
    <row r="176" spans="1:10" ht="47.25" x14ac:dyDescent="0.25">
      <c r="A176" s="650" t="s">
        <v>1766</v>
      </c>
      <c r="B176" s="580" t="s">
        <v>1767</v>
      </c>
      <c r="C176" s="573" t="s">
        <v>264</v>
      </c>
      <c r="D176" s="573" t="s">
        <v>118</v>
      </c>
      <c r="E176" s="573"/>
      <c r="F176" s="573"/>
      <c r="G176" s="489">
        <f>G177</f>
        <v>59596</v>
      </c>
      <c r="H176" s="489">
        <f>H177</f>
        <v>53645</v>
      </c>
      <c r="J176" s="232"/>
    </row>
    <row r="177" spans="1:10" ht="31.5" x14ac:dyDescent="0.25">
      <c r="A177" s="579" t="s">
        <v>272</v>
      </c>
      <c r="B177" s="580" t="s">
        <v>1767</v>
      </c>
      <c r="C177" s="573" t="s">
        <v>264</v>
      </c>
      <c r="D177" s="573" t="s">
        <v>118</v>
      </c>
      <c r="E177" s="573" t="s">
        <v>273</v>
      </c>
      <c r="F177" s="573"/>
      <c r="G177" s="489">
        <f>G178</f>
        <v>59596</v>
      </c>
      <c r="H177" s="489">
        <f>H178</f>
        <v>53645</v>
      </c>
      <c r="J177" s="232"/>
    </row>
    <row r="178" spans="1:10" ht="15.75" x14ac:dyDescent="0.25">
      <c r="A178" s="579" t="s">
        <v>274</v>
      </c>
      <c r="B178" s="580" t="s">
        <v>1767</v>
      </c>
      <c r="C178" s="573" t="s">
        <v>264</v>
      </c>
      <c r="D178" s="573" t="s">
        <v>118</v>
      </c>
      <c r="E178" s="573" t="s">
        <v>275</v>
      </c>
      <c r="F178" s="573"/>
      <c r="G178" s="489">
        <f>'Пр.4.1 ведом.23-24 '!G607</f>
        <v>59596</v>
      </c>
      <c r="H178" s="489">
        <f>'Пр.4.1 ведом.23-24 '!H607</f>
        <v>53645</v>
      </c>
    </row>
    <row r="179" spans="1:10" ht="31.5" x14ac:dyDescent="0.25">
      <c r="A179" s="29" t="s">
        <v>403</v>
      </c>
      <c r="B179" s="580" t="s">
        <v>1767</v>
      </c>
      <c r="C179" s="573" t="s">
        <v>264</v>
      </c>
      <c r="D179" s="573" t="s">
        <v>118</v>
      </c>
      <c r="E179" s="573" t="s">
        <v>275</v>
      </c>
      <c r="F179" s="573" t="s">
        <v>636</v>
      </c>
      <c r="G179" s="10">
        <f>G178</f>
        <v>59596</v>
      </c>
      <c r="H179" s="10">
        <f>H178</f>
        <v>53645</v>
      </c>
    </row>
    <row r="180" spans="1:10" ht="15.75" x14ac:dyDescent="0.25">
      <c r="A180" s="29" t="s">
        <v>425</v>
      </c>
      <c r="B180" s="573" t="s">
        <v>1232</v>
      </c>
      <c r="C180" s="573" t="s">
        <v>264</v>
      </c>
      <c r="D180" s="573" t="s">
        <v>213</v>
      </c>
      <c r="E180" s="573"/>
      <c r="F180" s="573"/>
      <c r="G180" s="10">
        <f>G181+G185+G189+G193</f>
        <v>154661.90000000002</v>
      </c>
      <c r="H180" s="10">
        <f>H181+H185+H189+H193</f>
        <v>118586.40000000001</v>
      </c>
    </row>
    <row r="181" spans="1:10" ht="63" x14ac:dyDescent="0.25">
      <c r="A181" s="579" t="s">
        <v>1392</v>
      </c>
      <c r="B181" s="580" t="s">
        <v>1393</v>
      </c>
      <c r="C181" s="573" t="s">
        <v>264</v>
      </c>
      <c r="D181" s="573" t="s">
        <v>213</v>
      </c>
      <c r="E181" s="573"/>
      <c r="F181" s="573"/>
      <c r="G181" s="10">
        <f>G182</f>
        <v>7421.4</v>
      </c>
      <c r="H181" s="10">
        <f>H182</f>
        <v>7421.4</v>
      </c>
    </row>
    <row r="182" spans="1:10" ht="31.5" x14ac:dyDescent="0.25">
      <c r="A182" s="579" t="s">
        <v>272</v>
      </c>
      <c r="B182" s="580" t="s">
        <v>1393</v>
      </c>
      <c r="C182" s="573" t="s">
        <v>264</v>
      </c>
      <c r="D182" s="573" t="s">
        <v>213</v>
      </c>
      <c r="E182" s="573" t="s">
        <v>273</v>
      </c>
      <c r="F182" s="573"/>
      <c r="G182" s="10">
        <f>G183</f>
        <v>7421.4</v>
      </c>
      <c r="H182" s="10">
        <f>H183</f>
        <v>7421.4</v>
      </c>
    </row>
    <row r="183" spans="1:10" ht="15.75" x14ac:dyDescent="0.25">
      <c r="A183" s="579" t="s">
        <v>274</v>
      </c>
      <c r="B183" s="580" t="s">
        <v>1393</v>
      </c>
      <c r="C183" s="573" t="s">
        <v>264</v>
      </c>
      <c r="D183" s="573" t="s">
        <v>213</v>
      </c>
      <c r="E183" s="573" t="s">
        <v>275</v>
      </c>
      <c r="F183" s="573"/>
      <c r="G183" s="10">
        <f>'Пр.4.1 ведом.23-24 '!G666</f>
        <v>7421.4</v>
      </c>
      <c r="H183" s="10">
        <f>'Пр.4.1 ведом.23-24 '!H666</f>
        <v>7421.4</v>
      </c>
    </row>
    <row r="184" spans="1:10" ht="31.5" x14ac:dyDescent="0.25">
      <c r="A184" s="45" t="s">
        <v>403</v>
      </c>
      <c r="B184" s="580" t="s">
        <v>1393</v>
      </c>
      <c r="C184" s="573" t="s">
        <v>264</v>
      </c>
      <c r="D184" s="573" t="s">
        <v>213</v>
      </c>
      <c r="E184" s="573" t="s">
        <v>275</v>
      </c>
      <c r="F184" s="573" t="s">
        <v>636</v>
      </c>
      <c r="G184" s="10">
        <f>G181</f>
        <v>7421.4</v>
      </c>
      <c r="H184" s="10">
        <f>H181</f>
        <v>7421.4</v>
      </c>
    </row>
    <row r="185" spans="1:10" ht="94.5" x14ac:dyDescent="0.25">
      <c r="A185" s="31" t="s">
        <v>464</v>
      </c>
      <c r="B185" s="580" t="s">
        <v>1390</v>
      </c>
      <c r="C185" s="573" t="s">
        <v>264</v>
      </c>
      <c r="D185" s="573" t="s">
        <v>213</v>
      </c>
      <c r="E185" s="573"/>
      <c r="F185" s="573"/>
      <c r="G185" s="489">
        <f>G186</f>
        <v>4520</v>
      </c>
      <c r="H185" s="489">
        <f>H186</f>
        <v>4520</v>
      </c>
    </row>
    <row r="186" spans="1:10" ht="31.5" x14ac:dyDescent="0.25">
      <c r="A186" s="579" t="s">
        <v>272</v>
      </c>
      <c r="B186" s="580" t="s">
        <v>1390</v>
      </c>
      <c r="C186" s="573" t="s">
        <v>264</v>
      </c>
      <c r="D186" s="573" t="s">
        <v>213</v>
      </c>
      <c r="E186" s="573" t="s">
        <v>273</v>
      </c>
      <c r="F186" s="573"/>
      <c r="G186" s="489">
        <f>G187</f>
        <v>4520</v>
      </c>
      <c r="H186" s="489">
        <f>H187</f>
        <v>4520</v>
      </c>
    </row>
    <row r="187" spans="1:10" ht="15.75" x14ac:dyDescent="0.25">
      <c r="A187" s="579" t="s">
        <v>274</v>
      </c>
      <c r="B187" s="580" t="s">
        <v>1390</v>
      </c>
      <c r="C187" s="573" t="s">
        <v>264</v>
      </c>
      <c r="D187" s="573" t="s">
        <v>213</v>
      </c>
      <c r="E187" s="573" t="s">
        <v>275</v>
      </c>
      <c r="F187" s="573"/>
      <c r="G187" s="489">
        <f>'Пр.4.1 ведом.23-24 '!G669</f>
        <v>4520</v>
      </c>
      <c r="H187" s="489">
        <f>'Пр.4.1 ведом.23-24 '!H669</f>
        <v>4520</v>
      </c>
    </row>
    <row r="188" spans="1:10" ht="31.5" x14ac:dyDescent="0.25">
      <c r="A188" s="29" t="s">
        <v>403</v>
      </c>
      <c r="B188" s="580" t="s">
        <v>1390</v>
      </c>
      <c r="C188" s="573" t="s">
        <v>264</v>
      </c>
      <c r="D188" s="573" t="s">
        <v>213</v>
      </c>
      <c r="E188" s="573" t="s">
        <v>275</v>
      </c>
      <c r="F188" s="573" t="s">
        <v>636</v>
      </c>
      <c r="G188" s="10">
        <f>G187</f>
        <v>4520</v>
      </c>
      <c r="H188" s="10">
        <f>H187</f>
        <v>4520</v>
      </c>
    </row>
    <row r="189" spans="1:10" ht="47.25" x14ac:dyDescent="0.25">
      <c r="A189" s="31" t="s">
        <v>462</v>
      </c>
      <c r="B189" s="580" t="s">
        <v>1251</v>
      </c>
      <c r="C189" s="573" t="s">
        <v>264</v>
      </c>
      <c r="D189" s="573" t="s">
        <v>213</v>
      </c>
      <c r="E189" s="573"/>
      <c r="F189" s="573"/>
      <c r="G189" s="489">
        <f>G190</f>
        <v>909.3</v>
      </c>
      <c r="H189" s="489">
        <f>H190</f>
        <v>909.3</v>
      </c>
    </row>
    <row r="190" spans="1:10" ht="31.5" x14ac:dyDescent="0.25">
      <c r="A190" s="579" t="s">
        <v>272</v>
      </c>
      <c r="B190" s="580" t="s">
        <v>1251</v>
      </c>
      <c r="C190" s="573" t="s">
        <v>264</v>
      </c>
      <c r="D190" s="573" t="s">
        <v>213</v>
      </c>
      <c r="E190" s="573" t="s">
        <v>273</v>
      </c>
      <c r="F190" s="573"/>
      <c r="G190" s="489">
        <f>G191</f>
        <v>909.3</v>
      </c>
      <c r="H190" s="489">
        <f>H191</f>
        <v>909.3</v>
      </c>
    </row>
    <row r="191" spans="1:10" ht="15.75" x14ac:dyDescent="0.25">
      <c r="A191" s="579" t="s">
        <v>274</v>
      </c>
      <c r="B191" s="580" t="s">
        <v>1251</v>
      </c>
      <c r="C191" s="573" t="s">
        <v>264</v>
      </c>
      <c r="D191" s="573" t="s">
        <v>213</v>
      </c>
      <c r="E191" s="573" t="s">
        <v>275</v>
      </c>
      <c r="F191" s="573"/>
      <c r="G191" s="489">
        <f>'Пр.4.1 ведом.23-24 '!G672</f>
        <v>909.3</v>
      </c>
      <c r="H191" s="489">
        <f>'Пр.4.1 ведом.23-24 '!H672</f>
        <v>909.3</v>
      </c>
    </row>
    <row r="192" spans="1:10" ht="31.5" x14ac:dyDescent="0.25">
      <c r="A192" s="29" t="s">
        <v>403</v>
      </c>
      <c r="B192" s="580" t="s">
        <v>1251</v>
      </c>
      <c r="C192" s="573" t="s">
        <v>264</v>
      </c>
      <c r="D192" s="573" t="s">
        <v>213</v>
      </c>
      <c r="E192" s="573" t="s">
        <v>275</v>
      </c>
      <c r="F192" s="573" t="s">
        <v>636</v>
      </c>
      <c r="G192" s="10">
        <f>G191</f>
        <v>909.3</v>
      </c>
      <c r="H192" s="10">
        <f>H191</f>
        <v>909.3</v>
      </c>
    </row>
    <row r="193" spans="1:8" ht="47.25" x14ac:dyDescent="0.25">
      <c r="A193" s="650" t="s">
        <v>1766</v>
      </c>
      <c r="B193" s="580" t="s">
        <v>1767</v>
      </c>
      <c r="C193" s="573" t="s">
        <v>264</v>
      </c>
      <c r="D193" s="573" t="s">
        <v>213</v>
      </c>
      <c r="E193" s="573"/>
      <c r="F193" s="573"/>
      <c r="G193" s="489">
        <f>G194</f>
        <v>141811.20000000001</v>
      </c>
      <c r="H193" s="489">
        <f>H194</f>
        <v>105735.70000000001</v>
      </c>
    </row>
    <row r="194" spans="1:8" ht="31.5" x14ac:dyDescent="0.25">
      <c r="A194" s="579" t="s">
        <v>272</v>
      </c>
      <c r="B194" s="580" t="s">
        <v>1767</v>
      </c>
      <c r="C194" s="573" t="s">
        <v>264</v>
      </c>
      <c r="D194" s="573" t="s">
        <v>213</v>
      </c>
      <c r="E194" s="573" t="s">
        <v>273</v>
      </c>
      <c r="F194" s="573"/>
      <c r="G194" s="489">
        <f>G195</f>
        <v>141811.20000000001</v>
      </c>
      <c r="H194" s="489">
        <f>H195</f>
        <v>105735.70000000001</v>
      </c>
    </row>
    <row r="195" spans="1:8" ht="15.75" x14ac:dyDescent="0.25">
      <c r="A195" s="579" t="s">
        <v>274</v>
      </c>
      <c r="B195" s="580" t="s">
        <v>1767</v>
      </c>
      <c r="C195" s="573" t="s">
        <v>264</v>
      </c>
      <c r="D195" s="573" t="s">
        <v>213</v>
      </c>
      <c r="E195" s="573" t="s">
        <v>275</v>
      </c>
      <c r="F195" s="573"/>
      <c r="G195" s="489">
        <f>'Пр.4.1 ведом.23-24 '!G675</f>
        <v>141811.20000000001</v>
      </c>
      <c r="H195" s="489">
        <f>'Пр.4.1 ведом.23-24 '!H675</f>
        <v>105735.70000000001</v>
      </c>
    </row>
    <row r="196" spans="1:8" ht="31.5" x14ac:dyDescent="0.25">
      <c r="A196" s="29" t="s">
        <v>403</v>
      </c>
      <c r="B196" s="580" t="s">
        <v>1767</v>
      </c>
      <c r="C196" s="573" t="s">
        <v>264</v>
      </c>
      <c r="D196" s="573" t="s">
        <v>213</v>
      </c>
      <c r="E196" s="573" t="s">
        <v>275</v>
      </c>
      <c r="F196" s="573" t="s">
        <v>636</v>
      </c>
      <c r="G196" s="10">
        <f>G195</f>
        <v>141811.20000000001</v>
      </c>
      <c r="H196" s="10">
        <f>H195</f>
        <v>105735.70000000001</v>
      </c>
    </row>
    <row r="197" spans="1:8" ht="15.75" x14ac:dyDescent="0.25">
      <c r="A197" s="29" t="s">
        <v>265</v>
      </c>
      <c r="B197" s="573" t="s">
        <v>1232</v>
      </c>
      <c r="C197" s="573" t="s">
        <v>264</v>
      </c>
      <c r="D197" s="573" t="s">
        <v>215</v>
      </c>
      <c r="E197" s="573"/>
      <c r="F197" s="573"/>
      <c r="G197" s="489">
        <f>G198+G202</f>
        <v>2243</v>
      </c>
      <c r="H197" s="489">
        <f>H198+H202</f>
        <v>2243</v>
      </c>
    </row>
    <row r="198" spans="1:8" ht="94.5" x14ac:dyDescent="0.25">
      <c r="A198" s="31" t="s">
        <v>293</v>
      </c>
      <c r="B198" s="580" t="s">
        <v>1390</v>
      </c>
      <c r="C198" s="573" t="s">
        <v>264</v>
      </c>
      <c r="D198" s="573" t="s">
        <v>215</v>
      </c>
      <c r="E198" s="573"/>
      <c r="F198" s="573"/>
      <c r="G198" s="489">
        <f>G199</f>
        <v>1400</v>
      </c>
      <c r="H198" s="489">
        <f>H199</f>
        <v>1400</v>
      </c>
    </row>
    <row r="199" spans="1:8" ht="31.5" x14ac:dyDescent="0.25">
      <c r="A199" s="579" t="s">
        <v>272</v>
      </c>
      <c r="B199" s="580" t="s">
        <v>1390</v>
      </c>
      <c r="C199" s="573" t="s">
        <v>264</v>
      </c>
      <c r="D199" s="573" t="s">
        <v>215</v>
      </c>
      <c r="E199" s="573" t="s">
        <v>273</v>
      </c>
      <c r="F199" s="573"/>
      <c r="G199" s="489">
        <f>G200</f>
        <v>1400</v>
      </c>
      <c r="H199" s="489">
        <f>H200</f>
        <v>1400</v>
      </c>
    </row>
    <row r="200" spans="1:8" ht="15.75" x14ac:dyDescent="0.25">
      <c r="A200" s="579" t="s">
        <v>274</v>
      </c>
      <c r="B200" s="580" t="s">
        <v>1390</v>
      </c>
      <c r="C200" s="573" t="s">
        <v>264</v>
      </c>
      <c r="D200" s="573" t="s">
        <v>215</v>
      </c>
      <c r="E200" s="573" t="s">
        <v>275</v>
      </c>
      <c r="F200" s="573"/>
      <c r="G200" s="489">
        <f>'Пр.4.1 ведом.23-24 '!G758</f>
        <v>1400</v>
      </c>
      <c r="H200" s="489">
        <f>'Пр.4.1 ведом.23-24 '!H758</f>
        <v>1400</v>
      </c>
    </row>
    <row r="201" spans="1:8" ht="31.5" x14ac:dyDescent="0.25">
      <c r="A201" s="29" t="s">
        <v>403</v>
      </c>
      <c r="B201" s="580" t="s">
        <v>1390</v>
      </c>
      <c r="C201" s="573" t="s">
        <v>264</v>
      </c>
      <c r="D201" s="573" t="s">
        <v>215</v>
      </c>
      <c r="E201" s="573" t="s">
        <v>275</v>
      </c>
      <c r="F201" s="573" t="s">
        <v>636</v>
      </c>
      <c r="G201" s="10">
        <f>G200</f>
        <v>1400</v>
      </c>
      <c r="H201" s="10">
        <f>H200</f>
        <v>1400</v>
      </c>
    </row>
    <row r="202" spans="1:8" ht="47.25" x14ac:dyDescent="0.25">
      <c r="A202" s="650" t="s">
        <v>1766</v>
      </c>
      <c r="B202" s="580" t="s">
        <v>1767</v>
      </c>
      <c r="C202" s="573" t="s">
        <v>264</v>
      </c>
      <c r="D202" s="573" t="s">
        <v>215</v>
      </c>
      <c r="E202" s="573"/>
      <c r="F202" s="573"/>
      <c r="G202" s="489">
        <f>G203</f>
        <v>843</v>
      </c>
      <c r="H202" s="489">
        <f>H203</f>
        <v>843</v>
      </c>
    </row>
    <row r="203" spans="1:8" ht="31.5" x14ac:dyDescent="0.25">
      <c r="A203" s="579" t="s">
        <v>272</v>
      </c>
      <c r="B203" s="580" t="s">
        <v>1767</v>
      </c>
      <c r="C203" s="573" t="s">
        <v>264</v>
      </c>
      <c r="D203" s="573" t="s">
        <v>215</v>
      </c>
      <c r="E203" s="573" t="s">
        <v>273</v>
      </c>
      <c r="F203" s="573"/>
      <c r="G203" s="489">
        <f>G204</f>
        <v>843</v>
      </c>
      <c r="H203" s="489">
        <f>H204</f>
        <v>843</v>
      </c>
    </row>
    <row r="204" spans="1:8" ht="15.75" x14ac:dyDescent="0.25">
      <c r="A204" s="579" t="s">
        <v>274</v>
      </c>
      <c r="B204" s="580" t="s">
        <v>1767</v>
      </c>
      <c r="C204" s="573" t="s">
        <v>264</v>
      </c>
      <c r="D204" s="573" t="s">
        <v>215</v>
      </c>
      <c r="E204" s="573" t="s">
        <v>275</v>
      </c>
      <c r="F204" s="573"/>
      <c r="G204" s="489">
        <f>'Пр.4.1 ведом.23-24 '!G761</f>
        <v>843</v>
      </c>
      <c r="H204" s="489">
        <f>'Пр.4.1 ведом.23-24 '!H761</f>
        <v>843</v>
      </c>
    </row>
    <row r="205" spans="1:8" ht="31.5" x14ac:dyDescent="0.25">
      <c r="A205" s="29" t="s">
        <v>403</v>
      </c>
      <c r="B205" s="580" t="s">
        <v>1767</v>
      </c>
      <c r="C205" s="573" t="s">
        <v>264</v>
      </c>
      <c r="D205" s="573" t="s">
        <v>215</v>
      </c>
      <c r="E205" s="573" t="s">
        <v>275</v>
      </c>
      <c r="F205" s="573" t="s">
        <v>636</v>
      </c>
      <c r="G205" s="10">
        <f>G204</f>
        <v>843</v>
      </c>
      <c r="H205" s="10">
        <f>H204</f>
        <v>843</v>
      </c>
    </row>
    <row r="206" spans="1:8" ht="31.5" x14ac:dyDescent="0.25">
      <c r="A206" s="494" t="s">
        <v>1292</v>
      </c>
      <c r="B206" s="495" t="s">
        <v>1237</v>
      </c>
      <c r="C206" s="7"/>
      <c r="D206" s="7"/>
      <c r="E206" s="7"/>
      <c r="F206" s="7"/>
      <c r="G206" s="59">
        <f>G207+G221</f>
        <v>4958</v>
      </c>
      <c r="H206" s="59">
        <f>H207+H221</f>
        <v>4958</v>
      </c>
    </row>
    <row r="207" spans="1:8" ht="15.75" x14ac:dyDescent="0.25">
      <c r="A207" s="29" t="s">
        <v>263</v>
      </c>
      <c r="B207" s="580" t="s">
        <v>1237</v>
      </c>
      <c r="C207" s="573" t="s">
        <v>264</v>
      </c>
      <c r="D207" s="573"/>
      <c r="E207" s="573"/>
      <c r="F207" s="573"/>
      <c r="G207" s="10">
        <f t="shared" ref="G207:H207" si="23">G208</f>
        <v>4749.3999999999996</v>
      </c>
      <c r="H207" s="10">
        <f t="shared" si="23"/>
        <v>4749.3999999999996</v>
      </c>
    </row>
    <row r="208" spans="1:8" ht="15.75" x14ac:dyDescent="0.25">
      <c r="A208" s="45" t="s">
        <v>404</v>
      </c>
      <c r="B208" s="580" t="s">
        <v>1237</v>
      </c>
      <c r="C208" s="573" t="s">
        <v>264</v>
      </c>
      <c r="D208" s="573" t="s">
        <v>118</v>
      </c>
      <c r="E208" s="573"/>
      <c r="F208" s="573"/>
      <c r="G208" s="10">
        <f>G209+G213+G217</f>
        <v>4749.3999999999996</v>
      </c>
      <c r="H208" s="10">
        <f>H209+H213+H217</f>
        <v>4749.3999999999996</v>
      </c>
    </row>
    <row r="209" spans="1:8" ht="31.5" hidden="1" x14ac:dyDescent="0.25">
      <c r="A209" s="29" t="s">
        <v>278</v>
      </c>
      <c r="B209" s="580" t="s">
        <v>1318</v>
      </c>
      <c r="C209" s="573" t="s">
        <v>264</v>
      </c>
      <c r="D209" s="573" t="s">
        <v>118</v>
      </c>
      <c r="E209" s="573"/>
      <c r="F209" s="573"/>
      <c r="G209" s="10">
        <f t="shared" ref="G209:H210" si="24">G210</f>
        <v>0</v>
      </c>
      <c r="H209" s="10">
        <f t="shared" si="24"/>
        <v>0</v>
      </c>
    </row>
    <row r="210" spans="1:8" ht="31.5" hidden="1" x14ac:dyDescent="0.25">
      <c r="A210" s="29" t="s">
        <v>272</v>
      </c>
      <c r="B210" s="580" t="s">
        <v>1318</v>
      </c>
      <c r="C210" s="573" t="s">
        <v>264</v>
      </c>
      <c r="D210" s="573" t="s">
        <v>118</v>
      </c>
      <c r="E210" s="573" t="s">
        <v>273</v>
      </c>
      <c r="F210" s="573"/>
      <c r="G210" s="10">
        <f t="shared" si="24"/>
        <v>0</v>
      </c>
      <c r="H210" s="10">
        <f t="shared" si="24"/>
        <v>0</v>
      </c>
    </row>
    <row r="211" spans="1:8" ht="15.75" hidden="1" x14ac:dyDescent="0.25">
      <c r="A211" s="29" t="s">
        <v>274</v>
      </c>
      <c r="B211" s="580" t="s">
        <v>1318</v>
      </c>
      <c r="C211" s="573" t="s">
        <v>264</v>
      </c>
      <c r="D211" s="573" t="s">
        <v>118</v>
      </c>
      <c r="E211" s="573" t="s">
        <v>275</v>
      </c>
      <c r="F211" s="573"/>
      <c r="G211" s="10">
        <f>'Пр.4 ведом.22'!G610</f>
        <v>0</v>
      </c>
      <c r="H211" s="10">
        <f>'Пр.4 ведом.22'!H610</f>
        <v>0</v>
      </c>
    </row>
    <row r="212" spans="1:8" ht="31.5" hidden="1" x14ac:dyDescent="0.25">
      <c r="A212" s="29" t="s">
        <v>403</v>
      </c>
      <c r="B212" s="580" t="s">
        <v>1318</v>
      </c>
      <c r="C212" s="573" t="s">
        <v>264</v>
      </c>
      <c r="D212" s="573" t="s">
        <v>118</v>
      </c>
      <c r="E212" s="573" t="s">
        <v>275</v>
      </c>
      <c r="F212" s="573" t="s">
        <v>636</v>
      </c>
      <c r="G212" s="10">
        <f>G211</f>
        <v>0</v>
      </c>
      <c r="H212" s="10">
        <f>H211</f>
        <v>0</v>
      </c>
    </row>
    <row r="213" spans="1:8" ht="31.7" hidden="1" customHeight="1" x14ac:dyDescent="0.25">
      <c r="A213" s="29" t="s">
        <v>280</v>
      </c>
      <c r="B213" s="580" t="s">
        <v>1319</v>
      </c>
      <c r="C213" s="573" t="s">
        <v>264</v>
      </c>
      <c r="D213" s="573" t="s">
        <v>118</v>
      </c>
      <c r="E213" s="573"/>
      <c r="F213" s="573"/>
      <c r="G213" s="10">
        <f t="shared" ref="G213:H214" si="25">G214</f>
        <v>0</v>
      </c>
      <c r="H213" s="10">
        <f t="shared" si="25"/>
        <v>0</v>
      </c>
    </row>
    <row r="214" spans="1:8" ht="31.7" hidden="1" customHeight="1" x14ac:dyDescent="0.25">
      <c r="A214" s="29" t="s">
        <v>272</v>
      </c>
      <c r="B214" s="580" t="s">
        <v>1319</v>
      </c>
      <c r="C214" s="573" t="s">
        <v>264</v>
      </c>
      <c r="D214" s="573" t="s">
        <v>118</v>
      </c>
      <c r="E214" s="573" t="s">
        <v>273</v>
      </c>
      <c r="F214" s="573"/>
      <c r="G214" s="10">
        <f t="shared" si="25"/>
        <v>0</v>
      </c>
      <c r="H214" s="10">
        <f t="shared" si="25"/>
        <v>0</v>
      </c>
    </row>
    <row r="215" spans="1:8" ht="15.75" hidden="1" customHeight="1" x14ac:dyDescent="0.25">
      <c r="A215" s="29" t="s">
        <v>274</v>
      </c>
      <c r="B215" s="580" t="s">
        <v>1319</v>
      </c>
      <c r="C215" s="573" t="s">
        <v>264</v>
      </c>
      <c r="D215" s="573" t="s">
        <v>118</v>
      </c>
      <c r="E215" s="573" t="s">
        <v>275</v>
      </c>
      <c r="F215" s="573"/>
      <c r="G215" s="10">
        <f>'Пр.4 ведом.22'!G613</f>
        <v>0</v>
      </c>
      <c r="H215" s="10">
        <f>'Пр.4 ведом.22'!H613</f>
        <v>0</v>
      </c>
    </row>
    <row r="216" spans="1:8" ht="35.450000000000003" hidden="1" customHeight="1" x14ac:dyDescent="0.25">
      <c r="A216" s="29" t="s">
        <v>403</v>
      </c>
      <c r="B216" s="580" t="s">
        <v>1319</v>
      </c>
      <c r="C216" s="573" t="s">
        <v>264</v>
      </c>
      <c r="D216" s="573" t="s">
        <v>118</v>
      </c>
      <c r="E216" s="573" t="s">
        <v>275</v>
      </c>
      <c r="F216" s="573" t="s">
        <v>636</v>
      </c>
      <c r="G216" s="10">
        <f>G215</f>
        <v>0</v>
      </c>
      <c r="H216" s="10">
        <f>H215</f>
        <v>0</v>
      </c>
    </row>
    <row r="217" spans="1:8" ht="31.5" x14ac:dyDescent="0.25">
      <c r="A217" s="29" t="s">
        <v>415</v>
      </c>
      <c r="B217" s="580" t="s">
        <v>1238</v>
      </c>
      <c r="C217" s="573" t="s">
        <v>264</v>
      </c>
      <c r="D217" s="573" t="s">
        <v>118</v>
      </c>
      <c r="E217" s="573"/>
      <c r="F217" s="573"/>
      <c r="G217" s="10">
        <f t="shared" ref="G217:H218" si="26">G218</f>
        <v>4749.3999999999996</v>
      </c>
      <c r="H217" s="10">
        <f t="shared" si="26"/>
        <v>4749.3999999999996</v>
      </c>
    </row>
    <row r="218" spans="1:8" ht="33.75" customHeight="1" x14ac:dyDescent="0.25">
      <c r="A218" s="29" t="s">
        <v>272</v>
      </c>
      <c r="B218" s="580" t="s">
        <v>1238</v>
      </c>
      <c r="C218" s="573" t="s">
        <v>264</v>
      </c>
      <c r="D218" s="573" t="s">
        <v>118</v>
      </c>
      <c r="E218" s="573" t="s">
        <v>273</v>
      </c>
      <c r="F218" s="573"/>
      <c r="G218" s="10">
        <f t="shared" si="26"/>
        <v>4749.3999999999996</v>
      </c>
      <c r="H218" s="10">
        <f t="shared" si="26"/>
        <v>4749.3999999999996</v>
      </c>
    </row>
    <row r="219" spans="1:8" ht="15.75" x14ac:dyDescent="0.25">
      <c r="A219" s="29" t="s">
        <v>274</v>
      </c>
      <c r="B219" s="580" t="s">
        <v>1238</v>
      </c>
      <c r="C219" s="573" t="s">
        <v>264</v>
      </c>
      <c r="D219" s="573" t="s">
        <v>118</v>
      </c>
      <c r="E219" s="573" t="s">
        <v>275</v>
      </c>
      <c r="F219" s="573"/>
      <c r="G219" s="489">
        <f>'Пр.4.1 ведом.23-24 '!G617</f>
        <v>4749.3999999999996</v>
      </c>
      <c r="H219" s="489">
        <f>'Пр.4.1 ведом.23-24 '!H617</f>
        <v>4749.3999999999996</v>
      </c>
    </row>
    <row r="220" spans="1:8" ht="31.5" x14ac:dyDescent="0.25">
      <c r="A220" s="29" t="s">
        <v>403</v>
      </c>
      <c r="B220" s="580" t="s">
        <v>1238</v>
      </c>
      <c r="C220" s="573" t="s">
        <v>264</v>
      </c>
      <c r="D220" s="573" t="s">
        <v>118</v>
      </c>
      <c r="E220" s="573" t="s">
        <v>275</v>
      </c>
      <c r="F220" s="573" t="s">
        <v>636</v>
      </c>
      <c r="G220" s="10">
        <f>G219</f>
        <v>4749.3999999999996</v>
      </c>
      <c r="H220" s="10">
        <f>H219</f>
        <v>4749.3999999999996</v>
      </c>
    </row>
    <row r="221" spans="1:8" ht="15.75" x14ac:dyDescent="0.25">
      <c r="A221" s="29" t="s">
        <v>263</v>
      </c>
      <c r="B221" s="573" t="s">
        <v>1237</v>
      </c>
      <c r="C221" s="573" t="s">
        <v>264</v>
      </c>
      <c r="D221" s="573"/>
      <c r="E221" s="573"/>
      <c r="F221" s="573"/>
      <c r="G221" s="10">
        <f t="shared" ref="G221:H221" si="27">G222</f>
        <v>208.6</v>
      </c>
      <c r="H221" s="10">
        <f t="shared" si="27"/>
        <v>208.6</v>
      </c>
    </row>
    <row r="222" spans="1:8" ht="15.75" x14ac:dyDescent="0.25">
      <c r="A222" s="29" t="s">
        <v>425</v>
      </c>
      <c r="B222" s="573" t="s">
        <v>1237</v>
      </c>
      <c r="C222" s="573" t="s">
        <v>264</v>
      </c>
      <c r="D222" s="573" t="s">
        <v>213</v>
      </c>
      <c r="E222" s="573"/>
      <c r="F222" s="573"/>
      <c r="G222" s="10">
        <f>G223+G227+G231+G235</f>
        <v>208.6</v>
      </c>
      <c r="H222" s="10">
        <f>H235</f>
        <v>208.6</v>
      </c>
    </row>
    <row r="223" spans="1:8" ht="47.25" hidden="1" x14ac:dyDescent="0.25">
      <c r="A223" s="579" t="s">
        <v>789</v>
      </c>
      <c r="B223" s="580" t="s">
        <v>1317</v>
      </c>
      <c r="C223" s="573" t="s">
        <v>264</v>
      </c>
      <c r="D223" s="573" t="s">
        <v>213</v>
      </c>
      <c r="E223" s="573"/>
      <c r="F223" s="573"/>
      <c r="G223" s="489">
        <f>G224</f>
        <v>0</v>
      </c>
      <c r="H223" s="489">
        <f>H224</f>
        <v>0</v>
      </c>
    </row>
    <row r="224" spans="1:8" ht="31.5" hidden="1" x14ac:dyDescent="0.25">
      <c r="A224" s="579" t="s">
        <v>272</v>
      </c>
      <c r="B224" s="580" t="s">
        <v>1317</v>
      </c>
      <c r="C224" s="573" t="s">
        <v>264</v>
      </c>
      <c r="D224" s="573" t="s">
        <v>213</v>
      </c>
      <c r="E224" s="573" t="s">
        <v>273</v>
      </c>
      <c r="F224" s="573"/>
      <c r="G224" s="489">
        <f>G225</f>
        <v>0</v>
      </c>
      <c r="H224" s="489">
        <f>H225</f>
        <v>0</v>
      </c>
    </row>
    <row r="225" spans="1:8" ht="15.75" hidden="1" x14ac:dyDescent="0.25">
      <c r="A225" s="579" t="s">
        <v>274</v>
      </c>
      <c r="B225" s="580" t="s">
        <v>1317</v>
      </c>
      <c r="C225" s="573" t="s">
        <v>264</v>
      </c>
      <c r="D225" s="573" t="s">
        <v>213</v>
      </c>
      <c r="E225" s="573" t="s">
        <v>275</v>
      </c>
      <c r="F225" s="573"/>
      <c r="G225" s="489">
        <f>'Пр.4 ведом.22'!G678</f>
        <v>0</v>
      </c>
      <c r="H225" s="489">
        <v>0</v>
      </c>
    </row>
    <row r="226" spans="1:8" ht="31.5" hidden="1" x14ac:dyDescent="0.25">
      <c r="A226" s="29" t="s">
        <v>403</v>
      </c>
      <c r="B226" s="580" t="s">
        <v>1317</v>
      </c>
      <c r="C226" s="573" t="s">
        <v>264</v>
      </c>
      <c r="D226" s="573" t="s">
        <v>213</v>
      </c>
      <c r="E226" s="573" t="s">
        <v>275</v>
      </c>
      <c r="F226" s="573" t="s">
        <v>636</v>
      </c>
      <c r="G226" s="10">
        <f>G225</f>
        <v>0</v>
      </c>
      <c r="H226" s="10">
        <f>H225</f>
        <v>0</v>
      </c>
    </row>
    <row r="227" spans="1:8" ht="31.5" hidden="1" x14ac:dyDescent="0.25">
      <c r="A227" s="579" t="s">
        <v>278</v>
      </c>
      <c r="B227" s="580" t="s">
        <v>1318</v>
      </c>
      <c r="C227" s="573" t="s">
        <v>264</v>
      </c>
      <c r="D227" s="573" t="s">
        <v>213</v>
      </c>
      <c r="E227" s="573"/>
      <c r="F227" s="573"/>
      <c r="G227" s="489">
        <f t="shared" ref="G227:H228" si="28">G228</f>
        <v>0</v>
      </c>
      <c r="H227" s="489">
        <f t="shared" si="28"/>
        <v>0</v>
      </c>
    </row>
    <row r="228" spans="1:8" ht="31.5" hidden="1" x14ac:dyDescent="0.25">
      <c r="A228" s="579" t="s">
        <v>272</v>
      </c>
      <c r="B228" s="580" t="s">
        <v>1318</v>
      </c>
      <c r="C228" s="573" t="s">
        <v>264</v>
      </c>
      <c r="D228" s="573" t="s">
        <v>213</v>
      </c>
      <c r="E228" s="573" t="s">
        <v>273</v>
      </c>
      <c r="F228" s="573"/>
      <c r="G228" s="489">
        <f t="shared" si="28"/>
        <v>0</v>
      </c>
      <c r="H228" s="489">
        <f t="shared" si="28"/>
        <v>0</v>
      </c>
    </row>
    <row r="229" spans="1:8" ht="15.75" hidden="1" x14ac:dyDescent="0.25">
      <c r="A229" s="579" t="s">
        <v>274</v>
      </c>
      <c r="B229" s="580" t="s">
        <v>1318</v>
      </c>
      <c r="C229" s="573" t="s">
        <v>264</v>
      </c>
      <c r="D229" s="573" t="s">
        <v>213</v>
      </c>
      <c r="E229" s="573" t="s">
        <v>275</v>
      </c>
      <c r="F229" s="573"/>
      <c r="G229" s="489">
        <f>'Пр.4 ведом.22'!G681</f>
        <v>0</v>
      </c>
      <c r="H229" s="489">
        <f>'Пр.4 ведом.22'!H681</f>
        <v>0</v>
      </c>
    </row>
    <row r="230" spans="1:8" ht="31.5" hidden="1" x14ac:dyDescent="0.25">
      <c r="A230" s="29" t="s">
        <v>403</v>
      </c>
      <c r="B230" s="580" t="s">
        <v>1318</v>
      </c>
      <c r="C230" s="573" t="s">
        <v>264</v>
      </c>
      <c r="D230" s="573" t="s">
        <v>213</v>
      </c>
      <c r="E230" s="573" t="s">
        <v>275</v>
      </c>
      <c r="F230" s="573" t="s">
        <v>636</v>
      </c>
      <c r="G230" s="10">
        <f>G229</f>
        <v>0</v>
      </c>
      <c r="H230" s="10">
        <f>H229</f>
        <v>0</v>
      </c>
    </row>
    <row r="231" spans="1:8" ht="31.5" hidden="1" x14ac:dyDescent="0.25">
      <c r="A231" s="579" t="s">
        <v>280</v>
      </c>
      <c r="B231" s="580" t="s">
        <v>1319</v>
      </c>
      <c r="C231" s="573" t="s">
        <v>264</v>
      </c>
      <c r="D231" s="573" t="s">
        <v>213</v>
      </c>
      <c r="E231" s="573"/>
      <c r="F231" s="573"/>
      <c r="G231" s="489">
        <f t="shared" ref="G231:H232" si="29">G232</f>
        <v>0</v>
      </c>
      <c r="H231" s="489">
        <f t="shared" si="29"/>
        <v>0</v>
      </c>
    </row>
    <row r="232" spans="1:8" ht="31.5" hidden="1" x14ac:dyDescent="0.25">
      <c r="A232" s="579" t="s">
        <v>272</v>
      </c>
      <c r="B232" s="580" t="s">
        <v>1319</v>
      </c>
      <c r="C232" s="573" t="s">
        <v>264</v>
      </c>
      <c r="D232" s="573" t="s">
        <v>213</v>
      </c>
      <c r="E232" s="573" t="s">
        <v>273</v>
      </c>
      <c r="F232" s="573"/>
      <c r="G232" s="489">
        <f t="shared" si="29"/>
        <v>0</v>
      </c>
      <c r="H232" s="489">
        <f t="shared" si="29"/>
        <v>0</v>
      </c>
    </row>
    <row r="233" spans="1:8" ht="15.75" hidden="1" x14ac:dyDescent="0.25">
      <c r="A233" s="579" t="s">
        <v>274</v>
      </c>
      <c r="B233" s="580" t="s">
        <v>1319</v>
      </c>
      <c r="C233" s="573" t="s">
        <v>264</v>
      </c>
      <c r="D233" s="573" t="s">
        <v>213</v>
      </c>
      <c r="E233" s="573" t="s">
        <v>275</v>
      </c>
      <c r="F233" s="573"/>
      <c r="G233" s="489">
        <f>'Пр.4 ведом.22'!G684</f>
        <v>0</v>
      </c>
      <c r="H233" s="489">
        <f>'Пр.4 ведом.22'!H684</f>
        <v>0</v>
      </c>
    </row>
    <row r="234" spans="1:8" ht="31.5" hidden="1" x14ac:dyDescent="0.25">
      <c r="A234" s="29" t="s">
        <v>403</v>
      </c>
      <c r="B234" s="580" t="s">
        <v>1319</v>
      </c>
      <c r="C234" s="573" t="s">
        <v>264</v>
      </c>
      <c r="D234" s="573" t="s">
        <v>213</v>
      </c>
      <c r="E234" s="573" t="s">
        <v>275</v>
      </c>
      <c r="F234" s="573" t="s">
        <v>636</v>
      </c>
      <c r="G234" s="10">
        <f>G233</f>
        <v>0</v>
      </c>
      <c r="H234" s="10">
        <f>H233</f>
        <v>0</v>
      </c>
    </row>
    <row r="235" spans="1:8" ht="31.5" x14ac:dyDescent="0.25">
      <c r="A235" s="29" t="s">
        <v>282</v>
      </c>
      <c r="B235" s="580" t="s">
        <v>1253</v>
      </c>
      <c r="C235" s="573" t="s">
        <v>264</v>
      </c>
      <c r="D235" s="573" t="s">
        <v>213</v>
      </c>
      <c r="E235" s="573"/>
      <c r="F235" s="573"/>
      <c r="G235" s="10">
        <f t="shared" ref="G235:H236" si="30">G236</f>
        <v>208.6</v>
      </c>
      <c r="H235" s="10">
        <f t="shared" si="30"/>
        <v>208.6</v>
      </c>
    </row>
    <row r="236" spans="1:8" ht="31.5" x14ac:dyDescent="0.25">
      <c r="A236" s="29" t="s">
        <v>272</v>
      </c>
      <c r="B236" s="580" t="s">
        <v>1253</v>
      </c>
      <c r="C236" s="573" t="s">
        <v>264</v>
      </c>
      <c r="D236" s="573" t="s">
        <v>213</v>
      </c>
      <c r="E236" s="573" t="s">
        <v>273</v>
      </c>
      <c r="F236" s="573"/>
      <c r="G236" s="10">
        <f t="shared" si="30"/>
        <v>208.6</v>
      </c>
      <c r="H236" s="10">
        <f t="shared" si="30"/>
        <v>208.6</v>
      </c>
    </row>
    <row r="237" spans="1:8" ht="15.75" x14ac:dyDescent="0.25">
      <c r="A237" s="29" t="s">
        <v>274</v>
      </c>
      <c r="B237" s="580" t="s">
        <v>1253</v>
      </c>
      <c r="C237" s="573" t="s">
        <v>264</v>
      </c>
      <c r="D237" s="573" t="s">
        <v>213</v>
      </c>
      <c r="E237" s="573" t="s">
        <v>275</v>
      </c>
      <c r="F237" s="573"/>
      <c r="G237" s="10">
        <f>'Пр.4.1 ведом.23-24 '!G688</f>
        <v>208.6</v>
      </c>
      <c r="H237" s="10">
        <f>'Пр.4.1 ведом.23-24 '!H688</f>
        <v>208.6</v>
      </c>
    </row>
    <row r="238" spans="1:8" ht="31.5" x14ac:dyDescent="0.25">
      <c r="A238" s="29" t="s">
        <v>403</v>
      </c>
      <c r="B238" s="580" t="s">
        <v>1253</v>
      </c>
      <c r="C238" s="573" t="s">
        <v>264</v>
      </c>
      <c r="D238" s="573" t="s">
        <v>213</v>
      </c>
      <c r="E238" s="573" t="s">
        <v>275</v>
      </c>
      <c r="F238" s="573" t="s">
        <v>636</v>
      </c>
      <c r="G238" s="10">
        <f>G237</f>
        <v>208.6</v>
      </c>
      <c r="H238" s="10">
        <f>H237</f>
        <v>208.6</v>
      </c>
    </row>
    <row r="239" spans="1:8" ht="31.5" x14ac:dyDescent="0.25">
      <c r="A239" s="494" t="s">
        <v>943</v>
      </c>
      <c r="B239" s="495" t="s">
        <v>1239</v>
      </c>
      <c r="C239" s="7"/>
      <c r="D239" s="7"/>
      <c r="E239" s="7"/>
      <c r="F239" s="7"/>
      <c r="G239" s="59">
        <f>G240</f>
        <v>7678.5</v>
      </c>
      <c r="H239" s="59">
        <f>H240</f>
        <v>7849.6</v>
      </c>
    </row>
    <row r="240" spans="1:8" ht="15.75" x14ac:dyDescent="0.25">
      <c r="A240" s="29" t="s">
        <v>263</v>
      </c>
      <c r="B240" s="580" t="s">
        <v>1239</v>
      </c>
      <c r="C240" s="573" t="s">
        <v>264</v>
      </c>
      <c r="D240" s="573"/>
      <c r="E240" s="573"/>
      <c r="F240" s="573"/>
      <c r="G240" s="10">
        <f t="shared" ref="G240:H243" si="31">G241</f>
        <v>7678.5</v>
      </c>
      <c r="H240" s="10">
        <f t="shared" si="31"/>
        <v>7849.6</v>
      </c>
    </row>
    <row r="241" spans="1:8" ht="15.75" x14ac:dyDescent="0.25">
      <c r="A241" s="29" t="s">
        <v>466</v>
      </c>
      <c r="B241" s="580" t="s">
        <v>1239</v>
      </c>
      <c r="C241" s="573" t="s">
        <v>264</v>
      </c>
      <c r="D241" s="573" t="s">
        <v>264</v>
      </c>
      <c r="E241" s="573"/>
      <c r="F241" s="573"/>
      <c r="G241" s="10">
        <f>G242</f>
        <v>7678.5</v>
      </c>
      <c r="H241" s="10">
        <f>H242</f>
        <v>7849.6</v>
      </c>
    </row>
    <row r="242" spans="1:8" ht="31.5" x14ac:dyDescent="0.25">
      <c r="A242" s="31" t="s">
        <v>1059</v>
      </c>
      <c r="B242" s="580" t="s">
        <v>1261</v>
      </c>
      <c r="C242" s="573" t="s">
        <v>264</v>
      </c>
      <c r="D242" s="573" t="s">
        <v>264</v>
      </c>
      <c r="E242" s="573"/>
      <c r="F242" s="573"/>
      <c r="G242" s="10">
        <f t="shared" si="31"/>
        <v>7678.5</v>
      </c>
      <c r="H242" s="10">
        <f t="shared" si="31"/>
        <v>7849.6</v>
      </c>
    </row>
    <row r="243" spans="1:8" ht="31.5" x14ac:dyDescent="0.25">
      <c r="A243" s="579" t="s">
        <v>272</v>
      </c>
      <c r="B243" s="580" t="s">
        <v>1261</v>
      </c>
      <c r="C243" s="573" t="s">
        <v>264</v>
      </c>
      <c r="D243" s="573" t="s">
        <v>264</v>
      </c>
      <c r="E243" s="573" t="s">
        <v>273</v>
      </c>
      <c r="F243" s="573"/>
      <c r="G243" s="10">
        <f t="shared" si="31"/>
        <v>7678.5</v>
      </c>
      <c r="H243" s="10">
        <f t="shared" si="31"/>
        <v>7849.6</v>
      </c>
    </row>
    <row r="244" spans="1:8" ht="15.75" x14ac:dyDescent="0.25">
      <c r="A244" s="579" t="s">
        <v>274</v>
      </c>
      <c r="B244" s="580" t="s">
        <v>1261</v>
      </c>
      <c r="C244" s="573" t="s">
        <v>264</v>
      </c>
      <c r="D244" s="573" t="s">
        <v>264</v>
      </c>
      <c r="E244" s="573" t="s">
        <v>275</v>
      </c>
      <c r="F244" s="573"/>
      <c r="G244" s="10">
        <f>'Пр.4.1 ведом.23-24 '!G784</f>
        <v>7678.5</v>
      </c>
      <c r="H244" s="10">
        <f>'Пр.4.1 ведом.23-24 '!H784</f>
        <v>7849.6</v>
      </c>
    </row>
    <row r="245" spans="1:8" ht="31.5" x14ac:dyDescent="0.25">
      <c r="A245" s="29" t="s">
        <v>403</v>
      </c>
      <c r="B245" s="580" t="s">
        <v>1261</v>
      </c>
      <c r="C245" s="573" t="s">
        <v>264</v>
      </c>
      <c r="D245" s="573" t="s">
        <v>264</v>
      </c>
      <c r="E245" s="573" t="s">
        <v>275</v>
      </c>
      <c r="F245" s="573" t="s">
        <v>636</v>
      </c>
      <c r="G245" s="651">
        <f>G244</f>
        <v>7678.5</v>
      </c>
      <c r="H245" s="651">
        <f>H244</f>
        <v>7849.6</v>
      </c>
    </row>
    <row r="246" spans="1:8" ht="31.5" x14ac:dyDescent="0.25">
      <c r="A246" s="219" t="s">
        <v>948</v>
      </c>
      <c r="B246" s="495" t="s">
        <v>1240</v>
      </c>
      <c r="C246" s="7"/>
      <c r="D246" s="7"/>
      <c r="E246" s="7"/>
      <c r="F246" s="7"/>
      <c r="G246" s="488">
        <f>G247</f>
        <v>8313</v>
      </c>
      <c r="H246" s="488">
        <f>H247</f>
        <v>8313</v>
      </c>
    </row>
    <row r="247" spans="1:8" ht="15.75" x14ac:dyDescent="0.25">
      <c r="A247" s="29" t="s">
        <v>263</v>
      </c>
      <c r="B247" s="580" t="s">
        <v>1240</v>
      </c>
      <c r="C247" s="573" t="s">
        <v>264</v>
      </c>
      <c r="D247" s="573"/>
      <c r="E247" s="573"/>
      <c r="F247" s="573"/>
      <c r="G247" s="10">
        <f>G248+G261+G270</f>
        <v>8313</v>
      </c>
      <c r="H247" s="10">
        <f>H248+H261+H270</f>
        <v>8313</v>
      </c>
    </row>
    <row r="248" spans="1:8" ht="15.75" x14ac:dyDescent="0.25">
      <c r="A248" s="45" t="s">
        <v>404</v>
      </c>
      <c r="B248" s="580" t="s">
        <v>1240</v>
      </c>
      <c r="C248" s="573" t="s">
        <v>264</v>
      </c>
      <c r="D248" s="573" t="s">
        <v>118</v>
      </c>
      <c r="E248" s="573"/>
      <c r="F248" s="573"/>
      <c r="G248" s="10">
        <f>G249+G253+G257</f>
        <v>4142</v>
      </c>
      <c r="H248" s="10">
        <f>H249+H253+H257</f>
        <v>4142</v>
      </c>
    </row>
    <row r="249" spans="1:8" ht="31.7" hidden="1" customHeight="1" x14ac:dyDescent="0.25">
      <c r="A249" s="29" t="s">
        <v>284</v>
      </c>
      <c r="B249" s="580" t="s">
        <v>1258</v>
      </c>
      <c r="C249" s="573" t="s">
        <v>264</v>
      </c>
      <c r="D249" s="573" t="s">
        <v>118</v>
      </c>
      <c r="E249" s="573"/>
      <c r="F249" s="573"/>
      <c r="G249" s="10">
        <f t="shared" ref="G249:H250" si="32">G250</f>
        <v>0</v>
      </c>
      <c r="H249" s="10">
        <f t="shared" si="32"/>
        <v>0</v>
      </c>
    </row>
    <row r="250" spans="1:8" ht="31.7" hidden="1" customHeight="1" x14ac:dyDescent="0.25">
      <c r="A250" s="29" t="s">
        <v>272</v>
      </c>
      <c r="B250" s="580" t="s">
        <v>1258</v>
      </c>
      <c r="C250" s="573" t="s">
        <v>264</v>
      </c>
      <c r="D250" s="573" t="s">
        <v>118</v>
      </c>
      <c r="E250" s="573" t="s">
        <v>273</v>
      </c>
      <c r="F250" s="573"/>
      <c r="G250" s="10">
        <f t="shared" si="32"/>
        <v>0</v>
      </c>
      <c r="H250" s="10">
        <f t="shared" si="32"/>
        <v>0</v>
      </c>
    </row>
    <row r="251" spans="1:8" ht="15.75" hidden="1" customHeight="1" x14ac:dyDescent="0.25">
      <c r="A251" s="29" t="s">
        <v>274</v>
      </c>
      <c r="B251" s="580" t="s">
        <v>1258</v>
      </c>
      <c r="C251" s="573" t="s">
        <v>264</v>
      </c>
      <c r="D251" s="573" t="s">
        <v>118</v>
      </c>
      <c r="E251" s="573" t="s">
        <v>275</v>
      </c>
      <c r="F251" s="573"/>
      <c r="G251" s="10">
        <f>'Пр.4 ведом.22'!G620</f>
        <v>0</v>
      </c>
      <c r="H251" s="10">
        <f>'Пр.4 ведом.22'!H620</f>
        <v>0</v>
      </c>
    </row>
    <row r="252" spans="1:8" ht="30.6" hidden="1" customHeight="1" x14ac:dyDescent="0.25">
      <c r="A252" s="29" t="s">
        <v>403</v>
      </c>
      <c r="B252" s="580" t="s">
        <v>1258</v>
      </c>
      <c r="C252" s="573" t="s">
        <v>264</v>
      </c>
      <c r="D252" s="573" t="s">
        <v>118</v>
      </c>
      <c r="E252" s="573" t="s">
        <v>275</v>
      </c>
      <c r="F252" s="573" t="s">
        <v>636</v>
      </c>
      <c r="G252" s="10">
        <f>G251</f>
        <v>0</v>
      </c>
      <c r="H252" s="10">
        <f>H251</f>
        <v>0</v>
      </c>
    </row>
    <row r="253" spans="1:8" ht="31.5" x14ac:dyDescent="0.25">
      <c r="A253" s="60" t="s">
        <v>764</v>
      </c>
      <c r="B253" s="580" t="s">
        <v>1241</v>
      </c>
      <c r="C253" s="580" t="s">
        <v>264</v>
      </c>
      <c r="D253" s="580" t="s">
        <v>118</v>
      </c>
      <c r="E253" s="580"/>
      <c r="F253" s="580"/>
      <c r="G253" s="10">
        <f t="shared" ref="G253:H254" si="33">G254</f>
        <v>2882</v>
      </c>
      <c r="H253" s="10">
        <f t="shared" si="33"/>
        <v>2882</v>
      </c>
    </row>
    <row r="254" spans="1:8" ht="31.5" x14ac:dyDescent="0.25">
      <c r="A254" s="29" t="s">
        <v>272</v>
      </c>
      <c r="B254" s="580" t="s">
        <v>1241</v>
      </c>
      <c r="C254" s="580" t="s">
        <v>264</v>
      </c>
      <c r="D254" s="580" t="s">
        <v>118</v>
      </c>
      <c r="E254" s="580" t="s">
        <v>273</v>
      </c>
      <c r="F254" s="580"/>
      <c r="G254" s="10">
        <f t="shared" si="33"/>
        <v>2882</v>
      </c>
      <c r="H254" s="10">
        <f t="shared" si="33"/>
        <v>2882</v>
      </c>
    </row>
    <row r="255" spans="1:8" ht="15.75" x14ac:dyDescent="0.25">
      <c r="A255" s="182" t="s">
        <v>274</v>
      </c>
      <c r="B255" s="580" t="s">
        <v>1241</v>
      </c>
      <c r="C255" s="580" t="s">
        <v>264</v>
      </c>
      <c r="D255" s="580" t="s">
        <v>118</v>
      </c>
      <c r="E255" s="580" t="s">
        <v>275</v>
      </c>
      <c r="F255" s="580"/>
      <c r="G255" s="10">
        <f>'Пр.4.1 ведом.23-24 '!G624</f>
        <v>2882</v>
      </c>
      <c r="H255" s="10">
        <f>'Пр.4.1 ведом.23-24 '!H624</f>
        <v>2882</v>
      </c>
    </row>
    <row r="256" spans="1:8" ht="31.5" x14ac:dyDescent="0.25">
      <c r="A256" s="29" t="s">
        <v>403</v>
      </c>
      <c r="B256" s="580" t="s">
        <v>1241</v>
      </c>
      <c r="C256" s="573" t="s">
        <v>264</v>
      </c>
      <c r="D256" s="573" t="s">
        <v>118</v>
      </c>
      <c r="E256" s="573" t="s">
        <v>275</v>
      </c>
      <c r="F256" s="573" t="s">
        <v>636</v>
      </c>
      <c r="G256" s="10">
        <f>G255</f>
        <v>2882</v>
      </c>
      <c r="H256" s="10">
        <f>H255</f>
        <v>2882</v>
      </c>
    </row>
    <row r="257" spans="1:8" ht="47.25" x14ac:dyDescent="0.25">
      <c r="A257" s="60" t="s">
        <v>765</v>
      </c>
      <c r="B257" s="580" t="s">
        <v>1242</v>
      </c>
      <c r="C257" s="580" t="s">
        <v>264</v>
      </c>
      <c r="D257" s="580" t="s">
        <v>118</v>
      </c>
      <c r="E257" s="580"/>
      <c r="F257" s="580"/>
      <c r="G257" s="10">
        <f t="shared" ref="G257:H258" si="34">G258</f>
        <v>1260</v>
      </c>
      <c r="H257" s="10">
        <f t="shared" si="34"/>
        <v>1260</v>
      </c>
    </row>
    <row r="258" spans="1:8" ht="31.5" x14ac:dyDescent="0.25">
      <c r="A258" s="29" t="s">
        <v>272</v>
      </c>
      <c r="B258" s="580" t="s">
        <v>1242</v>
      </c>
      <c r="C258" s="580" t="s">
        <v>264</v>
      </c>
      <c r="D258" s="580" t="s">
        <v>118</v>
      </c>
      <c r="E258" s="580" t="s">
        <v>273</v>
      </c>
      <c r="F258" s="580"/>
      <c r="G258" s="10">
        <f t="shared" si="34"/>
        <v>1260</v>
      </c>
      <c r="H258" s="10">
        <f t="shared" si="34"/>
        <v>1260</v>
      </c>
    </row>
    <row r="259" spans="1:8" ht="15.75" x14ac:dyDescent="0.25">
      <c r="A259" s="182" t="s">
        <v>274</v>
      </c>
      <c r="B259" s="580" t="s">
        <v>1242</v>
      </c>
      <c r="C259" s="580" t="s">
        <v>264</v>
      </c>
      <c r="D259" s="580" t="s">
        <v>118</v>
      </c>
      <c r="E259" s="580" t="s">
        <v>275</v>
      </c>
      <c r="F259" s="580"/>
      <c r="G259" s="10">
        <f>'Пр.4.1 ведом.23-24 '!G627</f>
        <v>1260</v>
      </c>
      <c r="H259" s="10">
        <f>'Пр.4.1 ведом.23-24 '!H627</f>
        <v>1260</v>
      </c>
    </row>
    <row r="260" spans="1:8" ht="31.5" x14ac:dyDescent="0.25">
      <c r="A260" s="29" t="s">
        <v>403</v>
      </c>
      <c r="B260" s="580" t="s">
        <v>1242</v>
      </c>
      <c r="C260" s="573" t="s">
        <v>264</v>
      </c>
      <c r="D260" s="573" t="s">
        <v>118</v>
      </c>
      <c r="E260" s="573" t="s">
        <v>275</v>
      </c>
      <c r="F260" s="573" t="s">
        <v>636</v>
      </c>
      <c r="G260" s="10">
        <f>G259</f>
        <v>1260</v>
      </c>
      <c r="H260" s="10">
        <f>H259</f>
        <v>1260</v>
      </c>
    </row>
    <row r="261" spans="1:8" ht="15.75" x14ac:dyDescent="0.25">
      <c r="A261" s="29" t="s">
        <v>425</v>
      </c>
      <c r="B261" s="573" t="s">
        <v>1240</v>
      </c>
      <c r="C261" s="573" t="s">
        <v>264</v>
      </c>
      <c r="D261" s="573" t="s">
        <v>213</v>
      </c>
      <c r="E261" s="573"/>
      <c r="F261" s="573"/>
      <c r="G261" s="10">
        <f>G262+G266</f>
        <v>2967</v>
      </c>
      <c r="H261" s="10">
        <f>H262+H266</f>
        <v>2967</v>
      </c>
    </row>
    <row r="262" spans="1:8" ht="31.5" hidden="1" x14ac:dyDescent="0.25">
      <c r="A262" s="29" t="s">
        <v>284</v>
      </c>
      <c r="B262" s="580" t="s">
        <v>1258</v>
      </c>
      <c r="C262" s="573" t="s">
        <v>264</v>
      </c>
      <c r="D262" s="573" t="s">
        <v>213</v>
      </c>
      <c r="E262" s="573"/>
      <c r="F262" s="573"/>
      <c r="G262" s="10">
        <f t="shared" ref="G262:H263" si="35">G263</f>
        <v>0</v>
      </c>
      <c r="H262" s="10">
        <f t="shared" si="35"/>
        <v>0</v>
      </c>
    </row>
    <row r="263" spans="1:8" ht="31.5" hidden="1" x14ac:dyDescent="0.25">
      <c r="A263" s="29" t="s">
        <v>272</v>
      </c>
      <c r="B263" s="580" t="s">
        <v>1258</v>
      </c>
      <c r="C263" s="573" t="s">
        <v>264</v>
      </c>
      <c r="D263" s="573" t="s">
        <v>213</v>
      </c>
      <c r="E263" s="573" t="s">
        <v>273</v>
      </c>
      <c r="F263" s="573"/>
      <c r="G263" s="10">
        <f t="shared" si="35"/>
        <v>0</v>
      </c>
      <c r="H263" s="10">
        <f t="shared" si="35"/>
        <v>0</v>
      </c>
    </row>
    <row r="264" spans="1:8" ht="15.75" hidden="1" x14ac:dyDescent="0.25">
      <c r="A264" s="29" t="s">
        <v>274</v>
      </c>
      <c r="B264" s="580" t="s">
        <v>1258</v>
      </c>
      <c r="C264" s="573" t="s">
        <v>264</v>
      </c>
      <c r="D264" s="573" t="s">
        <v>213</v>
      </c>
      <c r="E264" s="573" t="s">
        <v>275</v>
      </c>
      <c r="F264" s="573"/>
      <c r="G264" s="10">
        <f>'Пр.4 ведом.22'!G691</f>
        <v>0</v>
      </c>
      <c r="H264" s="10">
        <f>'Пр.4 ведом.22'!H691</f>
        <v>0</v>
      </c>
    </row>
    <row r="265" spans="1:8" ht="31.5" hidden="1" x14ac:dyDescent="0.25">
      <c r="A265" s="29" t="s">
        <v>403</v>
      </c>
      <c r="B265" s="580" t="s">
        <v>1258</v>
      </c>
      <c r="C265" s="573" t="s">
        <v>264</v>
      </c>
      <c r="D265" s="573" t="s">
        <v>213</v>
      </c>
      <c r="E265" s="573" t="s">
        <v>275</v>
      </c>
      <c r="F265" s="573" t="s">
        <v>636</v>
      </c>
      <c r="G265" s="10">
        <f>G264</f>
        <v>0</v>
      </c>
      <c r="H265" s="10">
        <f>H264</f>
        <v>0</v>
      </c>
    </row>
    <row r="266" spans="1:8" ht="31.5" x14ac:dyDescent="0.25">
      <c r="A266" s="60" t="s">
        <v>764</v>
      </c>
      <c r="B266" s="580" t="s">
        <v>1241</v>
      </c>
      <c r="C266" s="573" t="s">
        <v>264</v>
      </c>
      <c r="D266" s="573" t="s">
        <v>213</v>
      </c>
      <c r="E266" s="573"/>
      <c r="F266" s="573"/>
      <c r="G266" s="10">
        <f t="shared" ref="G266:H267" si="36">G267</f>
        <v>2967</v>
      </c>
      <c r="H266" s="10">
        <f t="shared" si="36"/>
        <v>2967</v>
      </c>
    </row>
    <row r="267" spans="1:8" ht="31.5" x14ac:dyDescent="0.25">
      <c r="A267" s="29" t="s">
        <v>272</v>
      </c>
      <c r="B267" s="580" t="s">
        <v>1241</v>
      </c>
      <c r="C267" s="573" t="s">
        <v>264</v>
      </c>
      <c r="D267" s="573" t="s">
        <v>213</v>
      </c>
      <c r="E267" s="573" t="s">
        <v>273</v>
      </c>
      <c r="F267" s="573"/>
      <c r="G267" s="10">
        <f t="shared" si="36"/>
        <v>2967</v>
      </c>
      <c r="H267" s="10">
        <f t="shared" si="36"/>
        <v>2967</v>
      </c>
    </row>
    <row r="268" spans="1:8" ht="15.75" x14ac:dyDescent="0.25">
      <c r="A268" s="182" t="s">
        <v>274</v>
      </c>
      <c r="B268" s="580" t="s">
        <v>1241</v>
      </c>
      <c r="C268" s="573" t="s">
        <v>264</v>
      </c>
      <c r="D268" s="573" t="s">
        <v>213</v>
      </c>
      <c r="E268" s="573" t="s">
        <v>275</v>
      </c>
      <c r="F268" s="573"/>
      <c r="G268" s="10">
        <f>'Пр.4.1 ведом.23-24 '!G695</f>
        <v>2967</v>
      </c>
      <c r="H268" s="10">
        <f>'Пр.4.1 ведом.23-24 '!H695</f>
        <v>2967</v>
      </c>
    </row>
    <row r="269" spans="1:8" ht="31.5" x14ac:dyDescent="0.25">
      <c r="A269" s="29" t="s">
        <v>403</v>
      </c>
      <c r="B269" s="580" t="s">
        <v>1241</v>
      </c>
      <c r="C269" s="573" t="s">
        <v>264</v>
      </c>
      <c r="D269" s="573" t="s">
        <v>213</v>
      </c>
      <c r="E269" s="573" t="s">
        <v>275</v>
      </c>
      <c r="F269" s="573" t="s">
        <v>636</v>
      </c>
      <c r="G269" s="10">
        <f>G268</f>
        <v>2967</v>
      </c>
      <c r="H269" s="10">
        <f>H268</f>
        <v>2967</v>
      </c>
    </row>
    <row r="270" spans="1:8" ht="15.75" x14ac:dyDescent="0.25">
      <c r="A270" s="29" t="s">
        <v>265</v>
      </c>
      <c r="B270" s="573" t="s">
        <v>1240</v>
      </c>
      <c r="C270" s="573" t="s">
        <v>264</v>
      </c>
      <c r="D270" s="573" t="s">
        <v>215</v>
      </c>
      <c r="E270" s="573"/>
      <c r="F270" s="573"/>
      <c r="G270" s="10">
        <f>G271</f>
        <v>1204</v>
      </c>
      <c r="H270" s="10">
        <f>H271</f>
        <v>1204</v>
      </c>
    </row>
    <row r="271" spans="1:8" ht="31.5" x14ac:dyDescent="0.25">
      <c r="A271" s="45" t="s">
        <v>764</v>
      </c>
      <c r="B271" s="580" t="s">
        <v>1241</v>
      </c>
      <c r="C271" s="580" t="s">
        <v>264</v>
      </c>
      <c r="D271" s="580" t="s">
        <v>215</v>
      </c>
      <c r="E271" s="580"/>
      <c r="F271" s="580"/>
      <c r="G271" s="10">
        <f t="shared" ref="G271:H272" si="37">G272</f>
        <v>1204</v>
      </c>
      <c r="H271" s="10">
        <f t="shared" si="37"/>
        <v>1204</v>
      </c>
    </row>
    <row r="272" spans="1:8" ht="31.5" x14ac:dyDescent="0.25">
      <c r="A272" s="29" t="s">
        <v>272</v>
      </c>
      <c r="B272" s="580" t="s">
        <v>1241</v>
      </c>
      <c r="C272" s="580" t="s">
        <v>264</v>
      </c>
      <c r="D272" s="580" t="s">
        <v>215</v>
      </c>
      <c r="E272" s="580" t="s">
        <v>273</v>
      </c>
      <c r="F272" s="580"/>
      <c r="G272" s="10">
        <f t="shared" si="37"/>
        <v>1204</v>
      </c>
      <c r="H272" s="10">
        <f t="shared" si="37"/>
        <v>1204</v>
      </c>
    </row>
    <row r="273" spans="1:8" ht="15.75" x14ac:dyDescent="0.25">
      <c r="A273" s="31" t="s">
        <v>274</v>
      </c>
      <c r="B273" s="580" t="s">
        <v>1241</v>
      </c>
      <c r="C273" s="580" t="s">
        <v>264</v>
      </c>
      <c r="D273" s="580" t="s">
        <v>215</v>
      </c>
      <c r="E273" s="580" t="s">
        <v>275</v>
      </c>
      <c r="F273" s="580"/>
      <c r="G273" s="10">
        <f>'Пр.4.1 ведом.23-24 '!G769</f>
        <v>1204</v>
      </c>
      <c r="H273" s="10">
        <f>'Пр.4.1 ведом.23-24 '!H769</f>
        <v>1204</v>
      </c>
    </row>
    <row r="274" spans="1:8" ht="31.5" x14ac:dyDescent="0.25">
      <c r="A274" s="29" t="s">
        <v>403</v>
      </c>
      <c r="B274" s="580" t="s">
        <v>1241</v>
      </c>
      <c r="C274" s="573" t="s">
        <v>264</v>
      </c>
      <c r="D274" s="573" t="s">
        <v>215</v>
      </c>
      <c r="E274" s="573" t="s">
        <v>275</v>
      </c>
      <c r="F274" s="573" t="s">
        <v>636</v>
      </c>
      <c r="G274" s="10">
        <f>G273</f>
        <v>1204</v>
      </c>
      <c r="H274" s="10">
        <f>H273</f>
        <v>1204</v>
      </c>
    </row>
    <row r="275" spans="1:8" ht="31.5" x14ac:dyDescent="0.25">
      <c r="A275" s="494" t="s">
        <v>1715</v>
      </c>
      <c r="B275" s="495" t="s">
        <v>1243</v>
      </c>
      <c r="C275" s="495"/>
      <c r="D275" s="495"/>
      <c r="E275" s="495"/>
      <c r="F275" s="495"/>
      <c r="G275" s="59">
        <f>G276+G282</f>
        <v>5611.3099999999995</v>
      </c>
      <c r="H275" s="59">
        <f>H276+H282</f>
        <v>5683.61</v>
      </c>
    </row>
    <row r="276" spans="1:8" ht="15.75" x14ac:dyDescent="0.25">
      <c r="A276" s="29" t="s">
        <v>263</v>
      </c>
      <c r="B276" s="580" t="s">
        <v>1243</v>
      </c>
      <c r="C276" s="573" t="s">
        <v>264</v>
      </c>
      <c r="D276" s="573"/>
      <c r="E276" s="573"/>
      <c r="F276" s="573"/>
      <c r="G276" s="10">
        <f t="shared" ref="G276:H276" si="38">G277</f>
        <v>141</v>
      </c>
      <c r="H276" s="10">
        <f t="shared" si="38"/>
        <v>141</v>
      </c>
    </row>
    <row r="277" spans="1:8" ht="15.75" x14ac:dyDescent="0.25">
      <c r="A277" s="45" t="s">
        <v>404</v>
      </c>
      <c r="B277" s="580" t="s">
        <v>1243</v>
      </c>
      <c r="C277" s="573" t="s">
        <v>264</v>
      </c>
      <c r="D277" s="573" t="s">
        <v>118</v>
      </c>
      <c r="E277" s="573"/>
      <c r="F277" s="573"/>
      <c r="G277" s="10">
        <f t="shared" ref="G277:H279" si="39">G278</f>
        <v>141</v>
      </c>
      <c r="H277" s="10">
        <f t="shared" si="39"/>
        <v>141</v>
      </c>
    </row>
    <row r="278" spans="1:8" ht="31.5" x14ac:dyDescent="0.25">
      <c r="A278" s="579" t="s">
        <v>1716</v>
      </c>
      <c r="B278" s="580" t="s">
        <v>1717</v>
      </c>
      <c r="C278" s="580" t="s">
        <v>264</v>
      </c>
      <c r="D278" s="580" t="s">
        <v>118</v>
      </c>
      <c r="E278" s="580"/>
      <c r="F278" s="580"/>
      <c r="G278" s="10">
        <f t="shared" si="39"/>
        <v>141</v>
      </c>
      <c r="H278" s="10">
        <f t="shared" si="39"/>
        <v>141</v>
      </c>
    </row>
    <row r="279" spans="1:8" ht="31.5" x14ac:dyDescent="0.25">
      <c r="A279" s="579" t="s">
        <v>272</v>
      </c>
      <c r="B279" s="580" t="s">
        <v>1717</v>
      </c>
      <c r="C279" s="580" t="s">
        <v>264</v>
      </c>
      <c r="D279" s="580" t="s">
        <v>118</v>
      </c>
      <c r="E279" s="580" t="s">
        <v>273</v>
      </c>
      <c r="F279" s="580"/>
      <c r="G279" s="10">
        <f t="shared" si="39"/>
        <v>141</v>
      </c>
      <c r="H279" s="10">
        <f t="shared" si="39"/>
        <v>141</v>
      </c>
    </row>
    <row r="280" spans="1:8" ht="15.75" x14ac:dyDescent="0.25">
      <c r="A280" s="579" t="s">
        <v>274</v>
      </c>
      <c r="B280" s="580" t="s">
        <v>1717</v>
      </c>
      <c r="C280" s="580" t="s">
        <v>264</v>
      </c>
      <c r="D280" s="580" t="s">
        <v>118</v>
      </c>
      <c r="E280" s="580" t="s">
        <v>275</v>
      </c>
      <c r="F280" s="580"/>
      <c r="G280" s="10">
        <f>'Пр.4.1 ведом.23-24 '!G631</f>
        <v>141</v>
      </c>
      <c r="H280" s="10">
        <f>'Пр.4.1 ведом.23-24 '!H631</f>
        <v>141</v>
      </c>
    </row>
    <row r="281" spans="1:8" ht="31.5" x14ac:dyDescent="0.25">
      <c r="A281" s="29" t="s">
        <v>403</v>
      </c>
      <c r="B281" s="580" t="s">
        <v>1717</v>
      </c>
      <c r="C281" s="573" t="s">
        <v>264</v>
      </c>
      <c r="D281" s="573" t="s">
        <v>118</v>
      </c>
      <c r="E281" s="573" t="s">
        <v>275</v>
      </c>
      <c r="F281" s="573" t="s">
        <v>636</v>
      </c>
      <c r="G281" s="10">
        <f>G280</f>
        <v>141</v>
      </c>
      <c r="H281" s="10">
        <f>H280</f>
        <v>141</v>
      </c>
    </row>
    <row r="282" spans="1:8" ht="15.75" x14ac:dyDescent="0.25">
      <c r="A282" s="29" t="s">
        <v>425</v>
      </c>
      <c r="B282" s="580" t="s">
        <v>1243</v>
      </c>
      <c r="C282" s="573" t="s">
        <v>264</v>
      </c>
      <c r="D282" s="573" t="s">
        <v>213</v>
      </c>
      <c r="E282" s="573"/>
      <c r="F282" s="573"/>
      <c r="G282" s="10">
        <f>G283</f>
        <v>5470.3099999999995</v>
      </c>
      <c r="H282" s="10">
        <f>H283</f>
        <v>5542.61</v>
      </c>
    </row>
    <row r="283" spans="1:8" ht="31.5" x14ac:dyDescent="0.25">
      <c r="A283" s="579" t="s">
        <v>1716</v>
      </c>
      <c r="B283" s="580" t="s">
        <v>1717</v>
      </c>
      <c r="C283" s="573" t="s">
        <v>264</v>
      </c>
      <c r="D283" s="573" t="s">
        <v>213</v>
      </c>
      <c r="E283" s="573"/>
      <c r="F283" s="573"/>
      <c r="G283" s="10">
        <f t="shared" ref="G283:H284" si="40">G284</f>
        <v>5470.3099999999995</v>
      </c>
      <c r="H283" s="10">
        <f t="shared" si="40"/>
        <v>5542.61</v>
      </c>
    </row>
    <row r="284" spans="1:8" ht="31.5" x14ac:dyDescent="0.25">
      <c r="A284" s="29" t="s">
        <v>272</v>
      </c>
      <c r="B284" s="580" t="s">
        <v>1717</v>
      </c>
      <c r="C284" s="573" t="s">
        <v>264</v>
      </c>
      <c r="D284" s="573" t="s">
        <v>213</v>
      </c>
      <c r="E284" s="573" t="s">
        <v>273</v>
      </c>
      <c r="F284" s="573"/>
      <c r="G284" s="10">
        <f t="shared" si="40"/>
        <v>5470.3099999999995</v>
      </c>
      <c r="H284" s="10">
        <f t="shared" si="40"/>
        <v>5542.61</v>
      </c>
    </row>
    <row r="285" spans="1:8" ht="15.75" x14ac:dyDescent="0.25">
      <c r="A285" s="29" t="s">
        <v>274</v>
      </c>
      <c r="B285" s="580" t="s">
        <v>1717</v>
      </c>
      <c r="C285" s="573" t="s">
        <v>264</v>
      </c>
      <c r="D285" s="573" t="s">
        <v>213</v>
      </c>
      <c r="E285" s="573" t="s">
        <v>275</v>
      </c>
      <c r="F285" s="573"/>
      <c r="G285" s="489">
        <f>'Пр.4.1 ведом.23-24 '!G699</f>
        <v>5470.3099999999995</v>
      </c>
      <c r="H285" s="489">
        <f>'Пр.4.1 ведом.23-24 '!H699</f>
        <v>5542.61</v>
      </c>
    </row>
    <row r="286" spans="1:8" ht="31.5" x14ac:dyDescent="0.25">
      <c r="A286" s="29" t="s">
        <v>403</v>
      </c>
      <c r="B286" s="580" t="s">
        <v>1717</v>
      </c>
      <c r="C286" s="573" t="s">
        <v>264</v>
      </c>
      <c r="D286" s="573" t="s">
        <v>213</v>
      </c>
      <c r="E286" s="573" t="s">
        <v>275</v>
      </c>
      <c r="F286" s="573" t="s">
        <v>636</v>
      </c>
      <c r="G286" s="10">
        <f>G285</f>
        <v>5470.3099999999995</v>
      </c>
      <c r="H286" s="10">
        <f>H285</f>
        <v>5542.61</v>
      </c>
    </row>
    <row r="287" spans="1:8" ht="94.5" x14ac:dyDescent="0.25">
      <c r="A287" s="494" t="s">
        <v>1410</v>
      </c>
      <c r="B287" s="495" t="s">
        <v>1246</v>
      </c>
      <c r="C287" s="495"/>
      <c r="D287" s="495"/>
      <c r="E287" s="573"/>
      <c r="F287" s="573"/>
      <c r="G287" s="59">
        <f t="shared" ref="G287:H291" si="41">G288</f>
        <v>679.9</v>
      </c>
      <c r="H287" s="59">
        <f t="shared" si="41"/>
        <v>679.9</v>
      </c>
    </row>
    <row r="288" spans="1:8" ht="15.75" x14ac:dyDescent="0.25">
      <c r="A288" s="29" t="s">
        <v>263</v>
      </c>
      <c r="B288" s="580" t="s">
        <v>1246</v>
      </c>
      <c r="C288" s="580" t="s">
        <v>264</v>
      </c>
      <c r="D288" s="580"/>
      <c r="E288" s="573"/>
      <c r="F288" s="573"/>
      <c r="G288" s="10">
        <f t="shared" si="41"/>
        <v>679.9</v>
      </c>
      <c r="H288" s="10">
        <f t="shared" si="41"/>
        <v>679.9</v>
      </c>
    </row>
    <row r="289" spans="1:8" ht="15.75" x14ac:dyDescent="0.25">
      <c r="A289" s="45" t="s">
        <v>404</v>
      </c>
      <c r="B289" s="580" t="s">
        <v>1246</v>
      </c>
      <c r="C289" s="580" t="s">
        <v>264</v>
      </c>
      <c r="D289" s="580" t="s">
        <v>118</v>
      </c>
      <c r="E289" s="573"/>
      <c r="F289" s="573"/>
      <c r="G289" s="10">
        <f t="shared" si="41"/>
        <v>679.9</v>
      </c>
      <c r="H289" s="10">
        <f t="shared" si="41"/>
        <v>679.9</v>
      </c>
    </row>
    <row r="290" spans="1:8" ht="102.2" customHeight="1" x14ac:dyDescent="0.25">
      <c r="A290" s="149" t="s">
        <v>1493</v>
      </c>
      <c r="B290" s="580" t="s">
        <v>1247</v>
      </c>
      <c r="C290" s="580" t="s">
        <v>264</v>
      </c>
      <c r="D290" s="580" t="s">
        <v>118</v>
      </c>
      <c r="E290" s="573"/>
      <c r="F290" s="573"/>
      <c r="G290" s="10">
        <f t="shared" si="41"/>
        <v>679.9</v>
      </c>
      <c r="H290" s="10">
        <f t="shared" si="41"/>
        <v>679.9</v>
      </c>
    </row>
    <row r="291" spans="1:8" ht="31.5" x14ac:dyDescent="0.25">
      <c r="A291" s="579" t="s">
        <v>272</v>
      </c>
      <c r="B291" s="580" t="s">
        <v>1247</v>
      </c>
      <c r="C291" s="580" t="s">
        <v>264</v>
      </c>
      <c r="D291" s="580" t="s">
        <v>118</v>
      </c>
      <c r="E291" s="580" t="s">
        <v>273</v>
      </c>
      <c r="F291" s="573"/>
      <c r="G291" s="10">
        <f t="shared" si="41"/>
        <v>679.9</v>
      </c>
      <c r="H291" s="10">
        <f t="shared" si="41"/>
        <v>679.9</v>
      </c>
    </row>
    <row r="292" spans="1:8" ht="15.75" x14ac:dyDescent="0.25">
      <c r="A292" s="579" t="s">
        <v>274</v>
      </c>
      <c r="B292" s="580" t="s">
        <v>1247</v>
      </c>
      <c r="C292" s="580" t="s">
        <v>264</v>
      </c>
      <c r="D292" s="580" t="s">
        <v>118</v>
      </c>
      <c r="E292" s="580" t="s">
        <v>275</v>
      </c>
      <c r="F292" s="573"/>
      <c r="G292" s="10">
        <f>'Пр.4.1 ведом.23-24 '!G635</f>
        <v>679.9</v>
      </c>
      <c r="H292" s="10">
        <f>'Пр.4.1 ведом.23-24 '!H635</f>
        <v>679.9</v>
      </c>
    </row>
    <row r="293" spans="1:8" ht="31.5" x14ac:dyDescent="0.25">
      <c r="A293" s="29" t="s">
        <v>403</v>
      </c>
      <c r="B293" s="580" t="s">
        <v>1247</v>
      </c>
      <c r="C293" s="580" t="s">
        <v>264</v>
      </c>
      <c r="D293" s="580" t="s">
        <v>118</v>
      </c>
      <c r="E293" s="580" t="s">
        <v>275</v>
      </c>
      <c r="F293" s="573" t="s">
        <v>636</v>
      </c>
      <c r="G293" s="10">
        <f>G288</f>
        <v>679.9</v>
      </c>
      <c r="H293" s="10">
        <f>H288</f>
        <v>679.9</v>
      </c>
    </row>
    <row r="294" spans="1:8" ht="31.5" x14ac:dyDescent="0.25">
      <c r="A294" s="304" t="s">
        <v>1405</v>
      </c>
      <c r="B294" s="495" t="s">
        <v>1404</v>
      </c>
      <c r="C294" s="495"/>
      <c r="D294" s="495"/>
      <c r="E294" s="495"/>
      <c r="F294" s="7"/>
      <c r="G294" s="59">
        <f t="shared" ref="G294:H298" si="42">G295</f>
        <v>5425.4</v>
      </c>
      <c r="H294" s="59">
        <f t="shared" si="42"/>
        <v>5589.3</v>
      </c>
    </row>
    <row r="295" spans="1:8" ht="15.75" x14ac:dyDescent="0.25">
      <c r="A295" s="182" t="s">
        <v>263</v>
      </c>
      <c r="B295" s="580" t="s">
        <v>1404</v>
      </c>
      <c r="C295" s="580" t="s">
        <v>264</v>
      </c>
      <c r="D295" s="580"/>
      <c r="E295" s="580"/>
      <c r="F295" s="573"/>
      <c r="G295" s="10">
        <f t="shared" si="42"/>
        <v>5425.4</v>
      </c>
      <c r="H295" s="10">
        <f t="shared" si="42"/>
        <v>5589.3</v>
      </c>
    </row>
    <row r="296" spans="1:8" ht="15.75" x14ac:dyDescent="0.25">
      <c r="A296" s="182" t="s">
        <v>425</v>
      </c>
      <c r="B296" s="580" t="s">
        <v>1404</v>
      </c>
      <c r="C296" s="580" t="s">
        <v>264</v>
      </c>
      <c r="D296" s="580" t="s">
        <v>213</v>
      </c>
      <c r="E296" s="580"/>
      <c r="F296" s="573"/>
      <c r="G296" s="10">
        <f t="shared" si="42"/>
        <v>5425.4</v>
      </c>
      <c r="H296" s="10">
        <f t="shared" si="42"/>
        <v>5589.3</v>
      </c>
    </row>
    <row r="297" spans="1:8" ht="63" x14ac:dyDescent="0.25">
      <c r="A297" s="303" t="s">
        <v>1391</v>
      </c>
      <c r="B297" s="580" t="s">
        <v>1449</v>
      </c>
      <c r="C297" s="580" t="s">
        <v>264</v>
      </c>
      <c r="D297" s="580" t="s">
        <v>213</v>
      </c>
      <c r="E297" s="580"/>
      <c r="F297" s="573"/>
      <c r="G297" s="10">
        <f t="shared" si="42"/>
        <v>5425.4</v>
      </c>
      <c r="H297" s="10">
        <f t="shared" si="42"/>
        <v>5589.3</v>
      </c>
    </row>
    <row r="298" spans="1:8" ht="31.5" x14ac:dyDescent="0.25">
      <c r="A298" s="31" t="s">
        <v>272</v>
      </c>
      <c r="B298" s="580" t="s">
        <v>1449</v>
      </c>
      <c r="C298" s="580" t="s">
        <v>264</v>
      </c>
      <c r="D298" s="580" t="s">
        <v>213</v>
      </c>
      <c r="E298" s="580" t="s">
        <v>273</v>
      </c>
      <c r="F298" s="573"/>
      <c r="G298" s="10">
        <f t="shared" si="42"/>
        <v>5425.4</v>
      </c>
      <c r="H298" s="10">
        <f t="shared" si="42"/>
        <v>5589.3</v>
      </c>
    </row>
    <row r="299" spans="1:8" ht="15.75" x14ac:dyDescent="0.25">
      <c r="A299" s="31" t="s">
        <v>274</v>
      </c>
      <c r="B299" s="580" t="s">
        <v>1449</v>
      </c>
      <c r="C299" s="580" t="s">
        <v>264</v>
      </c>
      <c r="D299" s="580" t="s">
        <v>213</v>
      </c>
      <c r="E299" s="580" t="s">
        <v>275</v>
      </c>
      <c r="F299" s="573"/>
      <c r="G299" s="10">
        <f>'Пр.4.1 ведом.23-24 '!G711</f>
        <v>5425.4</v>
      </c>
      <c r="H299" s="10">
        <f>'Пр.4.1 ведом.23-24 '!H711</f>
        <v>5589.3</v>
      </c>
    </row>
    <row r="300" spans="1:8" ht="31.5" x14ac:dyDescent="0.25">
      <c r="A300" s="182" t="s">
        <v>403</v>
      </c>
      <c r="B300" s="580" t="s">
        <v>1449</v>
      </c>
      <c r="C300" s="580" t="s">
        <v>264</v>
      </c>
      <c r="D300" s="580" t="s">
        <v>213</v>
      </c>
      <c r="E300" s="580" t="s">
        <v>275</v>
      </c>
      <c r="F300" s="573" t="s">
        <v>636</v>
      </c>
      <c r="G300" s="10">
        <f>G294</f>
        <v>5425.4</v>
      </c>
      <c r="H300" s="10">
        <f>H294</f>
        <v>5589.3</v>
      </c>
    </row>
    <row r="301" spans="1:8" ht="31.5" hidden="1" x14ac:dyDescent="0.25">
      <c r="A301" s="304" t="s">
        <v>1428</v>
      </c>
      <c r="B301" s="495" t="s">
        <v>1414</v>
      </c>
      <c r="C301" s="580"/>
      <c r="D301" s="580"/>
      <c r="E301" s="580"/>
      <c r="F301" s="573"/>
      <c r="G301" s="59">
        <f t="shared" ref="G301:H305" si="43">G302</f>
        <v>0</v>
      </c>
      <c r="H301" s="59">
        <f t="shared" si="43"/>
        <v>0</v>
      </c>
    </row>
    <row r="302" spans="1:8" ht="15.75" hidden="1" x14ac:dyDescent="0.25">
      <c r="A302" s="182" t="s">
        <v>263</v>
      </c>
      <c r="B302" s="580" t="s">
        <v>1414</v>
      </c>
      <c r="C302" s="580" t="s">
        <v>264</v>
      </c>
      <c r="D302" s="580"/>
      <c r="E302" s="580"/>
      <c r="F302" s="573"/>
      <c r="G302" s="10">
        <f t="shared" si="43"/>
        <v>0</v>
      </c>
      <c r="H302" s="10">
        <f t="shared" si="43"/>
        <v>0</v>
      </c>
    </row>
    <row r="303" spans="1:8" ht="15.75" hidden="1" x14ac:dyDescent="0.25">
      <c r="A303" s="182" t="s">
        <v>425</v>
      </c>
      <c r="B303" s="580" t="s">
        <v>1414</v>
      </c>
      <c r="C303" s="580" t="s">
        <v>264</v>
      </c>
      <c r="D303" s="580" t="s">
        <v>213</v>
      </c>
      <c r="E303" s="580"/>
      <c r="F303" s="573"/>
      <c r="G303" s="10">
        <f t="shared" si="43"/>
        <v>0</v>
      </c>
      <c r="H303" s="10">
        <f t="shared" si="43"/>
        <v>0</v>
      </c>
    </row>
    <row r="304" spans="1:8" ht="21.2" hidden="1" customHeight="1" x14ac:dyDescent="0.25">
      <c r="A304" s="303" t="s">
        <v>1415</v>
      </c>
      <c r="B304" s="580" t="s">
        <v>1417</v>
      </c>
      <c r="C304" s="580" t="s">
        <v>264</v>
      </c>
      <c r="D304" s="580" t="s">
        <v>213</v>
      </c>
      <c r="E304" s="580"/>
      <c r="F304" s="573"/>
      <c r="G304" s="10">
        <f t="shared" si="43"/>
        <v>0</v>
      </c>
      <c r="H304" s="10">
        <f t="shared" si="43"/>
        <v>0</v>
      </c>
    </row>
    <row r="305" spans="1:8" ht="31.5" hidden="1" x14ac:dyDescent="0.25">
      <c r="A305" s="31" t="s">
        <v>272</v>
      </c>
      <c r="B305" s="580" t="s">
        <v>1417</v>
      </c>
      <c r="C305" s="580" t="s">
        <v>264</v>
      </c>
      <c r="D305" s="580" t="s">
        <v>213</v>
      </c>
      <c r="E305" s="580" t="s">
        <v>273</v>
      </c>
      <c r="F305" s="573"/>
      <c r="G305" s="10">
        <f t="shared" si="43"/>
        <v>0</v>
      </c>
      <c r="H305" s="10">
        <f t="shared" si="43"/>
        <v>0</v>
      </c>
    </row>
    <row r="306" spans="1:8" ht="15.75" hidden="1" x14ac:dyDescent="0.25">
      <c r="A306" s="31" t="s">
        <v>274</v>
      </c>
      <c r="B306" s="580" t="s">
        <v>1417</v>
      </c>
      <c r="C306" s="580" t="s">
        <v>264</v>
      </c>
      <c r="D306" s="580" t="s">
        <v>213</v>
      </c>
      <c r="E306" s="580" t="s">
        <v>275</v>
      </c>
      <c r="F306" s="573"/>
      <c r="G306" s="10">
        <f>'Пр.4 ведом.22'!G714</f>
        <v>0</v>
      </c>
      <c r="H306" s="10">
        <f>'Пр.4 ведом.22'!H714</f>
        <v>0</v>
      </c>
    </row>
    <row r="307" spans="1:8" ht="31.5" hidden="1" x14ac:dyDescent="0.25">
      <c r="A307" s="182" t="s">
        <v>403</v>
      </c>
      <c r="B307" s="580" t="s">
        <v>1417</v>
      </c>
      <c r="C307" s="580" t="s">
        <v>264</v>
      </c>
      <c r="D307" s="580" t="s">
        <v>213</v>
      </c>
      <c r="E307" s="580" t="s">
        <v>275</v>
      </c>
      <c r="F307" s="573" t="s">
        <v>636</v>
      </c>
      <c r="G307" s="10">
        <f>G304</f>
        <v>0</v>
      </c>
      <c r="H307" s="10">
        <f>H304</f>
        <v>0</v>
      </c>
    </row>
    <row r="308" spans="1:8" ht="47.25" hidden="1" x14ac:dyDescent="0.25">
      <c r="A308" s="304" t="s">
        <v>1619</v>
      </c>
      <c r="B308" s="495" t="s">
        <v>1620</v>
      </c>
      <c r="C308" s="580"/>
      <c r="D308" s="580"/>
      <c r="E308" s="580"/>
      <c r="F308" s="573"/>
      <c r="G308" s="59">
        <f t="shared" ref="G308:H312" si="44">G309</f>
        <v>0</v>
      </c>
      <c r="H308" s="59">
        <f t="shared" si="44"/>
        <v>0</v>
      </c>
    </row>
    <row r="309" spans="1:8" ht="15.75" hidden="1" x14ac:dyDescent="0.25">
      <c r="A309" s="182" t="s">
        <v>263</v>
      </c>
      <c r="B309" s="580" t="s">
        <v>1620</v>
      </c>
      <c r="C309" s="580" t="s">
        <v>264</v>
      </c>
      <c r="D309" s="580"/>
      <c r="E309" s="580"/>
      <c r="F309" s="573"/>
      <c r="G309" s="10">
        <f t="shared" si="44"/>
        <v>0</v>
      </c>
      <c r="H309" s="10">
        <f t="shared" si="44"/>
        <v>0</v>
      </c>
    </row>
    <row r="310" spans="1:8" ht="15.75" hidden="1" x14ac:dyDescent="0.25">
      <c r="A310" s="182" t="s">
        <v>425</v>
      </c>
      <c r="B310" s="580" t="s">
        <v>1620</v>
      </c>
      <c r="C310" s="580" t="s">
        <v>264</v>
      </c>
      <c r="D310" s="580" t="s">
        <v>213</v>
      </c>
      <c r="E310" s="580"/>
      <c r="F310" s="573"/>
      <c r="G310" s="10">
        <f t="shared" si="44"/>
        <v>0</v>
      </c>
      <c r="H310" s="10">
        <f t="shared" si="44"/>
        <v>0</v>
      </c>
    </row>
    <row r="311" spans="1:8" ht="47.25" hidden="1" x14ac:dyDescent="0.25">
      <c r="A311" s="303" t="s">
        <v>450</v>
      </c>
      <c r="B311" s="580" t="s">
        <v>1621</v>
      </c>
      <c r="C311" s="580" t="s">
        <v>264</v>
      </c>
      <c r="D311" s="580" t="s">
        <v>213</v>
      </c>
      <c r="E311" s="580"/>
      <c r="F311" s="573"/>
      <c r="G311" s="10">
        <f t="shared" si="44"/>
        <v>0</v>
      </c>
      <c r="H311" s="10">
        <f t="shared" si="44"/>
        <v>0</v>
      </c>
    </row>
    <row r="312" spans="1:8" ht="31.5" hidden="1" x14ac:dyDescent="0.25">
      <c r="A312" s="31" t="s">
        <v>272</v>
      </c>
      <c r="B312" s="580" t="s">
        <v>1621</v>
      </c>
      <c r="C312" s="580" t="s">
        <v>264</v>
      </c>
      <c r="D312" s="580" t="s">
        <v>213</v>
      </c>
      <c r="E312" s="580"/>
      <c r="F312" s="573"/>
      <c r="G312" s="10">
        <f t="shared" si="44"/>
        <v>0</v>
      </c>
      <c r="H312" s="10">
        <f t="shared" si="44"/>
        <v>0</v>
      </c>
    </row>
    <row r="313" spans="1:8" ht="15.75" hidden="1" x14ac:dyDescent="0.25">
      <c r="A313" s="31" t="s">
        <v>274</v>
      </c>
      <c r="B313" s="580" t="s">
        <v>1621</v>
      </c>
      <c r="C313" s="580" t="s">
        <v>264</v>
      </c>
      <c r="D313" s="580" t="s">
        <v>213</v>
      </c>
      <c r="E313" s="580" t="s">
        <v>273</v>
      </c>
      <c r="F313" s="573"/>
      <c r="G313" s="10">
        <f>'Пр.4 ведом.22'!G718</f>
        <v>0</v>
      </c>
      <c r="H313" s="10">
        <f>'Пр.4 ведом.22'!H718</f>
        <v>0</v>
      </c>
    </row>
    <row r="314" spans="1:8" ht="31.5" hidden="1" x14ac:dyDescent="0.25">
      <c r="A314" s="29" t="s">
        <v>403</v>
      </c>
      <c r="B314" s="580" t="s">
        <v>1621</v>
      </c>
      <c r="C314" s="580" t="s">
        <v>264</v>
      </c>
      <c r="D314" s="580" t="s">
        <v>213</v>
      </c>
      <c r="E314" s="580" t="s">
        <v>275</v>
      </c>
      <c r="F314" s="573" t="s">
        <v>636</v>
      </c>
      <c r="G314" s="10">
        <f>G308</f>
        <v>0</v>
      </c>
      <c r="H314" s="10">
        <f>H308</f>
        <v>0</v>
      </c>
    </row>
    <row r="315" spans="1:8" ht="31.5" hidden="1" x14ac:dyDescent="0.25">
      <c r="A315" s="304" t="s">
        <v>1631</v>
      </c>
      <c r="B315" s="495" t="s">
        <v>1633</v>
      </c>
      <c r="C315" s="495"/>
      <c r="D315" s="495"/>
      <c r="E315" s="495"/>
      <c r="F315" s="7"/>
      <c r="G315" s="59">
        <f>G316</f>
        <v>0</v>
      </c>
      <c r="H315" s="59">
        <f>H316</f>
        <v>0</v>
      </c>
    </row>
    <row r="316" spans="1:8" ht="15.75" hidden="1" x14ac:dyDescent="0.25">
      <c r="A316" s="182" t="s">
        <v>263</v>
      </c>
      <c r="B316" s="580" t="s">
        <v>1633</v>
      </c>
      <c r="C316" s="580" t="s">
        <v>264</v>
      </c>
      <c r="D316" s="580"/>
      <c r="E316" s="580"/>
      <c r="F316" s="573"/>
      <c r="G316" s="10">
        <f>G317+G322</f>
        <v>0</v>
      </c>
      <c r="H316" s="10">
        <f>H317+H322</f>
        <v>0</v>
      </c>
    </row>
    <row r="317" spans="1:8" ht="15.75" hidden="1" x14ac:dyDescent="0.25">
      <c r="A317" s="45" t="s">
        <v>404</v>
      </c>
      <c r="B317" s="580" t="s">
        <v>1633</v>
      </c>
      <c r="C317" s="580" t="s">
        <v>264</v>
      </c>
      <c r="D317" s="580" t="s">
        <v>118</v>
      </c>
      <c r="E317" s="580"/>
      <c r="F317" s="573"/>
      <c r="G317" s="10">
        <f t="shared" ref="G317:H319" si="45">G318</f>
        <v>0</v>
      </c>
      <c r="H317" s="10">
        <f t="shared" si="45"/>
        <v>0</v>
      </c>
    </row>
    <row r="318" spans="1:8" ht="31.5" hidden="1" x14ac:dyDescent="0.25">
      <c r="A318" s="303" t="s">
        <v>1632</v>
      </c>
      <c r="B318" s="580" t="s">
        <v>1634</v>
      </c>
      <c r="C318" s="580" t="s">
        <v>264</v>
      </c>
      <c r="D318" s="580" t="s">
        <v>118</v>
      </c>
      <c r="E318" s="580"/>
      <c r="F318" s="573"/>
      <c r="G318" s="10">
        <f t="shared" si="45"/>
        <v>0</v>
      </c>
      <c r="H318" s="10">
        <f t="shared" si="45"/>
        <v>0</v>
      </c>
    </row>
    <row r="319" spans="1:8" ht="31.5" hidden="1" x14ac:dyDescent="0.25">
      <c r="A319" s="31" t="s">
        <v>272</v>
      </c>
      <c r="B319" s="580" t="s">
        <v>1634</v>
      </c>
      <c r="C319" s="580" t="s">
        <v>264</v>
      </c>
      <c r="D319" s="580" t="s">
        <v>118</v>
      </c>
      <c r="E319" s="580" t="s">
        <v>273</v>
      </c>
      <c r="F319" s="573"/>
      <c r="G319" s="10">
        <f t="shared" si="45"/>
        <v>0</v>
      </c>
      <c r="H319" s="10">
        <f t="shared" si="45"/>
        <v>0</v>
      </c>
    </row>
    <row r="320" spans="1:8" ht="15.75" hidden="1" x14ac:dyDescent="0.25">
      <c r="A320" s="31" t="s">
        <v>274</v>
      </c>
      <c r="B320" s="580" t="s">
        <v>1634</v>
      </c>
      <c r="C320" s="580" t="s">
        <v>264</v>
      </c>
      <c r="D320" s="580" t="s">
        <v>118</v>
      </c>
      <c r="E320" s="580" t="s">
        <v>275</v>
      </c>
      <c r="F320" s="573"/>
      <c r="G320" s="10">
        <f>'Пр.4 ведом.22'!G641</f>
        <v>0</v>
      </c>
      <c r="H320" s="10">
        <f>'Пр.4 ведом.22'!H641</f>
        <v>0</v>
      </c>
    </row>
    <row r="321" spans="1:8" ht="31.5" hidden="1" x14ac:dyDescent="0.25">
      <c r="A321" s="29" t="s">
        <v>403</v>
      </c>
      <c r="B321" s="580" t="s">
        <v>1634</v>
      </c>
      <c r="C321" s="580" t="s">
        <v>264</v>
      </c>
      <c r="D321" s="580" t="s">
        <v>118</v>
      </c>
      <c r="E321" s="580" t="s">
        <v>275</v>
      </c>
      <c r="F321" s="573" t="s">
        <v>636</v>
      </c>
      <c r="G321" s="10">
        <f>G320</f>
        <v>0</v>
      </c>
      <c r="H321" s="10">
        <f>H320</f>
        <v>0</v>
      </c>
    </row>
    <row r="322" spans="1:8" ht="15.75" hidden="1" x14ac:dyDescent="0.25">
      <c r="A322" s="182" t="s">
        <v>425</v>
      </c>
      <c r="B322" s="580" t="s">
        <v>1634</v>
      </c>
      <c r="C322" s="580" t="s">
        <v>264</v>
      </c>
      <c r="D322" s="580" t="s">
        <v>213</v>
      </c>
      <c r="E322" s="580"/>
      <c r="F322" s="573"/>
      <c r="G322" s="10">
        <f t="shared" ref="G322:H324" si="46">G323</f>
        <v>0</v>
      </c>
      <c r="H322" s="10">
        <f t="shared" si="46"/>
        <v>0</v>
      </c>
    </row>
    <row r="323" spans="1:8" ht="31.5" hidden="1" x14ac:dyDescent="0.25">
      <c r="A323" s="303" t="s">
        <v>1632</v>
      </c>
      <c r="B323" s="580" t="s">
        <v>1634</v>
      </c>
      <c r="C323" s="580" t="s">
        <v>264</v>
      </c>
      <c r="D323" s="580" t="s">
        <v>213</v>
      </c>
      <c r="E323" s="580"/>
      <c r="F323" s="573"/>
      <c r="G323" s="10">
        <f t="shared" si="46"/>
        <v>0</v>
      </c>
      <c r="H323" s="10">
        <f t="shared" si="46"/>
        <v>0</v>
      </c>
    </row>
    <row r="324" spans="1:8" ht="31.5" hidden="1" x14ac:dyDescent="0.25">
      <c r="A324" s="31" t="s">
        <v>272</v>
      </c>
      <c r="B324" s="580" t="s">
        <v>1634</v>
      </c>
      <c r="C324" s="580" t="s">
        <v>264</v>
      </c>
      <c r="D324" s="580" t="s">
        <v>213</v>
      </c>
      <c r="E324" s="580" t="s">
        <v>273</v>
      </c>
      <c r="F324" s="573"/>
      <c r="G324" s="10">
        <f t="shared" si="46"/>
        <v>0</v>
      </c>
      <c r="H324" s="10">
        <f t="shared" si="46"/>
        <v>0</v>
      </c>
    </row>
    <row r="325" spans="1:8" ht="15.75" hidden="1" x14ac:dyDescent="0.25">
      <c r="A325" s="31" t="s">
        <v>274</v>
      </c>
      <c r="B325" s="580" t="s">
        <v>1634</v>
      </c>
      <c r="C325" s="580" t="s">
        <v>264</v>
      </c>
      <c r="D325" s="580" t="s">
        <v>213</v>
      </c>
      <c r="E325" s="580" t="s">
        <v>275</v>
      </c>
      <c r="F325" s="573"/>
      <c r="G325" s="10">
        <f>'Пр.4 ведом.22'!G722</f>
        <v>0</v>
      </c>
      <c r="H325" s="10">
        <f>'Пр.4 ведом.22'!H722</f>
        <v>0</v>
      </c>
    </row>
    <row r="326" spans="1:8" ht="31.5" hidden="1" x14ac:dyDescent="0.25">
      <c r="A326" s="29" t="s">
        <v>403</v>
      </c>
      <c r="B326" s="580" t="s">
        <v>1634</v>
      </c>
      <c r="C326" s="580" t="s">
        <v>264</v>
      </c>
      <c r="D326" s="580" t="s">
        <v>213</v>
      </c>
      <c r="E326" s="580" t="s">
        <v>275</v>
      </c>
      <c r="F326" s="573" t="s">
        <v>636</v>
      </c>
      <c r="G326" s="10">
        <f>G325</f>
        <v>0</v>
      </c>
      <c r="H326" s="10">
        <f>H325</f>
        <v>0</v>
      </c>
    </row>
    <row r="327" spans="1:8" ht="47.25" hidden="1" x14ac:dyDescent="0.25">
      <c r="A327" s="304" t="s">
        <v>1635</v>
      </c>
      <c r="B327" s="495" t="s">
        <v>1638</v>
      </c>
      <c r="C327" s="495"/>
      <c r="D327" s="495"/>
      <c r="E327" s="495"/>
      <c r="F327" s="7"/>
      <c r="G327" s="59">
        <f t="shared" ref="G327:H331" si="47">G328</f>
        <v>0</v>
      </c>
      <c r="H327" s="59">
        <f t="shared" si="47"/>
        <v>0</v>
      </c>
    </row>
    <row r="328" spans="1:8" ht="15.75" hidden="1" x14ac:dyDescent="0.25">
      <c r="A328" s="182" t="s">
        <v>263</v>
      </c>
      <c r="B328" s="580" t="s">
        <v>1638</v>
      </c>
      <c r="C328" s="580" t="s">
        <v>264</v>
      </c>
      <c r="D328" s="580"/>
      <c r="E328" s="580"/>
      <c r="F328" s="573"/>
      <c r="G328" s="10">
        <f t="shared" si="47"/>
        <v>0</v>
      </c>
      <c r="H328" s="10">
        <f t="shared" si="47"/>
        <v>0</v>
      </c>
    </row>
    <row r="329" spans="1:8" ht="15.75" hidden="1" x14ac:dyDescent="0.25">
      <c r="A329" s="45" t="s">
        <v>404</v>
      </c>
      <c r="B329" s="580" t="s">
        <v>1638</v>
      </c>
      <c r="C329" s="580" t="s">
        <v>264</v>
      </c>
      <c r="D329" s="580" t="s">
        <v>118</v>
      </c>
      <c r="E329" s="580"/>
      <c r="F329" s="573"/>
      <c r="G329" s="10">
        <f t="shared" si="47"/>
        <v>0</v>
      </c>
      <c r="H329" s="10">
        <f t="shared" si="47"/>
        <v>0</v>
      </c>
    </row>
    <row r="330" spans="1:8" ht="47.25" hidden="1" x14ac:dyDescent="0.25">
      <c r="A330" s="303" t="s">
        <v>1636</v>
      </c>
      <c r="B330" s="580" t="s">
        <v>1637</v>
      </c>
      <c r="C330" s="580" t="s">
        <v>264</v>
      </c>
      <c r="D330" s="580" t="s">
        <v>118</v>
      </c>
      <c r="E330" s="580"/>
      <c r="F330" s="573"/>
      <c r="G330" s="10">
        <f>G331</f>
        <v>0</v>
      </c>
      <c r="H330" s="10">
        <f>H331</f>
        <v>0</v>
      </c>
    </row>
    <row r="331" spans="1:8" ht="31.5" hidden="1" x14ac:dyDescent="0.25">
      <c r="A331" s="31" t="s">
        <v>272</v>
      </c>
      <c r="B331" s="580" t="s">
        <v>1637</v>
      </c>
      <c r="C331" s="580" t="s">
        <v>264</v>
      </c>
      <c r="D331" s="580" t="s">
        <v>118</v>
      </c>
      <c r="E331" s="580" t="s">
        <v>273</v>
      </c>
      <c r="F331" s="573"/>
      <c r="G331" s="10">
        <f t="shared" si="47"/>
        <v>0</v>
      </c>
      <c r="H331" s="10">
        <f t="shared" si="47"/>
        <v>0</v>
      </c>
    </row>
    <row r="332" spans="1:8" ht="15.75" hidden="1" x14ac:dyDescent="0.25">
      <c r="A332" s="31" t="s">
        <v>274</v>
      </c>
      <c r="B332" s="580" t="s">
        <v>1637</v>
      </c>
      <c r="C332" s="580" t="s">
        <v>264</v>
      </c>
      <c r="D332" s="580" t="s">
        <v>118</v>
      </c>
      <c r="E332" s="580" t="s">
        <v>275</v>
      </c>
      <c r="F332" s="573"/>
      <c r="G332" s="10">
        <f>'Пр.4 ведом.22'!G645</f>
        <v>0</v>
      </c>
      <c r="H332" s="10">
        <f>'Пр.4 ведом.22'!H645</f>
        <v>0</v>
      </c>
    </row>
    <row r="333" spans="1:8" ht="31.5" hidden="1" x14ac:dyDescent="0.25">
      <c r="A333" s="29" t="s">
        <v>403</v>
      </c>
      <c r="B333" s="580" t="s">
        <v>1637</v>
      </c>
      <c r="C333" s="580" t="s">
        <v>264</v>
      </c>
      <c r="D333" s="580" t="s">
        <v>118</v>
      </c>
      <c r="E333" s="580" t="s">
        <v>275</v>
      </c>
      <c r="F333" s="573" t="s">
        <v>636</v>
      </c>
      <c r="G333" s="10">
        <f>G332</f>
        <v>0</v>
      </c>
      <c r="H333" s="10">
        <f>H332</f>
        <v>0</v>
      </c>
    </row>
    <row r="334" spans="1:8" ht="48.2" hidden="1" customHeight="1" x14ac:dyDescent="0.25">
      <c r="A334" s="217" t="s">
        <v>1172</v>
      </c>
      <c r="B334" s="495" t="s">
        <v>1320</v>
      </c>
      <c r="C334" s="573"/>
      <c r="D334" s="573"/>
      <c r="E334" s="573"/>
      <c r="F334" s="573"/>
      <c r="G334" s="59">
        <f t="shared" ref="G334:H338" si="48">G335</f>
        <v>0</v>
      </c>
      <c r="H334" s="59">
        <f t="shared" si="48"/>
        <v>0</v>
      </c>
    </row>
    <row r="335" spans="1:8" ht="15" hidden="1" customHeight="1" x14ac:dyDescent="0.25">
      <c r="A335" s="29" t="s">
        <v>263</v>
      </c>
      <c r="B335" s="580" t="s">
        <v>1320</v>
      </c>
      <c r="C335" s="573" t="s">
        <v>264</v>
      </c>
      <c r="D335" s="573"/>
      <c r="E335" s="573"/>
      <c r="F335" s="573"/>
      <c r="G335" s="10">
        <f t="shared" si="48"/>
        <v>0</v>
      </c>
      <c r="H335" s="10">
        <f t="shared" si="48"/>
        <v>0</v>
      </c>
    </row>
    <row r="336" spans="1:8" ht="19.5" hidden="1" customHeight="1" x14ac:dyDescent="0.25">
      <c r="A336" s="29" t="s">
        <v>425</v>
      </c>
      <c r="B336" s="580" t="s">
        <v>1320</v>
      </c>
      <c r="C336" s="573" t="s">
        <v>264</v>
      </c>
      <c r="D336" s="573" t="s">
        <v>213</v>
      </c>
      <c r="E336" s="573"/>
      <c r="F336" s="573"/>
      <c r="G336" s="10">
        <f t="shared" si="48"/>
        <v>0</v>
      </c>
      <c r="H336" s="10">
        <f t="shared" si="48"/>
        <v>0</v>
      </c>
    </row>
    <row r="337" spans="1:8" ht="62.45" hidden="1" customHeight="1" x14ac:dyDescent="0.25">
      <c r="A337" s="182" t="s">
        <v>1522</v>
      </c>
      <c r="B337" s="580" t="s">
        <v>1321</v>
      </c>
      <c r="C337" s="573" t="s">
        <v>264</v>
      </c>
      <c r="D337" s="573" t="s">
        <v>213</v>
      </c>
      <c r="E337" s="573"/>
      <c r="F337" s="573"/>
      <c r="G337" s="10">
        <f t="shared" si="48"/>
        <v>0</v>
      </c>
      <c r="H337" s="10">
        <f t="shared" si="48"/>
        <v>0</v>
      </c>
    </row>
    <row r="338" spans="1:8" ht="33.75" hidden="1" customHeight="1" x14ac:dyDescent="0.25">
      <c r="A338" s="31" t="s">
        <v>272</v>
      </c>
      <c r="B338" s="580" t="s">
        <v>1321</v>
      </c>
      <c r="C338" s="573" t="s">
        <v>264</v>
      </c>
      <c r="D338" s="573" t="s">
        <v>213</v>
      </c>
      <c r="E338" s="573" t="s">
        <v>273</v>
      </c>
      <c r="F338" s="573"/>
      <c r="G338" s="10">
        <f t="shared" si="48"/>
        <v>0</v>
      </c>
      <c r="H338" s="10">
        <f t="shared" si="48"/>
        <v>0</v>
      </c>
    </row>
    <row r="339" spans="1:8" ht="21.2" hidden="1" customHeight="1" x14ac:dyDescent="0.25">
      <c r="A339" s="31" t="s">
        <v>274</v>
      </c>
      <c r="B339" s="580" t="s">
        <v>1321</v>
      </c>
      <c r="C339" s="573" t="s">
        <v>264</v>
      </c>
      <c r="D339" s="573" t="s">
        <v>213</v>
      </c>
      <c r="E339" s="573" t="s">
        <v>275</v>
      </c>
      <c r="F339" s="573"/>
      <c r="G339" s="10">
        <f>'Пр.4 ведом.22'!G726</f>
        <v>0</v>
      </c>
      <c r="H339" s="10">
        <f>'Пр.4 ведом.22'!H726</f>
        <v>0</v>
      </c>
    </row>
    <row r="340" spans="1:8" ht="31.7" hidden="1" customHeight="1" x14ac:dyDescent="0.25">
      <c r="A340" s="29" t="s">
        <v>403</v>
      </c>
      <c r="B340" s="580" t="s">
        <v>1321</v>
      </c>
      <c r="C340" s="573" t="s">
        <v>264</v>
      </c>
      <c r="D340" s="573" t="s">
        <v>213</v>
      </c>
      <c r="E340" s="573" t="s">
        <v>275</v>
      </c>
      <c r="F340" s="573" t="s">
        <v>636</v>
      </c>
      <c r="G340" s="10">
        <f>G334</f>
        <v>0</v>
      </c>
      <c r="H340" s="10">
        <f>H334</f>
        <v>0</v>
      </c>
    </row>
    <row r="341" spans="1:8" ht="31.7" hidden="1" customHeight="1" x14ac:dyDescent="0.25">
      <c r="A341" s="34" t="s">
        <v>1463</v>
      </c>
      <c r="B341" s="495" t="s">
        <v>1464</v>
      </c>
      <c r="C341" s="573"/>
      <c r="D341" s="573"/>
      <c r="E341" s="573"/>
      <c r="F341" s="573"/>
      <c r="G341" s="59">
        <f t="shared" ref="G341:H345" si="49">G342</f>
        <v>0</v>
      </c>
      <c r="H341" s="59">
        <f t="shared" si="49"/>
        <v>0</v>
      </c>
    </row>
    <row r="342" spans="1:8" ht="15.75" hidden="1" x14ac:dyDescent="0.25">
      <c r="A342" s="29" t="s">
        <v>263</v>
      </c>
      <c r="B342" s="580" t="s">
        <v>1464</v>
      </c>
      <c r="C342" s="573" t="s">
        <v>264</v>
      </c>
      <c r="D342" s="573"/>
      <c r="E342" s="573"/>
      <c r="F342" s="573"/>
      <c r="G342" s="10">
        <f t="shared" si="49"/>
        <v>0</v>
      </c>
      <c r="H342" s="10">
        <f t="shared" si="49"/>
        <v>0</v>
      </c>
    </row>
    <row r="343" spans="1:8" ht="15.75" hidden="1" x14ac:dyDescent="0.25">
      <c r="A343" s="29" t="s">
        <v>425</v>
      </c>
      <c r="B343" s="580" t="s">
        <v>1464</v>
      </c>
      <c r="C343" s="573" t="s">
        <v>264</v>
      </c>
      <c r="D343" s="573" t="s">
        <v>213</v>
      </c>
      <c r="E343" s="573"/>
      <c r="F343" s="573"/>
      <c r="G343" s="10">
        <f t="shared" si="49"/>
        <v>0</v>
      </c>
      <c r="H343" s="10">
        <f t="shared" si="49"/>
        <v>0</v>
      </c>
    </row>
    <row r="344" spans="1:8" ht="57.75" hidden="1" customHeight="1" x14ac:dyDescent="0.25">
      <c r="A344" s="31" t="s">
        <v>1523</v>
      </c>
      <c r="B344" s="580" t="s">
        <v>1465</v>
      </c>
      <c r="C344" s="573" t="s">
        <v>264</v>
      </c>
      <c r="D344" s="573" t="s">
        <v>213</v>
      </c>
      <c r="E344" s="573"/>
      <c r="F344" s="573"/>
      <c r="G344" s="10">
        <f t="shared" si="49"/>
        <v>0</v>
      </c>
      <c r="H344" s="10">
        <f t="shared" si="49"/>
        <v>0</v>
      </c>
    </row>
    <row r="345" spans="1:8" ht="31.7" hidden="1" customHeight="1" x14ac:dyDescent="0.25">
      <c r="A345" s="31" t="s">
        <v>272</v>
      </c>
      <c r="B345" s="580" t="s">
        <v>1465</v>
      </c>
      <c r="C345" s="573" t="s">
        <v>264</v>
      </c>
      <c r="D345" s="573" t="s">
        <v>213</v>
      </c>
      <c r="E345" s="573" t="s">
        <v>273</v>
      </c>
      <c r="F345" s="573"/>
      <c r="G345" s="10">
        <f t="shared" si="49"/>
        <v>0</v>
      </c>
      <c r="H345" s="10">
        <f t="shared" si="49"/>
        <v>0</v>
      </c>
    </row>
    <row r="346" spans="1:8" ht="31.7" hidden="1" customHeight="1" x14ac:dyDescent="0.25">
      <c r="A346" s="31" t="s">
        <v>274</v>
      </c>
      <c r="B346" s="580" t="s">
        <v>1465</v>
      </c>
      <c r="C346" s="573" t="s">
        <v>264</v>
      </c>
      <c r="D346" s="573" t="s">
        <v>213</v>
      </c>
      <c r="E346" s="573" t="s">
        <v>275</v>
      </c>
      <c r="F346" s="573"/>
      <c r="G346" s="10">
        <f>'Пр.4 ведом.22'!G730</f>
        <v>0</v>
      </c>
      <c r="H346" s="10">
        <f>'Пр.4 ведом.22'!H730</f>
        <v>0</v>
      </c>
    </row>
    <row r="347" spans="1:8" ht="31.7" hidden="1" customHeight="1" x14ac:dyDescent="0.25">
      <c r="A347" s="29" t="s">
        <v>403</v>
      </c>
      <c r="B347" s="580" t="s">
        <v>1465</v>
      </c>
      <c r="C347" s="573" t="s">
        <v>264</v>
      </c>
      <c r="D347" s="573" t="s">
        <v>213</v>
      </c>
      <c r="E347" s="573" t="s">
        <v>275</v>
      </c>
      <c r="F347" s="573" t="s">
        <v>636</v>
      </c>
      <c r="G347" s="10">
        <f>G341</f>
        <v>0</v>
      </c>
      <c r="H347" s="10">
        <f>H341</f>
        <v>0</v>
      </c>
    </row>
    <row r="348" spans="1:8" ht="31.5" x14ac:dyDescent="0.25">
      <c r="A348" s="34" t="s">
        <v>1472</v>
      </c>
      <c r="B348" s="495" t="s">
        <v>1470</v>
      </c>
      <c r="C348" s="573"/>
      <c r="D348" s="573"/>
      <c r="E348" s="573"/>
      <c r="F348" s="573"/>
      <c r="G348" s="59">
        <f t="shared" ref="G348:H351" si="50">G349</f>
        <v>2469.9</v>
      </c>
      <c r="H348" s="59">
        <f t="shared" si="50"/>
        <v>0</v>
      </c>
    </row>
    <row r="349" spans="1:8" ht="15.75" x14ac:dyDescent="0.25">
      <c r="A349" s="29" t="s">
        <v>263</v>
      </c>
      <c r="B349" s="580" t="s">
        <v>1471</v>
      </c>
      <c r="C349" s="573" t="s">
        <v>264</v>
      </c>
      <c r="D349" s="573"/>
      <c r="E349" s="573"/>
      <c r="F349" s="573"/>
      <c r="G349" s="10">
        <f t="shared" si="50"/>
        <v>2469.9</v>
      </c>
      <c r="H349" s="10">
        <f t="shared" si="50"/>
        <v>0</v>
      </c>
    </row>
    <row r="350" spans="1:8" ht="15.75" x14ac:dyDescent="0.25">
      <c r="A350" s="29" t="s">
        <v>425</v>
      </c>
      <c r="B350" s="580" t="s">
        <v>1471</v>
      </c>
      <c r="C350" s="573" t="s">
        <v>264</v>
      </c>
      <c r="D350" s="573" t="s">
        <v>213</v>
      </c>
      <c r="E350" s="573"/>
      <c r="F350" s="573"/>
      <c r="G350" s="10">
        <f t="shared" si="50"/>
        <v>2469.9</v>
      </c>
      <c r="H350" s="10">
        <f t="shared" si="50"/>
        <v>0</v>
      </c>
    </row>
    <row r="351" spans="1:8" ht="49.5" customHeight="1" x14ac:dyDescent="0.25">
      <c r="A351" s="652" t="s">
        <v>1729</v>
      </c>
      <c r="B351" s="580" t="s">
        <v>1471</v>
      </c>
      <c r="C351" s="573" t="s">
        <v>264</v>
      </c>
      <c r="D351" s="573" t="s">
        <v>213</v>
      </c>
      <c r="E351" s="573" t="s">
        <v>273</v>
      </c>
      <c r="F351" s="573"/>
      <c r="G351" s="10">
        <f t="shared" si="50"/>
        <v>2469.9</v>
      </c>
      <c r="H351" s="10">
        <f t="shared" si="50"/>
        <v>0</v>
      </c>
    </row>
    <row r="352" spans="1:8" ht="31.5" x14ac:dyDescent="0.25">
      <c r="A352" s="31" t="s">
        <v>272</v>
      </c>
      <c r="B352" s="580" t="s">
        <v>1471</v>
      </c>
      <c r="C352" s="573" t="s">
        <v>264</v>
      </c>
      <c r="D352" s="573" t="s">
        <v>213</v>
      </c>
      <c r="E352" s="573" t="s">
        <v>275</v>
      </c>
      <c r="F352" s="573"/>
      <c r="G352" s="10">
        <f>'Пр.4.1 ведом.23-24 '!G735</f>
        <v>2469.9</v>
      </c>
      <c r="H352" s="10">
        <f>'Пр.4.1 ведом.23-24 '!H735</f>
        <v>0</v>
      </c>
    </row>
    <row r="353" spans="1:8" ht="15.75" x14ac:dyDescent="0.25">
      <c r="A353" s="31" t="s">
        <v>274</v>
      </c>
      <c r="B353" s="580" t="s">
        <v>1471</v>
      </c>
      <c r="C353" s="573" t="s">
        <v>264</v>
      </c>
      <c r="D353" s="573" t="s">
        <v>213</v>
      </c>
      <c r="E353" s="573" t="s">
        <v>275</v>
      </c>
      <c r="F353" s="573" t="s">
        <v>636</v>
      </c>
      <c r="G353" s="10">
        <f>G352</f>
        <v>2469.9</v>
      </c>
      <c r="H353" s="10">
        <f>H352</f>
        <v>0</v>
      </c>
    </row>
    <row r="354" spans="1:8" ht="47.25" x14ac:dyDescent="0.25">
      <c r="A354" s="58" t="s">
        <v>1384</v>
      </c>
      <c r="B354" s="194" t="s">
        <v>156</v>
      </c>
      <c r="C354" s="7"/>
      <c r="D354" s="194"/>
      <c r="E354" s="194"/>
      <c r="F354" s="194"/>
      <c r="G354" s="59">
        <f>G356</f>
        <v>150</v>
      </c>
      <c r="H354" s="59">
        <f>H356</f>
        <v>150</v>
      </c>
    </row>
    <row r="355" spans="1:8" ht="36.75" customHeight="1" x14ac:dyDescent="0.25">
      <c r="A355" s="494" t="s">
        <v>1064</v>
      </c>
      <c r="B355" s="495" t="s">
        <v>1061</v>
      </c>
      <c r="C355" s="7"/>
      <c r="D355" s="7"/>
      <c r="E355" s="7"/>
      <c r="F355" s="7"/>
      <c r="G355" s="59">
        <f t="shared" ref="G355:H359" si="51">G356</f>
        <v>150</v>
      </c>
      <c r="H355" s="59">
        <f t="shared" si="51"/>
        <v>150</v>
      </c>
    </row>
    <row r="356" spans="1:8" ht="15.75" x14ac:dyDescent="0.25">
      <c r="A356" s="45" t="s">
        <v>232</v>
      </c>
      <c r="B356" s="5" t="s">
        <v>1061</v>
      </c>
      <c r="C356" s="573" t="s">
        <v>150</v>
      </c>
      <c r="D356" s="573"/>
      <c r="E356" s="573"/>
      <c r="F356" s="573"/>
      <c r="G356" s="10">
        <f t="shared" si="51"/>
        <v>150</v>
      </c>
      <c r="H356" s="10">
        <f t="shared" si="51"/>
        <v>150</v>
      </c>
    </row>
    <row r="357" spans="1:8" ht="15.75" x14ac:dyDescent="0.25">
      <c r="A357" s="45" t="s">
        <v>775</v>
      </c>
      <c r="B357" s="5" t="s">
        <v>1061</v>
      </c>
      <c r="C357" s="573" t="s">
        <v>150</v>
      </c>
      <c r="D357" s="573" t="s">
        <v>238</v>
      </c>
      <c r="E357" s="573"/>
      <c r="F357" s="573"/>
      <c r="G357" s="10">
        <f t="shared" si="51"/>
        <v>150</v>
      </c>
      <c r="H357" s="10">
        <f t="shared" si="51"/>
        <v>150</v>
      </c>
    </row>
    <row r="358" spans="1:8" ht="31.5" x14ac:dyDescent="0.25">
      <c r="A358" s="579" t="s">
        <v>1065</v>
      </c>
      <c r="B358" s="580" t="s">
        <v>1062</v>
      </c>
      <c r="C358" s="573" t="s">
        <v>150</v>
      </c>
      <c r="D358" s="573" t="s">
        <v>238</v>
      </c>
      <c r="E358" s="573"/>
      <c r="F358" s="573"/>
      <c r="G358" s="10">
        <f t="shared" si="51"/>
        <v>150</v>
      </c>
      <c r="H358" s="10">
        <f t="shared" si="51"/>
        <v>150</v>
      </c>
    </row>
    <row r="359" spans="1:8" ht="15.75" x14ac:dyDescent="0.25">
      <c r="A359" s="579" t="s">
        <v>135</v>
      </c>
      <c r="B359" s="580" t="s">
        <v>1062</v>
      </c>
      <c r="C359" s="573" t="s">
        <v>150</v>
      </c>
      <c r="D359" s="573" t="s">
        <v>238</v>
      </c>
      <c r="E359" s="573" t="s">
        <v>132</v>
      </c>
      <c r="F359" s="573"/>
      <c r="G359" s="10">
        <f t="shared" si="51"/>
        <v>150</v>
      </c>
      <c r="H359" s="10">
        <f t="shared" si="51"/>
        <v>150</v>
      </c>
    </row>
    <row r="360" spans="1:8" ht="47.25" x14ac:dyDescent="0.25">
      <c r="A360" s="579" t="s">
        <v>184</v>
      </c>
      <c r="B360" s="580" t="s">
        <v>1062</v>
      </c>
      <c r="C360" s="573" t="s">
        <v>150</v>
      </c>
      <c r="D360" s="573" t="s">
        <v>238</v>
      </c>
      <c r="E360" s="573" t="s">
        <v>134</v>
      </c>
      <c r="F360" s="573"/>
      <c r="G360" s="10">
        <f>'Пр.4.1 ведом.23-24 '!G219</f>
        <v>150</v>
      </c>
      <c r="H360" s="10">
        <f>'Пр.4.1 ведом.23-24 '!H219</f>
        <v>150</v>
      </c>
    </row>
    <row r="361" spans="1:8" ht="15.75" x14ac:dyDescent="0.25">
      <c r="A361" s="29" t="s">
        <v>148</v>
      </c>
      <c r="B361" s="580" t="s">
        <v>1062</v>
      </c>
      <c r="C361" s="573" t="s">
        <v>150</v>
      </c>
      <c r="D361" s="573" t="s">
        <v>238</v>
      </c>
      <c r="E361" s="573" t="s">
        <v>134</v>
      </c>
      <c r="F361" s="573" t="s">
        <v>641</v>
      </c>
      <c r="G361" s="10">
        <f>G360</f>
        <v>150</v>
      </c>
      <c r="H361" s="10">
        <f>H360</f>
        <v>150</v>
      </c>
    </row>
    <row r="362" spans="1:8" ht="45.75" customHeight="1" x14ac:dyDescent="0.25">
      <c r="A362" s="572" t="s">
        <v>1364</v>
      </c>
      <c r="B362" s="194" t="s">
        <v>162</v>
      </c>
      <c r="C362" s="7"/>
      <c r="D362" s="7"/>
      <c r="E362" s="7"/>
      <c r="F362" s="7"/>
      <c r="G362" s="59">
        <f>G363+G370+G389</f>
        <v>604</v>
      </c>
      <c r="H362" s="59">
        <f>H363+H370+H389</f>
        <v>604</v>
      </c>
    </row>
    <row r="363" spans="1:8" ht="67.7" customHeight="1" x14ac:dyDescent="0.25">
      <c r="A363" s="305" t="s">
        <v>1339</v>
      </c>
      <c r="B363" s="7" t="s">
        <v>849</v>
      </c>
      <c r="C363" s="7"/>
      <c r="D363" s="8"/>
      <c r="E363" s="194"/>
      <c r="F363" s="7"/>
      <c r="G363" s="59">
        <f>G365</f>
        <v>526</v>
      </c>
      <c r="H363" s="59">
        <f>H365</f>
        <v>526</v>
      </c>
    </row>
    <row r="364" spans="1:8" ht="15.75" customHeight="1" x14ac:dyDescent="0.25">
      <c r="A364" s="45" t="s">
        <v>117</v>
      </c>
      <c r="B364" s="5" t="s">
        <v>849</v>
      </c>
      <c r="C364" s="573" t="s">
        <v>118</v>
      </c>
      <c r="D364" s="5"/>
      <c r="E364" s="5"/>
      <c r="F364" s="573"/>
      <c r="G364" s="10">
        <f t="shared" ref="G364:H364" si="52">G365</f>
        <v>526</v>
      </c>
      <c r="H364" s="10">
        <f t="shared" si="52"/>
        <v>526</v>
      </c>
    </row>
    <row r="365" spans="1:8" ht="45.75" customHeight="1" x14ac:dyDescent="0.25">
      <c r="A365" s="29" t="s">
        <v>149</v>
      </c>
      <c r="B365" s="5" t="s">
        <v>849</v>
      </c>
      <c r="C365" s="573" t="s">
        <v>118</v>
      </c>
      <c r="D365" s="9" t="s">
        <v>150</v>
      </c>
      <c r="E365" s="5"/>
      <c r="F365" s="573"/>
      <c r="G365" s="10">
        <f>G366</f>
        <v>526</v>
      </c>
      <c r="H365" s="10">
        <f>H366</f>
        <v>526</v>
      </c>
    </row>
    <row r="366" spans="1:8" ht="62.45" customHeight="1" x14ac:dyDescent="0.25">
      <c r="A366" s="29" t="s">
        <v>1308</v>
      </c>
      <c r="B366" s="573" t="s">
        <v>841</v>
      </c>
      <c r="C366" s="573" t="s">
        <v>118</v>
      </c>
      <c r="D366" s="9" t="s">
        <v>150</v>
      </c>
      <c r="E366" s="573"/>
      <c r="F366" s="573"/>
      <c r="G366" s="10">
        <f t="shared" ref="G366:H367" si="53">G367</f>
        <v>526</v>
      </c>
      <c r="H366" s="10">
        <f t="shared" si="53"/>
        <v>526</v>
      </c>
    </row>
    <row r="367" spans="1:8" ht="34.5" customHeight="1" x14ac:dyDescent="0.25">
      <c r="A367" s="29" t="s">
        <v>131</v>
      </c>
      <c r="B367" s="573" t="s">
        <v>841</v>
      </c>
      <c r="C367" s="573" t="s">
        <v>118</v>
      </c>
      <c r="D367" s="9" t="s">
        <v>150</v>
      </c>
      <c r="E367" s="573" t="s">
        <v>132</v>
      </c>
      <c r="F367" s="573"/>
      <c r="G367" s="10">
        <f t="shared" si="53"/>
        <v>526</v>
      </c>
      <c r="H367" s="10">
        <f t="shared" si="53"/>
        <v>526</v>
      </c>
    </row>
    <row r="368" spans="1:8" ht="36" customHeight="1" x14ac:dyDescent="0.25">
      <c r="A368" s="29" t="s">
        <v>133</v>
      </c>
      <c r="B368" s="573" t="s">
        <v>841</v>
      </c>
      <c r="C368" s="573" t="s">
        <v>118</v>
      </c>
      <c r="D368" s="9" t="s">
        <v>150</v>
      </c>
      <c r="E368" s="573" t="s">
        <v>134</v>
      </c>
      <c r="F368" s="573"/>
      <c r="G368" s="10">
        <f>'Пр.4.1 ведом.23-24 '!G90</f>
        <v>526</v>
      </c>
      <c r="H368" s="10">
        <f>'Пр.4.1 ведом.23-24 '!H90</f>
        <v>526</v>
      </c>
    </row>
    <row r="369" spans="1:8" ht="20.25" customHeight="1" x14ac:dyDescent="0.25">
      <c r="A369" s="29" t="s">
        <v>148</v>
      </c>
      <c r="B369" s="573" t="s">
        <v>841</v>
      </c>
      <c r="C369" s="573" t="s">
        <v>118</v>
      </c>
      <c r="D369" s="9" t="s">
        <v>150</v>
      </c>
      <c r="E369" s="573" t="s">
        <v>134</v>
      </c>
      <c r="F369" s="573" t="s">
        <v>641</v>
      </c>
      <c r="G369" s="10">
        <f>G368</f>
        <v>526</v>
      </c>
      <c r="H369" s="10">
        <f>H368</f>
        <v>526</v>
      </c>
    </row>
    <row r="370" spans="1:8" ht="63" customHeight="1" x14ac:dyDescent="0.25">
      <c r="A370" s="220" t="s">
        <v>843</v>
      </c>
      <c r="B370" s="7" t="s">
        <v>850</v>
      </c>
      <c r="C370" s="7"/>
      <c r="D370" s="8"/>
      <c r="E370" s="194"/>
      <c r="F370" s="7"/>
      <c r="G370" s="59">
        <f>G371</f>
        <v>77.5</v>
      </c>
      <c r="H370" s="59">
        <f>H371</f>
        <v>77.5</v>
      </c>
    </row>
    <row r="371" spans="1:8" ht="15.75" x14ac:dyDescent="0.25">
      <c r="A371" s="45" t="s">
        <v>117</v>
      </c>
      <c r="B371" s="5" t="s">
        <v>850</v>
      </c>
      <c r="C371" s="573" t="s">
        <v>118</v>
      </c>
      <c r="D371" s="5"/>
      <c r="E371" s="5"/>
      <c r="F371" s="573"/>
      <c r="G371" s="10">
        <f>G372+G377</f>
        <v>77.5</v>
      </c>
      <c r="H371" s="10">
        <f>H372+H377</f>
        <v>77.5</v>
      </c>
    </row>
    <row r="372" spans="1:8" ht="47.25" x14ac:dyDescent="0.25">
      <c r="A372" s="579" t="s">
        <v>575</v>
      </c>
      <c r="B372" s="5" t="s">
        <v>850</v>
      </c>
      <c r="C372" s="573" t="s">
        <v>118</v>
      </c>
      <c r="D372" s="9" t="s">
        <v>213</v>
      </c>
      <c r="E372" s="5"/>
      <c r="F372" s="573"/>
      <c r="G372" s="10">
        <f t="shared" ref="G372:H374" si="54">G373</f>
        <v>0.5</v>
      </c>
      <c r="H372" s="10">
        <f t="shared" si="54"/>
        <v>0.5</v>
      </c>
    </row>
    <row r="373" spans="1:8" ht="47.25" x14ac:dyDescent="0.25">
      <c r="A373" s="31" t="s">
        <v>695</v>
      </c>
      <c r="B373" s="573" t="s">
        <v>993</v>
      </c>
      <c r="C373" s="580" t="s">
        <v>118</v>
      </c>
      <c r="D373" s="9" t="s">
        <v>213</v>
      </c>
      <c r="E373" s="5"/>
      <c r="F373" s="573"/>
      <c r="G373" s="10">
        <f t="shared" si="54"/>
        <v>0.5</v>
      </c>
      <c r="H373" s="10">
        <f t="shared" si="54"/>
        <v>0.5</v>
      </c>
    </row>
    <row r="374" spans="1:8" ht="31.5" x14ac:dyDescent="0.25">
      <c r="A374" s="579" t="s">
        <v>131</v>
      </c>
      <c r="B374" s="573" t="s">
        <v>696</v>
      </c>
      <c r="C374" s="580" t="s">
        <v>118</v>
      </c>
      <c r="D374" s="9" t="s">
        <v>213</v>
      </c>
      <c r="E374" s="5">
        <v>200</v>
      </c>
      <c r="F374" s="573"/>
      <c r="G374" s="10">
        <f t="shared" si="54"/>
        <v>0.5</v>
      </c>
      <c r="H374" s="10">
        <f t="shared" si="54"/>
        <v>0.5</v>
      </c>
    </row>
    <row r="375" spans="1:8" ht="31.5" x14ac:dyDescent="0.25">
      <c r="A375" s="579" t="s">
        <v>133</v>
      </c>
      <c r="B375" s="573" t="s">
        <v>696</v>
      </c>
      <c r="C375" s="580" t="s">
        <v>118</v>
      </c>
      <c r="D375" s="9" t="s">
        <v>213</v>
      </c>
      <c r="E375" s="5">
        <v>240</v>
      </c>
      <c r="F375" s="573"/>
      <c r="G375" s="10">
        <f>'Пр.4.1 ведом.23-24 '!G48</f>
        <v>0.5</v>
      </c>
      <c r="H375" s="10">
        <f>'Пр.4.1 ведом.23-24 '!H48</f>
        <v>0.5</v>
      </c>
    </row>
    <row r="376" spans="1:8" ht="15.75" x14ac:dyDescent="0.25">
      <c r="A376" s="579" t="s">
        <v>148</v>
      </c>
      <c r="B376" s="573" t="s">
        <v>696</v>
      </c>
      <c r="C376" s="580" t="s">
        <v>118</v>
      </c>
      <c r="D376" s="9" t="s">
        <v>213</v>
      </c>
      <c r="E376" s="5">
        <v>240</v>
      </c>
      <c r="F376" s="573" t="s">
        <v>641</v>
      </c>
      <c r="G376" s="10">
        <f>G373</f>
        <v>0.5</v>
      </c>
      <c r="H376" s="10">
        <f>H373</f>
        <v>0.5</v>
      </c>
    </row>
    <row r="377" spans="1:8" ht="63" x14ac:dyDescent="0.25">
      <c r="A377" s="29" t="s">
        <v>149</v>
      </c>
      <c r="B377" s="5" t="s">
        <v>850</v>
      </c>
      <c r="C377" s="573" t="s">
        <v>118</v>
      </c>
      <c r="D377" s="9" t="s">
        <v>150</v>
      </c>
      <c r="E377" s="5"/>
      <c r="F377" s="573"/>
      <c r="G377" s="10">
        <f>G378</f>
        <v>77</v>
      </c>
      <c r="H377" s="10">
        <f>H378</f>
        <v>77</v>
      </c>
    </row>
    <row r="378" spans="1:8" ht="47.25" x14ac:dyDescent="0.25">
      <c r="A378" s="174" t="s">
        <v>165</v>
      </c>
      <c r="B378" s="573" t="s">
        <v>842</v>
      </c>
      <c r="C378" s="573" t="s">
        <v>118</v>
      </c>
      <c r="D378" s="9" t="s">
        <v>150</v>
      </c>
      <c r="E378" s="573"/>
      <c r="F378" s="573"/>
      <c r="G378" s="10">
        <f>G379+G382</f>
        <v>77</v>
      </c>
      <c r="H378" s="10">
        <f>H379+H382</f>
        <v>77</v>
      </c>
    </row>
    <row r="379" spans="1:8" ht="78.75" x14ac:dyDescent="0.25">
      <c r="A379" s="579" t="s">
        <v>127</v>
      </c>
      <c r="B379" s="573" t="s">
        <v>842</v>
      </c>
      <c r="C379" s="573" t="s">
        <v>118</v>
      </c>
      <c r="D379" s="9" t="s">
        <v>150</v>
      </c>
      <c r="E379" s="573" t="s">
        <v>128</v>
      </c>
      <c r="F379" s="573"/>
      <c r="G379" s="10">
        <f>G380</f>
        <v>37.200000000000003</v>
      </c>
      <c r="H379" s="10">
        <f>H380</f>
        <v>37.200000000000003</v>
      </c>
    </row>
    <row r="380" spans="1:8" ht="31.5" x14ac:dyDescent="0.25">
      <c r="A380" s="579" t="s">
        <v>129</v>
      </c>
      <c r="B380" s="573" t="s">
        <v>842</v>
      </c>
      <c r="C380" s="573" t="s">
        <v>118</v>
      </c>
      <c r="D380" s="9" t="s">
        <v>150</v>
      </c>
      <c r="E380" s="573" t="s">
        <v>130</v>
      </c>
      <c r="F380" s="573"/>
      <c r="G380" s="10">
        <f>'Пр.4.1 ведом.23-24 '!G94</f>
        <v>37.200000000000003</v>
      </c>
      <c r="H380" s="10">
        <f>'Пр.4.1 ведом.23-24 '!H94</f>
        <v>37.200000000000003</v>
      </c>
    </row>
    <row r="381" spans="1:8" ht="24" customHeight="1" x14ac:dyDescent="0.25">
      <c r="A381" s="29" t="s">
        <v>1322</v>
      </c>
      <c r="B381" s="573" t="s">
        <v>842</v>
      </c>
      <c r="C381" s="573" t="s">
        <v>118</v>
      </c>
      <c r="D381" s="9" t="s">
        <v>150</v>
      </c>
      <c r="E381" s="573" t="s">
        <v>130</v>
      </c>
      <c r="F381" s="573" t="s">
        <v>641</v>
      </c>
      <c r="G381" s="10">
        <f>G380</f>
        <v>37.200000000000003</v>
      </c>
      <c r="H381" s="10">
        <f>H380</f>
        <v>37.200000000000003</v>
      </c>
    </row>
    <row r="382" spans="1:8" ht="31.5" x14ac:dyDescent="0.25">
      <c r="A382" s="579" t="s">
        <v>131</v>
      </c>
      <c r="B382" s="573" t="s">
        <v>842</v>
      </c>
      <c r="C382" s="573" t="s">
        <v>118</v>
      </c>
      <c r="D382" s="9" t="s">
        <v>150</v>
      </c>
      <c r="E382" s="573" t="s">
        <v>132</v>
      </c>
      <c r="F382" s="573"/>
      <c r="G382" s="10">
        <f>G383</f>
        <v>39.799999999999997</v>
      </c>
      <c r="H382" s="10">
        <f>H383</f>
        <v>39.799999999999997</v>
      </c>
    </row>
    <row r="383" spans="1:8" ht="31.5" x14ac:dyDescent="0.25">
      <c r="A383" s="579" t="s">
        <v>133</v>
      </c>
      <c r="B383" s="573" t="s">
        <v>842</v>
      </c>
      <c r="C383" s="573" t="s">
        <v>118</v>
      </c>
      <c r="D383" s="9" t="s">
        <v>150</v>
      </c>
      <c r="E383" s="573" t="s">
        <v>134</v>
      </c>
      <c r="F383" s="573"/>
      <c r="G383" s="10">
        <f>'Пр.4.1 ведом.23-24 '!G96</f>
        <v>39.799999999999997</v>
      </c>
      <c r="H383" s="10">
        <f>'Пр.4.1 ведом.23-24 '!H96</f>
        <v>39.799999999999997</v>
      </c>
    </row>
    <row r="384" spans="1:8" ht="22.7" customHeight="1" x14ac:dyDescent="0.25">
      <c r="A384" s="29" t="s">
        <v>148</v>
      </c>
      <c r="B384" s="573" t="s">
        <v>842</v>
      </c>
      <c r="C384" s="573" t="s">
        <v>118</v>
      </c>
      <c r="D384" s="9" t="s">
        <v>150</v>
      </c>
      <c r="E384" s="573" t="s">
        <v>134</v>
      </c>
      <c r="F384" s="573" t="s">
        <v>641</v>
      </c>
      <c r="G384" s="10">
        <f>G383</f>
        <v>39.799999999999997</v>
      </c>
      <c r="H384" s="10">
        <f>H383</f>
        <v>39.799999999999997</v>
      </c>
    </row>
    <row r="385" spans="1:8" ht="47.25" hidden="1" x14ac:dyDescent="0.25">
      <c r="A385" s="31" t="s">
        <v>695</v>
      </c>
      <c r="B385" s="573" t="s">
        <v>993</v>
      </c>
      <c r="C385" s="573" t="s">
        <v>118</v>
      </c>
      <c r="D385" s="9" t="s">
        <v>150</v>
      </c>
      <c r="E385" s="5"/>
      <c r="F385" s="573"/>
      <c r="G385" s="10">
        <f>G386</f>
        <v>0</v>
      </c>
      <c r="H385" s="10">
        <f>H386</f>
        <v>0</v>
      </c>
    </row>
    <row r="386" spans="1:8" ht="31.5" hidden="1" x14ac:dyDescent="0.25">
      <c r="A386" s="579" t="s">
        <v>131</v>
      </c>
      <c r="B386" s="573" t="s">
        <v>993</v>
      </c>
      <c r="C386" s="573" t="s">
        <v>118</v>
      </c>
      <c r="D386" s="9" t="s">
        <v>150</v>
      </c>
      <c r="E386" s="5">
        <v>200</v>
      </c>
      <c r="F386" s="573"/>
      <c r="G386" s="10">
        <f>G387</f>
        <v>0</v>
      </c>
      <c r="H386" s="10">
        <f>H387</f>
        <v>0</v>
      </c>
    </row>
    <row r="387" spans="1:8" ht="31.5" hidden="1" x14ac:dyDescent="0.25">
      <c r="A387" s="579" t="s">
        <v>133</v>
      </c>
      <c r="B387" s="573" t="s">
        <v>993</v>
      </c>
      <c r="C387" s="573" t="s">
        <v>118</v>
      </c>
      <c r="D387" s="9" t="s">
        <v>150</v>
      </c>
      <c r="E387" s="5">
        <v>240</v>
      </c>
      <c r="F387" s="573"/>
      <c r="G387" s="10">
        <f>'Пр.4 ведом.22'!G98</f>
        <v>0</v>
      </c>
      <c r="H387" s="10">
        <f>'Пр.4 ведом.22'!H98</f>
        <v>0</v>
      </c>
    </row>
    <row r="388" spans="1:8" ht="21.2" hidden="1" customHeight="1" x14ac:dyDescent="0.25">
      <c r="A388" s="29" t="s">
        <v>148</v>
      </c>
      <c r="B388" s="573" t="s">
        <v>993</v>
      </c>
      <c r="C388" s="573" t="s">
        <v>118</v>
      </c>
      <c r="D388" s="9" t="s">
        <v>150</v>
      </c>
      <c r="E388" s="5">
        <v>240</v>
      </c>
      <c r="F388" s="573" t="s">
        <v>641</v>
      </c>
      <c r="G388" s="10">
        <f>G387</f>
        <v>0</v>
      </c>
      <c r="H388" s="10">
        <f>H387</f>
        <v>0</v>
      </c>
    </row>
    <row r="389" spans="1:8" ht="63" x14ac:dyDescent="0.25">
      <c r="A389" s="221" t="s">
        <v>1003</v>
      </c>
      <c r="B389" s="7" t="s">
        <v>851</v>
      </c>
      <c r="C389" s="7"/>
      <c r="D389" s="8"/>
      <c r="E389" s="7"/>
      <c r="F389" s="7"/>
      <c r="G389" s="59">
        <f t="shared" ref="G389:H393" si="55">G390</f>
        <v>0.5</v>
      </c>
      <c r="H389" s="59">
        <f t="shared" si="55"/>
        <v>0.5</v>
      </c>
    </row>
    <row r="390" spans="1:8" ht="15.75" x14ac:dyDescent="0.25">
      <c r="A390" s="45" t="s">
        <v>117</v>
      </c>
      <c r="B390" s="573" t="s">
        <v>851</v>
      </c>
      <c r="C390" s="573" t="s">
        <v>118</v>
      </c>
      <c r="D390" s="9"/>
      <c r="E390" s="7"/>
      <c r="F390" s="7"/>
      <c r="G390" s="10">
        <f t="shared" si="55"/>
        <v>0.5</v>
      </c>
      <c r="H390" s="10">
        <f t="shared" si="55"/>
        <v>0.5</v>
      </c>
    </row>
    <row r="391" spans="1:8" ht="63" x14ac:dyDescent="0.25">
      <c r="A391" s="29" t="s">
        <v>149</v>
      </c>
      <c r="B391" s="573" t="s">
        <v>851</v>
      </c>
      <c r="C391" s="573" t="s">
        <v>118</v>
      </c>
      <c r="D391" s="9" t="s">
        <v>150</v>
      </c>
      <c r="E391" s="7"/>
      <c r="F391" s="7"/>
      <c r="G391" s="10">
        <f t="shared" si="55"/>
        <v>0.5</v>
      </c>
      <c r="H391" s="10">
        <f t="shared" si="55"/>
        <v>0.5</v>
      </c>
    </row>
    <row r="392" spans="1:8" ht="47.25" x14ac:dyDescent="0.25">
      <c r="A392" s="33" t="s">
        <v>191</v>
      </c>
      <c r="B392" s="573" t="s">
        <v>844</v>
      </c>
      <c r="C392" s="573" t="s">
        <v>118</v>
      </c>
      <c r="D392" s="9" t="s">
        <v>150</v>
      </c>
      <c r="E392" s="573"/>
      <c r="F392" s="573"/>
      <c r="G392" s="10">
        <f t="shared" si="55"/>
        <v>0.5</v>
      </c>
      <c r="H392" s="10">
        <f t="shared" si="55"/>
        <v>0.5</v>
      </c>
    </row>
    <row r="393" spans="1:8" ht="31.5" x14ac:dyDescent="0.25">
      <c r="A393" s="579" t="s">
        <v>131</v>
      </c>
      <c r="B393" s="573" t="s">
        <v>844</v>
      </c>
      <c r="C393" s="573" t="s">
        <v>118</v>
      </c>
      <c r="D393" s="9" t="s">
        <v>150</v>
      </c>
      <c r="E393" s="573" t="s">
        <v>132</v>
      </c>
      <c r="F393" s="573"/>
      <c r="G393" s="10">
        <f t="shared" si="55"/>
        <v>0.5</v>
      </c>
      <c r="H393" s="10">
        <f t="shared" si="55"/>
        <v>0.5</v>
      </c>
    </row>
    <row r="394" spans="1:8" ht="31.5" x14ac:dyDescent="0.25">
      <c r="A394" s="579" t="s">
        <v>133</v>
      </c>
      <c r="B394" s="573" t="s">
        <v>844</v>
      </c>
      <c r="C394" s="573" t="s">
        <v>118</v>
      </c>
      <c r="D394" s="9" t="s">
        <v>150</v>
      </c>
      <c r="E394" s="573" t="s">
        <v>134</v>
      </c>
      <c r="F394" s="573"/>
      <c r="G394" s="10">
        <f>'Пр.4.1 ведом.23-24 '!G103</f>
        <v>0.5</v>
      </c>
      <c r="H394" s="10">
        <f>'Пр.4.1 ведом.23-24 '!H103</f>
        <v>0.5</v>
      </c>
    </row>
    <row r="395" spans="1:8" ht="21.75" customHeight="1" x14ac:dyDescent="0.25">
      <c r="A395" s="29" t="s">
        <v>148</v>
      </c>
      <c r="B395" s="573" t="s">
        <v>844</v>
      </c>
      <c r="C395" s="573" t="s">
        <v>118</v>
      </c>
      <c r="D395" s="9" t="s">
        <v>150</v>
      </c>
      <c r="E395" s="573" t="s">
        <v>134</v>
      </c>
      <c r="F395" s="573" t="s">
        <v>641</v>
      </c>
      <c r="G395" s="10">
        <f>G394</f>
        <v>0.5</v>
      </c>
      <c r="H395" s="10">
        <f>H394</f>
        <v>0.5</v>
      </c>
    </row>
    <row r="396" spans="1:8" ht="70.5" customHeight="1" x14ac:dyDescent="0.25">
      <c r="A396" s="572" t="s">
        <v>1346</v>
      </c>
      <c r="B396" s="194" t="s">
        <v>254</v>
      </c>
      <c r="C396" s="573"/>
      <c r="D396" s="573"/>
      <c r="E396" s="573"/>
      <c r="F396" s="573"/>
      <c r="G396" s="59">
        <f t="shared" ref="G396:H396" si="56">G398</f>
        <v>10</v>
      </c>
      <c r="H396" s="59">
        <f t="shared" si="56"/>
        <v>10</v>
      </c>
    </row>
    <row r="397" spans="1:8" ht="54" customHeight="1" x14ac:dyDescent="0.25">
      <c r="A397" s="494" t="s">
        <v>884</v>
      </c>
      <c r="B397" s="495" t="s">
        <v>882</v>
      </c>
      <c r="C397" s="573"/>
      <c r="D397" s="573"/>
      <c r="E397" s="573"/>
      <c r="F397" s="573"/>
      <c r="G397" s="59">
        <f t="shared" ref="G397:H399" si="57">G398</f>
        <v>10</v>
      </c>
      <c r="H397" s="59">
        <f t="shared" si="57"/>
        <v>10</v>
      </c>
    </row>
    <row r="398" spans="1:8" ht="15.75" x14ac:dyDescent="0.25">
      <c r="A398" s="29" t="s">
        <v>243</v>
      </c>
      <c r="B398" s="5" t="s">
        <v>882</v>
      </c>
      <c r="C398" s="573" t="s">
        <v>244</v>
      </c>
      <c r="D398" s="573"/>
      <c r="E398" s="573"/>
      <c r="F398" s="573"/>
      <c r="G398" s="10">
        <f t="shared" si="57"/>
        <v>10</v>
      </c>
      <c r="H398" s="10">
        <f t="shared" si="57"/>
        <v>10</v>
      </c>
    </row>
    <row r="399" spans="1:8" ht="22.7" customHeight="1" x14ac:dyDescent="0.25">
      <c r="A399" s="29" t="s">
        <v>252</v>
      </c>
      <c r="B399" s="5" t="s">
        <v>882</v>
      </c>
      <c r="C399" s="573" t="s">
        <v>244</v>
      </c>
      <c r="D399" s="573" t="s">
        <v>215</v>
      </c>
      <c r="E399" s="573"/>
      <c r="F399" s="573"/>
      <c r="G399" s="10">
        <f t="shared" si="57"/>
        <v>10</v>
      </c>
      <c r="H399" s="10">
        <f t="shared" si="57"/>
        <v>10</v>
      </c>
    </row>
    <row r="400" spans="1:8" ht="31.5" x14ac:dyDescent="0.25">
      <c r="A400" s="579" t="s">
        <v>883</v>
      </c>
      <c r="B400" s="580" t="s">
        <v>1188</v>
      </c>
      <c r="C400" s="573" t="s">
        <v>244</v>
      </c>
      <c r="D400" s="573" t="s">
        <v>215</v>
      </c>
      <c r="E400" s="573"/>
      <c r="F400" s="573"/>
      <c r="G400" s="10">
        <f t="shared" ref="G400:H401" si="58">G401</f>
        <v>10</v>
      </c>
      <c r="H400" s="10">
        <f t="shared" si="58"/>
        <v>10</v>
      </c>
    </row>
    <row r="401" spans="1:8" ht="21.75" customHeight="1" x14ac:dyDescent="0.25">
      <c r="A401" s="579" t="s">
        <v>248</v>
      </c>
      <c r="B401" s="580" t="s">
        <v>1188</v>
      </c>
      <c r="C401" s="573" t="s">
        <v>244</v>
      </c>
      <c r="D401" s="573" t="s">
        <v>215</v>
      </c>
      <c r="E401" s="573" t="s">
        <v>249</v>
      </c>
      <c r="F401" s="573"/>
      <c r="G401" s="10">
        <f t="shared" si="58"/>
        <v>10</v>
      </c>
      <c r="H401" s="10">
        <f t="shared" si="58"/>
        <v>10</v>
      </c>
    </row>
    <row r="402" spans="1:8" ht="31.7" customHeight="1" x14ac:dyDescent="0.25">
      <c r="A402" s="579" t="s">
        <v>250</v>
      </c>
      <c r="B402" s="580" t="s">
        <v>1188</v>
      </c>
      <c r="C402" s="573" t="s">
        <v>244</v>
      </c>
      <c r="D402" s="573" t="s">
        <v>215</v>
      </c>
      <c r="E402" s="573" t="s">
        <v>251</v>
      </c>
      <c r="F402" s="573"/>
      <c r="G402" s="10">
        <f>'Пр.4.1 ведом.23-24 '!G232</f>
        <v>10</v>
      </c>
      <c r="H402" s="10">
        <f>'Пр.4.1 ведом.23-24 '!H232</f>
        <v>10</v>
      </c>
    </row>
    <row r="403" spans="1:8" ht="22.7" customHeight="1" x14ac:dyDescent="0.25">
      <c r="A403" s="29" t="s">
        <v>148</v>
      </c>
      <c r="B403" s="580" t="s">
        <v>1188</v>
      </c>
      <c r="C403" s="573" t="s">
        <v>244</v>
      </c>
      <c r="D403" s="573" t="s">
        <v>215</v>
      </c>
      <c r="E403" s="573" t="s">
        <v>251</v>
      </c>
      <c r="F403" s="573" t="s">
        <v>641</v>
      </c>
      <c r="G403" s="10">
        <f>G402</f>
        <v>10</v>
      </c>
      <c r="H403" s="10">
        <f>H402</f>
        <v>10</v>
      </c>
    </row>
    <row r="404" spans="1:8" ht="53.45" customHeight="1" x14ac:dyDescent="0.25">
      <c r="A404" s="572" t="s">
        <v>1369</v>
      </c>
      <c r="B404" s="3" t="s">
        <v>482</v>
      </c>
      <c r="C404" s="68"/>
      <c r="D404" s="68"/>
      <c r="E404" s="68"/>
      <c r="F404" s="68"/>
      <c r="G404" s="488">
        <f>G405+G412+G431+G442+G449+G459+G473</f>
        <v>58776.1</v>
      </c>
      <c r="H404" s="488">
        <f>H405+H412+H431+H442+H449+H459+H473</f>
        <v>58776.1</v>
      </c>
    </row>
    <row r="405" spans="1:8" ht="31.5" x14ac:dyDescent="0.25">
      <c r="A405" s="494" t="s">
        <v>937</v>
      </c>
      <c r="B405" s="495" t="s">
        <v>1263</v>
      </c>
      <c r="C405" s="7"/>
      <c r="D405" s="7"/>
      <c r="E405" s="223"/>
      <c r="F405" s="194"/>
      <c r="G405" s="59">
        <f>G406</f>
        <v>53866.2</v>
      </c>
      <c r="H405" s="59">
        <f>H406</f>
        <v>53866.2</v>
      </c>
    </row>
    <row r="406" spans="1:8" ht="17.45" customHeight="1" x14ac:dyDescent="0.25">
      <c r="A406" s="29" t="s">
        <v>490</v>
      </c>
      <c r="B406" s="573" t="s">
        <v>1263</v>
      </c>
      <c r="C406" s="2">
        <v>11</v>
      </c>
      <c r="D406" s="68"/>
      <c r="E406" s="68"/>
      <c r="F406" s="68"/>
      <c r="G406" s="10">
        <f t="shared" ref="G406:H406" si="59">G407</f>
        <v>53866.2</v>
      </c>
      <c r="H406" s="10">
        <f t="shared" si="59"/>
        <v>53866.2</v>
      </c>
    </row>
    <row r="407" spans="1:8" ht="19.5" customHeight="1" x14ac:dyDescent="0.25">
      <c r="A407" s="29" t="s">
        <v>492</v>
      </c>
      <c r="B407" s="573" t="s">
        <v>1263</v>
      </c>
      <c r="C407" s="573" t="s">
        <v>491</v>
      </c>
      <c r="D407" s="573" t="s">
        <v>118</v>
      </c>
      <c r="E407" s="71"/>
      <c r="F407" s="5"/>
      <c r="G407" s="10">
        <f t="shared" ref="G407:H409" si="60">G408</f>
        <v>53866.2</v>
      </c>
      <c r="H407" s="10">
        <f t="shared" si="60"/>
        <v>53866.2</v>
      </c>
    </row>
    <row r="408" spans="1:8" ht="31.5" x14ac:dyDescent="0.25">
      <c r="A408" s="579" t="s">
        <v>1293</v>
      </c>
      <c r="B408" s="580" t="s">
        <v>1264</v>
      </c>
      <c r="C408" s="573" t="s">
        <v>491</v>
      </c>
      <c r="D408" s="573" t="s">
        <v>118</v>
      </c>
      <c r="E408" s="71"/>
      <c r="F408" s="5"/>
      <c r="G408" s="10">
        <f t="shared" si="60"/>
        <v>53866.2</v>
      </c>
      <c r="H408" s="10">
        <f t="shared" si="60"/>
        <v>53866.2</v>
      </c>
    </row>
    <row r="409" spans="1:8" ht="31.5" x14ac:dyDescent="0.25">
      <c r="A409" s="29" t="s">
        <v>272</v>
      </c>
      <c r="B409" s="580" t="s">
        <v>1264</v>
      </c>
      <c r="C409" s="573" t="s">
        <v>491</v>
      </c>
      <c r="D409" s="573" t="s">
        <v>118</v>
      </c>
      <c r="E409" s="573" t="s">
        <v>273</v>
      </c>
      <c r="F409" s="5"/>
      <c r="G409" s="10">
        <f t="shared" si="60"/>
        <v>53866.2</v>
      </c>
      <c r="H409" s="10">
        <f t="shared" si="60"/>
        <v>53866.2</v>
      </c>
    </row>
    <row r="410" spans="1:8" ht="15.75" x14ac:dyDescent="0.25">
      <c r="A410" s="29" t="s">
        <v>274</v>
      </c>
      <c r="B410" s="580" t="s">
        <v>1264</v>
      </c>
      <c r="C410" s="573" t="s">
        <v>491</v>
      </c>
      <c r="D410" s="573" t="s">
        <v>118</v>
      </c>
      <c r="E410" s="573" t="s">
        <v>275</v>
      </c>
      <c r="F410" s="5"/>
      <c r="G410" s="10">
        <f>'Пр.4.1 ведом.23-24 '!G835</f>
        <v>53866.2</v>
      </c>
      <c r="H410" s="10">
        <f>'Пр.4.1 ведом.23-24 '!H835</f>
        <v>53866.2</v>
      </c>
    </row>
    <row r="411" spans="1:8" ht="31.5" x14ac:dyDescent="0.25">
      <c r="A411" s="45" t="s">
        <v>480</v>
      </c>
      <c r="B411" s="580" t="s">
        <v>1264</v>
      </c>
      <c r="C411" s="573" t="s">
        <v>491</v>
      </c>
      <c r="D411" s="573" t="s">
        <v>118</v>
      </c>
      <c r="E411" s="573" t="s">
        <v>275</v>
      </c>
      <c r="F411" s="5">
        <v>907</v>
      </c>
      <c r="G411" s="651">
        <f>G410</f>
        <v>53866.2</v>
      </c>
      <c r="H411" s="651">
        <f>H410</f>
        <v>53866.2</v>
      </c>
    </row>
    <row r="412" spans="1:8" ht="31.5" x14ac:dyDescent="0.25">
      <c r="A412" s="494" t="s">
        <v>945</v>
      </c>
      <c r="B412" s="495" t="s">
        <v>1265</v>
      </c>
      <c r="C412" s="7"/>
      <c r="D412" s="7"/>
      <c r="E412" s="7"/>
      <c r="F412" s="194"/>
      <c r="G412" s="59">
        <f>G413</f>
        <v>36</v>
      </c>
      <c r="H412" s="59">
        <f>H413</f>
        <v>36</v>
      </c>
    </row>
    <row r="413" spans="1:8" ht="15.75" x14ac:dyDescent="0.25">
      <c r="A413" s="29" t="s">
        <v>490</v>
      </c>
      <c r="B413" s="580" t="s">
        <v>1265</v>
      </c>
      <c r="C413" s="2">
        <v>11</v>
      </c>
      <c r="D413" s="68"/>
      <c r="E413" s="68"/>
      <c r="F413" s="68"/>
      <c r="G413" s="10">
        <f>G414</f>
        <v>36</v>
      </c>
      <c r="H413" s="10">
        <f>H414</f>
        <v>36</v>
      </c>
    </row>
    <row r="414" spans="1:8" ht="16.5" x14ac:dyDescent="0.25">
      <c r="A414" s="29" t="s">
        <v>492</v>
      </c>
      <c r="B414" s="580" t="s">
        <v>1265</v>
      </c>
      <c r="C414" s="573" t="s">
        <v>491</v>
      </c>
      <c r="D414" s="573" t="s">
        <v>118</v>
      </c>
      <c r="E414" s="71"/>
      <c r="F414" s="5"/>
      <c r="G414" s="10">
        <f>G415+G419+G423+G427</f>
        <v>36</v>
      </c>
      <c r="H414" s="10">
        <f>H415+H419+H423+H427</f>
        <v>36</v>
      </c>
    </row>
    <row r="415" spans="1:8" ht="31.7" hidden="1" customHeight="1" x14ac:dyDescent="0.25">
      <c r="A415" s="29" t="s">
        <v>278</v>
      </c>
      <c r="B415" s="580" t="s">
        <v>1323</v>
      </c>
      <c r="C415" s="573" t="s">
        <v>491</v>
      </c>
      <c r="D415" s="573" t="s">
        <v>118</v>
      </c>
      <c r="E415" s="573"/>
      <c r="F415" s="5"/>
      <c r="G415" s="10">
        <f t="shared" ref="G415:H416" si="61">G416</f>
        <v>0</v>
      </c>
      <c r="H415" s="10">
        <f t="shared" si="61"/>
        <v>0</v>
      </c>
    </row>
    <row r="416" spans="1:8" ht="31.7" hidden="1" customHeight="1" x14ac:dyDescent="0.25">
      <c r="A416" s="29" t="s">
        <v>272</v>
      </c>
      <c r="B416" s="580" t="s">
        <v>1323</v>
      </c>
      <c r="C416" s="573" t="s">
        <v>491</v>
      </c>
      <c r="D416" s="573" t="s">
        <v>118</v>
      </c>
      <c r="E416" s="573" t="s">
        <v>273</v>
      </c>
      <c r="F416" s="5"/>
      <c r="G416" s="10">
        <f t="shared" si="61"/>
        <v>0</v>
      </c>
      <c r="H416" s="10">
        <f t="shared" si="61"/>
        <v>0</v>
      </c>
    </row>
    <row r="417" spans="1:8" ht="15.75" hidden="1" customHeight="1" x14ac:dyDescent="0.25">
      <c r="A417" s="29" t="s">
        <v>274</v>
      </c>
      <c r="B417" s="580" t="s">
        <v>1323</v>
      </c>
      <c r="C417" s="573" t="s">
        <v>491</v>
      </c>
      <c r="D417" s="573" t="s">
        <v>118</v>
      </c>
      <c r="E417" s="573" t="s">
        <v>275</v>
      </c>
      <c r="F417" s="5"/>
      <c r="G417" s="10">
        <f>'Пр.4 ведом.22'!G838</f>
        <v>0</v>
      </c>
      <c r="H417" s="10">
        <f>'Пр.4 ведом.22'!H838</f>
        <v>0</v>
      </c>
    </row>
    <row r="418" spans="1:8" ht="34.5" hidden="1" customHeight="1" x14ac:dyDescent="0.25">
      <c r="A418" s="45" t="s">
        <v>480</v>
      </c>
      <c r="B418" s="580" t="s">
        <v>1323</v>
      </c>
      <c r="C418" s="573" t="s">
        <v>491</v>
      </c>
      <c r="D418" s="573" t="s">
        <v>118</v>
      </c>
      <c r="E418" s="573" t="s">
        <v>275</v>
      </c>
      <c r="F418" s="5">
        <v>907</v>
      </c>
      <c r="G418" s="10">
        <f>G417</f>
        <v>0</v>
      </c>
      <c r="H418" s="10">
        <f>H417</f>
        <v>0</v>
      </c>
    </row>
    <row r="419" spans="1:8" ht="31.7" hidden="1" customHeight="1" x14ac:dyDescent="0.25">
      <c r="A419" s="29" t="s">
        <v>280</v>
      </c>
      <c r="B419" s="580" t="s">
        <v>1324</v>
      </c>
      <c r="C419" s="573" t="s">
        <v>491</v>
      </c>
      <c r="D419" s="573" t="s">
        <v>118</v>
      </c>
      <c r="E419" s="573"/>
      <c r="F419" s="5"/>
      <c r="G419" s="10">
        <f t="shared" ref="G419:H420" si="62">G420</f>
        <v>0</v>
      </c>
      <c r="H419" s="10">
        <f t="shared" si="62"/>
        <v>0</v>
      </c>
    </row>
    <row r="420" spans="1:8" ht="31.7" hidden="1" customHeight="1" x14ac:dyDescent="0.25">
      <c r="A420" s="29" t="s">
        <v>272</v>
      </c>
      <c r="B420" s="580" t="s">
        <v>1324</v>
      </c>
      <c r="C420" s="573" t="s">
        <v>491</v>
      </c>
      <c r="D420" s="573" t="s">
        <v>118</v>
      </c>
      <c r="E420" s="573" t="s">
        <v>273</v>
      </c>
      <c r="F420" s="5"/>
      <c r="G420" s="10">
        <f t="shared" si="62"/>
        <v>0</v>
      </c>
      <c r="H420" s="10">
        <f t="shared" si="62"/>
        <v>0</v>
      </c>
    </row>
    <row r="421" spans="1:8" ht="15.75" hidden="1" customHeight="1" x14ac:dyDescent="0.25">
      <c r="A421" s="29" t="s">
        <v>274</v>
      </c>
      <c r="B421" s="580" t="s">
        <v>1324</v>
      </c>
      <c r="C421" s="573" t="s">
        <v>491</v>
      </c>
      <c r="D421" s="573" t="s">
        <v>118</v>
      </c>
      <c r="E421" s="573" t="s">
        <v>275</v>
      </c>
      <c r="F421" s="5"/>
      <c r="G421" s="10">
        <f>'Пр.4 ведом.22'!G841</f>
        <v>0</v>
      </c>
      <c r="H421" s="10">
        <f>'Пр.4 ведом.22'!H841</f>
        <v>0</v>
      </c>
    </row>
    <row r="422" spans="1:8" ht="36" hidden="1" customHeight="1" x14ac:dyDescent="0.25">
      <c r="A422" s="45" t="s">
        <v>480</v>
      </c>
      <c r="B422" s="580" t="s">
        <v>1324</v>
      </c>
      <c r="C422" s="573" t="s">
        <v>491</v>
      </c>
      <c r="D422" s="573" t="s">
        <v>118</v>
      </c>
      <c r="E422" s="573" t="s">
        <v>275</v>
      </c>
      <c r="F422" s="5">
        <v>907</v>
      </c>
      <c r="G422" s="10">
        <f>G421</f>
        <v>0</v>
      </c>
      <c r="H422" s="10">
        <f>H421</f>
        <v>0</v>
      </c>
    </row>
    <row r="423" spans="1:8" ht="15.75" customHeight="1" x14ac:dyDescent="0.25">
      <c r="A423" s="579" t="s">
        <v>830</v>
      </c>
      <c r="B423" s="580" t="s">
        <v>1266</v>
      </c>
      <c r="C423" s="573" t="s">
        <v>491</v>
      </c>
      <c r="D423" s="573" t="s">
        <v>118</v>
      </c>
      <c r="E423" s="573"/>
      <c r="F423" s="5"/>
      <c r="G423" s="10">
        <f>G424</f>
        <v>36</v>
      </c>
      <c r="H423" s="10">
        <f>H424</f>
        <v>36</v>
      </c>
    </row>
    <row r="424" spans="1:8" ht="31.5" x14ac:dyDescent="0.25">
      <c r="A424" s="579" t="s">
        <v>272</v>
      </c>
      <c r="B424" s="580" t="s">
        <v>1266</v>
      </c>
      <c r="C424" s="573" t="s">
        <v>491</v>
      </c>
      <c r="D424" s="573" t="s">
        <v>118</v>
      </c>
      <c r="E424" s="573" t="s">
        <v>273</v>
      </c>
      <c r="F424" s="5"/>
      <c r="G424" s="10">
        <f>G425</f>
        <v>36</v>
      </c>
      <c r="H424" s="10">
        <f>H425</f>
        <v>36</v>
      </c>
    </row>
    <row r="425" spans="1:8" ht="15.75" customHeight="1" x14ac:dyDescent="0.25">
      <c r="A425" s="579" t="s">
        <v>274</v>
      </c>
      <c r="B425" s="580" t="s">
        <v>1266</v>
      </c>
      <c r="C425" s="573" t="s">
        <v>491</v>
      </c>
      <c r="D425" s="573" t="s">
        <v>118</v>
      </c>
      <c r="E425" s="573" t="s">
        <v>275</v>
      </c>
      <c r="F425" s="5"/>
      <c r="G425" s="10">
        <f>'Пр.4.1 ведом.23-24 '!G845</f>
        <v>36</v>
      </c>
      <c r="H425" s="10">
        <f>'Пр.4.1 ведом.23-24 '!H845</f>
        <v>36</v>
      </c>
    </row>
    <row r="426" spans="1:8" ht="33" customHeight="1" x14ac:dyDescent="0.25">
      <c r="A426" s="45" t="s">
        <v>480</v>
      </c>
      <c r="B426" s="580" t="s">
        <v>1266</v>
      </c>
      <c r="C426" s="573" t="s">
        <v>491</v>
      </c>
      <c r="D426" s="573" t="s">
        <v>118</v>
      </c>
      <c r="E426" s="573" t="s">
        <v>275</v>
      </c>
      <c r="F426" s="5">
        <v>907</v>
      </c>
      <c r="G426" s="10">
        <f>G425</f>
        <v>36</v>
      </c>
      <c r="H426" s="10">
        <f>H425</f>
        <v>36</v>
      </c>
    </row>
    <row r="427" spans="1:8" s="656" customFormat="1" ht="33" hidden="1" customHeight="1" x14ac:dyDescent="0.25">
      <c r="A427" s="650" t="s">
        <v>287</v>
      </c>
      <c r="B427" s="653" t="s">
        <v>1687</v>
      </c>
      <c r="C427" s="654" t="s">
        <v>491</v>
      </c>
      <c r="D427" s="654" t="s">
        <v>118</v>
      </c>
      <c r="E427" s="654"/>
      <c r="F427" s="655"/>
      <c r="G427" s="651">
        <f>G428</f>
        <v>0</v>
      </c>
      <c r="H427" s="651">
        <f>H428</f>
        <v>0</v>
      </c>
    </row>
    <row r="428" spans="1:8" s="656" customFormat="1" ht="33" hidden="1" customHeight="1" x14ac:dyDescent="0.25">
      <c r="A428" s="650" t="s">
        <v>272</v>
      </c>
      <c r="B428" s="653" t="s">
        <v>1687</v>
      </c>
      <c r="C428" s="654" t="s">
        <v>491</v>
      </c>
      <c r="D428" s="654" t="s">
        <v>118</v>
      </c>
      <c r="E428" s="654" t="s">
        <v>273</v>
      </c>
      <c r="F428" s="655"/>
      <c r="G428" s="651">
        <f>G429</f>
        <v>0</v>
      </c>
      <c r="H428" s="651">
        <f>H429</f>
        <v>0</v>
      </c>
    </row>
    <row r="429" spans="1:8" s="656" customFormat="1" ht="21.75" hidden="1" customHeight="1" x14ac:dyDescent="0.25">
      <c r="A429" s="650" t="s">
        <v>274</v>
      </c>
      <c r="B429" s="653" t="s">
        <v>1687</v>
      </c>
      <c r="C429" s="654" t="s">
        <v>491</v>
      </c>
      <c r="D429" s="654" t="s">
        <v>118</v>
      </c>
      <c r="E429" s="654" t="s">
        <v>275</v>
      </c>
      <c r="F429" s="655"/>
      <c r="G429" s="651">
        <f>'Пр.4 ведом.22'!G847</f>
        <v>0</v>
      </c>
      <c r="H429" s="651">
        <f>'Пр.4 ведом.22'!H847</f>
        <v>0</v>
      </c>
    </row>
    <row r="430" spans="1:8" s="656" customFormat="1" ht="33" hidden="1" customHeight="1" x14ac:dyDescent="0.25">
      <c r="A430" s="657" t="s">
        <v>480</v>
      </c>
      <c r="B430" s="653" t="s">
        <v>1687</v>
      </c>
      <c r="C430" s="654" t="s">
        <v>491</v>
      </c>
      <c r="D430" s="654" t="s">
        <v>118</v>
      </c>
      <c r="E430" s="654" t="s">
        <v>275</v>
      </c>
      <c r="F430" s="655">
        <v>907</v>
      </c>
      <c r="G430" s="651">
        <f>G429</f>
        <v>0</v>
      </c>
      <c r="H430" s="651">
        <f>H429</f>
        <v>0</v>
      </c>
    </row>
    <row r="431" spans="1:8" ht="36" customHeight="1" x14ac:dyDescent="0.25">
      <c r="A431" s="494" t="s">
        <v>947</v>
      </c>
      <c r="B431" s="495" t="s">
        <v>1267</v>
      </c>
      <c r="C431" s="7"/>
      <c r="D431" s="7"/>
      <c r="E431" s="7"/>
      <c r="F431" s="194"/>
      <c r="G431" s="59">
        <f>G432</f>
        <v>1290</v>
      </c>
      <c r="H431" s="59">
        <f>H432</f>
        <v>1290</v>
      </c>
    </row>
    <row r="432" spans="1:8" ht="18" customHeight="1" x14ac:dyDescent="0.25">
      <c r="A432" s="29" t="s">
        <v>490</v>
      </c>
      <c r="B432" s="580" t="s">
        <v>1267</v>
      </c>
      <c r="C432" s="2">
        <v>11</v>
      </c>
      <c r="D432" s="68"/>
      <c r="E432" s="68"/>
      <c r="F432" s="68"/>
      <c r="G432" s="10">
        <f t="shared" ref="G432:H432" si="63">G433</f>
        <v>1290</v>
      </c>
      <c r="H432" s="10">
        <f t="shared" si="63"/>
        <v>1290</v>
      </c>
    </row>
    <row r="433" spans="1:8" ht="18" customHeight="1" x14ac:dyDescent="0.25">
      <c r="A433" s="29" t="s">
        <v>492</v>
      </c>
      <c r="B433" s="580" t="s">
        <v>1267</v>
      </c>
      <c r="C433" s="573" t="s">
        <v>491</v>
      </c>
      <c r="D433" s="573" t="s">
        <v>118</v>
      </c>
      <c r="E433" s="71"/>
      <c r="F433" s="5"/>
      <c r="G433" s="10">
        <f>G434+G438</f>
        <v>1290</v>
      </c>
      <c r="H433" s="10">
        <f>H434+H438</f>
        <v>1290</v>
      </c>
    </row>
    <row r="434" spans="1:8" ht="31.7" hidden="1" customHeight="1" x14ac:dyDescent="0.25">
      <c r="A434" s="29" t="s">
        <v>284</v>
      </c>
      <c r="B434" s="580" t="s">
        <v>1305</v>
      </c>
      <c r="C434" s="573" t="s">
        <v>491</v>
      </c>
      <c r="D434" s="573" t="s">
        <v>118</v>
      </c>
      <c r="E434" s="573"/>
      <c r="F434" s="5"/>
      <c r="G434" s="10">
        <f t="shared" ref="G434:H435" si="64">G435</f>
        <v>0</v>
      </c>
      <c r="H434" s="10">
        <f t="shared" si="64"/>
        <v>0</v>
      </c>
    </row>
    <row r="435" spans="1:8" ht="31.7" hidden="1" customHeight="1" x14ac:dyDescent="0.25">
      <c r="A435" s="29" t="s">
        <v>272</v>
      </c>
      <c r="B435" s="580" t="s">
        <v>1305</v>
      </c>
      <c r="C435" s="573" t="s">
        <v>491</v>
      </c>
      <c r="D435" s="573" t="s">
        <v>118</v>
      </c>
      <c r="E435" s="573" t="s">
        <v>273</v>
      </c>
      <c r="F435" s="5"/>
      <c r="G435" s="10">
        <f t="shared" si="64"/>
        <v>0</v>
      </c>
      <c r="H435" s="10">
        <f t="shared" si="64"/>
        <v>0</v>
      </c>
    </row>
    <row r="436" spans="1:8" ht="15.75" hidden="1" customHeight="1" x14ac:dyDescent="0.25">
      <c r="A436" s="29" t="s">
        <v>274</v>
      </c>
      <c r="B436" s="580" t="s">
        <v>1305</v>
      </c>
      <c r="C436" s="573" t="s">
        <v>491</v>
      </c>
      <c r="D436" s="573" t="s">
        <v>118</v>
      </c>
      <c r="E436" s="573" t="s">
        <v>275</v>
      </c>
      <c r="F436" s="5"/>
      <c r="G436" s="10">
        <f>'Пр.4 ведом.22'!G851</f>
        <v>0</v>
      </c>
      <c r="H436" s="10">
        <f>'Пр.4 ведом.22'!H851</f>
        <v>0</v>
      </c>
    </row>
    <row r="437" spans="1:8" ht="39.75" hidden="1" customHeight="1" x14ac:dyDescent="0.25">
      <c r="A437" s="45" t="s">
        <v>480</v>
      </c>
      <c r="B437" s="580" t="s">
        <v>1305</v>
      </c>
      <c r="C437" s="573" t="s">
        <v>491</v>
      </c>
      <c r="D437" s="573" t="s">
        <v>118</v>
      </c>
      <c r="E437" s="573" t="s">
        <v>275</v>
      </c>
      <c r="F437" s="5">
        <v>907</v>
      </c>
      <c r="G437" s="10">
        <f>G436</f>
        <v>0</v>
      </c>
      <c r="H437" s="10">
        <f>H436</f>
        <v>0</v>
      </c>
    </row>
    <row r="438" spans="1:8" ht="31.5" x14ac:dyDescent="0.25">
      <c r="A438" s="45" t="s">
        <v>764</v>
      </c>
      <c r="B438" s="580" t="s">
        <v>1268</v>
      </c>
      <c r="C438" s="573" t="s">
        <v>491</v>
      </c>
      <c r="D438" s="573" t="s">
        <v>118</v>
      </c>
      <c r="E438" s="573"/>
      <c r="F438" s="5"/>
      <c r="G438" s="10">
        <f t="shared" ref="G438:H439" si="65">G439</f>
        <v>1290</v>
      </c>
      <c r="H438" s="10">
        <f t="shared" si="65"/>
        <v>1290</v>
      </c>
    </row>
    <row r="439" spans="1:8" ht="31.5" x14ac:dyDescent="0.25">
      <c r="A439" s="31" t="s">
        <v>272</v>
      </c>
      <c r="B439" s="580" t="s">
        <v>1268</v>
      </c>
      <c r="C439" s="573" t="s">
        <v>491</v>
      </c>
      <c r="D439" s="573" t="s">
        <v>118</v>
      </c>
      <c r="E439" s="573" t="s">
        <v>273</v>
      </c>
      <c r="F439" s="5"/>
      <c r="G439" s="10">
        <f t="shared" si="65"/>
        <v>1290</v>
      </c>
      <c r="H439" s="10">
        <f t="shared" si="65"/>
        <v>1290</v>
      </c>
    </row>
    <row r="440" spans="1:8" ht="15.75" x14ac:dyDescent="0.25">
      <c r="A440" s="31" t="s">
        <v>274</v>
      </c>
      <c r="B440" s="580" t="s">
        <v>1268</v>
      </c>
      <c r="C440" s="573" t="s">
        <v>491</v>
      </c>
      <c r="D440" s="573" t="s">
        <v>118</v>
      </c>
      <c r="E440" s="573" t="s">
        <v>275</v>
      </c>
      <c r="F440" s="5"/>
      <c r="G440" s="10">
        <f>'Пр.4.1 ведом.23-24 '!G855</f>
        <v>1290</v>
      </c>
      <c r="H440" s="10">
        <f>'Пр.4.1 ведом.23-24 '!H855</f>
        <v>1290</v>
      </c>
    </row>
    <row r="441" spans="1:8" ht="31.5" x14ac:dyDescent="0.25">
      <c r="A441" s="45" t="s">
        <v>480</v>
      </c>
      <c r="B441" s="580" t="s">
        <v>1268</v>
      </c>
      <c r="C441" s="573" t="s">
        <v>491</v>
      </c>
      <c r="D441" s="573" t="s">
        <v>118</v>
      </c>
      <c r="E441" s="573" t="s">
        <v>275</v>
      </c>
      <c r="F441" s="5">
        <v>907</v>
      </c>
      <c r="G441" s="10">
        <f>G440</f>
        <v>1290</v>
      </c>
      <c r="H441" s="10">
        <f>H440</f>
        <v>1290</v>
      </c>
    </row>
    <row r="442" spans="1:8" ht="47.25" x14ac:dyDescent="0.25">
      <c r="A442" s="494" t="s">
        <v>900</v>
      </c>
      <c r="B442" s="495" t="s">
        <v>1269</v>
      </c>
      <c r="C442" s="7"/>
      <c r="D442" s="7"/>
      <c r="E442" s="7"/>
      <c r="F442" s="194"/>
      <c r="G442" s="59">
        <f>G443</f>
        <v>883.9</v>
      </c>
      <c r="H442" s="59">
        <f>H443</f>
        <v>883.9</v>
      </c>
    </row>
    <row r="443" spans="1:8" ht="15.75" x14ac:dyDescent="0.25">
      <c r="A443" s="29" t="s">
        <v>490</v>
      </c>
      <c r="B443" s="580" t="s">
        <v>1269</v>
      </c>
      <c r="C443" s="2">
        <v>11</v>
      </c>
      <c r="D443" s="68"/>
      <c r="E443" s="68"/>
      <c r="F443" s="68"/>
      <c r="G443" s="10">
        <f t="shared" ref="G443:H443" si="66">G444</f>
        <v>883.9</v>
      </c>
      <c r="H443" s="10">
        <f t="shared" si="66"/>
        <v>883.9</v>
      </c>
    </row>
    <row r="444" spans="1:8" ht="16.5" x14ac:dyDescent="0.25">
      <c r="A444" s="29" t="s">
        <v>492</v>
      </c>
      <c r="B444" s="580" t="s">
        <v>1269</v>
      </c>
      <c r="C444" s="573" t="s">
        <v>491</v>
      </c>
      <c r="D444" s="573" t="s">
        <v>118</v>
      </c>
      <c r="E444" s="71"/>
      <c r="F444" s="5"/>
      <c r="G444" s="10">
        <f t="shared" ref="G444:H446" si="67">G445</f>
        <v>883.9</v>
      </c>
      <c r="H444" s="10">
        <f t="shared" si="67"/>
        <v>883.9</v>
      </c>
    </row>
    <row r="445" spans="1:8" ht="94.5" x14ac:dyDescent="0.25">
      <c r="A445" s="31" t="s">
        <v>464</v>
      </c>
      <c r="B445" s="580" t="s">
        <v>1402</v>
      </c>
      <c r="C445" s="573" t="s">
        <v>491</v>
      </c>
      <c r="D445" s="573" t="s">
        <v>118</v>
      </c>
      <c r="E445" s="573"/>
      <c r="F445" s="5"/>
      <c r="G445" s="10">
        <f t="shared" si="67"/>
        <v>883.9</v>
      </c>
      <c r="H445" s="10">
        <f t="shared" si="67"/>
        <v>883.9</v>
      </c>
    </row>
    <row r="446" spans="1:8" ht="31.5" x14ac:dyDescent="0.25">
      <c r="A446" s="579" t="s">
        <v>272</v>
      </c>
      <c r="B446" s="580" t="s">
        <v>1402</v>
      </c>
      <c r="C446" s="573" t="s">
        <v>491</v>
      </c>
      <c r="D446" s="573" t="s">
        <v>118</v>
      </c>
      <c r="E446" s="573" t="s">
        <v>273</v>
      </c>
      <c r="F446" s="5"/>
      <c r="G446" s="10">
        <f t="shared" si="67"/>
        <v>883.9</v>
      </c>
      <c r="H446" s="10">
        <f t="shared" si="67"/>
        <v>883.9</v>
      </c>
    </row>
    <row r="447" spans="1:8" ht="15.75" x14ac:dyDescent="0.25">
      <c r="A447" s="579" t="s">
        <v>274</v>
      </c>
      <c r="B447" s="580" t="s">
        <v>1402</v>
      </c>
      <c r="C447" s="573" t="s">
        <v>491</v>
      </c>
      <c r="D447" s="573" t="s">
        <v>118</v>
      </c>
      <c r="E447" s="573" t="s">
        <v>275</v>
      </c>
      <c r="F447" s="5"/>
      <c r="G447" s="10">
        <f>'Пр.4.1 ведом.23-24 '!G859</f>
        <v>883.9</v>
      </c>
      <c r="H447" s="10">
        <f>'Пр.4.1 ведом.23-24 '!H859</f>
        <v>883.9</v>
      </c>
    </row>
    <row r="448" spans="1:8" ht="31.5" x14ac:dyDescent="0.25">
      <c r="A448" s="45" t="s">
        <v>480</v>
      </c>
      <c r="B448" s="580" t="s">
        <v>1402</v>
      </c>
      <c r="C448" s="573" t="s">
        <v>491</v>
      </c>
      <c r="D448" s="573" t="s">
        <v>118</v>
      </c>
      <c r="E448" s="573" t="s">
        <v>275</v>
      </c>
      <c r="F448" s="5">
        <v>907</v>
      </c>
      <c r="G448" s="10">
        <f>G447</f>
        <v>883.9</v>
      </c>
      <c r="H448" s="10">
        <f>H447</f>
        <v>883.9</v>
      </c>
    </row>
    <row r="449" spans="1:8" ht="31.5" x14ac:dyDescent="0.25">
      <c r="A449" s="58" t="s">
        <v>951</v>
      </c>
      <c r="B449" s="7" t="s">
        <v>1271</v>
      </c>
      <c r="C449" s="7"/>
      <c r="D449" s="7"/>
      <c r="E449" s="7"/>
      <c r="F449" s="194"/>
      <c r="G449" s="488">
        <f t="shared" ref="G449:H451" si="68">G450</f>
        <v>2700</v>
      </c>
      <c r="H449" s="488">
        <f t="shared" si="68"/>
        <v>2700</v>
      </c>
    </row>
    <row r="450" spans="1:8" ht="15.75" x14ac:dyDescent="0.25">
      <c r="A450" s="29" t="s">
        <v>490</v>
      </c>
      <c r="B450" s="573" t="s">
        <v>1271</v>
      </c>
      <c r="C450" s="573" t="s">
        <v>491</v>
      </c>
      <c r="D450" s="573"/>
      <c r="E450" s="573"/>
      <c r="F450" s="5"/>
      <c r="G450" s="489">
        <f t="shared" si="68"/>
        <v>2700</v>
      </c>
      <c r="H450" s="489">
        <f t="shared" si="68"/>
        <v>2700</v>
      </c>
    </row>
    <row r="451" spans="1:8" ht="31.5" x14ac:dyDescent="0.25">
      <c r="A451" s="579" t="s">
        <v>500</v>
      </c>
      <c r="B451" s="573" t="s">
        <v>1271</v>
      </c>
      <c r="C451" s="573" t="s">
        <v>491</v>
      </c>
      <c r="D451" s="573" t="s">
        <v>234</v>
      </c>
      <c r="E451" s="573"/>
      <c r="F451" s="5"/>
      <c r="G451" s="489">
        <f t="shared" si="68"/>
        <v>2700</v>
      </c>
      <c r="H451" s="489">
        <f t="shared" si="68"/>
        <v>2700</v>
      </c>
    </row>
    <row r="452" spans="1:8" ht="15.75" x14ac:dyDescent="0.25">
      <c r="A452" s="29" t="s">
        <v>952</v>
      </c>
      <c r="B452" s="573" t="s">
        <v>1272</v>
      </c>
      <c r="C452" s="573" t="s">
        <v>491</v>
      </c>
      <c r="D452" s="573" t="s">
        <v>234</v>
      </c>
      <c r="E452" s="573"/>
      <c r="F452" s="5"/>
      <c r="G452" s="489">
        <f>G453+G456</f>
        <v>2700</v>
      </c>
      <c r="H452" s="489">
        <f>H453+H456</f>
        <v>2700</v>
      </c>
    </row>
    <row r="453" spans="1:8" ht="78.75" x14ac:dyDescent="0.25">
      <c r="A453" s="579" t="s">
        <v>127</v>
      </c>
      <c r="B453" s="573" t="s">
        <v>1272</v>
      </c>
      <c r="C453" s="573" t="s">
        <v>491</v>
      </c>
      <c r="D453" s="573" t="s">
        <v>234</v>
      </c>
      <c r="E453" s="573" t="s">
        <v>128</v>
      </c>
      <c r="F453" s="5"/>
      <c r="G453" s="489">
        <f t="shared" ref="G453:H453" si="69">G454</f>
        <v>2286</v>
      </c>
      <c r="H453" s="489">
        <f t="shared" si="69"/>
        <v>2286</v>
      </c>
    </row>
    <row r="454" spans="1:8" ht="24" customHeight="1" x14ac:dyDescent="0.25">
      <c r="A454" s="579" t="s">
        <v>342</v>
      </c>
      <c r="B454" s="573" t="s">
        <v>1272</v>
      </c>
      <c r="C454" s="573" t="s">
        <v>491</v>
      </c>
      <c r="D454" s="573" t="s">
        <v>234</v>
      </c>
      <c r="E454" s="573" t="s">
        <v>209</v>
      </c>
      <c r="F454" s="5"/>
      <c r="G454" s="489">
        <f>'Пр.4.1 ведом.23-24 '!G909</f>
        <v>2286</v>
      </c>
      <c r="H454" s="489">
        <f>'Пр.4.1 ведом.23-24 '!H909</f>
        <v>2286</v>
      </c>
    </row>
    <row r="455" spans="1:8" ht="33" customHeight="1" x14ac:dyDescent="0.25">
      <c r="A455" s="45" t="s">
        <v>480</v>
      </c>
      <c r="B455" s="573" t="s">
        <v>1272</v>
      </c>
      <c r="C455" s="573" t="s">
        <v>491</v>
      </c>
      <c r="D455" s="573" t="s">
        <v>234</v>
      </c>
      <c r="E455" s="573" t="s">
        <v>209</v>
      </c>
      <c r="F455" s="5">
        <v>907</v>
      </c>
      <c r="G455" s="10">
        <f>G454</f>
        <v>2286</v>
      </c>
      <c r="H455" s="10">
        <f>H454</f>
        <v>2286</v>
      </c>
    </row>
    <row r="456" spans="1:8" ht="31.5" x14ac:dyDescent="0.25">
      <c r="A456" s="29" t="s">
        <v>131</v>
      </c>
      <c r="B456" s="573" t="s">
        <v>1272</v>
      </c>
      <c r="C456" s="573" t="s">
        <v>491</v>
      </c>
      <c r="D456" s="573" t="s">
        <v>234</v>
      </c>
      <c r="E456" s="573" t="s">
        <v>132</v>
      </c>
      <c r="F456" s="5"/>
      <c r="G456" s="489">
        <f t="shared" ref="G456:H456" si="70">G457</f>
        <v>414</v>
      </c>
      <c r="H456" s="489">
        <f t="shared" si="70"/>
        <v>414</v>
      </c>
    </row>
    <row r="457" spans="1:8" ht="31.5" x14ac:dyDescent="0.25">
      <c r="A457" s="29" t="s">
        <v>133</v>
      </c>
      <c r="B457" s="573" t="s">
        <v>1272</v>
      </c>
      <c r="C457" s="573" t="s">
        <v>491</v>
      </c>
      <c r="D457" s="573" t="s">
        <v>234</v>
      </c>
      <c r="E457" s="573" t="s">
        <v>134</v>
      </c>
      <c r="F457" s="5"/>
      <c r="G457" s="489">
        <f>'Пр.4.1 ведом.23-24 '!G911</f>
        <v>414</v>
      </c>
      <c r="H457" s="489">
        <f>'Пр.4.1 ведом.23-24 '!H911</f>
        <v>414</v>
      </c>
    </row>
    <row r="458" spans="1:8" ht="31.5" x14ac:dyDescent="0.25">
      <c r="A458" s="45" t="s">
        <v>480</v>
      </c>
      <c r="B458" s="573" t="s">
        <v>1272</v>
      </c>
      <c r="C458" s="573" t="s">
        <v>491</v>
      </c>
      <c r="D458" s="573" t="s">
        <v>234</v>
      </c>
      <c r="E458" s="573" t="s">
        <v>134</v>
      </c>
      <c r="F458" s="5">
        <v>907</v>
      </c>
      <c r="G458" s="10">
        <f>G457</f>
        <v>414</v>
      </c>
      <c r="H458" s="10">
        <f>H457</f>
        <v>414</v>
      </c>
    </row>
    <row r="459" spans="1:8" ht="47.25" hidden="1" x14ac:dyDescent="0.25">
      <c r="A459" s="494" t="s">
        <v>1668</v>
      </c>
      <c r="B459" s="495" t="s">
        <v>1666</v>
      </c>
      <c r="C459" s="573"/>
      <c r="D459" s="573"/>
      <c r="E459" s="573"/>
      <c r="F459" s="5"/>
      <c r="G459" s="59">
        <f t="shared" ref="G459:H463" si="71">G460</f>
        <v>0</v>
      </c>
      <c r="H459" s="59">
        <f t="shared" si="71"/>
        <v>0</v>
      </c>
    </row>
    <row r="460" spans="1:8" ht="15.75" hidden="1" x14ac:dyDescent="0.25">
      <c r="A460" s="29" t="s">
        <v>490</v>
      </c>
      <c r="B460" s="580" t="s">
        <v>1667</v>
      </c>
      <c r="C460" s="573" t="s">
        <v>491</v>
      </c>
      <c r="D460" s="573"/>
      <c r="E460" s="573"/>
      <c r="F460" s="5"/>
      <c r="G460" s="10">
        <f t="shared" si="71"/>
        <v>0</v>
      </c>
      <c r="H460" s="10">
        <f t="shared" si="71"/>
        <v>0</v>
      </c>
    </row>
    <row r="461" spans="1:8" ht="15.75" hidden="1" x14ac:dyDescent="0.25">
      <c r="A461" s="29" t="s">
        <v>492</v>
      </c>
      <c r="B461" s="580" t="s">
        <v>1667</v>
      </c>
      <c r="C461" s="573" t="s">
        <v>491</v>
      </c>
      <c r="D461" s="573" t="s">
        <v>118</v>
      </c>
      <c r="E461" s="573"/>
      <c r="F461" s="5"/>
      <c r="G461" s="10">
        <f t="shared" si="71"/>
        <v>0</v>
      </c>
      <c r="H461" s="10">
        <f t="shared" si="71"/>
        <v>0</v>
      </c>
    </row>
    <row r="462" spans="1:8" ht="47.25" hidden="1" x14ac:dyDescent="0.25">
      <c r="A462" s="31" t="s">
        <v>1669</v>
      </c>
      <c r="B462" s="580" t="s">
        <v>1667</v>
      </c>
      <c r="C462" s="573" t="s">
        <v>491</v>
      </c>
      <c r="D462" s="573" t="s">
        <v>118</v>
      </c>
      <c r="E462" s="573"/>
      <c r="F462" s="5"/>
      <c r="G462" s="10">
        <f t="shared" si="71"/>
        <v>0</v>
      </c>
      <c r="H462" s="10">
        <f t="shared" si="71"/>
        <v>0</v>
      </c>
    </row>
    <row r="463" spans="1:8" ht="31.5" hidden="1" x14ac:dyDescent="0.25">
      <c r="A463" s="579" t="s">
        <v>272</v>
      </c>
      <c r="B463" s="580" t="s">
        <v>1667</v>
      </c>
      <c r="C463" s="573" t="s">
        <v>491</v>
      </c>
      <c r="D463" s="573" t="s">
        <v>118</v>
      </c>
      <c r="E463" s="573" t="s">
        <v>273</v>
      </c>
      <c r="F463" s="5"/>
      <c r="G463" s="10">
        <f t="shared" si="71"/>
        <v>0</v>
      </c>
      <c r="H463" s="10">
        <f t="shared" si="71"/>
        <v>0</v>
      </c>
    </row>
    <row r="464" spans="1:8" ht="15.75" hidden="1" x14ac:dyDescent="0.25">
      <c r="A464" s="579" t="s">
        <v>274</v>
      </c>
      <c r="B464" s="580" t="s">
        <v>1667</v>
      </c>
      <c r="C464" s="573" t="s">
        <v>491</v>
      </c>
      <c r="D464" s="573" t="s">
        <v>118</v>
      </c>
      <c r="E464" s="573" t="s">
        <v>275</v>
      </c>
      <c r="F464" s="5"/>
      <c r="G464" s="10">
        <v>0</v>
      </c>
      <c r="H464" s="10">
        <f>'Пр.4 ведом.22'!H861</f>
        <v>0</v>
      </c>
    </row>
    <row r="465" spans="1:11" ht="31.5" hidden="1" x14ac:dyDescent="0.25">
      <c r="A465" s="45" t="s">
        <v>480</v>
      </c>
      <c r="B465" s="580" t="s">
        <v>1667</v>
      </c>
      <c r="C465" s="573" t="s">
        <v>491</v>
      </c>
      <c r="D465" s="573" t="s">
        <v>118</v>
      </c>
      <c r="E465" s="573" t="s">
        <v>275</v>
      </c>
      <c r="F465" s="5">
        <v>907</v>
      </c>
      <c r="G465" s="10">
        <f>G464</f>
        <v>0</v>
      </c>
      <c r="H465" s="10">
        <f>H464</f>
        <v>0</v>
      </c>
    </row>
    <row r="466" spans="1:11" ht="63" hidden="1" x14ac:dyDescent="0.25">
      <c r="A466" s="494" t="s">
        <v>1331</v>
      </c>
      <c r="B466" s="495" t="s">
        <v>1270</v>
      </c>
      <c r="C466" s="7"/>
      <c r="D466" s="7"/>
      <c r="E466" s="7"/>
      <c r="F466" s="194"/>
      <c r="G466" s="59">
        <f t="shared" ref="G466:H470" si="72">G467</f>
        <v>0</v>
      </c>
      <c r="H466" s="59">
        <f t="shared" si="72"/>
        <v>0</v>
      </c>
    </row>
    <row r="467" spans="1:11" ht="15.75" hidden="1" x14ac:dyDescent="0.25">
      <c r="A467" s="29" t="s">
        <v>490</v>
      </c>
      <c r="B467" s="580" t="s">
        <v>1270</v>
      </c>
      <c r="C467" s="573" t="s">
        <v>491</v>
      </c>
      <c r="D467" s="573"/>
      <c r="E467" s="573"/>
      <c r="F467" s="5"/>
      <c r="G467" s="10">
        <f t="shared" si="72"/>
        <v>0</v>
      </c>
      <c r="H467" s="10">
        <f t="shared" si="72"/>
        <v>0</v>
      </c>
    </row>
    <row r="468" spans="1:11" ht="15.75" hidden="1" x14ac:dyDescent="0.25">
      <c r="A468" s="29" t="s">
        <v>492</v>
      </c>
      <c r="B468" s="580" t="s">
        <v>1270</v>
      </c>
      <c r="C468" s="573" t="s">
        <v>491</v>
      </c>
      <c r="D468" s="573" t="s">
        <v>118</v>
      </c>
      <c r="E468" s="573"/>
      <c r="F468" s="5"/>
      <c r="G468" s="10">
        <f t="shared" si="72"/>
        <v>0</v>
      </c>
      <c r="H468" s="10">
        <f t="shared" si="72"/>
        <v>0</v>
      </c>
    </row>
    <row r="469" spans="1:11" ht="47.25" hidden="1" x14ac:dyDescent="0.25">
      <c r="A469" s="579" t="s">
        <v>1193</v>
      </c>
      <c r="B469" s="580" t="s">
        <v>1325</v>
      </c>
      <c r="C469" s="573" t="s">
        <v>491</v>
      </c>
      <c r="D469" s="573" t="s">
        <v>118</v>
      </c>
      <c r="E469" s="573"/>
      <c r="F469" s="5"/>
      <c r="G469" s="10">
        <f t="shared" si="72"/>
        <v>0</v>
      </c>
      <c r="H469" s="10">
        <f t="shared" si="72"/>
        <v>0</v>
      </c>
    </row>
    <row r="470" spans="1:11" ht="31.5" hidden="1" x14ac:dyDescent="0.25">
      <c r="A470" s="579" t="s">
        <v>272</v>
      </c>
      <c r="B470" s="580" t="s">
        <v>1325</v>
      </c>
      <c r="C470" s="573" t="s">
        <v>491</v>
      </c>
      <c r="D470" s="573" t="s">
        <v>118</v>
      </c>
      <c r="E470" s="573" t="s">
        <v>273</v>
      </c>
      <c r="F470" s="5"/>
      <c r="G470" s="10">
        <f t="shared" si="72"/>
        <v>0</v>
      </c>
      <c r="H470" s="10">
        <f t="shared" si="72"/>
        <v>0</v>
      </c>
    </row>
    <row r="471" spans="1:11" ht="15.75" hidden="1" x14ac:dyDescent="0.25">
      <c r="A471" s="579" t="s">
        <v>274</v>
      </c>
      <c r="B471" s="580" t="s">
        <v>1325</v>
      </c>
      <c r="C471" s="573" t="s">
        <v>491</v>
      </c>
      <c r="D471" s="573" t="s">
        <v>118</v>
      </c>
      <c r="E471" s="573" t="s">
        <v>275</v>
      </c>
      <c r="F471" s="5"/>
      <c r="G471" s="10">
        <f>'Пр.4 ведом.22'!G870</f>
        <v>0</v>
      </c>
      <c r="H471" s="10">
        <f>'Пр.4 ведом.22'!H870</f>
        <v>0</v>
      </c>
    </row>
    <row r="472" spans="1:11" ht="31.5" hidden="1" x14ac:dyDescent="0.25">
      <c r="A472" s="45" t="s">
        <v>480</v>
      </c>
      <c r="B472" s="580" t="s">
        <v>1325</v>
      </c>
      <c r="C472" s="573" t="s">
        <v>491</v>
      </c>
      <c r="D472" s="573" t="s">
        <v>118</v>
      </c>
      <c r="E472" s="573" t="s">
        <v>275</v>
      </c>
      <c r="F472" s="5">
        <v>907</v>
      </c>
      <c r="G472" s="10">
        <f>G466</f>
        <v>0</v>
      </c>
      <c r="H472" s="10">
        <f>H466</f>
        <v>0</v>
      </c>
    </row>
    <row r="473" spans="1:11" ht="31.5" hidden="1" x14ac:dyDescent="0.25">
      <c r="A473" s="572" t="s">
        <v>1739</v>
      </c>
      <c r="B473" s="495" t="s">
        <v>1740</v>
      </c>
      <c r="C473" s="573"/>
      <c r="D473" s="573"/>
      <c r="E473" s="573"/>
      <c r="F473" s="5"/>
      <c r="G473" s="59">
        <f t="shared" ref="G473:H477" si="73">G474</f>
        <v>0</v>
      </c>
      <c r="H473" s="59">
        <f t="shared" si="73"/>
        <v>0</v>
      </c>
    </row>
    <row r="474" spans="1:11" ht="15.75" hidden="1" x14ac:dyDescent="0.25">
      <c r="A474" s="29" t="s">
        <v>490</v>
      </c>
      <c r="B474" s="580" t="s">
        <v>1741</v>
      </c>
      <c r="C474" s="573" t="s">
        <v>491</v>
      </c>
      <c r="D474" s="573"/>
      <c r="E474" s="573"/>
      <c r="F474" s="5"/>
      <c r="G474" s="10">
        <f t="shared" si="73"/>
        <v>0</v>
      </c>
      <c r="H474" s="10">
        <f t="shared" si="73"/>
        <v>0</v>
      </c>
    </row>
    <row r="475" spans="1:11" ht="15.75" hidden="1" x14ac:dyDescent="0.25">
      <c r="A475" s="29" t="s">
        <v>492</v>
      </c>
      <c r="B475" s="580" t="s">
        <v>1741</v>
      </c>
      <c r="C475" s="573" t="s">
        <v>491</v>
      </c>
      <c r="D475" s="573" t="s">
        <v>118</v>
      </c>
      <c r="E475" s="573"/>
      <c r="F475" s="5"/>
      <c r="G475" s="10">
        <f t="shared" si="73"/>
        <v>0</v>
      </c>
      <c r="H475" s="10">
        <f t="shared" si="73"/>
        <v>0</v>
      </c>
    </row>
    <row r="476" spans="1:11" ht="31.5" hidden="1" x14ac:dyDescent="0.25">
      <c r="A476" s="29" t="s">
        <v>1742</v>
      </c>
      <c r="B476" s="580" t="s">
        <v>1741</v>
      </c>
      <c r="C476" s="573" t="s">
        <v>491</v>
      </c>
      <c r="D476" s="573" t="s">
        <v>118</v>
      </c>
      <c r="E476" s="573"/>
      <c r="F476" s="5"/>
      <c r="G476" s="10">
        <f t="shared" si="73"/>
        <v>0</v>
      </c>
      <c r="H476" s="10">
        <f t="shared" si="73"/>
        <v>0</v>
      </c>
    </row>
    <row r="477" spans="1:11" ht="31.5" hidden="1" x14ac:dyDescent="0.25">
      <c r="A477" s="579" t="s">
        <v>272</v>
      </c>
      <c r="B477" s="580" t="s">
        <v>1741</v>
      </c>
      <c r="C477" s="573" t="s">
        <v>491</v>
      </c>
      <c r="D477" s="573" t="s">
        <v>118</v>
      </c>
      <c r="E477" s="573" t="s">
        <v>273</v>
      </c>
      <c r="F477" s="5"/>
      <c r="G477" s="10">
        <f t="shared" si="73"/>
        <v>0</v>
      </c>
      <c r="H477" s="10">
        <f t="shared" si="73"/>
        <v>0</v>
      </c>
    </row>
    <row r="478" spans="1:11" ht="15.75" hidden="1" x14ac:dyDescent="0.25">
      <c r="A478" s="579" t="s">
        <v>274</v>
      </c>
      <c r="B478" s="580" t="s">
        <v>1741</v>
      </c>
      <c r="C478" s="573" t="s">
        <v>491</v>
      </c>
      <c r="D478" s="573" t="s">
        <v>118</v>
      </c>
      <c r="E478" s="573" t="s">
        <v>275</v>
      </c>
      <c r="F478" s="5"/>
      <c r="G478" s="10">
        <v>0</v>
      </c>
      <c r="H478" s="10">
        <v>0</v>
      </c>
    </row>
    <row r="479" spans="1:11" ht="31.5" hidden="1" x14ac:dyDescent="0.25">
      <c r="A479" s="45" t="s">
        <v>480</v>
      </c>
      <c r="B479" s="580"/>
      <c r="C479" s="573" t="s">
        <v>491</v>
      </c>
      <c r="D479" s="573" t="s">
        <v>118</v>
      </c>
      <c r="E479" s="573" t="s">
        <v>275</v>
      </c>
      <c r="F479" s="5">
        <v>907</v>
      </c>
      <c r="G479" s="10">
        <f>G478</f>
        <v>0</v>
      </c>
      <c r="H479" s="10">
        <f>H478</f>
        <v>0</v>
      </c>
    </row>
    <row r="480" spans="1:11" ht="31.5" x14ac:dyDescent="0.25">
      <c r="A480" s="572" t="s">
        <v>1351</v>
      </c>
      <c r="B480" s="7" t="s">
        <v>267</v>
      </c>
      <c r="C480" s="72"/>
      <c r="D480" s="72"/>
      <c r="E480" s="72"/>
      <c r="F480" s="3"/>
      <c r="G480" s="59">
        <f>G481+G526+G549+G568+G589+G596+G607+G614</f>
        <v>86869.37</v>
      </c>
      <c r="H480" s="59">
        <f>H481+H526+H549+H568+H589+H596+H607+H614</f>
        <v>86869.37</v>
      </c>
      <c r="I480" s="225">
        <f>H480-G480</f>
        <v>0</v>
      </c>
      <c r="J480" s="576">
        <v>90406.34</v>
      </c>
      <c r="K480" s="232">
        <f>J480-G480</f>
        <v>3536.9700000000012</v>
      </c>
    </row>
    <row r="481" spans="1:11" ht="38.25" customHeight="1" x14ac:dyDescent="0.25">
      <c r="A481" s="494" t="s">
        <v>1299</v>
      </c>
      <c r="B481" s="495" t="s">
        <v>1203</v>
      </c>
      <c r="C481" s="7"/>
      <c r="D481" s="7"/>
      <c r="E481" s="7"/>
      <c r="F481" s="3"/>
      <c r="G481" s="59">
        <f>G498+G482+G514</f>
        <v>80959.47</v>
      </c>
      <c r="H481" s="59">
        <f>H498+H482+H514</f>
        <v>80959.47</v>
      </c>
    </row>
    <row r="482" spans="1:11" ht="18.75" customHeight="1" x14ac:dyDescent="0.25">
      <c r="A482" s="579" t="s">
        <v>263</v>
      </c>
      <c r="B482" s="580" t="s">
        <v>1203</v>
      </c>
      <c r="C482" s="573" t="s">
        <v>264</v>
      </c>
      <c r="D482" s="573"/>
      <c r="E482" s="573"/>
      <c r="F482" s="2"/>
      <c r="G482" s="10">
        <f>G483</f>
        <v>19489.759999999998</v>
      </c>
      <c r="H482" s="10">
        <f>H483</f>
        <v>19489.759999999998</v>
      </c>
      <c r="J482" s="22">
        <f>G482+G527+G550+G569</f>
        <v>21420.16</v>
      </c>
      <c r="K482" s="22">
        <v>16998.7</v>
      </c>
    </row>
    <row r="483" spans="1:11" ht="19.5" customHeight="1" x14ac:dyDescent="0.25">
      <c r="A483" s="579" t="s">
        <v>265</v>
      </c>
      <c r="B483" s="580" t="s">
        <v>1203</v>
      </c>
      <c r="C483" s="573" t="s">
        <v>264</v>
      </c>
      <c r="D483" s="573" t="s">
        <v>215</v>
      </c>
      <c r="E483" s="573"/>
      <c r="F483" s="2"/>
      <c r="G483" s="10">
        <f>G484+G494</f>
        <v>19489.759999999998</v>
      </c>
      <c r="H483" s="10">
        <f>H484+H494</f>
        <v>19489.759999999998</v>
      </c>
    </row>
    <row r="484" spans="1:11" ht="18" customHeight="1" x14ac:dyDescent="0.25">
      <c r="A484" s="579" t="s">
        <v>800</v>
      </c>
      <c r="B484" s="580" t="s">
        <v>1204</v>
      </c>
      <c r="C484" s="573" t="s">
        <v>264</v>
      </c>
      <c r="D484" s="573" t="s">
        <v>215</v>
      </c>
      <c r="E484" s="573"/>
      <c r="F484" s="2"/>
      <c r="G484" s="10">
        <f>G485+G488+G491</f>
        <v>19489.759999999998</v>
      </c>
      <c r="H484" s="10">
        <f>H485+H488+H491</f>
        <v>19489.759999999998</v>
      </c>
    </row>
    <row r="485" spans="1:11" ht="81" customHeight="1" x14ac:dyDescent="0.25">
      <c r="A485" s="579" t="s">
        <v>127</v>
      </c>
      <c r="B485" s="580" t="s">
        <v>1204</v>
      </c>
      <c r="C485" s="573" t="s">
        <v>264</v>
      </c>
      <c r="D485" s="573" t="s">
        <v>215</v>
      </c>
      <c r="E485" s="580" t="s">
        <v>128</v>
      </c>
      <c r="F485" s="2"/>
      <c r="G485" s="10">
        <f>G486</f>
        <v>17442.599999999999</v>
      </c>
      <c r="H485" s="10">
        <f>H486</f>
        <v>17442.599999999999</v>
      </c>
    </row>
    <row r="486" spans="1:11" ht="20.25" customHeight="1" x14ac:dyDescent="0.25">
      <c r="A486" s="46" t="s">
        <v>342</v>
      </c>
      <c r="B486" s="580" t="s">
        <v>1204</v>
      </c>
      <c r="C486" s="573" t="s">
        <v>264</v>
      </c>
      <c r="D486" s="573" t="s">
        <v>215</v>
      </c>
      <c r="E486" s="580" t="s">
        <v>209</v>
      </c>
      <c r="F486" s="2"/>
      <c r="G486" s="10">
        <f>'Пр.4.1 ведом.23-24 '!G304</f>
        <v>17442.599999999999</v>
      </c>
      <c r="H486" s="10">
        <f>'Пр.4.1 ведом.23-24 '!H304</f>
        <v>17442.599999999999</v>
      </c>
    </row>
    <row r="487" spans="1:11" ht="51.75" customHeight="1" x14ac:dyDescent="0.25">
      <c r="A487" s="45" t="s">
        <v>261</v>
      </c>
      <c r="B487" s="580" t="s">
        <v>1204</v>
      </c>
      <c r="C487" s="573" t="s">
        <v>264</v>
      </c>
      <c r="D487" s="573" t="s">
        <v>215</v>
      </c>
      <c r="E487" s="580" t="s">
        <v>209</v>
      </c>
      <c r="F487" s="2">
        <v>903</v>
      </c>
      <c r="G487" s="10">
        <f>G486</f>
        <v>17442.599999999999</v>
      </c>
      <c r="H487" s="10">
        <f>H486</f>
        <v>17442.599999999999</v>
      </c>
    </row>
    <row r="488" spans="1:11" ht="38.25" customHeight="1" x14ac:dyDescent="0.25">
      <c r="A488" s="579" t="s">
        <v>131</v>
      </c>
      <c r="B488" s="580" t="s">
        <v>1204</v>
      </c>
      <c r="C488" s="573" t="s">
        <v>264</v>
      </c>
      <c r="D488" s="573" t="s">
        <v>215</v>
      </c>
      <c r="E488" s="580" t="s">
        <v>132</v>
      </c>
      <c r="F488" s="2"/>
      <c r="G488" s="10">
        <f>G489</f>
        <v>1974.16</v>
      </c>
      <c r="H488" s="10">
        <f>H489</f>
        <v>1974.16</v>
      </c>
    </row>
    <row r="489" spans="1:11" ht="33.75" customHeight="1" x14ac:dyDescent="0.25">
      <c r="A489" s="579" t="s">
        <v>133</v>
      </c>
      <c r="B489" s="580" t="s">
        <v>1204</v>
      </c>
      <c r="C489" s="573" t="s">
        <v>264</v>
      </c>
      <c r="D489" s="573" t="s">
        <v>215</v>
      </c>
      <c r="E489" s="580" t="s">
        <v>134</v>
      </c>
      <c r="F489" s="2"/>
      <c r="G489" s="10">
        <f>'Пр.4.1 ведом.23-24 '!G306</f>
        <v>1974.16</v>
      </c>
      <c r="H489" s="10">
        <f>'Пр.4.1 ведом.23-24 '!H306</f>
        <v>1974.16</v>
      </c>
    </row>
    <row r="490" spans="1:11" ht="55.5" customHeight="1" x14ac:dyDescent="0.25">
      <c r="A490" s="45" t="s">
        <v>261</v>
      </c>
      <c r="B490" s="580" t="s">
        <v>1204</v>
      </c>
      <c r="C490" s="573" t="s">
        <v>264</v>
      </c>
      <c r="D490" s="573" t="s">
        <v>215</v>
      </c>
      <c r="E490" s="580" t="s">
        <v>134</v>
      </c>
      <c r="F490" s="2">
        <v>903</v>
      </c>
      <c r="G490" s="10">
        <f>G489</f>
        <v>1974.16</v>
      </c>
      <c r="H490" s="10">
        <f>H489</f>
        <v>1974.16</v>
      </c>
    </row>
    <row r="491" spans="1:11" ht="19.5" customHeight="1" x14ac:dyDescent="0.25">
      <c r="A491" s="579" t="s">
        <v>135</v>
      </c>
      <c r="B491" s="580" t="s">
        <v>1204</v>
      </c>
      <c r="C491" s="573" t="s">
        <v>264</v>
      </c>
      <c r="D491" s="573" t="s">
        <v>215</v>
      </c>
      <c r="E491" s="580" t="s">
        <v>145</v>
      </c>
      <c r="F491" s="2"/>
      <c r="G491" s="10">
        <f>G492</f>
        <v>73</v>
      </c>
      <c r="H491" s="10">
        <f>H492</f>
        <v>73</v>
      </c>
    </row>
    <row r="492" spans="1:11" ht="17.45" customHeight="1" x14ac:dyDescent="0.25">
      <c r="A492" s="579" t="s">
        <v>704</v>
      </c>
      <c r="B492" s="580" t="s">
        <v>1204</v>
      </c>
      <c r="C492" s="573" t="s">
        <v>264</v>
      </c>
      <c r="D492" s="573" t="s">
        <v>215</v>
      </c>
      <c r="E492" s="580" t="s">
        <v>138</v>
      </c>
      <c r="F492" s="2"/>
      <c r="G492" s="10">
        <f>'Пр.4.1 ведом.23-24 '!G308</f>
        <v>73</v>
      </c>
      <c r="H492" s="10">
        <f>'Пр.4.1 ведом.23-24 '!H308</f>
        <v>73</v>
      </c>
    </row>
    <row r="493" spans="1:11" ht="56.25" customHeight="1" x14ac:dyDescent="0.25">
      <c r="A493" s="45" t="s">
        <v>261</v>
      </c>
      <c r="B493" s="580" t="s">
        <v>1204</v>
      </c>
      <c r="C493" s="573" t="s">
        <v>264</v>
      </c>
      <c r="D493" s="573" t="s">
        <v>215</v>
      </c>
      <c r="E493" s="580" t="s">
        <v>138</v>
      </c>
      <c r="F493" s="2">
        <v>903</v>
      </c>
      <c r="G493" s="10">
        <f>G492</f>
        <v>73</v>
      </c>
      <c r="H493" s="10">
        <f>H492</f>
        <v>73</v>
      </c>
    </row>
    <row r="494" spans="1:11" ht="31.5" hidden="1" x14ac:dyDescent="0.25">
      <c r="A494" s="31" t="s">
        <v>1505</v>
      </c>
      <c r="B494" s="580" t="s">
        <v>1481</v>
      </c>
      <c r="C494" s="573" t="s">
        <v>264</v>
      </c>
      <c r="D494" s="573" t="s">
        <v>215</v>
      </c>
      <c r="E494" s="580"/>
      <c r="F494" s="2"/>
      <c r="G494" s="10">
        <f>G495</f>
        <v>0</v>
      </c>
      <c r="H494" s="10">
        <f>H495</f>
        <v>0</v>
      </c>
    </row>
    <row r="495" spans="1:11" ht="78.75" hidden="1" x14ac:dyDescent="0.25">
      <c r="A495" s="579" t="s">
        <v>127</v>
      </c>
      <c r="B495" s="580" t="s">
        <v>1481</v>
      </c>
      <c r="C495" s="573" t="s">
        <v>264</v>
      </c>
      <c r="D495" s="573" t="s">
        <v>215</v>
      </c>
      <c r="E495" s="580" t="s">
        <v>128</v>
      </c>
      <c r="F495" s="2"/>
      <c r="G495" s="10">
        <f>G496</f>
        <v>0</v>
      </c>
      <c r="H495" s="10">
        <f>H496</f>
        <v>0</v>
      </c>
    </row>
    <row r="496" spans="1:11" ht="15.75" hidden="1" x14ac:dyDescent="0.25">
      <c r="A496" s="579" t="s">
        <v>208</v>
      </c>
      <c r="B496" s="580" t="s">
        <v>1481</v>
      </c>
      <c r="C496" s="573" t="s">
        <v>264</v>
      </c>
      <c r="D496" s="573" t="s">
        <v>215</v>
      </c>
      <c r="E496" s="580" t="s">
        <v>209</v>
      </c>
      <c r="F496" s="2"/>
      <c r="G496" s="10">
        <f>'Пр.4 ведом.22'!G310</f>
        <v>0</v>
      </c>
      <c r="H496" s="10">
        <f>'Пр.4 ведом.22'!H310</f>
        <v>0</v>
      </c>
    </row>
    <row r="497" spans="1:11" ht="47.25" hidden="1" x14ac:dyDescent="0.25">
      <c r="A497" s="45" t="s">
        <v>261</v>
      </c>
      <c r="B497" s="580" t="s">
        <v>1481</v>
      </c>
      <c r="C497" s="573" t="s">
        <v>264</v>
      </c>
      <c r="D497" s="573" t="s">
        <v>215</v>
      </c>
      <c r="E497" s="580" t="s">
        <v>209</v>
      </c>
      <c r="F497" s="2">
        <v>903</v>
      </c>
      <c r="G497" s="10">
        <f>G494</f>
        <v>0</v>
      </c>
      <c r="H497" s="10">
        <f>H494</f>
        <v>0</v>
      </c>
    </row>
    <row r="498" spans="1:11" ht="15.75" x14ac:dyDescent="0.25">
      <c r="A498" s="73" t="s">
        <v>298</v>
      </c>
      <c r="B498" s="580" t="s">
        <v>1203</v>
      </c>
      <c r="C498" s="573" t="s">
        <v>299</v>
      </c>
      <c r="D498" s="73"/>
      <c r="E498" s="73"/>
      <c r="F498" s="2"/>
      <c r="G498" s="10">
        <f>G499</f>
        <v>55444.46</v>
      </c>
      <c r="H498" s="10">
        <f>H499</f>
        <v>55444.46</v>
      </c>
      <c r="J498" s="22" t="e">
        <f>G498+G540+G556+G579+G590+G597+G615+#REF!</f>
        <v>#REF!</v>
      </c>
      <c r="K498" s="576">
        <f>67542.4</f>
        <v>67542.399999999994</v>
      </c>
    </row>
    <row r="499" spans="1:11" ht="15.75" x14ac:dyDescent="0.25">
      <c r="A499" s="73" t="s">
        <v>300</v>
      </c>
      <c r="B499" s="580" t="s">
        <v>1203</v>
      </c>
      <c r="C499" s="573" t="s">
        <v>299</v>
      </c>
      <c r="D499" s="573" t="s">
        <v>118</v>
      </c>
      <c r="E499" s="73"/>
      <c r="F499" s="2"/>
      <c r="G499" s="10">
        <f>G500+G510</f>
        <v>55444.46</v>
      </c>
      <c r="H499" s="10">
        <f>H500+H510</f>
        <v>55444.46</v>
      </c>
    </row>
    <row r="500" spans="1:11" ht="15.75" x14ac:dyDescent="0.25">
      <c r="A500" s="579" t="s">
        <v>800</v>
      </c>
      <c r="B500" s="580" t="s">
        <v>1204</v>
      </c>
      <c r="C500" s="573" t="s">
        <v>299</v>
      </c>
      <c r="D500" s="573" t="s">
        <v>118</v>
      </c>
      <c r="E500" s="573"/>
      <c r="F500" s="2"/>
      <c r="G500" s="10">
        <f>G501+G504+G507</f>
        <v>55444.46</v>
      </c>
      <c r="H500" s="10">
        <f>H501+H504+H507</f>
        <v>55444.46</v>
      </c>
    </row>
    <row r="501" spans="1:11" ht="78.75" x14ac:dyDescent="0.25">
      <c r="A501" s="579" t="s">
        <v>127</v>
      </c>
      <c r="B501" s="580" t="s">
        <v>1204</v>
      </c>
      <c r="C501" s="573" t="s">
        <v>299</v>
      </c>
      <c r="D501" s="573" t="s">
        <v>118</v>
      </c>
      <c r="E501" s="573" t="s">
        <v>128</v>
      </c>
      <c r="F501" s="2"/>
      <c r="G501" s="10">
        <f>G502</f>
        <v>44809.1</v>
      </c>
      <c r="H501" s="10">
        <f>H502</f>
        <v>44809.1</v>
      </c>
    </row>
    <row r="502" spans="1:11" ht="15.75" x14ac:dyDescent="0.25">
      <c r="A502" s="579" t="s">
        <v>208</v>
      </c>
      <c r="B502" s="580" t="s">
        <v>1204</v>
      </c>
      <c r="C502" s="573" t="s">
        <v>299</v>
      </c>
      <c r="D502" s="573" t="s">
        <v>118</v>
      </c>
      <c r="E502" s="573" t="s">
        <v>209</v>
      </c>
      <c r="F502" s="2"/>
      <c r="G502" s="10">
        <f>'Пр.4.1 ведом.23-24 '!G373</f>
        <v>44809.1</v>
      </c>
      <c r="H502" s="10">
        <f>'Пр.4.1 ведом.23-24 '!H373</f>
        <v>44809.1</v>
      </c>
    </row>
    <row r="503" spans="1:11" ht="47.25" x14ac:dyDescent="0.25">
      <c r="A503" s="45" t="s">
        <v>261</v>
      </c>
      <c r="B503" s="580" t="s">
        <v>1204</v>
      </c>
      <c r="C503" s="573" t="s">
        <v>299</v>
      </c>
      <c r="D503" s="573" t="s">
        <v>118</v>
      </c>
      <c r="E503" s="573" t="s">
        <v>209</v>
      </c>
      <c r="F503" s="2">
        <v>903</v>
      </c>
      <c r="G503" s="10">
        <f>G502</f>
        <v>44809.1</v>
      </c>
      <c r="H503" s="10">
        <f>H502</f>
        <v>44809.1</v>
      </c>
    </row>
    <row r="504" spans="1:11" ht="31.5" x14ac:dyDescent="0.25">
      <c r="A504" s="579" t="s">
        <v>131</v>
      </c>
      <c r="B504" s="580" t="s">
        <v>1204</v>
      </c>
      <c r="C504" s="573" t="s">
        <v>299</v>
      </c>
      <c r="D504" s="573" t="s">
        <v>118</v>
      </c>
      <c r="E504" s="573" t="s">
        <v>132</v>
      </c>
      <c r="F504" s="2"/>
      <c r="G504" s="10">
        <f>G505</f>
        <v>10572.36</v>
      </c>
      <c r="H504" s="10">
        <f>H505</f>
        <v>10572.36</v>
      </c>
    </row>
    <row r="505" spans="1:11" ht="31.5" x14ac:dyDescent="0.25">
      <c r="A505" s="579" t="s">
        <v>133</v>
      </c>
      <c r="B505" s="580" t="s">
        <v>1204</v>
      </c>
      <c r="C505" s="573" t="s">
        <v>299</v>
      </c>
      <c r="D505" s="573" t="s">
        <v>118</v>
      </c>
      <c r="E505" s="573" t="s">
        <v>134</v>
      </c>
      <c r="F505" s="2"/>
      <c r="G505" s="10">
        <f>'Пр.4.1 ведом.23-24 '!G375</f>
        <v>10572.36</v>
      </c>
      <c r="H505" s="10">
        <f>'Пр.4.1 ведом.23-24 '!H375</f>
        <v>10572.36</v>
      </c>
    </row>
    <row r="506" spans="1:11" ht="47.25" x14ac:dyDescent="0.25">
      <c r="A506" s="45" t="s">
        <v>261</v>
      </c>
      <c r="B506" s="580" t="s">
        <v>1204</v>
      </c>
      <c r="C506" s="573" t="s">
        <v>299</v>
      </c>
      <c r="D506" s="573" t="s">
        <v>118</v>
      </c>
      <c r="E506" s="573" t="s">
        <v>134</v>
      </c>
      <c r="F506" s="2">
        <v>903</v>
      </c>
      <c r="G506" s="10">
        <f>G505</f>
        <v>10572.36</v>
      </c>
      <c r="H506" s="10">
        <f>H505</f>
        <v>10572.36</v>
      </c>
    </row>
    <row r="507" spans="1:11" ht="15.75" customHeight="1" x14ac:dyDescent="0.25">
      <c r="A507" s="579" t="s">
        <v>135</v>
      </c>
      <c r="B507" s="580" t="s">
        <v>1204</v>
      </c>
      <c r="C507" s="573" t="s">
        <v>299</v>
      </c>
      <c r="D507" s="573" t="s">
        <v>118</v>
      </c>
      <c r="E507" s="573" t="s">
        <v>145</v>
      </c>
      <c r="F507" s="2"/>
      <c r="G507" s="10">
        <f>G508</f>
        <v>63</v>
      </c>
      <c r="H507" s="10">
        <f>H508</f>
        <v>63</v>
      </c>
    </row>
    <row r="508" spans="1:11" ht="15.75" customHeight="1" x14ac:dyDescent="0.25">
      <c r="A508" s="579" t="s">
        <v>137</v>
      </c>
      <c r="B508" s="580" t="s">
        <v>1204</v>
      </c>
      <c r="C508" s="573" t="s">
        <v>299</v>
      </c>
      <c r="D508" s="573" t="s">
        <v>118</v>
      </c>
      <c r="E508" s="573" t="s">
        <v>138</v>
      </c>
      <c r="F508" s="2"/>
      <c r="G508" s="10">
        <f>'Пр.4.1 ведом.23-24 '!G377</f>
        <v>63</v>
      </c>
      <c r="H508" s="10">
        <f>'Пр.4.1 ведом.23-24 '!H377</f>
        <v>63</v>
      </c>
    </row>
    <row r="509" spans="1:11" ht="50.25" customHeight="1" x14ac:dyDescent="0.25">
      <c r="A509" s="45" t="s">
        <v>261</v>
      </c>
      <c r="B509" s="580" t="s">
        <v>1204</v>
      </c>
      <c r="C509" s="573" t="s">
        <v>299</v>
      </c>
      <c r="D509" s="573" t="s">
        <v>118</v>
      </c>
      <c r="E509" s="573" t="s">
        <v>138</v>
      </c>
      <c r="F509" s="2">
        <v>903</v>
      </c>
      <c r="G509" s="10">
        <f>G508</f>
        <v>63</v>
      </c>
      <c r="H509" s="10">
        <f>H508</f>
        <v>63</v>
      </c>
    </row>
    <row r="510" spans="1:11" ht="31.5" hidden="1" x14ac:dyDescent="0.25">
      <c r="A510" s="31" t="s">
        <v>1505</v>
      </c>
      <c r="B510" s="580" t="s">
        <v>1481</v>
      </c>
      <c r="C510" s="573" t="s">
        <v>299</v>
      </c>
      <c r="D510" s="573" t="s">
        <v>118</v>
      </c>
      <c r="E510" s="580"/>
      <c r="F510" s="2"/>
      <c r="G510" s="10">
        <f>G511</f>
        <v>0</v>
      </c>
      <c r="H510" s="10">
        <f>H511</f>
        <v>0</v>
      </c>
    </row>
    <row r="511" spans="1:11" ht="78.75" hidden="1" x14ac:dyDescent="0.25">
      <c r="A511" s="579" t="s">
        <v>127</v>
      </c>
      <c r="B511" s="580" t="s">
        <v>1481</v>
      </c>
      <c r="C511" s="573" t="s">
        <v>299</v>
      </c>
      <c r="D511" s="573" t="s">
        <v>118</v>
      </c>
      <c r="E511" s="580" t="s">
        <v>128</v>
      </c>
      <c r="F511" s="2"/>
      <c r="G511" s="10">
        <f>G512</f>
        <v>0</v>
      </c>
      <c r="H511" s="10">
        <f>H512</f>
        <v>0</v>
      </c>
    </row>
    <row r="512" spans="1:11" ht="15.75" hidden="1" x14ac:dyDescent="0.25">
      <c r="A512" s="579" t="s">
        <v>208</v>
      </c>
      <c r="B512" s="580" t="s">
        <v>1481</v>
      </c>
      <c r="C512" s="573" t="s">
        <v>299</v>
      </c>
      <c r="D512" s="573" t="s">
        <v>118</v>
      </c>
      <c r="E512" s="580" t="s">
        <v>209</v>
      </c>
      <c r="F512" s="2"/>
      <c r="G512" s="10">
        <f>'Пр.4 ведом.22'!G379</f>
        <v>0</v>
      </c>
      <c r="H512" s="10">
        <f>'Пр.4 ведом.22'!H379</f>
        <v>0</v>
      </c>
    </row>
    <row r="513" spans="1:8" ht="47.25" hidden="1" x14ac:dyDescent="0.25">
      <c r="A513" s="45" t="s">
        <v>261</v>
      </c>
      <c r="B513" s="580" t="s">
        <v>1481</v>
      </c>
      <c r="C513" s="573" t="s">
        <v>299</v>
      </c>
      <c r="D513" s="573" t="s">
        <v>118</v>
      </c>
      <c r="E513" s="580" t="s">
        <v>209</v>
      </c>
      <c r="F513" s="2">
        <v>903</v>
      </c>
      <c r="G513" s="10">
        <f>G510</f>
        <v>0</v>
      </c>
      <c r="H513" s="10">
        <f>H510</f>
        <v>0</v>
      </c>
    </row>
    <row r="514" spans="1:8" ht="19.5" customHeight="1" x14ac:dyDescent="0.25">
      <c r="A514" s="579" t="s">
        <v>582</v>
      </c>
      <c r="B514" s="580" t="s">
        <v>1203</v>
      </c>
      <c r="C514" s="573" t="s">
        <v>238</v>
      </c>
      <c r="D514" s="73"/>
      <c r="E514" s="73"/>
      <c r="F514" s="2"/>
      <c r="G514" s="10">
        <f>G515</f>
        <v>6025.25</v>
      </c>
      <c r="H514" s="10">
        <f>H515</f>
        <v>6025.25</v>
      </c>
    </row>
    <row r="515" spans="1:8" ht="23.25" customHeight="1" x14ac:dyDescent="0.25">
      <c r="A515" s="579" t="s">
        <v>583</v>
      </c>
      <c r="B515" s="580" t="s">
        <v>1203</v>
      </c>
      <c r="C515" s="573" t="s">
        <v>238</v>
      </c>
      <c r="D515" s="573" t="s">
        <v>213</v>
      </c>
      <c r="E515" s="73"/>
      <c r="F515" s="2"/>
      <c r="G515" s="10">
        <f>G516</f>
        <v>6025.25</v>
      </c>
      <c r="H515" s="10">
        <f>H516</f>
        <v>6025.25</v>
      </c>
    </row>
    <row r="516" spans="1:8" ht="20.25" customHeight="1" x14ac:dyDescent="0.25">
      <c r="A516" s="579" t="s">
        <v>800</v>
      </c>
      <c r="B516" s="580" t="s">
        <v>1204</v>
      </c>
      <c r="C516" s="573" t="s">
        <v>238</v>
      </c>
      <c r="D516" s="573" t="s">
        <v>213</v>
      </c>
      <c r="E516" s="573"/>
      <c r="F516" s="2"/>
      <c r="G516" s="10">
        <f>G517+G520+G523</f>
        <v>6025.25</v>
      </c>
      <c r="H516" s="10">
        <f>H517+H520+H523</f>
        <v>6025.25</v>
      </c>
    </row>
    <row r="517" spans="1:8" ht="79.5" customHeight="1" x14ac:dyDescent="0.25">
      <c r="A517" s="579" t="s">
        <v>127</v>
      </c>
      <c r="B517" s="580" t="s">
        <v>1204</v>
      </c>
      <c r="C517" s="573" t="s">
        <v>238</v>
      </c>
      <c r="D517" s="573" t="s">
        <v>213</v>
      </c>
      <c r="E517" s="573" t="s">
        <v>128</v>
      </c>
      <c r="F517" s="2"/>
      <c r="G517" s="10">
        <f>G518</f>
        <v>5124.5</v>
      </c>
      <c r="H517" s="10">
        <f>H518</f>
        <v>5124.5</v>
      </c>
    </row>
    <row r="518" spans="1:8" ht="20.25" customHeight="1" x14ac:dyDescent="0.25">
      <c r="A518" s="579" t="s">
        <v>208</v>
      </c>
      <c r="B518" s="580" t="s">
        <v>1204</v>
      </c>
      <c r="C518" s="573" t="s">
        <v>238</v>
      </c>
      <c r="D518" s="573" t="s">
        <v>213</v>
      </c>
      <c r="E518" s="573" t="s">
        <v>209</v>
      </c>
      <c r="F518" s="2"/>
      <c r="G518" s="10">
        <f>'Пр.4.1 ведом.23-24 '!G505</f>
        <v>5124.5</v>
      </c>
      <c r="H518" s="10">
        <f>'Пр.4.1 ведом.23-24 '!H505</f>
        <v>5124.5</v>
      </c>
    </row>
    <row r="519" spans="1:8" ht="50.25" customHeight="1" x14ac:dyDescent="0.25">
      <c r="A519" s="45" t="s">
        <v>261</v>
      </c>
      <c r="B519" s="580" t="s">
        <v>1204</v>
      </c>
      <c r="C519" s="573" t="s">
        <v>238</v>
      </c>
      <c r="D519" s="573" t="s">
        <v>213</v>
      </c>
      <c r="E519" s="573" t="s">
        <v>209</v>
      </c>
      <c r="F519" s="2">
        <v>903</v>
      </c>
      <c r="G519" s="10">
        <f>G518</f>
        <v>5124.5</v>
      </c>
      <c r="H519" s="10">
        <f>H518</f>
        <v>5124.5</v>
      </c>
    </row>
    <row r="520" spans="1:8" ht="42.75" customHeight="1" x14ac:dyDescent="0.25">
      <c r="A520" s="579" t="s">
        <v>131</v>
      </c>
      <c r="B520" s="580" t="s">
        <v>1204</v>
      </c>
      <c r="C520" s="573" t="s">
        <v>238</v>
      </c>
      <c r="D520" s="573" t="s">
        <v>213</v>
      </c>
      <c r="E520" s="573" t="s">
        <v>132</v>
      </c>
      <c r="F520" s="2"/>
      <c r="G520" s="10">
        <f>G521</f>
        <v>890.25</v>
      </c>
      <c r="H520" s="10">
        <f>H521</f>
        <v>890.25</v>
      </c>
    </row>
    <row r="521" spans="1:8" ht="36" customHeight="1" x14ac:dyDescent="0.25">
      <c r="A521" s="579" t="s">
        <v>133</v>
      </c>
      <c r="B521" s="580" t="s">
        <v>1204</v>
      </c>
      <c r="C521" s="573" t="s">
        <v>238</v>
      </c>
      <c r="D521" s="573" t="s">
        <v>213</v>
      </c>
      <c r="E521" s="573" t="s">
        <v>134</v>
      </c>
      <c r="F521" s="2"/>
      <c r="G521" s="10">
        <f>'Пр.4.1 ведом.23-24 '!G507</f>
        <v>890.25</v>
      </c>
      <c r="H521" s="10">
        <f>'Пр.4.1 ведом.23-24 '!H507</f>
        <v>890.25</v>
      </c>
    </row>
    <row r="522" spans="1:8" ht="50.25" customHeight="1" x14ac:dyDescent="0.25">
      <c r="A522" s="45" t="s">
        <v>261</v>
      </c>
      <c r="B522" s="580" t="s">
        <v>1204</v>
      </c>
      <c r="C522" s="573" t="s">
        <v>238</v>
      </c>
      <c r="D522" s="573" t="s">
        <v>213</v>
      </c>
      <c r="E522" s="573" t="s">
        <v>134</v>
      </c>
      <c r="F522" s="2">
        <v>903</v>
      </c>
      <c r="G522" s="10">
        <f>G521</f>
        <v>890.25</v>
      </c>
      <c r="H522" s="10">
        <f>H521</f>
        <v>890.25</v>
      </c>
    </row>
    <row r="523" spans="1:8" ht="19.5" customHeight="1" x14ac:dyDescent="0.25">
      <c r="A523" s="579" t="s">
        <v>135</v>
      </c>
      <c r="B523" s="580" t="s">
        <v>1204</v>
      </c>
      <c r="C523" s="573" t="s">
        <v>238</v>
      </c>
      <c r="D523" s="573" t="s">
        <v>213</v>
      </c>
      <c r="E523" s="573" t="s">
        <v>145</v>
      </c>
      <c r="F523" s="2"/>
      <c r="G523" s="10">
        <f>G524</f>
        <v>10.5</v>
      </c>
      <c r="H523" s="10">
        <f>H524</f>
        <v>10.5</v>
      </c>
    </row>
    <row r="524" spans="1:8" ht="23.25" customHeight="1" x14ac:dyDescent="0.25">
      <c r="A524" s="579" t="s">
        <v>137</v>
      </c>
      <c r="B524" s="580" t="s">
        <v>1204</v>
      </c>
      <c r="C524" s="573" t="s">
        <v>238</v>
      </c>
      <c r="D524" s="573" t="s">
        <v>213</v>
      </c>
      <c r="E524" s="573" t="s">
        <v>138</v>
      </c>
      <c r="F524" s="2"/>
      <c r="G524" s="10">
        <f>'Пр.4.1 ведом.23-24 '!G509</f>
        <v>10.5</v>
      </c>
      <c r="H524" s="10">
        <f>'Пр.4.1 ведом.23-24 '!H509</f>
        <v>10.5</v>
      </c>
    </row>
    <row r="525" spans="1:8" ht="50.25" customHeight="1" x14ac:dyDescent="0.25">
      <c r="A525" s="45" t="s">
        <v>261</v>
      </c>
      <c r="B525" s="580" t="s">
        <v>1204</v>
      </c>
      <c r="C525" s="573" t="s">
        <v>238</v>
      </c>
      <c r="D525" s="573" t="s">
        <v>213</v>
      </c>
      <c r="E525" s="573" t="s">
        <v>138</v>
      </c>
      <c r="F525" s="2">
        <v>903</v>
      </c>
      <c r="G525" s="10">
        <f>G524</f>
        <v>10.5</v>
      </c>
      <c r="H525" s="10">
        <f>H524</f>
        <v>10.5</v>
      </c>
    </row>
    <row r="526" spans="1:8" ht="31.7" customHeight="1" x14ac:dyDescent="0.25">
      <c r="A526" s="217" t="s">
        <v>1301</v>
      </c>
      <c r="B526" s="495" t="s">
        <v>1205</v>
      </c>
      <c r="C526" s="7"/>
      <c r="D526" s="7"/>
      <c r="E526" s="7"/>
      <c r="F526" s="3"/>
      <c r="G526" s="59">
        <f>G527+G540</f>
        <v>572</v>
      </c>
      <c r="H526" s="59">
        <f>H527+H540</f>
        <v>572</v>
      </c>
    </row>
    <row r="527" spans="1:8" ht="21.2" customHeight="1" x14ac:dyDescent="0.25">
      <c r="A527" s="579" t="s">
        <v>263</v>
      </c>
      <c r="B527" s="580" t="s">
        <v>1205</v>
      </c>
      <c r="C527" s="573" t="s">
        <v>264</v>
      </c>
      <c r="D527" s="573"/>
      <c r="E527" s="573"/>
      <c r="F527" s="2"/>
      <c r="G527" s="10">
        <f>G528</f>
        <v>292</v>
      </c>
      <c r="H527" s="10">
        <f>H528</f>
        <v>292</v>
      </c>
    </row>
    <row r="528" spans="1:8" ht="20.25" customHeight="1" x14ac:dyDescent="0.25">
      <c r="A528" s="579" t="s">
        <v>265</v>
      </c>
      <c r="B528" s="580" t="s">
        <v>1205</v>
      </c>
      <c r="C528" s="573" t="s">
        <v>264</v>
      </c>
      <c r="D528" s="573" t="s">
        <v>215</v>
      </c>
      <c r="E528" s="573"/>
      <c r="F528" s="2"/>
      <c r="G528" s="10">
        <f>G529</f>
        <v>292</v>
      </c>
      <c r="H528" s="10">
        <f>H529</f>
        <v>292</v>
      </c>
    </row>
    <row r="529" spans="1:8" ht="30.6" customHeight="1" x14ac:dyDescent="0.25">
      <c r="A529" s="195" t="s">
        <v>799</v>
      </c>
      <c r="B529" s="580" t="s">
        <v>1206</v>
      </c>
      <c r="C529" s="573" t="s">
        <v>264</v>
      </c>
      <c r="D529" s="573" t="s">
        <v>215</v>
      </c>
      <c r="E529" s="580"/>
      <c r="F529" s="2"/>
      <c r="G529" s="10">
        <f>G530+G533</f>
        <v>292</v>
      </c>
      <c r="H529" s="10">
        <f>H530+H533</f>
        <v>292</v>
      </c>
    </row>
    <row r="530" spans="1:8" ht="21.2" customHeight="1" x14ac:dyDescent="0.25">
      <c r="A530" s="579" t="s">
        <v>248</v>
      </c>
      <c r="B530" s="580" t="s">
        <v>1206</v>
      </c>
      <c r="C530" s="573" t="s">
        <v>264</v>
      </c>
      <c r="D530" s="573" t="s">
        <v>215</v>
      </c>
      <c r="E530" s="580" t="s">
        <v>249</v>
      </c>
      <c r="F530" s="2"/>
      <c r="G530" s="10">
        <f>G531</f>
        <v>42</v>
      </c>
      <c r="H530" s="10">
        <f>H531</f>
        <v>42</v>
      </c>
    </row>
    <row r="531" spans="1:8" ht="19.5" customHeight="1" x14ac:dyDescent="0.25">
      <c r="A531" s="579" t="s">
        <v>820</v>
      </c>
      <c r="B531" s="580" t="s">
        <v>1206</v>
      </c>
      <c r="C531" s="573" t="s">
        <v>264</v>
      </c>
      <c r="D531" s="573" t="s">
        <v>215</v>
      </c>
      <c r="E531" s="580" t="s">
        <v>819</v>
      </c>
      <c r="F531" s="2"/>
      <c r="G531" s="10">
        <f>'Пр.4.1 ведом.23-24 '!G315</f>
        <v>42</v>
      </c>
      <c r="H531" s="10">
        <f>'Пр.4.1 ведом.23-24 '!H315</f>
        <v>42</v>
      </c>
    </row>
    <row r="532" spans="1:8" ht="54" customHeight="1" x14ac:dyDescent="0.25">
      <c r="A532" s="45" t="s">
        <v>261</v>
      </c>
      <c r="B532" s="580" t="s">
        <v>1206</v>
      </c>
      <c r="C532" s="573" t="s">
        <v>264</v>
      </c>
      <c r="D532" s="573" t="s">
        <v>215</v>
      </c>
      <c r="E532" s="580" t="s">
        <v>819</v>
      </c>
      <c r="F532" s="2">
        <v>903</v>
      </c>
      <c r="G532" s="10">
        <f>G531</f>
        <v>42</v>
      </c>
      <c r="H532" s="10">
        <f>H531</f>
        <v>42</v>
      </c>
    </row>
    <row r="533" spans="1:8" ht="31.7" customHeight="1" x14ac:dyDescent="0.25">
      <c r="A533" s="31" t="s">
        <v>816</v>
      </c>
      <c r="B533" s="580" t="s">
        <v>1207</v>
      </c>
      <c r="C533" s="573" t="s">
        <v>264</v>
      </c>
      <c r="D533" s="573" t="s">
        <v>215</v>
      </c>
      <c r="E533" s="580"/>
      <c r="F533" s="2"/>
      <c r="G533" s="10">
        <f>G534+G537</f>
        <v>250</v>
      </c>
      <c r="H533" s="10">
        <f>H534+H537</f>
        <v>250</v>
      </c>
    </row>
    <row r="534" spans="1:8" ht="31.7" customHeight="1" x14ac:dyDescent="0.25">
      <c r="A534" s="579" t="s">
        <v>127</v>
      </c>
      <c r="B534" s="580" t="s">
        <v>1207</v>
      </c>
      <c r="C534" s="573" t="s">
        <v>264</v>
      </c>
      <c r="D534" s="573" t="s">
        <v>215</v>
      </c>
      <c r="E534" s="580" t="s">
        <v>128</v>
      </c>
      <c r="F534" s="2"/>
      <c r="G534" s="10">
        <f>G535</f>
        <v>250</v>
      </c>
      <c r="H534" s="10">
        <f>H535</f>
        <v>250</v>
      </c>
    </row>
    <row r="535" spans="1:8" ht="21.2" customHeight="1" x14ac:dyDescent="0.25">
      <c r="A535" s="46" t="s">
        <v>342</v>
      </c>
      <c r="B535" s="580" t="s">
        <v>1207</v>
      </c>
      <c r="C535" s="573" t="s">
        <v>264</v>
      </c>
      <c r="D535" s="573" t="s">
        <v>215</v>
      </c>
      <c r="E535" s="580" t="s">
        <v>209</v>
      </c>
      <c r="F535" s="2"/>
      <c r="G535" s="10">
        <f>'Пр.4.1 ведом.23-24 '!G318</f>
        <v>250</v>
      </c>
      <c r="H535" s="10">
        <f>'Пр.4.1 ведом.23-24 '!H318</f>
        <v>250</v>
      </c>
    </row>
    <row r="536" spans="1:8" ht="52.5" customHeight="1" x14ac:dyDescent="0.25">
      <c r="A536" s="45" t="s">
        <v>261</v>
      </c>
      <c r="B536" s="580" t="s">
        <v>1207</v>
      </c>
      <c r="C536" s="573" t="s">
        <v>264</v>
      </c>
      <c r="D536" s="573" t="s">
        <v>215</v>
      </c>
      <c r="E536" s="580" t="s">
        <v>209</v>
      </c>
      <c r="F536" s="2">
        <v>903</v>
      </c>
      <c r="G536" s="10">
        <f>G535</f>
        <v>250</v>
      </c>
      <c r="H536" s="10">
        <f>H535</f>
        <v>250</v>
      </c>
    </row>
    <row r="537" spans="1:8" ht="31.7" hidden="1" customHeight="1" x14ac:dyDescent="0.25">
      <c r="A537" s="579" t="s">
        <v>131</v>
      </c>
      <c r="B537" s="580" t="s">
        <v>1207</v>
      </c>
      <c r="C537" s="573" t="s">
        <v>264</v>
      </c>
      <c r="D537" s="573" t="s">
        <v>215</v>
      </c>
      <c r="E537" s="580" t="s">
        <v>132</v>
      </c>
      <c r="F537" s="2"/>
      <c r="G537" s="10">
        <f>G538</f>
        <v>0</v>
      </c>
      <c r="H537" s="10">
        <f>H538</f>
        <v>0</v>
      </c>
    </row>
    <row r="538" spans="1:8" ht="31.7" hidden="1" customHeight="1" x14ac:dyDescent="0.25">
      <c r="A538" s="579" t="s">
        <v>133</v>
      </c>
      <c r="B538" s="580" t="s">
        <v>1207</v>
      </c>
      <c r="C538" s="573" t="s">
        <v>264</v>
      </c>
      <c r="D538" s="573" t="s">
        <v>215</v>
      </c>
      <c r="E538" s="580" t="s">
        <v>134</v>
      </c>
      <c r="F538" s="2"/>
      <c r="G538" s="10">
        <f>'Пр.4 ведом.22'!G319</f>
        <v>0</v>
      </c>
      <c r="H538" s="10">
        <f>'Пр.4 ведом.22'!H319</f>
        <v>0</v>
      </c>
    </row>
    <row r="539" spans="1:8" ht="55.5" hidden="1" customHeight="1" x14ac:dyDescent="0.25">
      <c r="A539" s="45" t="s">
        <v>261</v>
      </c>
      <c r="B539" s="580" t="s">
        <v>1207</v>
      </c>
      <c r="C539" s="573" t="s">
        <v>264</v>
      </c>
      <c r="D539" s="573" t="s">
        <v>215</v>
      </c>
      <c r="E539" s="580" t="s">
        <v>134</v>
      </c>
      <c r="F539" s="2">
        <v>903</v>
      </c>
      <c r="G539" s="10">
        <f>G538</f>
        <v>0</v>
      </c>
      <c r="H539" s="10">
        <f>H538</f>
        <v>0</v>
      </c>
    </row>
    <row r="540" spans="1:8" ht="16.5" customHeight="1" x14ac:dyDescent="0.25">
      <c r="A540" s="73" t="s">
        <v>298</v>
      </c>
      <c r="B540" s="580" t="s">
        <v>1205</v>
      </c>
      <c r="C540" s="573" t="s">
        <v>299</v>
      </c>
      <c r="D540" s="73"/>
      <c r="E540" s="73"/>
      <c r="F540" s="2"/>
      <c r="G540" s="10">
        <f>G541</f>
        <v>280</v>
      </c>
      <c r="H540" s="10">
        <f>H541</f>
        <v>280</v>
      </c>
    </row>
    <row r="541" spans="1:8" ht="16.5" customHeight="1" x14ac:dyDescent="0.25">
      <c r="A541" s="73" t="s">
        <v>300</v>
      </c>
      <c r="B541" s="580" t="s">
        <v>1205</v>
      </c>
      <c r="C541" s="573" t="s">
        <v>299</v>
      </c>
      <c r="D541" s="573" t="s">
        <v>118</v>
      </c>
      <c r="E541" s="73"/>
      <c r="F541" s="2"/>
      <c r="G541" s="10">
        <f>G542+G546</f>
        <v>280</v>
      </c>
      <c r="H541" s="10">
        <f>H542+H546</f>
        <v>280</v>
      </c>
    </row>
    <row r="542" spans="1:8" ht="41.25" customHeight="1" x14ac:dyDescent="0.25">
      <c r="A542" s="31" t="s">
        <v>816</v>
      </c>
      <c r="B542" s="580" t="s">
        <v>1207</v>
      </c>
      <c r="C542" s="573" t="s">
        <v>299</v>
      </c>
      <c r="D542" s="573" t="s">
        <v>118</v>
      </c>
      <c r="E542" s="573"/>
      <c r="F542" s="2"/>
      <c r="G542" s="10">
        <f>G543</f>
        <v>280</v>
      </c>
      <c r="H542" s="10">
        <f>H543</f>
        <v>280</v>
      </c>
    </row>
    <row r="543" spans="1:8" ht="83.25" customHeight="1" x14ac:dyDescent="0.25">
      <c r="A543" s="579" t="s">
        <v>127</v>
      </c>
      <c r="B543" s="580" t="s">
        <v>1207</v>
      </c>
      <c r="C543" s="573" t="s">
        <v>299</v>
      </c>
      <c r="D543" s="573" t="s">
        <v>118</v>
      </c>
      <c r="E543" s="573" t="s">
        <v>128</v>
      </c>
      <c r="F543" s="2"/>
      <c r="G543" s="10">
        <f>G544</f>
        <v>280</v>
      </c>
      <c r="H543" s="10">
        <f>H544</f>
        <v>280</v>
      </c>
    </row>
    <row r="544" spans="1:8" ht="15.75" customHeight="1" x14ac:dyDescent="0.25">
      <c r="A544" s="579" t="s">
        <v>208</v>
      </c>
      <c r="B544" s="580" t="s">
        <v>1207</v>
      </c>
      <c r="C544" s="573" t="s">
        <v>299</v>
      </c>
      <c r="D544" s="573" t="s">
        <v>118</v>
      </c>
      <c r="E544" s="573" t="s">
        <v>209</v>
      </c>
      <c r="F544" s="2"/>
      <c r="G544" s="10">
        <f>'Пр.4.1 ведом.23-24 '!G384</f>
        <v>280</v>
      </c>
      <c r="H544" s="10">
        <f>'Пр.4.1 ведом.23-24 '!H384</f>
        <v>280</v>
      </c>
    </row>
    <row r="545" spans="1:8" ht="40.15" customHeight="1" x14ac:dyDescent="0.25">
      <c r="A545" s="45" t="s">
        <v>261</v>
      </c>
      <c r="B545" s="580" t="s">
        <v>1207</v>
      </c>
      <c r="C545" s="573" t="s">
        <v>299</v>
      </c>
      <c r="D545" s="573" t="s">
        <v>118</v>
      </c>
      <c r="E545" s="573" t="s">
        <v>209</v>
      </c>
      <c r="F545" s="2">
        <v>903</v>
      </c>
      <c r="G545" s="10">
        <f>G544</f>
        <v>280</v>
      </c>
      <c r="H545" s="10">
        <f>H544</f>
        <v>280</v>
      </c>
    </row>
    <row r="546" spans="1:8" ht="40.700000000000003" hidden="1" customHeight="1" x14ac:dyDescent="0.25">
      <c r="A546" s="579" t="s">
        <v>131</v>
      </c>
      <c r="B546" s="580" t="s">
        <v>1207</v>
      </c>
      <c r="C546" s="573" t="s">
        <v>299</v>
      </c>
      <c r="D546" s="573" t="s">
        <v>118</v>
      </c>
      <c r="E546" s="573" t="s">
        <v>132</v>
      </c>
      <c r="F546" s="2"/>
      <c r="G546" s="10">
        <f>G547</f>
        <v>0</v>
      </c>
      <c r="H546" s="10">
        <f>H547</f>
        <v>0</v>
      </c>
    </row>
    <row r="547" spans="1:8" ht="40.700000000000003" hidden="1" customHeight="1" x14ac:dyDescent="0.25">
      <c r="A547" s="579" t="s">
        <v>133</v>
      </c>
      <c r="B547" s="580" t="s">
        <v>1207</v>
      </c>
      <c r="C547" s="573" t="s">
        <v>299</v>
      </c>
      <c r="D547" s="573" t="s">
        <v>118</v>
      </c>
      <c r="E547" s="573" t="s">
        <v>134</v>
      </c>
      <c r="F547" s="2"/>
      <c r="G547" s="10">
        <f>'Пр.3 Рд,пр, ЦС,ВР 22'!F826</f>
        <v>0</v>
      </c>
      <c r="H547" s="10">
        <f>'Пр.3 Рд,пр, ЦС,ВР 22'!G826</f>
        <v>0</v>
      </c>
    </row>
    <row r="548" spans="1:8" ht="46.5" hidden="1" customHeight="1" x14ac:dyDescent="0.25">
      <c r="A548" s="45" t="s">
        <v>261</v>
      </c>
      <c r="B548" s="580" t="s">
        <v>1207</v>
      </c>
      <c r="C548" s="573" t="s">
        <v>299</v>
      </c>
      <c r="D548" s="573" t="s">
        <v>118</v>
      </c>
      <c r="E548" s="573" t="s">
        <v>134</v>
      </c>
      <c r="F548" s="2">
        <v>903</v>
      </c>
      <c r="G548" s="10">
        <f>G547</f>
        <v>0</v>
      </c>
      <c r="H548" s="10">
        <f>H547</f>
        <v>0</v>
      </c>
    </row>
    <row r="549" spans="1:8" ht="35.450000000000003" customHeight="1" x14ac:dyDescent="0.25">
      <c r="A549" s="494" t="s">
        <v>947</v>
      </c>
      <c r="B549" s="495" t="s">
        <v>1208</v>
      </c>
      <c r="C549" s="7"/>
      <c r="D549" s="7"/>
      <c r="E549" s="7"/>
      <c r="F549" s="3"/>
      <c r="G549" s="59">
        <f>G558+G551+G562</f>
        <v>1634</v>
      </c>
      <c r="H549" s="59">
        <f>H558+H551+H562</f>
        <v>1634</v>
      </c>
    </row>
    <row r="550" spans="1:8" ht="18" customHeight="1" x14ac:dyDescent="0.25">
      <c r="A550" s="579" t="s">
        <v>263</v>
      </c>
      <c r="B550" s="580" t="s">
        <v>1208</v>
      </c>
      <c r="C550" s="573" t="s">
        <v>264</v>
      </c>
      <c r="D550" s="573"/>
      <c r="E550" s="573"/>
      <c r="F550" s="2"/>
      <c r="G550" s="10">
        <f t="shared" ref="G550:H553" si="74">G551</f>
        <v>473</v>
      </c>
      <c r="H550" s="10">
        <f t="shared" si="74"/>
        <v>473</v>
      </c>
    </row>
    <row r="551" spans="1:8" ht="22.7" customHeight="1" x14ac:dyDescent="0.25">
      <c r="A551" s="579" t="s">
        <v>265</v>
      </c>
      <c r="B551" s="580" t="s">
        <v>1208</v>
      </c>
      <c r="C551" s="573" t="s">
        <v>264</v>
      </c>
      <c r="D551" s="573" t="s">
        <v>215</v>
      </c>
      <c r="E551" s="573"/>
      <c r="F551" s="2"/>
      <c r="G551" s="10">
        <f t="shared" si="74"/>
        <v>473</v>
      </c>
      <c r="H551" s="10">
        <f t="shared" si="74"/>
        <v>473</v>
      </c>
    </row>
    <row r="552" spans="1:8" ht="49.7" customHeight="1" x14ac:dyDescent="0.25">
      <c r="A552" s="579" t="s">
        <v>839</v>
      </c>
      <c r="B552" s="580" t="s">
        <v>1209</v>
      </c>
      <c r="C552" s="573" t="s">
        <v>264</v>
      </c>
      <c r="D552" s="573" t="s">
        <v>215</v>
      </c>
      <c r="E552" s="580"/>
      <c r="F552" s="2"/>
      <c r="G552" s="10">
        <f t="shared" si="74"/>
        <v>473</v>
      </c>
      <c r="H552" s="10">
        <f t="shared" si="74"/>
        <v>473</v>
      </c>
    </row>
    <row r="553" spans="1:8" ht="88.5" customHeight="1" x14ac:dyDescent="0.25">
      <c r="A553" s="579" t="s">
        <v>127</v>
      </c>
      <c r="B553" s="580" t="s">
        <v>1209</v>
      </c>
      <c r="C553" s="573" t="s">
        <v>264</v>
      </c>
      <c r="D553" s="573" t="s">
        <v>215</v>
      </c>
      <c r="E553" s="580" t="s">
        <v>128</v>
      </c>
      <c r="F553" s="2"/>
      <c r="G553" s="10">
        <f t="shared" si="74"/>
        <v>473</v>
      </c>
      <c r="H553" s="10">
        <f t="shared" si="74"/>
        <v>473</v>
      </c>
    </row>
    <row r="554" spans="1:8" ht="36.75" customHeight="1" x14ac:dyDescent="0.25">
      <c r="A554" s="579" t="s">
        <v>129</v>
      </c>
      <c r="B554" s="580" t="s">
        <v>1209</v>
      </c>
      <c r="C554" s="573" t="s">
        <v>264</v>
      </c>
      <c r="D554" s="573" t="s">
        <v>215</v>
      </c>
      <c r="E554" s="580" t="s">
        <v>209</v>
      </c>
      <c r="F554" s="2"/>
      <c r="G554" s="10">
        <f>'Пр.4.1 ведом.23-24 '!G324</f>
        <v>473</v>
      </c>
      <c r="H554" s="10">
        <f>'Пр.4.1 ведом.23-24 '!H324</f>
        <v>473</v>
      </c>
    </row>
    <row r="555" spans="1:8" ht="58.7" customHeight="1" x14ac:dyDescent="0.25">
      <c r="A555" s="45" t="s">
        <v>261</v>
      </c>
      <c r="B555" s="580" t="s">
        <v>1209</v>
      </c>
      <c r="C555" s="573" t="s">
        <v>264</v>
      </c>
      <c r="D555" s="573" t="s">
        <v>215</v>
      </c>
      <c r="E555" s="580" t="s">
        <v>209</v>
      </c>
      <c r="F555" s="2">
        <v>903</v>
      </c>
      <c r="G555" s="10">
        <f>G554</f>
        <v>473</v>
      </c>
      <c r="H555" s="10">
        <f>H554</f>
        <v>473</v>
      </c>
    </row>
    <row r="556" spans="1:8" ht="16.5" customHeight="1" x14ac:dyDescent="0.25">
      <c r="A556" s="73" t="s">
        <v>298</v>
      </c>
      <c r="B556" s="580" t="s">
        <v>1208</v>
      </c>
      <c r="C556" s="573" t="s">
        <v>299</v>
      </c>
      <c r="D556" s="73"/>
      <c r="E556" s="73"/>
      <c r="F556" s="2"/>
      <c r="G556" s="10">
        <f t="shared" ref="G556:H559" si="75">G557</f>
        <v>903</v>
      </c>
      <c r="H556" s="10">
        <f t="shared" si="75"/>
        <v>903</v>
      </c>
    </row>
    <row r="557" spans="1:8" ht="18.75" customHeight="1" x14ac:dyDescent="0.25">
      <c r="A557" s="73" t="s">
        <v>300</v>
      </c>
      <c r="B557" s="580" t="s">
        <v>1208</v>
      </c>
      <c r="C557" s="573" t="s">
        <v>299</v>
      </c>
      <c r="D557" s="573" t="s">
        <v>118</v>
      </c>
      <c r="E557" s="73"/>
      <c r="F557" s="2"/>
      <c r="G557" s="10">
        <f t="shared" si="75"/>
        <v>903</v>
      </c>
      <c r="H557" s="10">
        <f t="shared" si="75"/>
        <v>903</v>
      </c>
    </row>
    <row r="558" spans="1:8" ht="43.5" customHeight="1" x14ac:dyDescent="0.25">
      <c r="A558" s="579" t="s">
        <v>839</v>
      </c>
      <c r="B558" s="580" t="s">
        <v>1209</v>
      </c>
      <c r="C558" s="573" t="s">
        <v>299</v>
      </c>
      <c r="D558" s="573" t="s">
        <v>118</v>
      </c>
      <c r="E558" s="573"/>
      <c r="F558" s="2"/>
      <c r="G558" s="10">
        <f t="shared" si="75"/>
        <v>903</v>
      </c>
      <c r="H558" s="10">
        <f t="shared" si="75"/>
        <v>903</v>
      </c>
    </row>
    <row r="559" spans="1:8" ht="81" customHeight="1" x14ac:dyDescent="0.25">
      <c r="A559" s="579" t="s">
        <v>127</v>
      </c>
      <c r="B559" s="580" t="s">
        <v>1209</v>
      </c>
      <c r="C559" s="573" t="s">
        <v>299</v>
      </c>
      <c r="D559" s="573" t="s">
        <v>118</v>
      </c>
      <c r="E559" s="573" t="s">
        <v>128</v>
      </c>
      <c r="F559" s="2"/>
      <c r="G559" s="10">
        <f t="shared" si="75"/>
        <v>903</v>
      </c>
      <c r="H559" s="10">
        <f t="shared" si="75"/>
        <v>903</v>
      </c>
    </row>
    <row r="560" spans="1:8" ht="38.25" customHeight="1" x14ac:dyDescent="0.25">
      <c r="A560" s="579" t="s">
        <v>129</v>
      </c>
      <c r="B560" s="580" t="s">
        <v>1209</v>
      </c>
      <c r="C560" s="573" t="s">
        <v>299</v>
      </c>
      <c r="D560" s="573" t="s">
        <v>118</v>
      </c>
      <c r="E560" s="573" t="s">
        <v>209</v>
      </c>
      <c r="F560" s="2"/>
      <c r="G560" s="10">
        <f>'Пр.4.1 ведом.23-24 '!G390</f>
        <v>903</v>
      </c>
      <c r="H560" s="10">
        <f>'Пр.4.1 ведом.23-24 '!H390</f>
        <v>903</v>
      </c>
    </row>
    <row r="561" spans="1:10" ht="47.25" customHeight="1" x14ac:dyDescent="0.25">
      <c r="A561" s="45" t="s">
        <v>261</v>
      </c>
      <c r="B561" s="580" t="s">
        <v>1209</v>
      </c>
      <c r="C561" s="573" t="s">
        <v>299</v>
      </c>
      <c r="D561" s="573" t="s">
        <v>118</v>
      </c>
      <c r="E561" s="573" t="s">
        <v>209</v>
      </c>
      <c r="F561" s="2">
        <v>903</v>
      </c>
      <c r="G561" s="10">
        <f>G560</f>
        <v>903</v>
      </c>
      <c r="H561" s="10">
        <f>H560</f>
        <v>903</v>
      </c>
    </row>
    <row r="562" spans="1:10" ht="16.5" customHeight="1" x14ac:dyDescent="0.25">
      <c r="A562" s="68" t="s">
        <v>582</v>
      </c>
      <c r="B562" s="580" t="s">
        <v>1208</v>
      </c>
      <c r="C562" s="573" t="s">
        <v>238</v>
      </c>
      <c r="D562" s="73"/>
      <c r="E562" s="73"/>
      <c r="F562" s="2"/>
      <c r="G562" s="10">
        <f t="shared" ref="G562:H565" si="76">G563</f>
        <v>258</v>
      </c>
      <c r="H562" s="10">
        <f t="shared" si="76"/>
        <v>258</v>
      </c>
    </row>
    <row r="563" spans="1:10" ht="18" customHeight="1" x14ac:dyDescent="0.25">
      <c r="A563" s="579" t="s">
        <v>583</v>
      </c>
      <c r="B563" s="580" t="s">
        <v>1208</v>
      </c>
      <c r="C563" s="573" t="s">
        <v>238</v>
      </c>
      <c r="D563" s="573" t="s">
        <v>213</v>
      </c>
      <c r="E563" s="73"/>
      <c r="F563" s="2"/>
      <c r="G563" s="10">
        <f t="shared" si="76"/>
        <v>258</v>
      </c>
      <c r="H563" s="10">
        <f t="shared" si="76"/>
        <v>258</v>
      </c>
    </row>
    <row r="564" spans="1:10" ht="47.25" customHeight="1" x14ac:dyDescent="0.25">
      <c r="A564" s="579" t="s">
        <v>839</v>
      </c>
      <c r="B564" s="580" t="s">
        <v>1209</v>
      </c>
      <c r="C564" s="573" t="s">
        <v>238</v>
      </c>
      <c r="D564" s="573" t="s">
        <v>213</v>
      </c>
      <c r="E564" s="573"/>
      <c r="F564" s="2"/>
      <c r="G564" s="10">
        <f t="shared" si="76"/>
        <v>258</v>
      </c>
      <c r="H564" s="10">
        <f t="shared" si="76"/>
        <v>258</v>
      </c>
    </row>
    <row r="565" spans="1:10" ht="47.25" customHeight="1" x14ac:dyDescent="0.25">
      <c r="A565" s="579" t="s">
        <v>127</v>
      </c>
      <c r="B565" s="580" t="s">
        <v>1209</v>
      </c>
      <c r="C565" s="573" t="s">
        <v>238</v>
      </c>
      <c r="D565" s="573" t="s">
        <v>213</v>
      </c>
      <c r="E565" s="573" t="s">
        <v>128</v>
      </c>
      <c r="F565" s="2"/>
      <c r="G565" s="10">
        <f t="shared" si="76"/>
        <v>258</v>
      </c>
      <c r="H565" s="10">
        <f t="shared" si="76"/>
        <v>258</v>
      </c>
    </row>
    <row r="566" spans="1:10" ht="47.25" customHeight="1" x14ac:dyDescent="0.25">
      <c r="A566" s="579" t="s">
        <v>129</v>
      </c>
      <c r="B566" s="580" t="s">
        <v>1209</v>
      </c>
      <c r="C566" s="573" t="s">
        <v>238</v>
      </c>
      <c r="D566" s="573" t="s">
        <v>213</v>
      </c>
      <c r="E566" s="573" t="s">
        <v>209</v>
      </c>
      <c r="F566" s="2"/>
      <c r="G566" s="10">
        <f>'Пр.4.1 ведом.23-24 '!G513</f>
        <v>258</v>
      </c>
      <c r="H566" s="10">
        <f>'Пр.4.1 ведом.23-24 '!H513</f>
        <v>258</v>
      </c>
    </row>
    <row r="567" spans="1:10" ht="47.25" customHeight="1" x14ac:dyDescent="0.25">
      <c r="A567" s="45" t="s">
        <v>261</v>
      </c>
      <c r="B567" s="580" t="s">
        <v>1209</v>
      </c>
      <c r="C567" s="573" t="s">
        <v>238</v>
      </c>
      <c r="D567" s="573" t="s">
        <v>213</v>
      </c>
      <c r="E567" s="573" t="s">
        <v>209</v>
      </c>
      <c r="F567" s="2">
        <v>903</v>
      </c>
      <c r="G567" s="10">
        <f>G566</f>
        <v>258</v>
      </c>
      <c r="H567" s="10">
        <f>H566</f>
        <v>258</v>
      </c>
    </row>
    <row r="568" spans="1:10" ht="48.2" customHeight="1" x14ac:dyDescent="0.25">
      <c r="A568" s="218" t="s">
        <v>900</v>
      </c>
      <c r="B568" s="495" t="s">
        <v>1210</v>
      </c>
      <c r="C568" s="7"/>
      <c r="D568" s="7"/>
      <c r="E568" s="7"/>
      <c r="F568" s="3"/>
      <c r="G568" s="59">
        <f>G569+G580</f>
        <v>3650.4</v>
      </c>
      <c r="H568" s="59">
        <f>H569+H580</f>
        <v>3650.4</v>
      </c>
    </row>
    <row r="569" spans="1:10" ht="21.75" customHeight="1" x14ac:dyDescent="0.25">
      <c r="A569" s="579" t="s">
        <v>263</v>
      </c>
      <c r="B569" s="580" t="s">
        <v>1210</v>
      </c>
      <c r="C569" s="573" t="s">
        <v>264</v>
      </c>
      <c r="D569" s="573"/>
      <c r="E569" s="573"/>
      <c r="F569" s="2"/>
      <c r="G569" s="10">
        <f>G570</f>
        <v>1165.4000000000001</v>
      </c>
      <c r="H569" s="10">
        <f>H570</f>
        <v>1165.4000000000001</v>
      </c>
    </row>
    <row r="570" spans="1:10" ht="18" customHeight="1" x14ac:dyDescent="0.25">
      <c r="A570" s="579" t="s">
        <v>265</v>
      </c>
      <c r="B570" s="580" t="s">
        <v>1210</v>
      </c>
      <c r="C570" s="573" t="s">
        <v>264</v>
      </c>
      <c r="D570" s="573" t="s">
        <v>215</v>
      </c>
      <c r="E570" s="573"/>
      <c r="F570" s="2"/>
      <c r="G570" s="10">
        <f>G571+G575</f>
        <v>1165.4000000000001</v>
      </c>
      <c r="H570" s="10">
        <f>H571+H575</f>
        <v>1165.4000000000001</v>
      </c>
    </row>
    <row r="571" spans="1:10" ht="97.15" customHeight="1" x14ac:dyDescent="0.25">
      <c r="A571" s="31" t="s">
        <v>293</v>
      </c>
      <c r="B571" s="580" t="s">
        <v>1403</v>
      </c>
      <c r="C571" s="573" t="s">
        <v>264</v>
      </c>
      <c r="D571" s="573" t="s">
        <v>215</v>
      </c>
      <c r="E571" s="580"/>
      <c r="F571" s="2"/>
      <c r="G571" s="10">
        <f>G572</f>
        <v>761</v>
      </c>
      <c r="H571" s="10">
        <f>H572</f>
        <v>761</v>
      </c>
      <c r="J571" s="232">
        <f>G571+G581</f>
        <v>2861.5</v>
      </c>
    </row>
    <row r="572" spans="1:10" ht="84.2" customHeight="1" x14ac:dyDescent="0.25">
      <c r="A572" s="579" t="s">
        <v>127</v>
      </c>
      <c r="B572" s="580" t="s">
        <v>1403</v>
      </c>
      <c r="C572" s="573" t="s">
        <v>264</v>
      </c>
      <c r="D572" s="573" t="s">
        <v>215</v>
      </c>
      <c r="E572" s="580" t="s">
        <v>128</v>
      </c>
      <c r="F572" s="2"/>
      <c r="G572" s="10">
        <f>G573</f>
        <v>761</v>
      </c>
      <c r="H572" s="10">
        <f>H573</f>
        <v>761</v>
      </c>
    </row>
    <row r="573" spans="1:10" ht="15" customHeight="1" x14ac:dyDescent="0.25">
      <c r="A573" s="46" t="s">
        <v>342</v>
      </c>
      <c r="B573" s="580" t="s">
        <v>1403</v>
      </c>
      <c r="C573" s="573" t="s">
        <v>264</v>
      </c>
      <c r="D573" s="573" t="s">
        <v>215</v>
      </c>
      <c r="E573" s="580" t="s">
        <v>209</v>
      </c>
      <c r="F573" s="2"/>
      <c r="G573" s="10">
        <f>'Пр.4.1 ведом.23-24 '!G328</f>
        <v>761</v>
      </c>
      <c r="H573" s="10">
        <f>'Пр.4.1 ведом.23-24 '!H328</f>
        <v>761</v>
      </c>
    </row>
    <row r="574" spans="1:10" ht="57.75" customHeight="1" x14ac:dyDescent="0.25">
      <c r="A574" s="45" t="s">
        <v>261</v>
      </c>
      <c r="B574" s="580" t="s">
        <v>1403</v>
      </c>
      <c r="C574" s="573" t="s">
        <v>264</v>
      </c>
      <c r="D574" s="573" t="s">
        <v>215</v>
      </c>
      <c r="E574" s="580" t="s">
        <v>209</v>
      </c>
      <c r="F574" s="2">
        <v>903</v>
      </c>
      <c r="G574" s="10">
        <f>G573</f>
        <v>761</v>
      </c>
      <c r="H574" s="10">
        <f>H573</f>
        <v>761</v>
      </c>
    </row>
    <row r="575" spans="1:10" ht="47.25" x14ac:dyDescent="0.25">
      <c r="A575" s="650" t="s">
        <v>1766</v>
      </c>
      <c r="B575" s="580" t="s">
        <v>1768</v>
      </c>
      <c r="C575" s="573" t="s">
        <v>264</v>
      </c>
      <c r="D575" s="573" t="s">
        <v>215</v>
      </c>
      <c r="E575" s="580"/>
      <c r="F575" s="2"/>
      <c r="G575" s="10">
        <f>G576</f>
        <v>404.4</v>
      </c>
      <c r="H575" s="10">
        <f>H576</f>
        <v>404.4</v>
      </c>
    </row>
    <row r="576" spans="1:10" ht="86.25" customHeight="1" x14ac:dyDescent="0.25">
      <c r="A576" s="579" t="s">
        <v>127</v>
      </c>
      <c r="B576" s="580" t="s">
        <v>1768</v>
      </c>
      <c r="C576" s="573" t="s">
        <v>264</v>
      </c>
      <c r="D576" s="573" t="s">
        <v>215</v>
      </c>
      <c r="E576" s="580" t="s">
        <v>128</v>
      </c>
      <c r="F576" s="2"/>
      <c r="G576" s="10">
        <f>G577</f>
        <v>404.4</v>
      </c>
      <c r="H576" s="10">
        <f>H577</f>
        <v>404.4</v>
      </c>
    </row>
    <row r="577" spans="1:8" ht="23.25" customHeight="1" x14ac:dyDescent="0.25">
      <c r="A577" s="46" t="s">
        <v>342</v>
      </c>
      <c r="B577" s="580" t="s">
        <v>1768</v>
      </c>
      <c r="C577" s="573" t="s">
        <v>264</v>
      </c>
      <c r="D577" s="573" t="s">
        <v>215</v>
      </c>
      <c r="E577" s="580" t="s">
        <v>209</v>
      </c>
      <c r="F577" s="2"/>
      <c r="G577" s="10">
        <f>'Пр.4.1 ведом.23-24 '!G331:H331</f>
        <v>404.4</v>
      </c>
      <c r="H577" s="10">
        <f>'Пр.4.1 ведом.23-24 '!H331:I331</f>
        <v>404.4</v>
      </c>
    </row>
    <row r="578" spans="1:8" ht="55.5" customHeight="1" x14ac:dyDescent="0.25">
      <c r="A578" s="45" t="s">
        <v>261</v>
      </c>
      <c r="B578" s="580" t="s">
        <v>1768</v>
      </c>
      <c r="C578" s="573" t="s">
        <v>264</v>
      </c>
      <c r="D578" s="573" t="s">
        <v>215</v>
      </c>
      <c r="E578" s="580" t="s">
        <v>209</v>
      </c>
      <c r="F578" s="2">
        <v>903</v>
      </c>
      <c r="G578" s="10">
        <f>G577</f>
        <v>404.4</v>
      </c>
      <c r="H578" s="10">
        <f>H577</f>
        <v>404.4</v>
      </c>
    </row>
    <row r="579" spans="1:8" ht="17.45" customHeight="1" x14ac:dyDescent="0.25">
      <c r="A579" s="73" t="s">
        <v>298</v>
      </c>
      <c r="B579" s="580" t="s">
        <v>1210</v>
      </c>
      <c r="C579" s="573" t="s">
        <v>299</v>
      </c>
      <c r="D579" s="73"/>
      <c r="E579" s="73"/>
      <c r="F579" s="2"/>
      <c r="G579" s="10">
        <f>G580</f>
        <v>2485</v>
      </c>
      <c r="H579" s="10">
        <f>H580</f>
        <v>2485</v>
      </c>
    </row>
    <row r="580" spans="1:8" ht="18" customHeight="1" x14ac:dyDescent="0.25">
      <c r="A580" s="73" t="s">
        <v>300</v>
      </c>
      <c r="B580" s="580" t="s">
        <v>1210</v>
      </c>
      <c r="C580" s="573" t="s">
        <v>299</v>
      </c>
      <c r="D580" s="573" t="s">
        <v>118</v>
      </c>
      <c r="E580" s="73"/>
      <c r="F580" s="2"/>
      <c r="G580" s="10">
        <f>G581+G585</f>
        <v>2485</v>
      </c>
      <c r="H580" s="10">
        <f>H581+H585</f>
        <v>2485</v>
      </c>
    </row>
    <row r="581" spans="1:8" ht="103.9" customHeight="1" x14ac:dyDescent="0.25">
      <c r="A581" s="31" t="s">
        <v>293</v>
      </c>
      <c r="B581" s="580" t="s">
        <v>1403</v>
      </c>
      <c r="C581" s="573" t="s">
        <v>299</v>
      </c>
      <c r="D581" s="573" t="s">
        <v>118</v>
      </c>
      <c r="E581" s="573"/>
      <c r="F581" s="2"/>
      <c r="G581" s="10">
        <f>G582</f>
        <v>2100.5</v>
      </c>
      <c r="H581" s="10">
        <f>H582</f>
        <v>2100.5</v>
      </c>
    </row>
    <row r="582" spans="1:8" ht="79.5" customHeight="1" x14ac:dyDescent="0.25">
      <c r="A582" s="579" t="s">
        <v>127</v>
      </c>
      <c r="B582" s="580" t="s">
        <v>1403</v>
      </c>
      <c r="C582" s="573" t="s">
        <v>299</v>
      </c>
      <c r="D582" s="573" t="s">
        <v>118</v>
      </c>
      <c r="E582" s="573" t="s">
        <v>128</v>
      </c>
      <c r="F582" s="2"/>
      <c r="G582" s="10">
        <f>G583</f>
        <v>2100.5</v>
      </c>
      <c r="H582" s="10">
        <f>H583</f>
        <v>2100.5</v>
      </c>
    </row>
    <row r="583" spans="1:8" ht="19.149999999999999" customHeight="1" x14ac:dyDescent="0.25">
      <c r="A583" s="579" t="s">
        <v>208</v>
      </c>
      <c r="B583" s="580" t="s">
        <v>1403</v>
      </c>
      <c r="C583" s="573" t="s">
        <v>299</v>
      </c>
      <c r="D583" s="573" t="s">
        <v>118</v>
      </c>
      <c r="E583" s="573" t="s">
        <v>209</v>
      </c>
      <c r="F583" s="2"/>
      <c r="G583" s="10">
        <f>'Пр.4.1 ведом.23-24 '!G394</f>
        <v>2100.5</v>
      </c>
      <c r="H583" s="10">
        <f>'Пр.4.1 ведом.23-24 '!H394</f>
        <v>2100.5</v>
      </c>
    </row>
    <row r="584" spans="1:8" ht="44.1" customHeight="1" x14ac:dyDescent="0.25">
      <c r="A584" s="45" t="s">
        <v>261</v>
      </c>
      <c r="B584" s="580" t="s">
        <v>1403</v>
      </c>
      <c r="C584" s="573" t="s">
        <v>299</v>
      </c>
      <c r="D584" s="573" t="s">
        <v>118</v>
      </c>
      <c r="E584" s="573" t="s">
        <v>209</v>
      </c>
      <c r="F584" s="2">
        <v>903</v>
      </c>
      <c r="G584" s="10">
        <f>G583</f>
        <v>2100.5</v>
      </c>
      <c r="H584" s="10">
        <f>H583</f>
        <v>2100.5</v>
      </c>
    </row>
    <row r="585" spans="1:8" ht="70.5" customHeight="1" x14ac:dyDescent="0.25">
      <c r="A585" s="579" t="s">
        <v>331</v>
      </c>
      <c r="B585" s="580" t="s">
        <v>1291</v>
      </c>
      <c r="C585" s="580" t="s">
        <v>299</v>
      </c>
      <c r="D585" s="580" t="s">
        <v>118</v>
      </c>
      <c r="E585" s="580"/>
      <c r="F585" s="580"/>
      <c r="G585" s="10">
        <f>G586</f>
        <v>384.5</v>
      </c>
      <c r="H585" s="10">
        <f>H586</f>
        <v>384.5</v>
      </c>
    </row>
    <row r="586" spans="1:8" ht="82.5" customHeight="1" x14ac:dyDescent="0.25">
      <c r="A586" s="579" t="s">
        <v>127</v>
      </c>
      <c r="B586" s="580" t="s">
        <v>1291</v>
      </c>
      <c r="C586" s="580" t="s">
        <v>299</v>
      </c>
      <c r="D586" s="580" t="s">
        <v>118</v>
      </c>
      <c r="E586" s="580" t="s">
        <v>128</v>
      </c>
      <c r="F586" s="580"/>
      <c r="G586" s="10">
        <f>G587</f>
        <v>384.5</v>
      </c>
      <c r="H586" s="10">
        <f>H587</f>
        <v>384.5</v>
      </c>
    </row>
    <row r="587" spans="1:8" ht="21.75" customHeight="1" x14ac:dyDescent="0.25">
      <c r="A587" s="579" t="s">
        <v>208</v>
      </c>
      <c r="B587" s="580" t="s">
        <v>1291</v>
      </c>
      <c r="C587" s="580" t="s">
        <v>299</v>
      </c>
      <c r="D587" s="580" t="s">
        <v>118</v>
      </c>
      <c r="E587" s="580" t="s">
        <v>209</v>
      </c>
      <c r="F587" s="580"/>
      <c r="G587" s="10">
        <f>'Пр.4.1 ведом.23-24 '!G397</f>
        <v>384.5</v>
      </c>
      <c r="H587" s="10">
        <f>'Пр.4.1 ведом.23-24 '!H397</f>
        <v>384.5</v>
      </c>
    </row>
    <row r="588" spans="1:8" ht="51" customHeight="1" x14ac:dyDescent="0.25">
      <c r="A588" s="45" t="s">
        <v>261</v>
      </c>
      <c r="B588" s="580" t="s">
        <v>1291</v>
      </c>
      <c r="C588" s="580" t="s">
        <v>299</v>
      </c>
      <c r="D588" s="580" t="s">
        <v>118</v>
      </c>
      <c r="E588" s="580" t="s">
        <v>209</v>
      </c>
      <c r="F588" s="580" t="s">
        <v>627</v>
      </c>
      <c r="G588" s="10">
        <f>G587</f>
        <v>384.5</v>
      </c>
      <c r="H588" s="10">
        <f>H587</f>
        <v>384.5</v>
      </c>
    </row>
    <row r="589" spans="1:8" ht="36" customHeight="1" x14ac:dyDescent="0.25">
      <c r="A589" s="494" t="s">
        <v>902</v>
      </c>
      <c r="B589" s="495" t="s">
        <v>1215</v>
      </c>
      <c r="C589" s="573"/>
      <c r="D589" s="573"/>
      <c r="E589" s="573"/>
      <c r="F589" s="2"/>
      <c r="G589" s="59">
        <f t="shared" ref="G589:H593" si="77">G590</f>
        <v>50</v>
      </c>
      <c r="H589" s="59">
        <f t="shared" si="77"/>
        <v>50</v>
      </c>
    </row>
    <row r="590" spans="1:8" ht="20.100000000000001" customHeight="1" x14ac:dyDescent="0.25">
      <c r="A590" s="73" t="s">
        <v>298</v>
      </c>
      <c r="B590" s="580" t="s">
        <v>1215</v>
      </c>
      <c r="C590" s="573" t="s">
        <v>299</v>
      </c>
      <c r="D590" s="573"/>
      <c r="E590" s="573"/>
      <c r="F590" s="2"/>
      <c r="G590" s="10">
        <f t="shared" si="77"/>
        <v>50</v>
      </c>
      <c r="H590" s="10">
        <f t="shared" si="77"/>
        <v>50</v>
      </c>
    </row>
    <row r="591" spans="1:8" ht="20.100000000000001" customHeight="1" x14ac:dyDescent="0.25">
      <c r="A591" s="73" t="s">
        <v>300</v>
      </c>
      <c r="B591" s="580" t="s">
        <v>1215</v>
      </c>
      <c r="C591" s="573" t="s">
        <v>299</v>
      </c>
      <c r="D591" s="573" t="s">
        <v>118</v>
      </c>
      <c r="E591" s="573"/>
      <c r="F591" s="2"/>
      <c r="G591" s="10">
        <f t="shared" si="77"/>
        <v>50</v>
      </c>
      <c r="H591" s="10">
        <f t="shared" si="77"/>
        <v>50</v>
      </c>
    </row>
    <row r="592" spans="1:8" ht="35.450000000000003" customHeight="1" x14ac:dyDescent="0.25">
      <c r="A592" s="579" t="s">
        <v>821</v>
      </c>
      <c r="B592" s="580" t="s">
        <v>1216</v>
      </c>
      <c r="C592" s="573" t="s">
        <v>299</v>
      </c>
      <c r="D592" s="573" t="s">
        <v>118</v>
      </c>
      <c r="E592" s="573"/>
      <c r="F592" s="2"/>
      <c r="G592" s="10">
        <f t="shared" si="77"/>
        <v>50</v>
      </c>
      <c r="H592" s="10">
        <f t="shared" si="77"/>
        <v>50</v>
      </c>
    </row>
    <row r="593" spans="1:8" ht="36.75" customHeight="1" x14ac:dyDescent="0.25">
      <c r="A593" s="579" t="s">
        <v>131</v>
      </c>
      <c r="B593" s="580" t="s">
        <v>1216</v>
      </c>
      <c r="C593" s="573" t="s">
        <v>299</v>
      </c>
      <c r="D593" s="573" t="s">
        <v>118</v>
      </c>
      <c r="E593" s="573" t="s">
        <v>132</v>
      </c>
      <c r="F593" s="2"/>
      <c r="G593" s="10">
        <f t="shared" si="77"/>
        <v>50</v>
      </c>
      <c r="H593" s="10">
        <f t="shared" si="77"/>
        <v>50</v>
      </c>
    </row>
    <row r="594" spans="1:8" ht="33" customHeight="1" x14ac:dyDescent="0.25">
      <c r="A594" s="579" t="s">
        <v>133</v>
      </c>
      <c r="B594" s="580" t="s">
        <v>1216</v>
      </c>
      <c r="C594" s="573" t="s">
        <v>299</v>
      </c>
      <c r="D594" s="573" t="s">
        <v>118</v>
      </c>
      <c r="E594" s="573" t="s">
        <v>134</v>
      </c>
      <c r="F594" s="2"/>
      <c r="G594" s="10">
        <f>'Пр.4.1 ведом.23-24 '!G401</f>
        <v>50</v>
      </c>
      <c r="H594" s="10">
        <f>'Пр.4.1 ведом.23-24 '!H401</f>
        <v>50</v>
      </c>
    </row>
    <row r="595" spans="1:8" ht="51" customHeight="1" x14ac:dyDescent="0.25">
      <c r="A595" s="45" t="s">
        <v>261</v>
      </c>
      <c r="B595" s="580" t="s">
        <v>1216</v>
      </c>
      <c r="C595" s="573" t="s">
        <v>299</v>
      </c>
      <c r="D595" s="573" t="s">
        <v>118</v>
      </c>
      <c r="E595" s="573" t="s">
        <v>134</v>
      </c>
      <c r="F595" s="2">
        <v>903</v>
      </c>
      <c r="G595" s="10">
        <f>G594</f>
        <v>50</v>
      </c>
      <c r="H595" s="10">
        <f>H594</f>
        <v>50</v>
      </c>
    </row>
    <row r="596" spans="1:8" ht="39.200000000000003" customHeight="1" x14ac:dyDescent="0.25">
      <c r="A596" s="494" t="s">
        <v>1010</v>
      </c>
      <c r="B596" s="495" t="s">
        <v>1217</v>
      </c>
      <c r="C596" s="7"/>
      <c r="D596" s="7"/>
      <c r="E596" s="7"/>
      <c r="F596" s="3"/>
      <c r="G596" s="59">
        <f>G597+G603</f>
        <v>3.5</v>
      </c>
      <c r="H596" s="59">
        <f>H597+H603</f>
        <v>3.5</v>
      </c>
    </row>
    <row r="597" spans="1:8" ht="20.100000000000001" customHeight="1" x14ac:dyDescent="0.25">
      <c r="A597" s="68" t="s">
        <v>298</v>
      </c>
      <c r="B597" s="580" t="s">
        <v>1217</v>
      </c>
      <c r="C597" s="573" t="s">
        <v>299</v>
      </c>
      <c r="D597" s="573"/>
      <c r="E597" s="573"/>
      <c r="F597" s="74"/>
      <c r="G597" s="10">
        <f t="shared" ref="G597:H597" si="78">G598</f>
        <v>3.5</v>
      </c>
      <c r="H597" s="10">
        <f t="shared" si="78"/>
        <v>3.5</v>
      </c>
    </row>
    <row r="598" spans="1:8" ht="20.100000000000001" customHeight="1" x14ac:dyDescent="0.25">
      <c r="A598" s="68" t="s">
        <v>300</v>
      </c>
      <c r="B598" s="580" t="s">
        <v>1217</v>
      </c>
      <c r="C598" s="573" t="s">
        <v>299</v>
      </c>
      <c r="D598" s="573" t="s">
        <v>118</v>
      </c>
      <c r="E598" s="573"/>
      <c r="F598" s="74"/>
      <c r="G598" s="10">
        <f t="shared" ref="G598:H600" si="79">G599</f>
        <v>3.5</v>
      </c>
      <c r="H598" s="10">
        <f t="shared" si="79"/>
        <v>3.5</v>
      </c>
    </row>
    <row r="599" spans="1:8" ht="31.5" x14ac:dyDescent="0.25">
      <c r="A599" s="579" t="s">
        <v>1484</v>
      </c>
      <c r="B599" s="580" t="s">
        <v>1218</v>
      </c>
      <c r="C599" s="573" t="s">
        <v>299</v>
      </c>
      <c r="D599" s="573" t="s">
        <v>118</v>
      </c>
      <c r="E599" s="573"/>
      <c r="F599" s="2"/>
      <c r="G599" s="10">
        <f t="shared" si="79"/>
        <v>3.5</v>
      </c>
      <c r="H599" s="10">
        <f t="shared" si="79"/>
        <v>3.5</v>
      </c>
    </row>
    <row r="600" spans="1:8" ht="39.200000000000003" customHeight="1" x14ac:dyDescent="0.25">
      <c r="A600" s="579" t="s">
        <v>131</v>
      </c>
      <c r="B600" s="580" t="s">
        <v>1218</v>
      </c>
      <c r="C600" s="573" t="s">
        <v>299</v>
      </c>
      <c r="D600" s="573" t="s">
        <v>118</v>
      </c>
      <c r="E600" s="573" t="s">
        <v>132</v>
      </c>
      <c r="F600" s="2"/>
      <c r="G600" s="10">
        <f t="shared" si="79"/>
        <v>3.5</v>
      </c>
      <c r="H600" s="10">
        <f t="shared" si="79"/>
        <v>3.5</v>
      </c>
    </row>
    <row r="601" spans="1:8" ht="36.75" customHeight="1" x14ac:dyDescent="0.25">
      <c r="A601" s="579" t="s">
        <v>133</v>
      </c>
      <c r="B601" s="580" t="s">
        <v>1218</v>
      </c>
      <c r="C601" s="573" t="s">
        <v>299</v>
      </c>
      <c r="D601" s="573" t="s">
        <v>118</v>
      </c>
      <c r="E601" s="573" t="s">
        <v>134</v>
      </c>
      <c r="F601" s="2"/>
      <c r="G601" s="10">
        <f>'Пр.4.1 ведом.23-24 '!G405</f>
        <v>3.5</v>
      </c>
      <c r="H601" s="10">
        <f>'Пр.4.1 ведом.23-24 '!H405</f>
        <v>3.5</v>
      </c>
    </row>
    <row r="602" spans="1:8" ht="54.75" customHeight="1" x14ac:dyDescent="0.25">
      <c r="A602" s="45" t="s">
        <v>261</v>
      </c>
      <c r="B602" s="580" t="s">
        <v>1218</v>
      </c>
      <c r="C602" s="573" t="s">
        <v>299</v>
      </c>
      <c r="D602" s="573" t="s">
        <v>118</v>
      </c>
      <c r="E602" s="573" t="s">
        <v>134</v>
      </c>
      <c r="F602" s="2">
        <v>903</v>
      </c>
      <c r="G602" s="10">
        <f>G601</f>
        <v>3.5</v>
      </c>
      <c r="H602" s="10">
        <f>H601</f>
        <v>3.5</v>
      </c>
    </row>
    <row r="603" spans="1:8" ht="31.5" hidden="1" x14ac:dyDescent="0.25">
      <c r="A603" s="579" t="s">
        <v>1756</v>
      </c>
      <c r="B603" s="580" t="s">
        <v>1757</v>
      </c>
      <c r="C603" s="573" t="s">
        <v>299</v>
      </c>
      <c r="D603" s="573" t="s">
        <v>118</v>
      </c>
      <c r="E603" s="573"/>
      <c r="F603" s="2"/>
      <c r="G603" s="10">
        <f>G604</f>
        <v>0</v>
      </c>
      <c r="H603" s="10">
        <f>H604</f>
        <v>0</v>
      </c>
    </row>
    <row r="604" spans="1:8" ht="31.5" hidden="1" x14ac:dyDescent="0.25">
      <c r="A604" s="579" t="s">
        <v>131</v>
      </c>
      <c r="B604" s="580" t="s">
        <v>1757</v>
      </c>
      <c r="C604" s="573" t="s">
        <v>299</v>
      </c>
      <c r="D604" s="573" t="s">
        <v>118</v>
      </c>
      <c r="E604" s="573" t="s">
        <v>132</v>
      </c>
      <c r="F604" s="2"/>
      <c r="G604" s="10">
        <f>G605</f>
        <v>0</v>
      </c>
      <c r="H604" s="10">
        <f>H605</f>
        <v>0</v>
      </c>
    </row>
    <row r="605" spans="1:8" ht="31.5" hidden="1" x14ac:dyDescent="0.25">
      <c r="A605" s="579" t="s">
        <v>133</v>
      </c>
      <c r="B605" s="580" t="s">
        <v>1757</v>
      </c>
      <c r="C605" s="573" t="s">
        <v>299</v>
      </c>
      <c r="D605" s="573" t="s">
        <v>118</v>
      </c>
      <c r="E605" s="573" t="s">
        <v>134</v>
      </c>
      <c r="F605" s="2"/>
      <c r="G605" s="10"/>
      <c r="H605" s="10">
        <f>'Пр.4 ведом.22'!H407</f>
        <v>0</v>
      </c>
    </row>
    <row r="606" spans="1:8" ht="47.25" hidden="1" x14ac:dyDescent="0.25">
      <c r="A606" s="45" t="s">
        <v>261</v>
      </c>
      <c r="B606" s="580" t="s">
        <v>1757</v>
      </c>
      <c r="C606" s="573" t="s">
        <v>299</v>
      </c>
      <c r="D606" s="573" t="s">
        <v>118</v>
      </c>
      <c r="E606" s="573" t="s">
        <v>134</v>
      </c>
      <c r="F606" s="2">
        <v>903</v>
      </c>
      <c r="G606" s="10">
        <f>G605</f>
        <v>0</v>
      </c>
      <c r="H606" s="10">
        <f>H605</f>
        <v>0</v>
      </c>
    </row>
    <row r="607" spans="1:8" ht="31.5" hidden="1" x14ac:dyDescent="0.25">
      <c r="A607" s="34" t="s">
        <v>1646</v>
      </c>
      <c r="B607" s="495" t="s">
        <v>1648</v>
      </c>
      <c r="C607" s="573"/>
      <c r="D607" s="573"/>
      <c r="E607" s="573"/>
      <c r="F607" s="2"/>
      <c r="G607" s="59">
        <f t="shared" ref="G607:H611" si="80">G608</f>
        <v>0</v>
      </c>
      <c r="H607" s="59">
        <f t="shared" si="80"/>
        <v>0</v>
      </c>
    </row>
    <row r="608" spans="1:8" ht="15.75" hidden="1" x14ac:dyDescent="0.25">
      <c r="A608" s="68" t="s">
        <v>298</v>
      </c>
      <c r="B608" s="580" t="s">
        <v>1648</v>
      </c>
      <c r="C608" s="573" t="s">
        <v>299</v>
      </c>
      <c r="D608" s="573"/>
      <c r="E608" s="573"/>
      <c r="F608" s="2"/>
      <c r="G608" s="10">
        <f t="shared" si="80"/>
        <v>0</v>
      </c>
      <c r="H608" s="10">
        <f t="shared" si="80"/>
        <v>0</v>
      </c>
    </row>
    <row r="609" spans="1:8" ht="15.75" hidden="1" x14ac:dyDescent="0.25">
      <c r="A609" s="68" t="s">
        <v>300</v>
      </c>
      <c r="B609" s="580" t="s">
        <v>1648</v>
      </c>
      <c r="C609" s="573" t="s">
        <v>299</v>
      </c>
      <c r="D609" s="573" t="s">
        <v>118</v>
      </c>
      <c r="E609" s="573"/>
      <c r="F609" s="2"/>
      <c r="G609" s="10">
        <f t="shared" si="80"/>
        <v>0</v>
      </c>
      <c r="H609" s="10">
        <f t="shared" si="80"/>
        <v>0</v>
      </c>
    </row>
    <row r="610" spans="1:8" ht="63" hidden="1" x14ac:dyDescent="0.25">
      <c r="A610" s="31" t="s">
        <v>1647</v>
      </c>
      <c r="B610" s="580" t="s">
        <v>1649</v>
      </c>
      <c r="C610" s="573" t="s">
        <v>299</v>
      </c>
      <c r="D610" s="573" t="s">
        <v>118</v>
      </c>
      <c r="E610" s="573"/>
      <c r="F610" s="2"/>
      <c r="G610" s="10">
        <f t="shared" si="80"/>
        <v>0</v>
      </c>
      <c r="H610" s="10">
        <f t="shared" si="80"/>
        <v>0</v>
      </c>
    </row>
    <row r="611" spans="1:8" ht="31.5" hidden="1" x14ac:dyDescent="0.25">
      <c r="A611" s="579" t="s">
        <v>131</v>
      </c>
      <c r="B611" s="580" t="s">
        <v>1649</v>
      </c>
      <c r="C611" s="573" t="s">
        <v>299</v>
      </c>
      <c r="D611" s="573" t="s">
        <v>118</v>
      </c>
      <c r="E611" s="573" t="s">
        <v>132</v>
      </c>
      <c r="F611" s="2"/>
      <c r="G611" s="10">
        <f t="shared" si="80"/>
        <v>0</v>
      </c>
      <c r="H611" s="10">
        <f t="shared" si="80"/>
        <v>0</v>
      </c>
    </row>
    <row r="612" spans="1:8" ht="31.5" hidden="1" x14ac:dyDescent="0.25">
      <c r="A612" s="579" t="s">
        <v>133</v>
      </c>
      <c r="B612" s="580" t="s">
        <v>1649</v>
      </c>
      <c r="C612" s="573" t="s">
        <v>299</v>
      </c>
      <c r="D612" s="573" t="s">
        <v>118</v>
      </c>
      <c r="E612" s="573" t="s">
        <v>134</v>
      </c>
      <c r="F612" s="2"/>
      <c r="G612" s="10">
        <f>'Пр.4 ведом.22'!G411</f>
        <v>0</v>
      </c>
      <c r="H612" s="10">
        <f>'Пр.4 ведом.22'!H411</f>
        <v>0</v>
      </c>
    </row>
    <row r="613" spans="1:8" ht="47.25" hidden="1" x14ac:dyDescent="0.25">
      <c r="A613" s="45" t="s">
        <v>261</v>
      </c>
      <c r="B613" s="580" t="s">
        <v>1649</v>
      </c>
      <c r="C613" s="573" t="s">
        <v>299</v>
      </c>
      <c r="D613" s="573" t="s">
        <v>118</v>
      </c>
      <c r="E613" s="573" t="s">
        <v>134</v>
      </c>
      <c r="F613" s="2">
        <v>903</v>
      </c>
      <c r="G613" s="10">
        <f>G612</f>
        <v>0</v>
      </c>
      <c r="H613" s="10">
        <f>H612</f>
        <v>0</v>
      </c>
    </row>
    <row r="614" spans="1:8" ht="33.75" hidden="1" customHeight="1" x14ac:dyDescent="0.25">
      <c r="A614" s="262" t="s">
        <v>1179</v>
      </c>
      <c r="B614" s="495" t="s">
        <v>1213</v>
      </c>
      <c r="C614" s="495"/>
      <c r="D614" s="495"/>
      <c r="E614" s="573"/>
      <c r="F614" s="2"/>
      <c r="G614" s="59">
        <f>G615</f>
        <v>0</v>
      </c>
      <c r="H614" s="59">
        <f>H615</f>
        <v>0</v>
      </c>
    </row>
    <row r="615" spans="1:8" ht="19.5" hidden="1" customHeight="1" x14ac:dyDescent="0.25">
      <c r="A615" s="68" t="s">
        <v>298</v>
      </c>
      <c r="B615" s="580" t="s">
        <v>1213</v>
      </c>
      <c r="C615" s="580" t="s">
        <v>299</v>
      </c>
      <c r="D615" s="580"/>
      <c r="E615" s="573"/>
      <c r="F615" s="2"/>
      <c r="G615" s="10">
        <f>G616</f>
        <v>0</v>
      </c>
      <c r="H615" s="10">
        <f>H616</f>
        <v>0</v>
      </c>
    </row>
    <row r="616" spans="1:8" ht="18" hidden="1" customHeight="1" x14ac:dyDescent="0.25">
      <c r="A616" s="68" t="s">
        <v>300</v>
      </c>
      <c r="B616" s="580" t="s">
        <v>1213</v>
      </c>
      <c r="C616" s="580" t="s">
        <v>299</v>
      </c>
      <c r="D616" s="580" t="s">
        <v>118</v>
      </c>
      <c r="E616" s="573"/>
      <c r="F616" s="2"/>
      <c r="G616" s="10">
        <f>G621+G617</f>
        <v>0</v>
      </c>
      <c r="H616" s="10">
        <f>H621+H617</f>
        <v>0</v>
      </c>
    </row>
    <row r="617" spans="1:8" ht="18" hidden="1" customHeight="1" x14ac:dyDescent="0.25">
      <c r="A617" s="575" t="s">
        <v>1753</v>
      </c>
      <c r="B617" s="580" t="s">
        <v>1754</v>
      </c>
      <c r="C617" s="580" t="s">
        <v>299</v>
      </c>
      <c r="D617" s="580" t="s">
        <v>118</v>
      </c>
      <c r="E617" s="573"/>
      <c r="F617" s="2"/>
      <c r="G617" s="10">
        <f>G618</f>
        <v>0</v>
      </c>
      <c r="H617" s="10">
        <f>H618</f>
        <v>0</v>
      </c>
    </row>
    <row r="618" spans="1:8" ht="31.5" hidden="1" x14ac:dyDescent="0.25">
      <c r="A618" s="579" t="s">
        <v>131</v>
      </c>
      <c r="B618" s="580" t="s">
        <v>1754</v>
      </c>
      <c r="C618" s="580" t="s">
        <v>299</v>
      </c>
      <c r="D618" s="580" t="s">
        <v>118</v>
      </c>
      <c r="E618" s="573" t="s">
        <v>132</v>
      </c>
      <c r="F618" s="2"/>
      <c r="G618" s="10">
        <f>G619</f>
        <v>0</v>
      </c>
      <c r="H618" s="10">
        <f>H619</f>
        <v>0</v>
      </c>
    </row>
    <row r="619" spans="1:8" ht="31.5" hidden="1" x14ac:dyDescent="0.25">
      <c r="A619" s="579" t="s">
        <v>133</v>
      </c>
      <c r="B619" s="580" t="s">
        <v>1754</v>
      </c>
      <c r="C619" s="580" t="s">
        <v>299</v>
      </c>
      <c r="D619" s="580" t="s">
        <v>118</v>
      </c>
      <c r="E619" s="573" t="s">
        <v>134</v>
      </c>
      <c r="F619" s="2"/>
      <c r="G619" s="10"/>
      <c r="H619" s="10">
        <f>'Пр.4 ведом.22'!H418</f>
        <v>0</v>
      </c>
    </row>
    <row r="620" spans="1:8" ht="47.25" hidden="1" x14ac:dyDescent="0.25">
      <c r="A620" s="45" t="s">
        <v>261</v>
      </c>
      <c r="B620" s="580" t="s">
        <v>1754</v>
      </c>
      <c r="C620" s="580" t="s">
        <v>299</v>
      </c>
      <c r="D620" s="580" t="s">
        <v>118</v>
      </c>
      <c r="E620" s="573" t="s">
        <v>134</v>
      </c>
      <c r="F620" s="2">
        <v>903</v>
      </c>
      <c r="G620" s="10">
        <f>G619</f>
        <v>0</v>
      </c>
      <c r="H620" s="10">
        <f>H619</f>
        <v>0</v>
      </c>
    </row>
    <row r="621" spans="1:8" ht="18" hidden="1" customHeight="1" x14ac:dyDescent="0.25">
      <c r="A621" s="98" t="s">
        <v>1186</v>
      </c>
      <c r="B621" s="580" t="s">
        <v>1214</v>
      </c>
      <c r="C621" s="580" t="s">
        <v>299</v>
      </c>
      <c r="D621" s="580" t="s">
        <v>118</v>
      </c>
      <c r="E621" s="573"/>
      <c r="F621" s="2"/>
      <c r="G621" s="10">
        <f>G622</f>
        <v>0</v>
      </c>
      <c r="H621" s="10">
        <f>H622</f>
        <v>0</v>
      </c>
    </row>
    <row r="622" spans="1:8" ht="35.450000000000003" hidden="1" customHeight="1" x14ac:dyDescent="0.25">
      <c r="A622" s="579" t="s">
        <v>131</v>
      </c>
      <c r="B622" s="580" t="s">
        <v>1214</v>
      </c>
      <c r="C622" s="580" t="s">
        <v>299</v>
      </c>
      <c r="D622" s="580" t="s">
        <v>118</v>
      </c>
      <c r="E622" s="573" t="s">
        <v>132</v>
      </c>
      <c r="F622" s="2"/>
      <c r="G622" s="10">
        <f>G623</f>
        <v>0</v>
      </c>
      <c r="H622" s="10">
        <f>H623</f>
        <v>0</v>
      </c>
    </row>
    <row r="623" spans="1:8" ht="36" hidden="1" customHeight="1" x14ac:dyDescent="0.25">
      <c r="A623" s="579" t="s">
        <v>133</v>
      </c>
      <c r="B623" s="580" t="s">
        <v>1214</v>
      </c>
      <c r="C623" s="580" t="s">
        <v>299</v>
      </c>
      <c r="D623" s="580" t="s">
        <v>118</v>
      </c>
      <c r="E623" s="573" t="s">
        <v>134</v>
      </c>
      <c r="F623" s="2"/>
      <c r="G623" s="10"/>
      <c r="H623" s="10">
        <f>'Пр.4 ведом.22'!H421</f>
        <v>0</v>
      </c>
    </row>
    <row r="624" spans="1:8" ht="50.25" hidden="1" customHeight="1" x14ac:dyDescent="0.25">
      <c r="A624" s="45" t="s">
        <v>261</v>
      </c>
      <c r="B624" s="580" t="s">
        <v>1214</v>
      </c>
      <c r="C624" s="580" t="s">
        <v>299</v>
      </c>
      <c r="D624" s="580" t="s">
        <v>118</v>
      </c>
      <c r="E624" s="573" t="s">
        <v>134</v>
      </c>
      <c r="F624" s="2">
        <v>903</v>
      </c>
      <c r="G624" s="10">
        <f>G623</f>
        <v>0</v>
      </c>
      <c r="H624" s="10">
        <f>H623</f>
        <v>0</v>
      </c>
    </row>
    <row r="625" spans="1:8" s="578" customFormat="1" ht="51" customHeight="1" x14ac:dyDescent="0.25">
      <c r="A625" s="572" t="s">
        <v>1357</v>
      </c>
      <c r="B625" s="7" t="s">
        <v>324</v>
      </c>
      <c r="C625" s="72"/>
      <c r="D625" s="72"/>
      <c r="E625" s="72"/>
      <c r="F625" s="72"/>
      <c r="G625" s="59">
        <f>G626</f>
        <v>168</v>
      </c>
      <c r="H625" s="59">
        <f>H626</f>
        <v>117</v>
      </c>
    </row>
    <row r="626" spans="1:8" s="578" customFormat="1" ht="64.5" customHeight="1" x14ac:dyDescent="0.25">
      <c r="A626" s="34" t="s">
        <v>1025</v>
      </c>
      <c r="B626" s="7" t="s">
        <v>934</v>
      </c>
      <c r="C626" s="7"/>
      <c r="D626" s="7"/>
      <c r="E626" s="72"/>
      <c r="F626" s="72"/>
      <c r="G626" s="59">
        <f>G627+G633+G639+G655</f>
        <v>168</v>
      </c>
      <c r="H626" s="59">
        <f>H627+H633+H639+H655</f>
        <v>117</v>
      </c>
    </row>
    <row r="627" spans="1:8" s="578" customFormat="1" ht="15.75" x14ac:dyDescent="0.25">
      <c r="A627" s="45" t="s">
        <v>117</v>
      </c>
      <c r="B627" s="580" t="s">
        <v>934</v>
      </c>
      <c r="C627" s="573" t="s">
        <v>118</v>
      </c>
      <c r="D627" s="573"/>
      <c r="E627" s="2"/>
      <c r="F627" s="2"/>
      <c r="G627" s="10">
        <f t="shared" ref="G627:H630" si="81">G628</f>
        <v>12</v>
      </c>
      <c r="H627" s="10">
        <f t="shared" si="81"/>
        <v>12</v>
      </c>
    </row>
    <row r="628" spans="1:8" s="578" customFormat="1" ht="15.75" x14ac:dyDescent="0.25">
      <c r="A628" s="45" t="s">
        <v>139</v>
      </c>
      <c r="B628" s="580" t="s">
        <v>934</v>
      </c>
      <c r="C628" s="573" t="s">
        <v>118</v>
      </c>
      <c r="D628" s="573" t="s">
        <v>140</v>
      </c>
      <c r="E628" s="2"/>
      <c r="F628" s="2"/>
      <c r="G628" s="10">
        <f t="shared" si="81"/>
        <v>12</v>
      </c>
      <c r="H628" s="10">
        <f t="shared" si="81"/>
        <v>12</v>
      </c>
    </row>
    <row r="629" spans="1:8" s="578" customFormat="1" ht="47.25" x14ac:dyDescent="0.25">
      <c r="A629" s="579" t="s">
        <v>1080</v>
      </c>
      <c r="B629" s="580" t="s">
        <v>1026</v>
      </c>
      <c r="C629" s="573" t="s">
        <v>118</v>
      </c>
      <c r="D629" s="573" t="s">
        <v>140</v>
      </c>
      <c r="E629" s="2"/>
      <c r="F629" s="2"/>
      <c r="G629" s="10">
        <f t="shared" si="81"/>
        <v>12</v>
      </c>
      <c r="H629" s="10">
        <f t="shared" si="81"/>
        <v>12</v>
      </c>
    </row>
    <row r="630" spans="1:8" s="578" customFormat="1" ht="31.5" x14ac:dyDescent="0.25">
      <c r="A630" s="579" t="s">
        <v>198</v>
      </c>
      <c r="B630" s="580" t="s">
        <v>1026</v>
      </c>
      <c r="C630" s="573" t="s">
        <v>118</v>
      </c>
      <c r="D630" s="573" t="s">
        <v>140</v>
      </c>
      <c r="E630" s="2">
        <v>200</v>
      </c>
      <c r="F630" s="2"/>
      <c r="G630" s="10">
        <f t="shared" si="81"/>
        <v>12</v>
      </c>
      <c r="H630" s="10">
        <f t="shared" si="81"/>
        <v>12</v>
      </c>
    </row>
    <row r="631" spans="1:8" s="578" customFormat="1" ht="31.5" x14ac:dyDescent="0.25">
      <c r="A631" s="579" t="s">
        <v>133</v>
      </c>
      <c r="B631" s="580" t="s">
        <v>1026</v>
      </c>
      <c r="C631" s="573" t="s">
        <v>118</v>
      </c>
      <c r="D631" s="573" t="s">
        <v>140</v>
      </c>
      <c r="E631" s="2">
        <v>240</v>
      </c>
      <c r="F631" s="2"/>
      <c r="G631" s="10">
        <f>'Пр.4.1 ведом.23-24 '!G139</f>
        <v>12</v>
      </c>
      <c r="H631" s="10">
        <f>'Пр.4.1 ведом.23-24 '!H139</f>
        <v>12</v>
      </c>
    </row>
    <row r="632" spans="1:8" s="578" customFormat="1" ht="15.75" x14ac:dyDescent="0.25">
      <c r="A632" s="31" t="s">
        <v>148</v>
      </c>
      <c r="B632" s="580" t="s">
        <v>1026</v>
      </c>
      <c r="C632" s="573" t="s">
        <v>118</v>
      </c>
      <c r="D632" s="573" t="s">
        <v>140</v>
      </c>
      <c r="E632" s="2">
        <v>240</v>
      </c>
      <c r="F632" s="663">
        <v>902</v>
      </c>
      <c r="G632" s="10">
        <f>G631</f>
        <v>12</v>
      </c>
      <c r="H632" s="10">
        <f>H631</f>
        <v>12</v>
      </c>
    </row>
    <row r="633" spans="1:8" s="578" customFormat="1" ht="18.75" hidden="1" customHeight="1" x14ac:dyDescent="0.25">
      <c r="A633" s="31" t="s">
        <v>390</v>
      </c>
      <c r="B633" s="573" t="s">
        <v>934</v>
      </c>
      <c r="C633" s="573" t="s">
        <v>234</v>
      </c>
      <c r="D633" s="573"/>
      <c r="E633" s="72"/>
      <c r="F633" s="72"/>
      <c r="G633" s="10">
        <f t="shared" ref="G633:H637" si="82">G634</f>
        <v>0</v>
      </c>
      <c r="H633" s="10">
        <f t="shared" si="82"/>
        <v>0</v>
      </c>
    </row>
    <row r="634" spans="1:8" s="578" customFormat="1" ht="37.5" hidden="1" customHeight="1" x14ac:dyDescent="0.25">
      <c r="A634" s="31" t="s">
        <v>569</v>
      </c>
      <c r="B634" s="573" t="s">
        <v>934</v>
      </c>
      <c r="C634" s="573" t="s">
        <v>234</v>
      </c>
      <c r="D634" s="573" t="s">
        <v>234</v>
      </c>
      <c r="E634" s="72"/>
      <c r="F634" s="72"/>
      <c r="G634" s="10">
        <f t="shared" si="82"/>
        <v>0</v>
      </c>
      <c r="H634" s="10">
        <f t="shared" si="82"/>
        <v>0</v>
      </c>
    </row>
    <row r="635" spans="1:8" s="578" customFormat="1" ht="51.75" hidden="1" customHeight="1" x14ac:dyDescent="0.25">
      <c r="A635" s="31" t="s">
        <v>1080</v>
      </c>
      <c r="B635" s="580" t="s">
        <v>1026</v>
      </c>
      <c r="C635" s="573" t="s">
        <v>234</v>
      </c>
      <c r="D635" s="573" t="s">
        <v>234</v>
      </c>
      <c r="E635" s="72"/>
      <c r="F635" s="72"/>
      <c r="G635" s="10">
        <f t="shared" si="82"/>
        <v>0</v>
      </c>
      <c r="H635" s="10">
        <f t="shared" si="82"/>
        <v>0</v>
      </c>
    </row>
    <row r="636" spans="1:8" s="578" customFormat="1" ht="35.450000000000003" hidden="1" customHeight="1" x14ac:dyDescent="0.25">
      <c r="A636" s="579" t="s">
        <v>131</v>
      </c>
      <c r="B636" s="580" t="s">
        <v>1026</v>
      </c>
      <c r="C636" s="573" t="s">
        <v>234</v>
      </c>
      <c r="D636" s="573" t="s">
        <v>234</v>
      </c>
      <c r="E636" s="2">
        <v>200</v>
      </c>
      <c r="F636" s="72"/>
      <c r="G636" s="10">
        <f t="shared" si="82"/>
        <v>0</v>
      </c>
      <c r="H636" s="10">
        <f t="shared" si="82"/>
        <v>0</v>
      </c>
    </row>
    <row r="637" spans="1:8" s="578" customFormat="1" ht="34.5" hidden="1" customHeight="1" x14ac:dyDescent="0.25">
      <c r="A637" s="579" t="s">
        <v>133</v>
      </c>
      <c r="B637" s="580" t="s">
        <v>1026</v>
      </c>
      <c r="C637" s="573" t="s">
        <v>234</v>
      </c>
      <c r="D637" s="573" t="s">
        <v>234</v>
      </c>
      <c r="E637" s="2">
        <v>240</v>
      </c>
      <c r="F637" s="72"/>
      <c r="G637" s="10">
        <f t="shared" si="82"/>
        <v>0</v>
      </c>
      <c r="H637" s="10">
        <f t="shared" si="82"/>
        <v>0</v>
      </c>
    </row>
    <row r="638" spans="1:8" s="578" customFormat="1" ht="37.35" hidden="1" customHeight="1" x14ac:dyDescent="0.25">
      <c r="A638" s="45" t="s">
        <v>623</v>
      </c>
      <c r="B638" s="580" t="s">
        <v>1026</v>
      </c>
      <c r="C638" s="573" t="s">
        <v>234</v>
      </c>
      <c r="D638" s="573" t="s">
        <v>234</v>
      </c>
      <c r="E638" s="2">
        <v>240</v>
      </c>
      <c r="F638" s="2">
        <v>908</v>
      </c>
      <c r="G638" s="10">
        <f>'Пр.4 ведом.22'!G1144</f>
        <v>0</v>
      </c>
      <c r="H638" s="10">
        <f>'Пр.4 ведом.22'!H1144</f>
        <v>0</v>
      </c>
    </row>
    <row r="639" spans="1:8" s="578" customFormat="1" ht="15.75" x14ac:dyDescent="0.25">
      <c r="A639" s="579" t="s">
        <v>263</v>
      </c>
      <c r="B639" s="573" t="s">
        <v>934</v>
      </c>
      <c r="C639" s="573" t="s">
        <v>264</v>
      </c>
      <c r="D639" s="73"/>
      <c r="E639" s="73"/>
      <c r="F639" s="73"/>
      <c r="G639" s="10">
        <f>G640+G645+G650</f>
        <v>146</v>
      </c>
      <c r="H639" s="10">
        <f>H640+H645+H650</f>
        <v>91</v>
      </c>
    </row>
    <row r="640" spans="1:8" s="578" customFormat="1" ht="15.75" x14ac:dyDescent="0.25">
      <c r="A640" s="579" t="s">
        <v>404</v>
      </c>
      <c r="B640" s="573" t="s">
        <v>934</v>
      </c>
      <c r="C640" s="573" t="s">
        <v>264</v>
      </c>
      <c r="D640" s="573" t="s">
        <v>118</v>
      </c>
      <c r="E640" s="73"/>
      <c r="F640" s="73"/>
      <c r="G640" s="10">
        <f t="shared" ref="G640:H642" si="83">G641</f>
        <v>80</v>
      </c>
      <c r="H640" s="10">
        <f t="shared" si="83"/>
        <v>25</v>
      </c>
    </row>
    <row r="641" spans="1:8" s="578" customFormat="1" ht="47.25" x14ac:dyDescent="0.25">
      <c r="A641" s="31" t="s">
        <v>1081</v>
      </c>
      <c r="B641" s="580" t="s">
        <v>935</v>
      </c>
      <c r="C641" s="573" t="s">
        <v>264</v>
      </c>
      <c r="D641" s="573" t="s">
        <v>118</v>
      </c>
      <c r="E641" s="72"/>
      <c r="F641" s="72"/>
      <c r="G641" s="10">
        <f t="shared" si="83"/>
        <v>80</v>
      </c>
      <c r="H641" s="10">
        <f t="shared" si="83"/>
        <v>25</v>
      </c>
    </row>
    <row r="642" spans="1:8" s="578" customFormat="1" ht="31.5" x14ac:dyDescent="0.25">
      <c r="A642" s="31" t="s">
        <v>272</v>
      </c>
      <c r="B642" s="580" t="s">
        <v>935</v>
      </c>
      <c r="C642" s="573" t="s">
        <v>264</v>
      </c>
      <c r="D642" s="573" t="s">
        <v>118</v>
      </c>
      <c r="E642" s="573" t="s">
        <v>273</v>
      </c>
      <c r="F642" s="72"/>
      <c r="G642" s="10">
        <f t="shared" si="83"/>
        <v>80</v>
      </c>
      <c r="H642" s="10">
        <f t="shared" si="83"/>
        <v>25</v>
      </c>
    </row>
    <row r="643" spans="1:8" s="578" customFormat="1" ht="15.75" x14ac:dyDescent="0.25">
      <c r="A643" s="31" t="s">
        <v>274</v>
      </c>
      <c r="B643" s="580" t="s">
        <v>935</v>
      </c>
      <c r="C643" s="573" t="s">
        <v>264</v>
      </c>
      <c r="D643" s="573" t="s">
        <v>118</v>
      </c>
      <c r="E643" s="573" t="s">
        <v>275</v>
      </c>
      <c r="F643" s="72"/>
      <c r="G643" s="10">
        <f>'Пр.4.1 ведом.23-24 '!G651</f>
        <v>80</v>
      </c>
      <c r="H643" s="10">
        <f>'Пр.4.1 ведом.23-24 '!H651</f>
        <v>25</v>
      </c>
    </row>
    <row r="644" spans="1:8" s="578" customFormat="1" ht="31.5" x14ac:dyDescent="0.25">
      <c r="A644" s="31" t="s">
        <v>403</v>
      </c>
      <c r="B644" s="580" t="s">
        <v>935</v>
      </c>
      <c r="C644" s="573" t="s">
        <v>264</v>
      </c>
      <c r="D644" s="573" t="s">
        <v>118</v>
      </c>
      <c r="E644" s="573" t="s">
        <v>275</v>
      </c>
      <c r="F644" s="2">
        <v>906</v>
      </c>
      <c r="G644" s="10">
        <f>G643</f>
        <v>80</v>
      </c>
      <c r="H644" s="10">
        <f>H643</f>
        <v>25</v>
      </c>
    </row>
    <row r="645" spans="1:8" s="578" customFormat="1" ht="15.75" x14ac:dyDescent="0.25">
      <c r="A645" s="31" t="s">
        <v>425</v>
      </c>
      <c r="B645" s="580" t="s">
        <v>935</v>
      </c>
      <c r="C645" s="573" t="s">
        <v>264</v>
      </c>
      <c r="D645" s="573" t="s">
        <v>213</v>
      </c>
      <c r="E645" s="573"/>
      <c r="F645" s="2"/>
      <c r="G645" s="10">
        <f t="shared" ref="G645:H647" si="84">G646</f>
        <v>60</v>
      </c>
      <c r="H645" s="10">
        <f t="shared" si="84"/>
        <v>60</v>
      </c>
    </row>
    <row r="646" spans="1:8" s="578" customFormat="1" ht="47.25" x14ac:dyDescent="0.25">
      <c r="A646" s="31" t="s">
        <v>1081</v>
      </c>
      <c r="B646" s="580" t="s">
        <v>935</v>
      </c>
      <c r="C646" s="573" t="s">
        <v>264</v>
      </c>
      <c r="D646" s="573" t="s">
        <v>213</v>
      </c>
      <c r="E646" s="573"/>
      <c r="F646" s="2"/>
      <c r="G646" s="10">
        <f t="shared" si="84"/>
        <v>60</v>
      </c>
      <c r="H646" s="10">
        <f t="shared" si="84"/>
        <v>60</v>
      </c>
    </row>
    <row r="647" spans="1:8" s="578" customFormat="1" ht="31.5" x14ac:dyDescent="0.25">
      <c r="A647" s="31" t="s">
        <v>272</v>
      </c>
      <c r="B647" s="580" t="s">
        <v>935</v>
      </c>
      <c r="C647" s="573" t="s">
        <v>264</v>
      </c>
      <c r="D647" s="573" t="s">
        <v>213</v>
      </c>
      <c r="E647" s="573" t="s">
        <v>273</v>
      </c>
      <c r="F647" s="2"/>
      <c r="G647" s="10">
        <f t="shared" si="84"/>
        <v>60</v>
      </c>
      <c r="H647" s="10">
        <f t="shared" si="84"/>
        <v>60</v>
      </c>
    </row>
    <row r="648" spans="1:8" s="578" customFormat="1" ht="15.75" x14ac:dyDescent="0.25">
      <c r="A648" s="31" t="s">
        <v>274</v>
      </c>
      <c r="B648" s="580" t="s">
        <v>935</v>
      </c>
      <c r="C648" s="573" t="s">
        <v>264</v>
      </c>
      <c r="D648" s="573" t="s">
        <v>213</v>
      </c>
      <c r="E648" s="573" t="s">
        <v>275</v>
      </c>
      <c r="F648" s="2"/>
      <c r="G648" s="10">
        <f>'Пр.4.1 ведом.23-24 '!G740</f>
        <v>60</v>
      </c>
      <c r="H648" s="10">
        <f>'Пр.4.1 ведом.23-24 '!H740</f>
        <v>60</v>
      </c>
    </row>
    <row r="649" spans="1:8" s="578" customFormat="1" ht="31.5" x14ac:dyDescent="0.25">
      <c r="A649" s="31" t="s">
        <v>403</v>
      </c>
      <c r="B649" s="580" t="s">
        <v>935</v>
      </c>
      <c r="C649" s="573" t="s">
        <v>264</v>
      </c>
      <c r="D649" s="573" t="s">
        <v>213</v>
      </c>
      <c r="E649" s="573" t="s">
        <v>275</v>
      </c>
      <c r="F649" s="2">
        <v>906</v>
      </c>
      <c r="G649" s="10">
        <f>G648</f>
        <v>60</v>
      </c>
      <c r="H649" s="10">
        <f>H648</f>
        <v>60</v>
      </c>
    </row>
    <row r="650" spans="1:8" s="578" customFormat="1" ht="15.75" x14ac:dyDescent="0.25">
      <c r="A650" s="29" t="s">
        <v>265</v>
      </c>
      <c r="B650" s="573" t="s">
        <v>934</v>
      </c>
      <c r="C650" s="573" t="s">
        <v>264</v>
      </c>
      <c r="D650" s="573" t="s">
        <v>215</v>
      </c>
      <c r="E650" s="573"/>
      <c r="F650" s="73"/>
      <c r="G650" s="10">
        <f t="shared" ref="G650:H652" si="85">G651</f>
        <v>6</v>
      </c>
      <c r="H650" s="10">
        <f t="shared" si="85"/>
        <v>6</v>
      </c>
    </row>
    <row r="651" spans="1:8" s="578" customFormat="1" ht="47.25" x14ac:dyDescent="0.25">
      <c r="A651" s="31" t="s">
        <v>1080</v>
      </c>
      <c r="B651" s="580" t="s">
        <v>1026</v>
      </c>
      <c r="C651" s="573" t="s">
        <v>264</v>
      </c>
      <c r="D651" s="573" t="s">
        <v>215</v>
      </c>
      <c r="E651" s="573"/>
      <c r="F651" s="72"/>
      <c r="G651" s="10">
        <f t="shared" si="85"/>
        <v>6</v>
      </c>
      <c r="H651" s="10">
        <f t="shared" si="85"/>
        <v>6</v>
      </c>
    </row>
    <row r="652" spans="1:8" s="578" customFormat="1" ht="31.5" x14ac:dyDescent="0.25">
      <c r="A652" s="31" t="s">
        <v>272</v>
      </c>
      <c r="B652" s="580" t="s">
        <v>1026</v>
      </c>
      <c r="C652" s="573" t="s">
        <v>264</v>
      </c>
      <c r="D652" s="573" t="s">
        <v>215</v>
      </c>
      <c r="E652" s="573" t="s">
        <v>132</v>
      </c>
      <c r="F652" s="72"/>
      <c r="G652" s="10">
        <f t="shared" si="85"/>
        <v>6</v>
      </c>
      <c r="H652" s="10">
        <f t="shared" si="85"/>
        <v>6</v>
      </c>
    </row>
    <row r="653" spans="1:8" s="578" customFormat="1" ht="15.75" x14ac:dyDescent="0.25">
      <c r="A653" s="31" t="s">
        <v>274</v>
      </c>
      <c r="B653" s="580" t="s">
        <v>1026</v>
      </c>
      <c r="C653" s="573" t="s">
        <v>264</v>
      </c>
      <c r="D653" s="573" t="s">
        <v>215</v>
      </c>
      <c r="E653" s="573" t="s">
        <v>134</v>
      </c>
      <c r="F653" s="72"/>
      <c r="G653" s="10">
        <f>'Пр.4.1 ведом.23-24 '!G336</f>
        <v>6</v>
      </c>
      <c r="H653" s="10">
        <f>'Пр.4.1 ведом.23-24 '!H336</f>
        <v>6</v>
      </c>
    </row>
    <row r="654" spans="1:8" s="578" customFormat="1" ht="47.25" x14ac:dyDescent="0.25">
      <c r="A654" s="45" t="s">
        <v>261</v>
      </c>
      <c r="B654" s="580" t="s">
        <v>1026</v>
      </c>
      <c r="C654" s="573" t="s">
        <v>264</v>
      </c>
      <c r="D654" s="573" t="s">
        <v>215</v>
      </c>
      <c r="E654" s="573" t="s">
        <v>134</v>
      </c>
      <c r="F654" s="2">
        <v>903</v>
      </c>
      <c r="G654" s="10">
        <f>G653</f>
        <v>6</v>
      </c>
      <c r="H654" s="10">
        <f>H653</f>
        <v>6</v>
      </c>
    </row>
    <row r="655" spans="1:8" s="578" customFormat="1" ht="15.75" x14ac:dyDescent="0.25">
      <c r="A655" s="31" t="s">
        <v>298</v>
      </c>
      <c r="B655" s="580" t="s">
        <v>934</v>
      </c>
      <c r="C655" s="573" t="s">
        <v>299</v>
      </c>
      <c r="D655" s="573"/>
      <c r="E655" s="573"/>
      <c r="F655" s="2"/>
      <c r="G655" s="10">
        <f>G656+G661</f>
        <v>10</v>
      </c>
      <c r="H655" s="10">
        <f>H656+H661</f>
        <v>14</v>
      </c>
    </row>
    <row r="656" spans="1:8" s="578" customFormat="1" ht="15.75" x14ac:dyDescent="0.25">
      <c r="A656" s="68" t="s">
        <v>300</v>
      </c>
      <c r="B656" s="580" t="s">
        <v>934</v>
      </c>
      <c r="C656" s="573" t="s">
        <v>299</v>
      </c>
      <c r="D656" s="573" t="s">
        <v>118</v>
      </c>
      <c r="E656" s="573"/>
      <c r="F656" s="2"/>
      <c r="G656" s="10">
        <f t="shared" ref="G656:H658" si="86">G657</f>
        <v>10</v>
      </c>
      <c r="H656" s="10">
        <f t="shared" si="86"/>
        <v>10</v>
      </c>
    </row>
    <row r="657" spans="1:8" s="578" customFormat="1" ht="47.25" x14ac:dyDescent="0.25">
      <c r="A657" s="31" t="s">
        <v>1080</v>
      </c>
      <c r="B657" s="580" t="s">
        <v>1026</v>
      </c>
      <c r="C657" s="573" t="s">
        <v>299</v>
      </c>
      <c r="D657" s="573" t="s">
        <v>118</v>
      </c>
      <c r="E657" s="573"/>
      <c r="F657" s="2"/>
      <c r="G657" s="10">
        <f t="shared" si="86"/>
        <v>10</v>
      </c>
      <c r="H657" s="10">
        <f t="shared" si="86"/>
        <v>10</v>
      </c>
    </row>
    <row r="658" spans="1:8" s="578" customFormat="1" ht="31.5" x14ac:dyDescent="0.25">
      <c r="A658" s="579" t="s">
        <v>131</v>
      </c>
      <c r="B658" s="580" t="s">
        <v>1026</v>
      </c>
      <c r="C658" s="573" t="s">
        <v>299</v>
      </c>
      <c r="D658" s="573" t="s">
        <v>118</v>
      </c>
      <c r="E658" s="573" t="s">
        <v>132</v>
      </c>
      <c r="F658" s="2"/>
      <c r="G658" s="10">
        <f t="shared" si="86"/>
        <v>10</v>
      </c>
      <c r="H658" s="10">
        <f t="shared" si="86"/>
        <v>10</v>
      </c>
    </row>
    <row r="659" spans="1:8" s="578" customFormat="1" ht="31.5" x14ac:dyDescent="0.25">
      <c r="A659" s="579" t="s">
        <v>133</v>
      </c>
      <c r="B659" s="580" t="s">
        <v>1026</v>
      </c>
      <c r="C659" s="573" t="s">
        <v>299</v>
      </c>
      <c r="D659" s="573" t="s">
        <v>118</v>
      </c>
      <c r="E659" s="573" t="s">
        <v>134</v>
      </c>
      <c r="F659" s="2"/>
      <c r="G659" s="10">
        <f>'Пр.4.1 ведом.23-24 '!G427</f>
        <v>10</v>
      </c>
      <c r="H659" s="10">
        <f>'Пр.4.1 ведом.23-24 '!H427</f>
        <v>10</v>
      </c>
    </row>
    <row r="660" spans="1:8" s="578" customFormat="1" ht="47.25" x14ac:dyDescent="0.25">
      <c r="A660" s="45" t="s">
        <v>261</v>
      </c>
      <c r="B660" s="580" t="s">
        <v>1026</v>
      </c>
      <c r="C660" s="573" t="s">
        <v>299</v>
      </c>
      <c r="D660" s="573" t="s">
        <v>118</v>
      </c>
      <c r="E660" s="573" t="s">
        <v>134</v>
      </c>
      <c r="F660" s="2">
        <v>903</v>
      </c>
      <c r="G660" s="10">
        <f>G659</f>
        <v>10</v>
      </c>
      <c r="H660" s="10">
        <f>H659</f>
        <v>10</v>
      </c>
    </row>
    <row r="661" spans="1:8" s="578" customFormat="1" ht="15.75" x14ac:dyDescent="0.25">
      <c r="A661" s="579" t="s">
        <v>333</v>
      </c>
      <c r="B661" s="580" t="s">
        <v>934</v>
      </c>
      <c r="C661" s="573" t="s">
        <v>299</v>
      </c>
      <c r="D661" s="573" t="s">
        <v>150</v>
      </c>
      <c r="E661" s="573"/>
      <c r="F661" s="2"/>
      <c r="G661" s="10">
        <f t="shared" ref="G661:H663" si="87">G662</f>
        <v>0</v>
      </c>
      <c r="H661" s="10">
        <f t="shared" si="87"/>
        <v>4</v>
      </c>
    </row>
    <row r="662" spans="1:8" s="578" customFormat="1" ht="47.25" x14ac:dyDescent="0.25">
      <c r="A662" s="31" t="s">
        <v>1080</v>
      </c>
      <c r="B662" s="580" t="s">
        <v>1026</v>
      </c>
      <c r="C662" s="573" t="s">
        <v>299</v>
      </c>
      <c r="D662" s="573" t="s">
        <v>150</v>
      </c>
      <c r="E662" s="573"/>
      <c r="F662" s="2"/>
      <c r="G662" s="10">
        <f t="shared" si="87"/>
        <v>0</v>
      </c>
      <c r="H662" s="10">
        <f t="shared" si="87"/>
        <v>4</v>
      </c>
    </row>
    <row r="663" spans="1:8" s="578" customFormat="1" ht="31.5" x14ac:dyDescent="0.25">
      <c r="A663" s="579" t="s">
        <v>131</v>
      </c>
      <c r="B663" s="580" t="s">
        <v>1026</v>
      </c>
      <c r="C663" s="573" t="s">
        <v>299</v>
      </c>
      <c r="D663" s="573" t="s">
        <v>150</v>
      </c>
      <c r="E663" s="573" t="s">
        <v>132</v>
      </c>
      <c r="F663" s="2"/>
      <c r="G663" s="10">
        <f t="shared" si="87"/>
        <v>0</v>
      </c>
      <c r="H663" s="10">
        <f t="shared" si="87"/>
        <v>4</v>
      </c>
    </row>
    <row r="664" spans="1:8" s="578" customFormat="1" ht="31.5" x14ac:dyDescent="0.25">
      <c r="A664" s="579" t="s">
        <v>133</v>
      </c>
      <c r="B664" s="580" t="s">
        <v>1026</v>
      </c>
      <c r="C664" s="573" t="s">
        <v>299</v>
      </c>
      <c r="D664" s="573" t="s">
        <v>150</v>
      </c>
      <c r="E664" s="573" t="s">
        <v>134</v>
      </c>
      <c r="F664" s="2"/>
      <c r="G664" s="10">
        <f>'Пр.4.1 ведом.23-24 '!G473</f>
        <v>0</v>
      </c>
      <c r="H664" s="10">
        <f>'Пр.4.1 ведом.23-24 '!H473</f>
        <v>4</v>
      </c>
    </row>
    <row r="665" spans="1:8" s="578" customFormat="1" ht="47.25" x14ac:dyDescent="0.25">
      <c r="A665" s="45" t="s">
        <v>261</v>
      </c>
      <c r="B665" s="580" t="s">
        <v>1026</v>
      </c>
      <c r="C665" s="573" t="s">
        <v>299</v>
      </c>
      <c r="D665" s="573" t="s">
        <v>150</v>
      </c>
      <c r="E665" s="573" t="s">
        <v>134</v>
      </c>
      <c r="F665" s="2">
        <v>903</v>
      </c>
      <c r="G665" s="401">
        <f>G662</f>
        <v>0</v>
      </c>
      <c r="H665" s="401">
        <f>H662</f>
        <v>4</v>
      </c>
    </row>
    <row r="666" spans="1:8" s="578" customFormat="1" ht="15.75" hidden="1" customHeight="1" x14ac:dyDescent="0.25">
      <c r="A666" s="73" t="s">
        <v>490</v>
      </c>
      <c r="B666" s="573" t="s">
        <v>934</v>
      </c>
      <c r="C666" s="573" t="s">
        <v>491</v>
      </c>
      <c r="D666" s="73"/>
      <c r="E666" s="73"/>
      <c r="F666" s="73"/>
      <c r="G666" s="10">
        <f t="shared" ref="G666:H667" si="88">G667</f>
        <v>0</v>
      </c>
      <c r="H666" s="10">
        <f t="shared" si="88"/>
        <v>0</v>
      </c>
    </row>
    <row r="667" spans="1:8" s="578" customFormat="1" ht="15.75" hidden="1" customHeight="1" x14ac:dyDescent="0.25">
      <c r="A667" s="73" t="s">
        <v>492</v>
      </c>
      <c r="B667" s="573" t="s">
        <v>934</v>
      </c>
      <c r="C667" s="573" t="s">
        <v>491</v>
      </c>
      <c r="D667" s="573" t="s">
        <v>118</v>
      </c>
      <c r="E667" s="73"/>
      <c r="F667" s="73"/>
      <c r="G667" s="10">
        <f t="shared" si="88"/>
        <v>0</v>
      </c>
      <c r="H667" s="10">
        <f t="shared" si="88"/>
        <v>0</v>
      </c>
    </row>
    <row r="668" spans="1:8" s="578" customFormat="1" ht="47.25" hidden="1" customHeight="1" x14ac:dyDescent="0.25">
      <c r="A668" s="31" t="s">
        <v>1081</v>
      </c>
      <c r="B668" s="573" t="s">
        <v>935</v>
      </c>
      <c r="C668" s="573" t="s">
        <v>491</v>
      </c>
      <c r="D668" s="573" t="s">
        <v>118</v>
      </c>
      <c r="E668" s="73"/>
      <c r="F668" s="73"/>
      <c r="G668" s="10">
        <f>G669</f>
        <v>0</v>
      </c>
      <c r="H668" s="10">
        <f>H669</f>
        <v>0</v>
      </c>
    </row>
    <row r="669" spans="1:8" s="578" customFormat="1" ht="31.7" hidden="1" customHeight="1" x14ac:dyDescent="0.25">
      <c r="A669" s="579" t="s">
        <v>272</v>
      </c>
      <c r="B669" s="573" t="s">
        <v>935</v>
      </c>
      <c r="C669" s="573" t="s">
        <v>491</v>
      </c>
      <c r="D669" s="573" t="s">
        <v>118</v>
      </c>
      <c r="E669" s="573" t="s">
        <v>273</v>
      </c>
      <c r="F669" s="73"/>
      <c r="G669" s="10">
        <f>G670</f>
        <v>0</v>
      </c>
      <c r="H669" s="10">
        <f>H670</f>
        <v>0</v>
      </c>
    </row>
    <row r="670" spans="1:8" s="578" customFormat="1" ht="15.75" hidden="1" customHeight="1" x14ac:dyDescent="0.25">
      <c r="A670" s="579" t="s">
        <v>274</v>
      </c>
      <c r="B670" s="573" t="s">
        <v>935</v>
      </c>
      <c r="C670" s="573" t="s">
        <v>491</v>
      </c>
      <c r="D670" s="573" t="s">
        <v>118</v>
      </c>
      <c r="E670" s="573" t="s">
        <v>275</v>
      </c>
      <c r="F670" s="73"/>
      <c r="G670" s="10"/>
      <c r="H670" s="10"/>
    </row>
    <row r="671" spans="1:8" s="578" customFormat="1" ht="31.7" hidden="1" customHeight="1" x14ac:dyDescent="0.25">
      <c r="A671" s="45" t="s">
        <v>480</v>
      </c>
      <c r="B671" s="573" t="s">
        <v>935</v>
      </c>
      <c r="C671" s="573" t="s">
        <v>491</v>
      </c>
      <c r="D671" s="573" t="s">
        <v>118</v>
      </c>
      <c r="E671" s="573" t="s">
        <v>275</v>
      </c>
      <c r="F671" s="2">
        <v>907</v>
      </c>
      <c r="G671" s="10">
        <f>G670</f>
        <v>0</v>
      </c>
      <c r="H671" s="10">
        <f>H670</f>
        <v>0</v>
      </c>
    </row>
    <row r="672" spans="1:8" ht="37.5" customHeight="1" x14ac:dyDescent="0.25">
      <c r="A672" s="572" t="s">
        <v>1362</v>
      </c>
      <c r="B672" s="7" t="s">
        <v>543</v>
      </c>
      <c r="C672" s="2"/>
      <c r="D672" s="2"/>
      <c r="E672" s="2"/>
      <c r="F672" s="2"/>
      <c r="G672" s="59">
        <f>G673+G680+G720+G731+G738</f>
        <v>8745.7199999999993</v>
      </c>
      <c r="H672" s="59">
        <f>H673+H680+H720+H731+H738</f>
        <v>8745.7199999999993</v>
      </c>
    </row>
    <row r="673" spans="1:8" ht="47.25" hidden="1" x14ac:dyDescent="0.25">
      <c r="A673" s="494" t="s">
        <v>1430</v>
      </c>
      <c r="B673" s="7" t="s">
        <v>1273</v>
      </c>
      <c r="C673" s="7"/>
      <c r="D673" s="7"/>
      <c r="E673" s="3"/>
      <c r="F673" s="3"/>
      <c r="G673" s="59">
        <f t="shared" ref="G673:H677" si="89">G674</f>
        <v>0</v>
      </c>
      <c r="H673" s="59">
        <f t="shared" si="89"/>
        <v>0</v>
      </c>
    </row>
    <row r="674" spans="1:8" ht="15.75" hidden="1" x14ac:dyDescent="0.25">
      <c r="A674" s="73" t="s">
        <v>390</v>
      </c>
      <c r="B674" s="573" t="s">
        <v>1273</v>
      </c>
      <c r="C674" s="573" t="s">
        <v>234</v>
      </c>
      <c r="D674" s="573"/>
      <c r="E674" s="2"/>
      <c r="F674" s="2"/>
      <c r="G674" s="10">
        <f t="shared" si="89"/>
        <v>0</v>
      </c>
      <c r="H674" s="10">
        <f t="shared" si="89"/>
        <v>0</v>
      </c>
    </row>
    <row r="675" spans="1:8" ht="15.75" hidden="1" x14ac:dyDescent="0.25">
      <c r="A675" s="73" t="s">
        <v>541</v>
      </c>
      <c r="B675" s="573" t="s">
        <v>1273</v>
      </c>
      <c r="C675" s="573" t="s">
        <v>234</v>
      </c>
      <c r="D675" s="573" t="s">
        <v>215</v>
      </c>
      <c r="E675" s="2"/>
      <c r="F675" s="2"/>
      <c r="G675" s="10">
        <f t="shared" si="89"/>
        <v>0</v>
      </c>
      <c r="H675" s="10">
        <f t="shared" si="89"/>
        <v>0</v>
      </c>
    </row>
    <row r="676" spans="1:8" ht="31.5" hidden="1" x14ac:dyDescent="0.25">
      <c r="A676" s="327" t="s">
        <v>1431</v>
      </c>
      <c r="B676" s="580" t="s">
        <v>1419</v>
      </c>
      <c r="C676" s="573" t="s">
        <v>234</v>
      </c>
      <c r="D676" s="573" t="s">
        <v>215</v>
      </c>
      <c r="E676" s="2"/>
      <c r="F676" s="2"/>
      <c r="G676" s="10">
        <f t="shared" si="89"/>
        <v>0</v>
      </c>
      <c r="H676" s="10">
        <f t="shared" si="89"/>
        <v>0</v>
      </c>
    </row>
    <row r="677" spans="1:8" ht="31.5" hidden="1" x14ac:dyDescent="0.25">
      <c r="A677" s="579" t="s">
        <v>131</v>
      </c>
      <c r="B677" s="580" t="s">
        <v>1419</v>
      </c>
      <c r="C677" s="573" t="s">
        <v>234</v>
      </c>
      <c r="D677" s="573" t="s">
        <v>215</v>
      </c>
      <c r="E677" s="2">
        <v>200</v>
      </c>
      <c r="F677" s="2"/>
      <c r="G677" s="10">
        <f t="shared" si="89"/>
        <v>0</v>
      </c>
      <c r="H677" s="10">
        <f t="shared" si="89"/>
        <v>0</v>
      </c>
    </row>
    <row r="678" spans="1:8" ht="31.5" hidden="1" x14ac:dyDescent="0.25">
      <c r="A678" s="579" t="s">
        <v>133</v>
      </c>
      <c r="B678" s="580" t="s">
        <v>1419</v>
      </c>
      <c r="C678" s="573" t="s">
        <v>234</v>
      </c>
      <c r="D678" s="573" t="s">
        <v>215</v>
      </c>
      <c r="E678" s="2">
        <v>240</v>
      </c>
      <c r="F678" s="2"/>
      <c r="G678" s="10">
        <f>'Пр.4 ведом.22'!G1047</f>
        <v>0</v>
      </c>
      <c r="H678" s="10">
        <f>'Пр.4 ведом.22'!H1047</f>
        <v>0</v>
      </c>
    </row>
    <row r="679" spans="1:8" ht="31.5" hidden="1" x14ac:dyDescent="0.25">
      <c r="A679" s="45" t="s">
        <v>623</v>
      </c>
      <c r="B679" s="580" t="s">
        <v>1419</v>
      </c>
      <c r="C679" s="573" t="s">
        <v>234</v>
      </c>
      <c r="D679" s="573" t="s">
        <v>215</v>
      </c>
      <c r="E679" s="2">
        <v>240</v>
      </c>
      <c r="F679" s="2">
        <v>908</v>
      </c>
      <c r="G679" s="10">
        <f>G676</f>
        <v>0</v>
      </c>
      <c r="H679" s="10">
        <f>H676</f>
        <v>0</v>
      </c>
    </row>
    <row r="680" spans="1:8" ht="31.5" x14ac:dyDescent="0.25">
      <c r="A680" s="494" t="s">
        <v>1433</v>
      </c>
      <c r="B680" s="7" t="s">
        <v>1274</v>
      </c>
      <c r="C680" s="573"/>
      <c r="D680" s="573"/>
      <c r="E680" s="2"/>
      <c r="F680" s="2"/>
      <c r="G680" s="59">
        <f>G681</f>
        <v>2248.02</v>
      </c>
      <c r="H680" s="59">
        <f>H681</f>
        <v>2248.02</v>
      </c>
    </row>
    <row r="681" spans="1:8" ht="15.75" x14ac:dyDescent="0.25">
      <c r="A681" s="73" t="s">
        <v>390</v>
      </c>
      <c r="B681" s="573" t="s">
        <v>1274</v>
      </c>
      <c r="C681" s="573"/>
      <c r="D681" s="573"/>
      <c r="E681" s="2"/>
      <c r="F681" s="2"/>
      <c r="G681" s="10">
        <f>G682</f>
        <v>2248.02</v>
      </c>
      <c r="H681" s="10">
        <f>H682</f>
        <v>2248.02</v>
      </c>
    </row>
    <row r="682" spans="1:8" ht="15.75" x14ac:dyDescent="0.25">
      <c r="A682" s="73" t="s">
        <v>541</v>
      </c>
      <c r="B682" s="573" t="s">
        <v>1274</v>
      </c>
      <c r="C682" s="573"/>
      <c r="D682" s="573"/>
      <c r="E682" s="2"/>
      <c r="F682" s="2"/>
      <c r="G682" s="10">
        <f>G683+G687+G697+G701+G705+G712+G716</f>
        <v>2248.02</v>
      </c>
      <c r="H682" s="10">
        <f>H683+H687+H697+H701+H705+H712+H716</f>
        <v>2248.02</v>
      </c>
    </row>
    <row r="683" spans="1:8" ht="15.75" customHeight="1" x14ac:dyDescent="0.25">
      <c r="A683" s="579" t="s">
        <v>546</v>
      </c>
      <c r="B683" s="580" t="s">
        <v>1429</v>
      </c>
      <c r="C683" s="573" t="s">
        <v>234</v>
      </c>
      <c r="D683" s="573" t="s">
        <v>215</v>
      </c>
      <c r="E683" s="2"/>
      <c r="F683" s="2"/>
      <c r="G683" s="10">
        <f t="shared" ref="G683:H684" si="90">G684</f>
        <v>365</v>
      </c>
      <c r="H683" s="10">
        <f t="shared" si="90"/>
        <v>365</v>
      </c>
    </row>
    <row r="684" spans="1:8" ht="41.25" customHeight="1" x14ac:dyDescent="0.25">
      <c r="A684" s="579" t="s">
        <v>131</v>
      </c>
      <c r="B684" s="580" t="s">
        <v>1429</v>
      </c>
      <c r="C684" s="573" t="s">
        <v>234</v>
      </c>
      <c r="D684" s="573" t="s">
        <v>215</v>
      </c>
      <c r="E684" s="2">
        <v>200</v>
      </c>
      <c r="F684" s="2"/>
      <c r="G684" s="10">
        <f t="shared" si="90"/>
        <v>365</v>
      </c>
      <c r="H684" s="10">
        <f t="shared" si="90"/>
        <v>365</v>
      </c>
    </row>
    <row r="685" spans="1:8" ht="31.7" customHeight="1" x14ac:dyDescent="0.25">
      <c r="A685" s="579" t="s">
        <v>133</v>
      </c>
      <c r="B685" s="580" t="s">
        <v>1429</v>
      </c>
      <c r="C685" s="573" t="s">
        <v>234</v>
      </c>
      <c r="D685" s="573" t="s">
        <v>215</v>
      </c>
      <c r="E685" s="2">
        <v>240</v>
      </c>
      <c r="F685" s="2"/>
      <c r="G685" s="10">
        <f>'Пр.4.1 ведом.23-24 '!G1052</f>
        <v>365</v>
      </c>
      <c r="H685" s="10">
        <f>'Пр.4.1 ведом.23-24 '!H1052</f>
        <v>365</v>
      </c>
    </row>
    <row r="686" spans="1:8" ht="31.7" customHeight="1" x14ac:dyDescent="0.25">
      <c r="A686" s="45" t="s">
        <v>623</v>
      </c>
      <c r="B686" s="580" t="s">
        <v>1429</v>
      </c>
      <c r="C686" s="573" t="s">
        <v>234</v>
      </c>
      <c r="D686" s="573" t="s">
        <v>215</v>
      </c>
      <c r="E686" s="2">
        <v>240</v>
      </c>
      <c r="F686" s="2">
        <v>908</v>
      </c>
      <c r="G686" s="10">
        <f>G685</f>
        <v>365</v>
      </c>
      <c r="H686" s="10">
        <f>H685</f>
        <v>365</v>
      </c>
    </row>
    <row r="687" spans="1:8" ht="17.45" customHeight="1" x14ac:dyDescent="0.25">
      <c r="A687" s="579" t="s">
        <v>548</v>
      </c>
      <c r="B687" s="580" t="s">
        <v>1418</v>
      </c>
      <c r="C687" s="573" t="s">
        <v>234</v>
      </c>
      <c r="D687" s="573" t="s">
        <v>215</v>
      </c>
      <c r="E687" s="2"/>
      <c r="F687" s="2"/>
      <c r="G687" s="10">
        <f>G688+G691+G694</f>
        <v>1408.02</v>
      </c>
      <c r="H687" s="10">
        <f>H688+H691+H694</f>
        <v>1408.02</v>
      </c>
    </row>
    <row r="688" spans="1:8" ht="31.5" x14ac:dyDescent="0.25">
      <c r="A688" s="579" t="s">
        <v>131</v>
      </c>
      <c r="B688" s="580" t="s">
        <v>1418</v>
      </c>
      <c r="C688" s="573" t="s">
        <v>234</v>
      </c>
      <c r="D688" s="573" t="s">
        <v>215</v>
      </c>
      <c r="E688" s="2">
        <v>200</v>
      </c>
      <c r="F688" s="2"/>
      <c r="G688" s="10">
        <f t="shared" ref="G688:H688" si="91">G689</f>
        <v>1408.02</v>
      </c>
      <c r="H688" s="10">
        <f t="shared" si="91"/>
        <v>1408.02</v>
      </c>
    </row>
    <row r="689" spans="1:8" ht="31.5" x14ac:dyDescent="0.25">
      <c r="A689" s="579" t="s">
        <v>133</v>
      </c>
      <c r="B689" s="580" t="s">
        <v>1418</v>
      </c>
      <c r="C689" s="573" t="s">
        <v>234</v>
      </c>
      <c r="D689" s="573" t="s">
        <v>215</v>
      </c>
      <c r="E689" s="2">
        <v>240</v>
      </c>
      <c r="F689" s="2"/>
      <c r="G689" s="10">
        <f>'Пр.4.1 ведом.23-24 '!G1055</f>
        <v>1408.02</v>
      </c>
      <c r="H689" s="10">
        <f>'Пр.4.1 ведом.23-24 '!H1055</f>
        <v>1408.02</v>
      </c>
    </row>
    <row r="690" spans="1:8" ht="37.5" customHeight="1" x14ac:dyDescent="0.25">
      <c r="A690" s="45" t="s">
        <v>623</v>
      </c>
      <c r="B690" s="580" t="s">
        <v>1418</v>
      </c>
      <c r="C690" s="573" t="s">
        <v>234</v>
      </c>
      <c r="D690" s="573" t="s">
        <v>215</v>
      </c>
      <c r="E690" s="2">
        <v>240</v>
      </c>
      <c r="F690" s="2">
        <v>908</v>
      </c>
      <c r="G690" s="10">
        <f>G689</f>
        <v>1408.02</v>
      </c>
      <c r="H690" s="10">
        <f>H689</f>
        <v>1408.02</v>
      </c>
    </row>
    <row r="691" spans="1:8" ht="15.75" hidden="1" x14ac:dyDescent="0.25">
      <c r="A691" s="579" t="s">
        <v>135</v>
      </c>
      <c r="B691" s="580" t="s">
        <v>1418</v>
      </c>
      <c r="C691" s="573" t="s">
        <v>234</v>
      </c>
      <c r="D691" s="573" t="s">
        <v>215</v>
      </c>
      <c r="E691" s="2">
        <v>800</v>
      </c>
      <c r="F691" s="2"/>
      <c r="G691" s="10">
        <f>G692</f>
        <v>0</v>
      </c>
      <c r="H691" s="10">
        <f>H692</f>
        <v>0</v>
      </c>
    </row>
    <row r="692" spans="1:8" ht="47.25" hidden="1" x14ac:dyDescent="0.25">
      <c r="A692" s="579" t="s">
        <v>836</v>
      </c>
      <c r="B692" s="580" t="s">
        <v>1418</v>
      </c>
      <c r="C692" s="573" t="s">
        <v>234</v>
      </c>
      <c r="D692" s="573" t="s">
        <v>215</v>
      </c>
      <c r="E692" s="2">
        <v>830</v>
      </c>
      <c r="F692" s="2"/>
      <c r="G692" s="10">
        <f>'Пр.3 Рд,пр, ЦС,ВР 22'!F427</f>
        <v>0</v>
      </c>
      <c r="H692" s="10">
        <f>'Пр.3 Рд,пр, ЦС,ВР 22'!G427</f>
        <v>0</v>
      </c>
    </row>
    <row r="693" spans="1:8" ht="31.5" hidden="1" x14ac:dyDescent="0.25">
      <c r="A693" s="45" t="s">
        <v>623</v>
      </c>
      <c r="B693" s="580" t="s">
        <v>1418</v>
      </c>
      <c r="C693" s="573" t="s">
        <v>234</v>
      </c>
      <c r="D693" s="573" t="s">
        <v>215</v>
      </c>
      <c r="E693" s="2">
        <v>830</v>
      </c>
      <c r="F693" s="2">
        <v>908</v>
      </c>
      <c r="G693" s="10">
        <f>G692</f>
        <v>0</v>
      </c>
      <c r="H693" s="10">
        <f>H692</f>
        <v>0</v>
      </c>
    </row>
    <row r="694" spans="1:8" ht="15.75" hidden="1" x14ac:dyDescent="0.25">
      <c r="A694" s="579" t="s">
        <v>135</v>
      </c>
      <c r="B694" s="580" t="s">
        <v>1418</v>
      </c>
      <c r="C694" s="573" t="s">
        <v>234</v>
      </c>
      <c r="D694" s="573" t="s">
        <v>215</v>
      </c>
      <c r="E694" s="2">
        <v>800</v>
      </c>
      <c r="F694" s="2"/>
      <c r="G694" s="10">
        <f>G695</f>
        <v>0</v>
      </c>
      <c r="H694" s="10">
        <f>H695</f>
        <v>0</v>
      </c>
    </row>
    <row r="695" spans="1:8" ht="15.75" hidden="1" x14ac:dyDescent="0.25">
      <c r="A695" s="579" t="s">
        <v>1077</v>
      </c>
      <c r="B695" s="580" t="s">
        <v>1418</v>
      </c>
      <c r="C695" s="573" t="s">
        <v>234</v>
      </c>
      <c r="D695" s="573" t="s">
        <v>215</v>
      </c>
      <c r="E695" s="2">
        <v>850</v>
      </c>
      <c r="F695" s="2"/>
      <c r="G695" s="10">
        <f>'Пр.3 Рд,пр, ЦС,ВР 22'!F428</f>
        <v>0</v>
      </c>
      <c r="H695" s="10">
        <f>'Пр.3 Рд,пр, ЦС,ВР 22'!G428</f>
        <v>0</v>
      </c>
    </row>
    <row r="696" spans="1:8" ht="31.5" hidden="1" x14ac:dyDescent="0.25">
      <c r="A696" s="45" t="s">
        <v>623</v>
      </c>
      <c r="B696" s="580" t="s">
        <v>1418</v>
      </c>
      <c r="C696" s="573" t="s">
        <v>234</v>
      </c>
      <c r="D696" s="573" t="s">
        <v>215</v>
      </c>
      <c r="E696" s="2">
        <v>850</v>
      </c>
      <c r="F696" s="2">
        <v>908</v>
      </c>
      <c r="G696" s="10">
        <f>G695</f>
        <v>0</v>
      </c>
      <c r="H696" s="10">
        <f>H695</f>
        <v>0</v>
      </c>
    </row>
    <row r="697" spans="1:8" ht="15.75" hidden="1" x14ac:dyDescent="0.25">
      <c r="A697" s="579" t="s">
        <v>550</v>
      </c>
      <c r="B697" s="580" t="s">
        <v>1298</v>
      </c>
      <c r="C697" s="573" t="s">
        <v>234</v>
      </c>
      <c r="D697" s="573" t="s">
        <v>215</v>
      </c>
      <c r="E697" s="2"/>
      <c r="F697" s="2"/>
      <c r="G697" s="10">
        <f t="shared" ref="G697:H697" si="92">G698</f>
        <v>0</v>
      </c>
      <c r="H697" s="10">
        <f t="shared" si="92"/>
        <v>0</v>
      </c>
    </row>
    <row r="698" spans="1:8" ht="31.5" hidden="1" x14ac:dyDescent="0.25">
      <c r="A698" s="579" t="s">
        <v>131</v>
      </c>
      <c r="B698" s="580" t="s">
        <v>1298</v>
      </c>
      <c r="C698" s="573" t="s">
        <v>234</v>
      </c>
      <c r="D698" s="573" t="s">
        <v>215</v>
      </c>
      <c r="E698" s="2">
        <v>200</v>
      </c>
      <c r="F698" s="2"/>
      <c r="G698" s="10">
        <f>G699</f>
        <v>0</v>
      </c>
      <c r="H698" s="10">
        <f>H699</f>
        <v>0</v>
      </c>
    </row>
    <row r="699" spans="1:8" ht="31.5" hidden="1" x14ac:dyDescent="0.25">
      <c r="A699" s="579" t="s">
        <v>133</v>
      </c>
      <c r="B699" s="580" t="s">
        <v>1298</v>
      </c>
      <c r="C699" s="573" t="s">
        <v>234</v>
      </c>
      <c r="D699" s="573" t="s">
        <v>215</v>
      </c>
      <c r="E699" s="2">
        <v>240</v>
      </c>
      <c r="F699" s="2"/>
      <c r="G699" s="10">
        <f>'Пр.4 ведом.22'!G1060</f>
        <v>0</v>
      </c>
      <c r="H699" s="10">
        <f>'Пр.4 ведом.22'!H1060</f>
        <v>0</v>
      </c>
    </row>
    <row r="700" spans="1:8" ht="37.5" hidden="1" customHeight="1" x14ac:dyDescent="0.25">
      <c r="A700" s="45" t="s">
        <v>623</v>
      </c>
      <c r="B700" s="580" t="s">
        <v>1298</v>
      </c>
      <c r="C700" s="573" t="s">
        <v>234</v>
      </c>
      <c r="D700" s="573" t="s">
        <v>215</v>
      </c>
      <c r="E700" s="2">
        <v>240</v>
      </c>
      <c r="F700" s="2">
        <v>908</v>
      </c>
      <c r="G700" s="10">
        <f>G699</f>
        <v>0</v>
      </c>
      <c r="H700" s="10">
        <f>H699</f>
        <v>0</v>
      </c>
    </row>
    <row r="701" spans="1:8" ht="15.75" x14ac:dyDescent="0.25">
      <c r="A701" s="579" t="s">
        <v>555</v>
      </c>
      <c r="B701" s="580" t="s">
        <v>1275</v>
      </c>
      <c r="C701" s="573" t="s">
        <v>234</v>
      </c>
      <c r="D701" s="573" t="s">
        <v>215</v>
      </c>
      <c r="E701" s="2"/>
      <c r="F701" s="2"/>
      <c r="G701" s="10">
        <f t="shared" ref="G701:H702" si="93">G702</f>
        <v>50</v>
      </c>
      <c r="H701" s="10">
        <f t="shared" si="93"/>
        <v>50</v>
      </c>
    </row>
    <row r="702" spans="1:8" ht="31.5" x14ac:dyDescent="0.25">
      <c r="A702" s="579" t="s">
        <v>131</v>
      </c>
      <c r="B702" s="580" t="s">
        <v>1275</v>
      </c>
      <c r="C702" s="573" t="s">
        <v>234</v>
      </c>
      <c r="D702" s="573" t="s">
        <v>215</v>
      </c>
      <c r="E702" s="2">
        <v>200</v>
      </c>
      <c r="F702" s="2"/>
      <c r="G702" s="10">
        <f t="shared" si="93"/>
        <v>50</v>
      </c>
      <c r="H702" s="10">
        <f t="shared" si="93"/>
        <v>50</v>
      </c>
    </row>
    <row r="703" spans="1:8" ht="31.5" x14ac:dyDescent="0.25">
      <c r="A703" s="579" t="s">
        <v>133</v>
      </c>
      <c r="B703" s="580" t="s">
        <v>1275</v>
      </c>
      <c r="C703" s="573" t="s">
        <v>234</v>
      </c>
      <c r="D703" s="573" t="s">
        <v>215</v>
      </c>
      <c r="E703" s="2">
        <v>240</v>
      </c>
      <c r="F703" s="2"/>
      <c r="G703" s="10">
        <f>'Пр.4.1 ведом.23-24 '!G1064</f>
        <v>50</v>
      </c>
      <c r="H703" s="10">
        <f>'Пр.4.1 ведом.23-24 '!H1064</f>
        <v>50</v>
      </c>
    </row>
    <row r="704" spans="1:8" ht="39.200000000000003" customHeight="1" x14ac:dyDescent="0.25">
      <c r="A704" s="45" t="s">
        <v>623</v>
      </c>
      <c r="B704" s="580" t="s">
        <v>1275</v>
      </c>
      <c r="C704" s="573" t="s">
        <v>234</v>
      </c>
      <c r="D704" s="573" t="s">
        <v>215</v>
      </c>
      <c r="E704" s="2">
        <v>240</v>
      </c>
      <c r="F704" s="2">
        <v>908</v>
      </c>
      <c r="G704" s="10">
        <f>G703</f>
        <v>50</v>
      </c>
      <c r="H704" s="10">
        <f>H703</f>
        <v>50</v>
      </c>
    </row>
    <row r="705" spans="1:8" ht="31.5" x14ac:dyDescent="0.25">
      <c r="A705" s="325" t="s">
        <v>1432</v>
      </c>
      <c r="B705" s="580" t="s">
        <v>1276</v>
      </c>
      <c r="C705" s="573" t="s">
        <v>234</v>
      </c>
      <c r="D705" s="573" t="s">
        <v>215</v>
      </c>
      <c r="E705" s="2"/>
      <c r="F705" s="2"/>
      <c r="G705" s="10">
        <f>G706+G709</f>
        <v>375</v>
      </c>
      <c r="H705" s="10">
        <f>H706+H709</f>
        <v>375</v>
      </c>
    </row>
    <row r="706" spans="1:8" ht="31.5" x14ac:dyDescent="0.25">
      <c r="A706" s="579" t="s">
        <v>131</v>
      </c>
      <c r="B706" s="580" t="s">
        <v>1276</v>
      </c>
      <c r="C706" s="573" t="s">
        <v>234</v>
      </c>
      <c r="D706" s="573" t="s">
        <v>215</v>
      </c>
      <c r="E706" s="2">
        <v>200</v>
      </c>
      <c r="F706" s="2"/>
      <c r="G706" s="10">
        <f t="shared" ref="G706:H706" si="94">G707</f>
        <v>375</v>
      </c>
      <c r="H706" s="10">
        <f t="shared" si="94"/>
        <v>375</v>
      </c>
    </row>
    <row r="707" spans="1:8" ht="31.5" x14ac:dyDescent="0.25">
      <c r="A707" s="579" t="s">
        <v>133</v>
      </c>
      <c r="B707" s="580" t="s">
        <v>1276</v>
      </c>
      <c r="C707" s="573" t="s">
        <v>234</v>
      </c>
      <c r="D707" s="573" t="s">
        <v>215</v>
      </c>
      <c r="E707" s="2">
        <v>240</v>
      </c>
      <c r="F707" s="2"/>
      <c r="G707" s="10">
        <f>'Пр.4.1 ведом.23-24 '!G1067</f>
        <v>375</v>
      </c>
      <c r="H707" s="10">
        <f>'Пр.4.1 ведом.23-24 '!H1067</f>
        <v>375</v>
      </c>
    </row>
    <row r="708" spans="1:8" ht="42" customHeight="1" x14ac:dyDescent="0.25">
      <c r="A708" s="45" t="s">
        <v>623</v>
      </c>
      <c r="B708" s="580" t="s">
        <v>1276</v>
      </c>
      <c r="C708" s="573" t="s">
        <v>234</v>
      </c>
      <c r="D708" s="573" t="s">
        <v>215</v>
      </c>
      <c r="E708" s="2">
        <v>240</v>
      </c>
      <c r="F708" s="2">
        <v>908</v>
      </c>
      <c r="G708" s="10">
        <f>G707</f>
        <v>375</v>
      </c>
      <c r="H708" s="10">
        <f>H707</f>
        <v>375</v>
      </c>
    </row>
    <row r="709" spans="1:8" ht="15.75" hidden="1" x14ac:dyDescent="0.25">
      <c r="A709" s="29" t="s">
        <v>135</v>
      </c>
      <c r="B709" s="580" t="s">
        <v>1276</v>
      </c>
      <c r="C709" s="573" t="s">
        <v>234</v>
      </c>
      <c r="D709" s="573" t="s">
        <v>215</v>
      </c>
      <c r="E709" s="2">
        <v>800</v>
      </c>
      <c r="F709" s="2"/>
      <c r="G709" s="10">
        <f>G710</f>
        <v>0</v>
      </c>
      <c r="H709" s="10">
        <f>H710</f>
        <v>0</v>
      </c>
    </row>
    <row r="710" spans="1:8" ht="15.75" hidden="1" x14ac:dyDescent="0.25">
      <c r="A710" s="579" t="s">
        <v>704</v>
      </c>
      <c r="B710" s="580" t="s">
        <v>1276</v>
      </c>
      <c r="C710" s="573" t="s">
        <v>234</v>
      </c>
      <c r="D710" s="573" t="s">
        <v>215</v>
      </c>
      <c r="E710" s="2">
        <v>850</v>
      </c>
      <c r="F710" s="2"/>
      <c r="G710" s="10">
        <f>'Пр.4 ведом.22'!G1068</f>
        <v>0</v>
      </c>
      <c r="H710" s="10">
        <f>'Пр.4 ведом.22'!H1068</f>
        <v>0</v>
      </c>
    </row>
    <row r="711" spans="1:8" ht="31.5" x14ac:dyDescent="0.25">
      <c r="A711" s="45" t="s">
        <v>623</v>
      </c>
      <c r="B711" s="580" t="s">
        <v>1276</v>
      </c>
      <c r="C711" s="573" t="s">
        <v>234</v>
      </c>
      <c r="D711" s="573" t="s">
        <v>215</v>
      </c>
      <c r="E711" s="2">
        <v>850</v>
      </c>
      <c r="F711" s="2">
        <v>908</v>
      </c>
      <c r="G711" s="10">
        <f>G710</f>
        <v>0</v>
      </c>
      <c r="H711" s="10">
        <f>H710</f>
        <v>0</v>
      </c>
    </row>
    <row r="712" spans="1:8" ht="15.75" hidden="1" customHeight="1" x14ac:dyDescent="0.25">
      <c r="A712" s="45" t="s">
        <v>559</v>
      </c>
      <c r="B712" s="580" t="s">
        <v>1277</v>
      </c>
      <c r="C712" s="573" t="s">
        <v>234</v>
      </c>
      <c r="D712" s="573" t="s">
        <v>215</v>
      </c>
      <c r="E712" s="2"/>
      <c r="F712" s="2"/>
      <c r="G712" s="10">
        <f t="shared" ref="G712:H713" si="95">G713</f>
        <v>0</v>
      </c>
      <c r="H712" s="10">
        <f t="shared" si="95"/>
        <v>0</v>
      </c>
    </row>
    <row r="713" spans="1:8" ht="31.7" hidden="1" customHeight="1" x14ac:dyDescent="0.25">
      <c r="A713" s="579" t="s">
        <v>131</v>
      </c>
      <c r="B713" s="580" t="s">
        <v>1277</v>
      </c>
      <c r="C713" s="573" t="s">
        <v>234</v>
      </c>
      <c r="D713" s="573" t="s">
        <v>215</v>
      </c>
      <c r="E713" s="2">
        <v>200</v>
      </c>
      <c r="F713" s="2"/>
      <c r="G713" s="10">
        <f t="shared" si="95"/>
        <v>0</v>
      </c>
      <c r="H713" s="10">
        <f t="shared" si="95"/>
        <v>0</v>
      </c>
    </row>
    <row r="714" spans="1:8" ht="31.7" hidden="1" customHeight="1" x14ac:dyDescent="0.25">
      <c r="A714" s="579" t="s">
        <v>133</v>
      </c>
      <c r="B714" s="580" t="s">
        <v>1277</v>
      </c>
      <c r="C714" s="573" t="s">
        <v>234</v>
      </c>
      <c r="D714" s="573" t="s">
        <v>215</v>
      </c>
      <c r="E714" s="2">
        <v>240</v>
      </c>
      <c r="F714" s="2"/>
      <c r="G714" s="10">
        <f>'Пр.3 Рд,пр, ЦС,ВР 22'!F442</f>
        <v>0</v>
      </c>
      <c r="H714" s="10">
        <f>'Пр.3 Рд,пр, ЦС,ВР 22'!G442</f>
        <v>0</v>
      </c>
    </row>
    <row r="715" spans="1:8" ht="31.5" hidden="1" x14ac:dyDescent="0.25">
      <c r="A715" s="45" t="s">
        <v>623</v>
      </c>
      <c r="B715" s="580" t="s">
        <v>1277</v>
      </c>
      <c r="C715" s="573" t="s">
        <v>234</v>
      </c>
      <c r="D715" s="573" t="s">
        <v>215</v>
      </c>
      <c r="E715" s="2">
        <v>850</v>
      </c>
      <c r="F715" s="2">
        <v>908</v>
      </c>
      <c r="G715" s="10">
        <f>G714</f>
        <v>0</v>
      </c>
      <c r="H715" s="10">
        <f>H714</f>
        <v>0</v>
      </c>
    </row>
    <row r="716" spans="1:8" ht="31.5" x14ac:dyDescent="0.25">
      <c r="A716" s="229" t="s">
        <v>1088</v>
      </c>
      <c r="B716" s="580" t="s">
        <v>1278</v>
      </c>
      <c r="C716" s="573" t="s">
        <v>234</v>
      </c>
      <c r="D716" s="573" t="s">
        <v>215</v>
      </c>
      <c r="E716" s="2"/>
      <c r="F716" s="2"/>
      <c r="G716" s="10">
        <f>G717</f>
        <v>50</v>
      </c>
      <c r="H716" s="10">
        <f>H717</f>
        <v>50</v>
      </c>
    </row>
    <row r="717" spans="1:8" ht="31.5" x14ac:dyDescent="0.25">
      <c r="A717" s="579" t="s">
        <v>131</v>
      </c>
      <c r="B717" s="580" t="s">
        <v>1278</v>
      </c>
      <c r="C717" s="573" t="s">
        <v>234</v>
      </c>
      <c r="D717" s="573" t="s">
        <v>215</v>
      </c>
      <c r="E717" s="2">
        <v>200</v>
      </c>
      <c r="F717" s="2"/>
      <c r="G717" s="10">
        <f>G718</f>
        <v>50</v>
      </c>
      <c r="H717" s="10">
        <f>H718</f>
        <v>50</v>
      </c>
    </row>
    <row r="718" spans="1:8" ht="31.5" x14ac:dyDescent="0.25">
      <c r="A718" s="579" t="s">
        <v>133</v>
      </c>
      <c r="B718" s="580" t="s">
        <v>1278</v>
      </c>
      <c r="C718" s="573" t="s">
        <v>234</v>
      </c>
      <c r="D718" s="573" t="s">
        <v>215</v>
      </c>
      <c r="E718" s="2">
        <v>240</v>
      </c>
      <c r="F718" s="2"/>
      <c r="G718" s="10">
        <f>'Пр.4.1 ведом.23-24 '!G1075</f>
        <v>50</v>
      </c>
      <c r="H718" s="10">
        <f>'Пр.4.1 ведом.23-24 '!H1075</f>
        <v>50</v>
      </c>
    </row>
    <row r="719" spans="1:8" ht="36.75" customHeight="1" x14ac:dyDescent="0.25">
      <c r="A719" s="45" t="s">
        <v>623</v>
      </c>
      <c r="B719" s="580" t="s">
        <v>1278</v>
      </c>
      <c r="C719" s="573" t="s">
        <v>234</v>
      </c>
      <c r="D719" s="573" t="s">
        <v>215</v>
      </c>
      <c r="E719" s="2">
        <v>240</v>
      </c>
      <c r="F719" s="2">
        <v>908</v>
      </c>
      <c r="G719" s="10">
        <f>G718</f>
        <v>50</v>
      </c>
      <c r="H719" s="10">
        <f>H718</f>
        <v>50</v>
      </c>
    </row>
    <row r="720" spans="1:8" ht="31.5" x14ac:dyDescent="0.25">
      <c r="A720" s="494" t="s">
        <v>891</v>
      </c>
      <c r="B720" s="495" t="s">
        <v>1296</v>
      </c>
      <c r="C720" s="7"/>
      <c r="D720" s="7"/>
      <c r="E720" s="3"/>
      <c r="F720" s="3"/>
      <c r="G720" s="59">
        <f>G721</f>
        <v>2145.8000000000002</v>
      </c>
      <c r="H720" s="59">
        <f>H721</f>
        <v>2145.8000000000002</v>
      </c>
    </row>
    <row r="721" spans="1:8" ht="15.75" x14ac:dyDescent="0.25">
      <c r="A721" s="73" t="s">
        <v>390</v>
      </c>
      <c r="B721" s="580" t="s">
        <v>1296</v>
      </c>
      <c r="C721" s="573" t="s">
        <v>234</v>
      </c>
      <c r="D721" s="573"/>
      <c r="E721" s="2"/>
      <c r="F721" s="2"/>
      <c r="G721" s="10">
        <f t="shared" ref="G721:H721" si="96">G722</f>
        <v>2145.8000000000002</v>
      </c>
      <c r="H721" s="10">
        <f t="shared" si="96"/>
        <v>2145.8000000000002</v>
      </c>
    </row>
    <row r="722" spans="1:8" ht="15.75" x14ac:dyDescent="0.25">
      <c r="A722" s="73" t="s">
        <v>541</v>
      </c>
      <c r="B722" s="580" t="s">
        <v>1296</v>
      </c>
      <c r="C722" s="573" t="s">
        <v>234</v>
      </c>
      <c r="D722" s="573" t="s">
        <v>215</v>
      </c>
      <c r="E722" s="2"/>
      <c r="F722" s="2"/>
      <c r="G722" s="10">
        <f>G723+G727</f>
        <v>2145.8000000000002</v>
      </c>
      <c r="H722" s="10">
        <f>H723+H727</f>
        <v>2145.8000000000002</v>
      </c>
    </row>
    <row r="723" spans="1:8" ht="31.5" hidden="1" x14ac:dyDescent="0.25">
      <c r="A723" s="579" t="s">
        <v>690</v>
      </c>
      <c r="B723" s="580" t="s">
        <v>1327</v>
      </c>
      <c r="C723" s="573" t="s">
        <v>234</v>
      </c>
      <c r="D723" s="573" t="s">
        <v>215</v>
      </c>
      <c r="E723" s="2"/>
      <c r="F723" s="2"/>
      <c r="G723" s="10">
        <f>G724</f>
        <v>0</v>
      </c>
      <c r="H723" s="10">
        <f>H724</f>
        <v>0</v>
      </c>
    </row>
    <row r="724" spans="1:8" ht="31.5" hidden="1" x14ac:dyDescent="0.25">
      <c r="A724" s="579" t="s">
        <v>131</v>
      </c>
      <c r="B724" s="580" t="s">
        <v>1327</v>
      </c>
      <c r="C724" s="573" t="s">
        <v>234</v>
      </c>
      <c r="D724" s="573" t="s">
        <v>215</v>
      </c>
      <c r="E724" s="580" t="s">
        <v>132</v>
      </c>
      <c r="F724" s="2"/>
      <c r="G724" s="10">
        <f>G725</f>
        <v>0</v>
      </c>
      <c r="H724" s="10">
        <f>H725</f>
        <v>0</v>
      </c>
    </row>
    <row r="725" spans="1:8" ht="31.5" hidden="1" x14ac:dyDescent="0.25">
      <c r="A725" s="579" t="s">
        <v>133</v>
      </c>
      <c r="B725" s="580" t="s">
        <v>1327</v>
      </c>
      <c r="C725" s="573" t="s">
        <v>234</v>
      </c>
      <c r="D725" s="573" t="s">
        <v>215</v>
      </c>
      <c r="E725" s="580" t="s">
        <v>134</v>
      </c>
      <c r="F725" s="2"/>
      <c r="G725" s="10">
        <f>'Пр.3 Рд,пр, ЦС,ВР 22'!F449</f>
        <v>0</v>
      </c>
      <c r="H725" s="10">
        <f>'Пр.3 Рд,пр, ЦС,ВР 22'!G449</f>
        <v>0</v>
      </c>
    </row>
    <row r="726" spans="1:8" ht="31.5" hidden="1" x14ac:dyDescent="0.25">
      <c r="A726" s="45" t="s">
        <v>623</v>
      </c>
      <c r="B726" s="580" t="s">
        <v>1327</v>
      </c>
      <c r="C726" s="573" t="s">
        <v>234</v>
      </c>
      <c r="D726" s="573" t="s">
        <v>215</v>
      </c>
      <c r="E726" s="580" t="s">
        <v>134</v>
      </c>
      <c r="F726" s="2">
        <v>908</v>
      </c>
      <c r="G726" s="10">
        <f>G725</f>
        <v>0</v>
      </c>
      <c r="H726" s="10">
        <f>H725</f>
        <v>0</v>
      </c>
    </row>
    <row r="727" spans="1:8" ht="63" x14ac:dyDescent="0.25">
      <c r="A727" s="579" t="s">
        <v>1070</v>
      </c>
      <c r="B727" s="580" t="s">
        <v>1295</v>
      </c>
      <c r="C727" s="573" t="s">
        <v>234</v>
      </c>
      <c r="D727" s="573" t="s">
        <v>215</v>
      </c>
      <c r="E727" s="580"/>
      <c r="F727" s="2"/>
      <c r="G727" s="10">
        <f>G728</f>
        <v>2145.8000000000002</v>
      </c>
      <c r="H727" s="10">
        <f>H728</f>
        <v>2145.8000000000002</v>
      </c>
    </row>
    <row r="728" spans="1:8" ht="31.5" x14ac:dyDescent="0.25">
      <c r="A728" s="579" t="s">
        <v>131</v>
      </c>
      <c r="B728" s="580" t="s">
        <v>1295</v>
      </c>
      <c r="C728" s="573" t="s">
        <v>234</v>
      </c>
      <c r="D728" s="573" t="s">
        <v>215</v>
      </c>
      <c r="E728" s="580" t="s">
        <v>132</v>
      </c>
      <c r="F728" s="2"/>
      <c r="G728" s="10">
        <f>G729</f>
        <v>2145.8000000000002</v>
      </c>
      <c r="H728" s="10">
        <f>H729</f>
        <v>2145.8000000000002</v>
      </c>
    </row>
    <row r="729" spans="1:8" ht="31.5" x14ac:dyDescent="0.25">
      <c r="A729" s="579" t="s">
        <v>133</v>
      </c>
      <c r="B729" s="580" t="s">
        <v>1295</v>
      </c>
      <c r="C729" s="573" t="s">
        <v>234</v>
      </c>
      <c r="D729" s="573" t="s">
        <v>215</v>
      </c>
      <c r="E729" s="580" t="s">
        <v>134</v>
      </c>
      <c r="F729" s="2"/>
      <c r="G729" s="10">
        <f>'Пр.4.1 ведом.23-24 '!G1082</f>
        <v>2145.8000000000002</v>
      </c>
      <c r="H729" s="10">
        <f>'Пр.4.1 ведом.23-24 '!H1082</f>
        <v>2145.8000000000002</v>
      </c>
    </row>
    <row r="730" spans="1:8" ht="38.25" customHeight="1" x14ac:dyDescent="0.25">
      <c r="A730" s="45" t="s">
        <v>623</v>
      </c>
      <c r="B730" s="580" t="s">
        <v>1295</v>
      </c>
      <c r="C730" s="573" t="s">
        <v>234</v>
      </c>
      <c r="D730" s="573" t="s">
        <v>215</v>
      </c>
      <c r="E730" s="580" t="s">
        <v>134</v>
      </c>
      <c r="F730" s="2">
        <v>908</v>
      </c>
      <c r="G730" s="10">
        <f>G729</f>
        <v>2145.8000000000002</v>
      </c>
      <c r="H730" s="10">
        <f>H729</f>
        <v>2145.8000000000002</v>
      </c>
    </row>
    <row r="731" spans="1:8" ht="31.5" hidden="1" x14ac:dyDescent="0.25">
      <c r="A731" s="34" t="s">
        <v>1651</v>
      </c>
      <c r="B731" s="495" t="s">
        <v>1652</v>
      </c>
      <c r="C731" s="7"/>
      <c r="D731" s="7"/>
      <c r="E731" s="495"/>
      <c r="F731" s="3"/>
      <c r="G731" s="59">
        <f t="shared" ref="G731:H735" si="97">G732</f>
        <v>0</v>
      </c>
      <c r="H731" s="59">
        <f t="shared" si="97"/>
        <v>0</v>
      </c>
    </row>
    <row r="732" spans="1:8" ht="15.75" hidden="1" x14ac:dyDescent="0.25">
      <c r="A732" s="73" t="s">
        <v>390</v>
      </c>
      <c r="B732" s="580" t="s">
        <v>1652</v>
      </c>
      <c r="C732" s="573" t="s">
        <v>234</v>
      </c>
      <c r="D732" s="573"/>
      <c r="E732" s="580"/>
      <c r="F732" s="2"/>
      <c r="G732" s="10">
        <f t="shared" si="97"/>
        <v>0</v>
      </c>
      <c r="H732" s="10">
        <f t="shared" si="97"/>
        <v>0</v>
      </c>
    </row>
    <row r="733" spans="1:8" ht="15.75" hidden="1" x14ac:dyDescent="0.25">
      <c r="A733" s="73" t="s">
        <v>541</v>
      </c>
      <c r="B733" s="580" t="s">
        <v>1652</v>
      </c>
      <c r="C733" s="573" t="s">
        <v>234</v>
      </c>
      <c r="D733" s="573" t="s">
        <v>215</v>
      </c>
      <c r="E733" s="580"/>
      <c r="F733" s="2"/>
      <c r="G733" s="10">
        <f t="shared" si="97"/>
        <v>0</v>
      </c>
      <c r="H733" s="10">
        <f t="shared" si="97"/>
        <v>0</v>
      </c>
    </row>
    <row r="734" spans="1:8" ht="31.5" hidden="1" x14ac:dyDescent="0.25">
      <c r="A734" s="31" t="s">
        <v>1650</v>
      </c>
      <c r="B734" s="580" t="s">
        <v>1653</v>
      </c>
      <c r="C734" s="573" t="s">
        <v>234</v>
      </c>
      <c r="D734" s="573" t="s">
        <v>215</v>
      </c>
      <c r="E734" s="580"/>
      <c r="F734" s="2"/>
      <c r="G734" s="10">
        <f t="shared" si="97"/>
        <v>0</v>
      </c>
      <c r="H734" s="10">
        <f t="shared" si="97"/>
        <v>0</v>
      </c>
    </row>
    <row r="735" spans="1:8" ht="31.5" hidden="1" x14ac:dyDescent="0.25">
      <c r="A735" s="579" t="s">
        <v>131</v>
      </c>
      <c r="B735" s="580" t="s">
        <v>1653</v>
      </c>
      <c r="C735" s="573" t="s">
        <v>234</v>
      </c>
      <c r="D735" s="573" t="s">
        <v>215</v>
      </c>
      <c r="E735" s="580" t="s">
        <v>132</v>
      </c>
      <c r="F735" s="2"/>
      <c r="G735" s="10">
        <f t="shared" si="97"/>
        <v>0</v>
      </c>
      <c r="H735" s="10">
        <f t="shared" si="97"/>
        <v>0</v>
      </c>
    </row>
    <row r="736" spans="1:8" ht="31.5" hidden="1" x14ac:dyDescent="0.25">
      <c r="A736" s="579" t="s">
        <v>133</v>
      </c>
      <c r="B736" s="580" t="s">
        <v>1653</v>
      </c>
      <c r="C736" s="573" t="s">
        <v>234</v>
      </c>
      <c r="D736" s="573" t="s">
        <v>215</v>
      </c>
      <c r="E736" s="580" t="s">
        <v>134</v>
      </c>
      <c r="F736" s="2"/>
      <c r="G736" s="10">
        <f>'Пр.4 ведом.22'!G1085</f>
        <v>0</v>
      </c>
      <c r="H736" s="10">
        <f>'Пр.4 ведом.22'!H1085</f>
        <v>0</v>
      </c>
    </row>
    <row r="737" spans="1:8" ht="31.5" hidden="1" x14ac:dyDescent="0.25">
      <c r="A737" s="45" t="s">
        <v>623</v>
      </c>
      <c r="B737" s="580" t="s">
        <v>1653</v>
      </c>
      <c r="C737" s="573" t="s">
        <v>234</v>
      </c>
      <c r="D737" s="573" t="s">
        <v>215</v>
      </c>
      <c r="E737" s="580" t="s">
        <v>134</v>
      </c>
      <c r="F737" s="2">
        <v>908</v>
      </c>
      <c r="G737" s="10">
        <f>G736</f>
        <v>0</v>
      </c>
      <c r="H737" s="10">
        <f>H736</f>
        <v>0</v>
      </c>
    </row>
    <row r="738" spans="1:8" s="656" customFormat="1" ht="37.5" customHeight="1" x14ac:dyDescent="0.25">
      <c r="A738" s="664" t="s">
        <v>1678</v>
      </c>
      <c r="B738" s="665" t="s">
        <v>1677</v>
      </c>
      <c r="C738" s="658"/>
      <c r="D738" s="658"/>
      <c r="E738" s="665"/>
      <c r="F738" s="666"/>
      <c r="G738" s="662">
        <f t="shared" ref="G738:H742" si="98">G739</f>
        <v>4351.8999999999996</v>
      </c>
      <c r="H738" s="662">
        <f t="shared" si="98"/>
        <v>4351.8999999999996</v>
      </c>
    </row>
    <row r="739" spans="1:8" s="656" customFormat="1" ht="15.75" x14ac:dyDescent="0.25">
      <c r="A739" s="667" t="s">
        <v>390</v>
      </c>
      <c r="B739" s="653" t="s">
        <v>1677</v>
      </c>
      <c r="C739" s="654" t="s">
        <v>234</v>
      </c>
      <c r="D739" s="654"/>
      <c r="E739" s="653"/>
      <c r="F739" s="661"/>
      <c r="G739" s="651">
        <f t="shared" si="98"/>
        <v>4351.8999999999996</v>
      </c>
      <c r="H739" s="651">
        <f t="shared" si="98"/>
        <v>4351.8999999999996</v>
      </c>
    </row>
    <row r="740" spans="1:8" s="656" customFormat="1" ht="15.75" x14ac:dyDescent="0.25">
      <c r="A740" s="667" t="s">
        <v>541</v>
      </c>
      <c r="B740" s="653" t="s">
        <v>1677</v>
      </c>
      <c r="C740" s="654" t="s">
        <v>234</v>
      </c>
      <c r="D740" s="654" t="s">
        <v>215</v>
      </c>
      <c r="E740" s="653"/>
      <c r="F740" s="661"/>
      <c r="G740" s="651">
        <f t="shared" si="98"/>
        <v>4351.8999999999996</v>
      </c>
      <c r="H740" s="651">
        <f t="shared" si="98"/>
        <v>4351.8999999999996</v>
      </c>
    </row>
    <row r="741" spans="1:8" s="656" customFormat="1" ht="15.75" x14ac:dyDescent="0.25">
      <c r="A741" s="652" t="s">
        <v>1747</v>
      </c>
      <c r="B741" s="653" t="s">
        <v>1686</v>
      </c>
      <c r="C741" s="654" t="s">
        <v>234</v>
      </c>
      <c r="D741" s="654" t="s">
        <v>215</v>
      </c>
      <c r="E741" s="653"/>
      <c r="F741" s="661"/>
      <c r="G741" s="651">
        <f t="shared" si="98"/>
        <v>4351.8999999999996</v>
      </c>
      <c r="H741" s="651">
        <f t="shared" si="98"/>
        <v>4351.8999999999996</v>
      </c>
    </row>
    <row r="742" spans="1:8" s="656" customFormat="1" ht="31.5" x14ac:dyDescent="0.25">
      <c r="A742" s="650" t="s">
        <v>131</v>
      </c>
      <c r="B742" s="653" t="s">
        <v>1686</v>
      </c>
      <c r="C742" s="654" t="s">
        <v>234</v>
      </c>
      <c r="D742" s="654" t="s">
        <v>215</v>
      </c>
      <c r="E742" s="653" t="s">
        <v>132</v>
      </c>
      <c r="F742" s="661"/>
      <c r="G742" s="651">
        <f t="shared" si="98"/>
        <v>4351.8999999999996</v>
      </c>
      <c r="H742" s="651">
        <f t="shared" si="98"/>
        <v>4351.8999999999996</v>
      </c>
    </row>
    <row r="743" spans="1:8" s="656" customFormat="1" ht="31.5" x14ac:dyDescent="0.25">
      <c r="A743" s="650" t="s">
        <v>133</v>
      </c>
      <c r="B743" s="653" t="s">
        <v>1686</v>
      </c>
      <c r="C743" s="654" t="s">
        <v>234</v>
      </c>
      <c r="D743" s="654" t="s">
        <v>215</v>
      </c>
      <c r="E743" s="653" t="s">
        <v>134</v>
      </c>
      <c r="F743" s="661"/>
      <c r="G743" s="651">
        <f>'Пр.4.1 ведом.23-24 '!G1090</f>
        <v>4351.8999999999996</v>
      </c>
      <c r="H743" s="651">
        <f>'Пр.4.1 ведом.23-24 '!H1090</f>
        <v>4351.8999999999996</v>
      </c>
    </row>
    <row r="744" spans="1:8" s="656" customFormat="1" ht="31.5" x14ac:dyDescent="0.25">
      <c r="A744" s="657" t="s">
        <v>623</v>
      </c>
      <c r="B744" s="653" t="s">
        <v>1686</v>
      </c>
      <c r="C744" s="654" t="s">
        <v>234</v>
      </c>
      <c r="D744" s="654" t="s">
        <v>215</v>
      </c>
      <c r="E744" s="653" t="s">
        <v>134</v>
      </c>
      <c r="F744" s="661">
        <v>908</v>
      </c>
      <c r="G744" s="651">
        <f>G743</f>
        <v>4351.8999999999996</v>
      </c>
      <c r="H744" s="651">
        <f>H743</f>
        <v>4351.8999999999996</v>
      </c>
    </row>
    <row r="745" spans="1:8" ht="39.75" customHeight="1" x14ac:dyDescent="0.25">
      <c r="A745" s="34" t="s">
        <v>1344</v>
      </c>
      <c r="B745" s="194" t="s">
        <v>182</v>
      </c>
      <c r="C745" s="7"/>
      <c r="D745" s="7"/>
      <c r="E745" s="7"/>
      <c r="F745" s="3"/>
      <c r="G745" s="59">
        <f>G746+G753</f>
        <v>274</v>
      </c>
      <c r="H745" s="59">
        <f>H746+H753</f>
        <v>274</v>
      </c>
    </row>
    <row r="746" spans="1:8" ht="31.5" x14ac:dyDescent="0.25">
      <c r="A746" s="34" t="s">
        <v>1006</v>
      </c>
      <c r="B746" s="194" t="s">
        <v>877</v>
      </c>
      <c r="C746" s="7"/>
      <c r="D746" s="7"/>
      <c r="E746" s="7"/>
      <c r="F746" s="3"/>
      <c r="G746" s="59">
        <f>G747</f>
        <v>274</v>
      </c>
      <c r="H746" s="59">
        <f>H747</f>
        <v>274</v>
      </c>
    </row>
    <row r="747" spans="1:8" ht="15.75" x14ac:dyDescent="0.25">
      <c r="A747" s="29" t="s">
        <v>232</v>
      </c>
      <c r="B747" s="5" t="s">
        <v>877</v>
      </c>
      <c r="C747" s="573" t="s">
        <v>150</v>
      </c>
      <c r="D747" s="573"/>
      <c r="E747" s="573"/>
      <c r="F747" s="2"/>
      <c r="G747" s="10">
        <f t="shared" ref="G747:H750" si="99">G748</f>
        <v>274</v>
      </c>
      <c r="H747" s="10">
        <f t="shared" si="99"/>
        <v>274</v>
      </c>
    </row>
    <row r="748" spans="1:8" ht="15.75" x14ac:dyDescent="0.25">
      <c r="A748" s="29" t="s">
        <v>233</v>
      </c>
      <c r="B748" s="30" t="s">
        <v>877</v>
      </c>
      <c r="C748" s="573" t="s">
        <v>150</v>
      </c>
      <c r="D748" s="573" t="s">
        <v>234</v>
      </c>
      <c r="E748" s="573"/>
      <c r="F748" s="2"/>
      <c r="G748" s="10">
        <f>G749</f>
        <v>274</v>
      </c>
      <c r="H748" s="10">
        <f>H749</f>
        <v>274</v>
      </c>
    </row>
    <row r="749" spans="1:8" ht="31.5" x14ac:dyDescent="0.25">
      <c r="A749" s="579" t="s">
        <v>235</v>
      </c>
      <c r="B749" s="580" t="s">
        <v>898</v>
      </c>
      <c r="C749" s="573" t="s">
        <v>150</v>
      </c>
      <c r="D749" s="573" t="s">
        <v>234</v>
      </c>
      <c r="E749" s="573"/>
      <c r="F749" s="2"/>
      <c r="G749" s="10">
        <f t="shared" si="99"/>
        <v>274</v>
      </c>
      <c r="H749" s="10">
        <f t="shared" si="99"/>
        <v>274</v>
      </c>
    </row>
    <row r="750" spans="1:8" ht="15.75" x14ac:dyDescent="0.25">
      <c r="A750" s="29" t="s">
        <v>135</v>
      </c>
      <c r="B750" s="580" t="s">
        <v>898</v>
      </c>
      <c r="C750" s="573" t="s">
        <v>150</v>
      </c>
      <c r="D750" s="573" t="s">
        <v>234</v>
      </c>
      <c r="E750" s="573" t="s">
        <v>145</v>
      </c>
      <c r="F750" s="2"/>
      <c r="G750" s="10">
        <f t="shared" si="99"/>
        <v>274</v>
      </c>
      <c r="H750" s="10">
        <f t="shared" si="99"/>
        <v>274</v>
      </c>
    </row>
    <row r="751" spans="1:8" ht="47.25" x14ac:dyDescent="0.25">
      <c r="A751" s="29" t="s">
        <v>184</v>
      </c>
      <c r="B751" s="580" t="s">
        <v>898</v>
      </c>
      <c r="C751" s="573" t="s">
        <v>150</v>
      </c>
      <c r="D751" s="573" t="s">
        <v>234</v>
      </c>
      <c r="E751" s="573" t="s">
        <v>160</v>
      </c>
      <c r="F751" s="2"/>
      <c r="G751" s="10">
        <f>'Пр.4.1 ведом.23-24 '!G202</f>
        <v>274</v>
      </c>
      <c r="H751" s="10">
        <f>'Пр.4.1 ведом.23-24 '!H202</f>
        <v>274</v>
      </c>
    </row>
    <row r="752" spans="1:8" ht="23.25" customHeight="1" x14ac:dyDescent="0.25">
      <c r="A752" s="29" t="s">
        <v>148</v>
      </c>
      <c r="B752" s="580" t="s">
        <v>898</v>
      </c>
      <c r="C752" s="573" t="s">
        <v>150</v>
      </c>
      <c r="D752" s="573" t="s">
        <v>234</v>
      </c>
      <c r="E752" s="573" t="s">
        <v>160</v>
      </c>
      <c r="F752" s="2">
        <v>902</v>
      </c>
      <c r="G752" s="10">
        <f>G751</f>
        <v>274</v>
      </c>
      <c r="H752" s="10">
        <f>H751</f>
        <v>274</v>
      </c>
    </row>
    <row r="753" spans="1:8" ht="47.25" hidden="1" x14ac:dyDescent="0.25">
      <c r="A753" s="214" t="s">
        <v>1007</v>
      </c>
      <c r="B753" s="495" t="s">
        <v>879</v>
      </c>
      <c r="C753" s="573"/>
      <c r="D753" s="573"/>
      <c r="E753" s="573"/>
      <c r="F753" s="2"/>
      <c r="G753" s="10">
        <f t="shared" ref="G753:H757" si="100">G754</f>
        <v>0</v>
      </c>
      <c r="H753" s="10">
        <f t="shared" si="100"/>
        <v>0</v>
      </c>
    </row>
    <row r="754" spans="1:8" ht="15.75" hidden="1" x14ac:dyDescent="0.25">
      <c r="A754" s="29" t="s">
        <v>232</v>
      </c>
      <c r="B754" s="580" t="s">
        <v>879</v>
      </c>
      <c r="C754" s="573" t="s">
        <v>150</v>
      </c>
      <c r="D754" s="573"/>
      <c r="E754" s="573"/>
      <c r="F754" s="2"/>
      <c r="G754" s="10">
        <f t="shared" si="100"/>
        <v>0</v>
      </c>
      <c r="H754" s="10">
        <f t="shared" si="100"/>
        <v>0</v>
      </c>
    </row>
    <row r="755" spans="1:8" ht="15.75" hidden="1" x14ac:dyDescent="0.25">
      <c r="A755" s="29" t="s">
        <v>233</v>
      </c>
      <c r="B755" s="580" t="s">
        <v>879</v>
      </c>
      <c r="C755" s="573" t="s">
        <v>150</v>
      </c>
      <c r="D755" s="573" t="s">
        <v>234</v>
      </c>
      <c r="E755" s="573"/>
      <c r="F755" s="2"/>
      <c r="G755" s="10">
        <f t="shared" si="100"/>
        <v>0</v>
      </c>
      <c r="H755" s="10">
        <f t="shared" si="100"/>
        <v>0</v>
      </c>
    </row>
    <row r="756" spans="1:8" ht="15.75" hidden="1" x14ac:dyDescent="0.25">
      <c r="A756" s="579" t="s">
        <v>878</v>
      </c>
      <c r="B756" s="5" t="s">
        <v>899</v>
      </c>
      <c r="C756" s="573" t="s">
        <v>150</v>
      </c>
      <c r="D756" s="573" t="s">
        <v>234</v>
      </c>
      <c r="E756" s="573"/>
      <c r="F756" s="2"/>
      <c r="G756" s="10">
        <f t="shared" si="100"/>
        <v>0</v>
      </c>
      <c r="H756" s="10">
        <f t="shared" si="100"/>
        <v>0</v>
      </c>
    </row>
    <row r="757" spans="1:8" ht="15.75" hidden="1" x14ac:dyDescent="0.25">
      <c r="A757" s="29" t="s">
        <v>135</v>
      </c>
      <c r="B757" s="5" t="s">
        <v>899</v>
      </c>
      <c r="C757" s="573" t="s">
        <v>150</v>
      </c>
      <c r="D757" s="573" t="s">
        <v>234</v>
      </c>
      <c r="E757" s="573" t="s">
        <v>145</v>
      </c>
      <c r="F757" s="2"/>
      <c r="G757" s="10">
        <f t="shared" si="100"/>
        <v>0</v>
      </c>
      <c r="H757" s="10">
        <f t="shared" si="100"/>
        <v>0</v>
      </c>
    </row>
    <row r="758" spans="1:8" ht="47.25" hidden="1" x14ac:dyDescent="0.25">
      <c r="A758" s="29" t="s">
        <v>184</v>
      </c>
      <c r="B758" s="5" t="s">
        <v>899</v>
      </c>
      <c r="C758" s="573" t="s">
        <v>150</v>
      </c>
      <c r="D758" s="573" t="s">
        <v>234</v>
      </c>
      <c r="E758" s="573" t="s">
        <v>160</v>
      </c>
      <c r="F758" s="2"/>
      <c r="G758" s="10">
        <f>'Пр.3 Рд,пр, ЦС,ВР 22'!F273</f>
        <v>0</v>
      </c>
      <c r="H758" s="10">
        <f>'Пр.3 Рд,пр, ЦС,ВР 22'!G273</f>
        <v>0</v>
      </c>
    </row>
    <row r="759" spans="1:8" ht="19.5" hidden="1" customHeight="1" x14ac:dyDescent="0.25">
      <c r="A759" s="29" t="s">
        <v>148</v>
      </c>
      <c r="B759" s="5" t="s">
        <v>899</v>
      </c>
      <c r="C759" s="573" t="s">
        <v>150</v>
      </c>
      <c r="D759" s="573" t="s">
        <v>234</v>
      </c>
      <c r="E759" s="573" t="s">
        <v>160</v>
      </c>
      <c r="F759" s="2">
        <v>902</v>
      </c>
      <c r="G759" s="10">
        <f>G758</f>
        <v>0</v>
      </c>
      <c r="H759" s="10">
        <f>H758</f>
        <v>0</v>
      </c>
    </row>
    <row r="760" spans="1:8" ht="52.5" customHeight="1" x14ac:dyDescent="0.25">
      <c r="A760" s="572" t="s">
        <v>1525</v>
      </c>
      <c r="B760" s="7" t="s">
        <v>518</v>
      </c>
      <c r="C760" s="7"/>
      <c r="D760" s="7"/>
      <c r="E760" s="72"/>
      <c r="F760" s="3"/>
      <c r="G760" s="59">
        <f>G761+G768+G775+G782+G789+G796+G803</f>
        <v>700</v>
      </c>
      <c r="H760" s="59">
        <f>H761+H768+H775+H782+H789+H796+H803</f>
        <v>700</v>
      </c>
    </row>
    <row r="761" spans="1:8" ht="31.7" customHeight="1" x14ac:dyDescent="0.25">
      <c r="A761" s="494" t="s">
        <v>963</v>
      </c>
      <c r="B761" s="495" t="s">
        <v>965</v>
      </c>
      <c r="C761" s="573"/>
      <c r="D761" s="573"/>
      <c r="E761" s="573"/>
      <c r="F761" s="2"/>
      <c r="G761" s="59">
        <f>G762</f>
        <v>700</v>
      </c>
      <c r="H761" s="59">
        <f>H762</f>
        <v>700</v>
      </c>
    </row>
    <row r="762" spans="1:8" ht="18" customHeight="1" x14ac:dyDescent="0.25">
      <c r="A762" s="29" t="s">
        <v>390</v>
      </c>
      <c r="B762" s="573" t="s">
        <v>965</v>
      </c>
      <c r="C762" s="573" t="s">
        <v>234</v>
      </c>
      <c r="D762" s="573"/>
      <c r="E762" s="73"/>
      <c r="F762" s="2"/>
      <c r="G762" s="10">
        <f t="shared" ref="G762:H762" si="101">G763</f>
        <v>700</v>
      </c>
      <c r="H762" s="10">
        <f t="shared" si="101"/>
        <v>700</v>
      </c>
    </row>
    <row r="763" spans="1:8" ht="19.5" customHeight="1" x14ac:dyDescent="0.25">
      <c r="A763" s="29" t="s">
        <v>517</v>
      </c>
      <c r="B763" s="573" t="s">
        <v>965</v>
      </c>
      <c r="C763" s="573" t="s">
        <v>234</v>
      </c>
      <c r="D763" s="573" t="s">
        <v>213</v>
      </c>
      <c r="E763" s="73"/>
      <c r="F763" s="2"/>
      <c r="G763" s="10">
        <f>G764</f>
        <v>700</v>
      </c>
      <c r="H763" s="10">
        <f>H764</f>
        <v>700</v>
      </c>
    </row>
    <row r="764" spans="1:8" ht="15.75" x14ac:dyDescent="0.25">
      <c r="A764" s="45" t="s">
        <v>521</v>
      </c>
      <c r="B764" s="580" t="s">
        <v>966</v>
      </c>
      <c r="C764" s="573" t="s">
        <v>234</v>
      </c>
      <c r="D764" s="573" t="s">
        <v>213</v>
      </c>
      <c r="E764" s="573"/>
      <c r="F764" s="2"/>
      <c r="G764" s="10">
        <f t="shared" ref="G764:H765" si="102">G765</f>
        <v>700</v>
      </c>
      <c r="H764" s="10">
        <f t="shared" si="102"/>
        <v>700</v>
      </c>
    </row>
    <row r="765" spans="1:8" ht="31.5" x14ac:dyDescent="0.25">
      <c r="A765" s="31" t="s">
        <v>131</v>
      </c>
      <c r="B765" s="580" t="s">
        <v>966</v>
      </c>
      <c r="C765" s="573" t="s">
        <v>234</v>
      </c>
      <c r="D765" s="573" t="s">
        <v>213</v>
      </c>
      <c r="E765" s="573" t="s">
        <v>132</v>
      </c>
      <c r="F765" s="2"/>
      <c r="G765" s="10">
        <f t="shared" si="102"/>
        <v>700</v>
      </c>
      <c r="H765" s="10">
        <f t="shared" si="102"/>
        <v>700</v>
      </c>
    </row>
    <row r="766" spans="1:8" ht="31.5" x14ac:dyDescent="0.25">
      <c r="A766" s="31" t="s">
        <v>133</v>
      </c>
      <c r="B766" s="580" t="s">
        <v>966</v>
      </c>
      <c r="C766" s="573" t="s">
        <v>234</v>
      </c>
      <c r="D766" s="573" t="s">
        <v>213</v>
      </c>
      <c r="E766" s="573" t="s">
        <v>134</v>
      </c>
      <c r="F766" s="2"/>
      <c r="G766" s="10">
        <f>'Пр.4.1 ведом.23-24 '!G1008</f>
        <v>700</v>
      </c>
      <c r="H766" s="10">
        <f>'Пр.4.1 ведом.23-24 '!H1008</f>
        <v>700</v>
      </c>
    </row>
    <row r="767" spans="1:8" ht="36.75" customHeight="1" x14ac:dyDescent="0.25">
      <c r="A767" s="45" t="s">
        <v>623</v>
      </c>
      <c r="B767" s="580" t="s">
        <v>966</v>
      </c>
      <c r="C767" s="573" t="s">
        <v>234</v>
      </c>
      <c r="D767" s="573" t="s">
        <v>213</v>
      </c>
      <c r="E767" s="573" t="s">
        <v>134</v>
      </c>
      <c r="F767" s="2">
        <v>908</v>
      </c>
      <c r="G767" s="489">
        <f>G766</f>
        <v>700</v>
      </c>
      <c r="H767" s="489">
        <f>H766</f>
        <v>700</v>
      </c>
    </row>
    <row r="768" spans="1:8" ht="31.5" hidden="1" x14ac:dyDescent="0.25">
      <c r="A768" s="34" t="s">
        <v>967</v>
      </c>
      <c r="B768" s="495" t="s">
        <v>968</v>
      </c>
      <c r="C768" s="573"/>
      <c r="D768" s="573"/>
      <c r="E768" s="573"/>
      <c r="F768" s="2"/>
      <c r="G768" s="59">
        <f>G769</f>
        <v>0</v>
      </c>
      <c r="H768" s="59">
        <f>H769</f>
        <v>0</v>
      </c>
    </row>
    <row r="769" spans="1:8" ht="15.75" hidden="1" x14ac:dyDescent="0.25">
      <c r="A769" s="29" t="s">
        <v>390</v>
      </c>
      <c r="B769" s="573" t="s">
        <v>968</v>
      </c>
      <c r="C769" s="573" t="s">
        <v>234</v>
      </c>
      <c r="D769" s="573"/>
      <c r="E769" s="73"/>
      <c r="F769" s="2"/>
      <c r="G769" s="10">
        <f t="shared" ref="G769:H769" si="103">G770</f>
        <v>0</v>
      </c>
      <c r="H769" s="10">
        <f t="shared" si="103"/>
        <v>0</v>
      </c>
    </row>
    <row r="770" spans="1:8" ht="15.75" hidden="1" x14ac:dyDescent="0.25">
      <c r="A770" s="29" t="s">
        <v>517</v>
      </c>
      <c r="B770" s="573" t="s">
        <v>968</v>
      </c>
      <c r="C770" s="573" t="s">
        <v>234</v>
      </c>
      <c r="D770" s="573" t="s">
        <v>213</v>
      </c>
      <c r="E770" s="73"/>
      <c r="F770" s="2"/>
      <c r="G770" s="10">
        <f>G771</f>
        <v>0</v>
      </c>
      <c r="H770" s="10">
        <f>H771</f>
        <v>0</v>
      </c>
    </row>
    <row r="771" spans="1:8" ht="15.75" hidden="1" customHeight="1" x14ac:dyDescent="0.25">
      <c r="A771" s="45" t="s">
        <v>523</v>
      </c>
      <c r="B771" s="580" t="s">
        <v>971</v>
      </c>
      <c r="C771" s="573" t="s">
        <v>234</v>
      </c>
      <c r="D771" s="573" t="s">
        <v>213</v>
      </c>
      <c r="E771" s="573"/>
      <c r="F771" s="2"/>
      <c r="G771" s="10">
        <f>G772</f>
        <v>0</v>
      </c>
      <c r="H771" s="10">
        <f>H772</f>
        <v>0</v>
      </c>
    </row>
    <row r="772" spans="1:8" ht="31.7" hidden="1" customHeight="1" x14ac:dyDescent="0.25">
      <c r="A772" s="31" t="s">
        <v>131</v>
      </c>
      <c r="B772" s="580" t="s">
        <v>971</v>
      </c>
      <c r="C772" s="573" t="s">
        <v>234</v>
      </c>
      <c r="D772" s="573" t="s">
        <v>213</v>
      </c>
      <c r="E772" s="573" t="s">
        <v>132</v>
      </c>
      <c r="F772" s="2"/>
      <c r="G772" s="10">
        <f t="shared" ref="G772:H772" si="104">G773</f>
        <v>0</v>
      </c>
      <c r="H772" s="10">
        <f t="shared" si="104"/>
        <v>0</v>
      </c>
    </row>
    <row r="773" spans="1:8" ht="31.7" hidden="1" customHeight="1" x14ac:dyDescent="0.25">
      <c r="A773" s="31" t="s">
        <v>133</v>
      </c>
      <c r="B773" s="580" t="s">
        <v>971</v>
      </c>
      <c r="C773" s="573" t="s">
        <v>234</v>
      </c>
      <c r="D773" s="573" t="s">
        <v>213</v>
      </c>
      <c r="E773" s="573" t="s">
        <v>134</v>
      </c>
      <c r="F773" s="2"/>
      <c r="G773" s="10">
        <f>'Пр.3 Рд,пр, ЦС,ВР 22'!F382</f>
        <v>0</v>
      </c>
      <c r="H773" s="10">
        <f>'Пр.3 Рд,пр, ЦС,ВР 22'!G382</f>
        <v>0</v>
      </c>
    </row>
    <row r="774" spans="1:8" ht="31.7" hidden="1" customHeight="1" x14ac:dyDescent="0.25">
      <c r="A774" s="45" t="s">
        <v>623</v>
      </c>
      <c r="B774" s="580" t="s">
        <v>971</v>
      </c>
      <c r="C774" s="573" t="s">
        <v>234</v>
      </c>
      <c r="D774" s="573" t="s">
        <v>213</v>
      </c>
      <c r="E774" s="573" t="s">
        <v>134</v>
      </c>
      <c r="F774" s="2">
        <v>908</v>
      </c>
      <c r="G774" s="489">
        <f>G773</f>
        <v>0</v>
      </c>
      <c r="H774" s="489">
        <f>H773</f>
        <v>0</v>
      </c>
    </row>
    <row r="775" spans="1:8" ht="35.450000000000003" hidden="1" customHeight="1" x14ac:dyDescent="0.25">
      <c r="A775" s="58" t="s">
        <v>969</v>
      </c>
      <c r="B775" s="495" t="s">
        <v>970</v>
      </c>
      <c r="C775" s="573"/>
      <c r="D775" s="573"/>
      <c r="E775" s="573"/>
      <c r="F775" s="2"/>
      <c r="G775" s="59">
        <f>G776</f>
        <v>0</v>
      </c>
      <c r="H775" s="59">
        <f>H776</f>
        <v>0</v>
      </c>
    </row>
    <row r="776" spans="1:8" ht="15.75" hidden="1" customHeight="1" x14ac:dyDescent="0.25">
      <c r="A776" s="29" t="s">
        <v>390</v>
      </c>
      <c r="B776" s="573" t="s">
        <v>970</v>
      </c>
      <c r="C776" s="573" t="s">
        <v>234</v>
      </c>
      <c r="D776" s="573"/>
      <c r="E776" s="73"/>
      <c r="F776" s="2"/>
      <c r="G776" s="10">
        <f t="shared" ref="G776:H776" si="105">G777</f>
        <v>0</v>
      </c>
      <c r="H776" s="10">
        <f t="shared" si="105"/>
        <v>0</v>
      </c>
    </row>
    <row r="777" spans="1:8" ht="15.75" hidden="1" customHeight="1" x14ac:dyDescent="0.25">
      <c r="A777" s="29" t="s">
        <v>517</v>
      </c>
      <c r="B777" s="573" t="s">
        <v>970</v>
      </c>
      <c r="C777" s="573" t="s">
        <v>234</v>
      </c>
      <c r="D777" s="573" t="s">
        <v>213</v>
      </c>
      <c r="E777" s="73"/>
      <c r="F777" s="2"/>
      <c r="G777" s="10">
        <f>G778</f>
        <v>0</v>
      </c>
      <c r="H777" s="10">
        <f>H778</f>
        <v>0</v>
      </c>
    </row>
    <row r="778" spans="1:8" ht="15.75" hidden="1" customHeight="1" x14ac:dyDescent="0.25">
      <c r="A778" s="45" t="s">
        <v>525</v>
      </c>
      <c r="B778" s="580" t="s">
        <v>972</v>
      </c>
      <c r="C778" s="573" t="s">
        <v>234</v>
      </c>
      <c r="D778" s="573" t="s">
        <v>213</v>
      </c>
      <c r="E778" s="573"/>
      <c r="F778" s="2"/>
      <c r="G778" s="10">
        <f>G779</f>
        <v>0</v>
      </c>
      <c r="H778" s="10">
        <f>H779</f>
        <v>0</v>
      </c>
    </row>
    <row r="779" spans="1:8" ht="31.7" hidden="1" customHeight="1" x14ac:dyDescent="0.25">
      <c r="A779" s="31" t="s">
        <v>131</v>
      </c>
      <c r="B779" s="580" t="s">
        <v>972</v>
      </c>
      <c r="C779" s="573" t="s">
        <v>234</v>
      </c>
      <c r="D779" s="573" t="s">
        <v>213</v>
      </c>
      <c r="E779" s="573" t="s">
        <v>132</v>
      </c>
      <c r="F779" s="2"/>
      <c r="G779" s="10">
        <f t="shared" ref="G779:H779" si="106">G780</f>
        <v>0</v>
      </c>
      <c r="H779" s="10">
        <f t="shared" si="106"/>
        <v>0</v>
      </c>
    </row>
    <row r="780" spans="1:8" ht="31.7" hidden="1" customHeight="1" x14ac:dyDescent="0.25">
      <c r="A780" s="31" t="s">
        <v>133</v>
      </c>
      <c r="B780" s="580" t="s">
        <v>972</v>
      </c>
      <c r="C780" s="573" t="s">
        <v>234</v>
      </c>
      <c r="D780" s="573" t="s">
        <v>213</v>
      </c>
      <c r="E780" s="573" t="s">
        <v>134</v>
      </c>
      <c r="F780" s="2"/>
      <c r="G780" s="10">
        <f>'Пр.3 Рд,пр, ЦС,ВР 22'!F386</f>
        <v>0</v>
      </c>
      <c r="H780" s="10">
        <f>'Пр.3 Рд,пр, ЦС,ВР 22'!G386</f>
        <v>0</v>
      </c>
    </row>
    <row r="781" spans="1:8" ht="31.7" hidden="1" customHeight="1" x14ac:dyDescent="0.25">
      <c r="A781" s="45" t="s">
        <v>623</v>
      </c>
      <c r="B781" s="580" t="s">
        <v>972</v>
      </c>
      <c r="C781" s="573" t="s">
        <v>234</v>
      </c>
      <c r="D781" s="573" t="s">
        <v>213</v>
      </c>
      <c r="E781" s="573" t="s">
        <v>134</v>
      </c>
      <c r="F781" s="2">
        <v>908</v>
      </c>
      <c r="G781" s="489">
        <f>G780</f>
        <v>0</v>
      </c>
      <c r="H781" s="489">
        <f>H780</f>
        <v>0</v>
      </c>
    </row>
    <row r="782" spans="1:8" ht="35.450000000000003" hidden="1" customHeight="1" x14ac:dyDescent="0.25">
      <c r="A782" s="58" t="s">
        <v>973</v>
      </c>
      <c r="B782" s="495" t="s">
        <v>974</v>
      </c>
      <c r="C782" s="573"/>
      <c r="D782" s="573"/>
      <c r="E782" s="573"/>
      <c r="F782" s="2"/>
      <c r="G782" s="59">
        <f t="shared" ref="G782:H784" si="107">G783</f>
        <v>0</v>
      </c>
      <c r="H782" s="59">
        <f t="shared" si="107"/>
        <v>0</v>
      </c>
    </row>
    <row r="783" spans="1:8" ht="15.75" hidden="1" customHeight="1" x14ac:dyDescent="0.25">
      <c r="A783" s="29" t="s">
        <v>390</v>
      </c>
      <c r="B783" s="573" t="s">
        <v>974</v>
      </c>
      <c r="C783" s="573" t="s">
        <v>234</v>
      </c>
      <c r="D783" s="573"/>
      <c r="E783" s="73"/>
      <c r="F783" s="2"/>
      <c r="G783" s="10">
        <f t="shared" si="107"/>
        <v>0</v>
      </c>
      <c r="H783" s="10">
        <f t="shared" si="107"/>
        <v>0</v>
      </c>
    </row>
    <row r="784" spans="1:8" ht="15.75" hidden="1" customHeight="1" x14ac:dyDescent="0.25">
      <c r="A784" s="29" t="s">
        <v>517</v>
      </c>
      <c r="B784" s="573" t="s">
        <v>974</v>
      </c>
      <c r="C784" s="573" t="s">
        <v>234</v>
      </c>
      <c r="D784" s="573" t="s">
        <v>213</v>
      </c>
      <c r="E784" s="73"/>
      <c r="F784" s="2"/>
      <c r="G784" s="10">
        <f t="shared" si="107"/>
        <v>0</v>
      </c>
      <c r="H784" s="10">
        <f t="shared" si="107"/>
        <v>0</v>
      </c>
    </row>
    <row r="785" spans="1:8" ht="15.75" hidden="1" x14ac:dyDescent="0.25">
      <c r="A785" s="45" t="s">
        <v>527</v>
      </c>
      <c r="B785" s="580" t="s">
        <v>975</v>
      </c>
      <c r="C785" s="573" t="s">
        <v>234</v>
      </c>
      <c r="D785" s="573" t="s">
        <v>213</v>
      </c>
      <c r="E785" s="573"/>
      <c r="F785" s="2"/>
      <c r="G785" s="10">
        <f t="shared" ref="G785:H786" si="108">G786</f>
        <v>0</v>
      </c>
      <c r="H785" s="10">
        <f t="shared" si="108"/>
        <v>0</v>
      </c>
    </row>
    <row r="786" spans="1:8" ht="31.5" hidden="1" x14ac:dyDescent="0.25">
      <c r="A786" s="31" t="s">
        <v>131</v>
      </c>
      <c r="B786" s="580" t="s">
        <v>975</v>
      </c>
      <c r="C786" s="573" t="s">
        <v>234</v>
      </c>
      <c r="D786" s="573" t="s">
        <v>213</v>
      </c>
      <c r="E786" s="573" t="s">
        <v>132</v>
      </c>
      <c r="F786" s="2"/>
      <c r="G786" s="10">
        <f t="shared" si="108"/>
        <v>0</v>
      </c>
      <c r="H786" s="10">
        <f t="shared" si="108"/>
        <v>0</v>
      </c>
    </row>
    <row r="787" spans="1:8" ht="31.5" hidden="1" x14ac:dyDescent="0.25">
      <c r="A787" s="31" t="s">
        <v>133</v>
      </c>
      <c r="B787" s="580" t="s">
        <v>975</v>
      </c>
      <c r="C787" s="573" t="s">
        <v>234</v>
      </c>
      <c r="D787" s="573" t="s">
        <v>213</v>
      </c>
      <c r="E787" s="573" t="s">
        <v>134</v>
      </c>
      <c r="F787" s="2"/>
      <c r="G787" s="10">
        <f>'Пр.3 Рд,пр, ЦС,ВР 22'!F390</f>
        <v>0</v>
      </c>
      <c r="H787" s="10">
        <f>'Пр.3 Рд,пр, ЦС,ВР 22'!G390</f>
        <v>0</v>
      </c>
    </row>
    <row r="788" spans="1:8" ht="39.200000000000003" hidden="1" customHeight="1" x14ac:dyDescent="0.25">
      <c r="A788" s="45" t="s">
        <v>623</v>
      </c>
      <c r="B788" s="580" t="s">
        <v>975</v>
      </c>
      <c r="C788" s="573" t="s">
        <v>234</v>
      </c>
      <c r="D788" s="573" t="s">
        <v>213</v>
      </c>
      <c r="E788" s="573" t="s">
        <v>134</v>
      </c>
      <c r="F788" s="2">
        <v>908</v>
      </c>
      <c r="G788" s="489">
        <f>G787</f>
        <v>0</v>
      </c>
      <c r="H788" s="489">
        <f>H787</f>
        <v>0</v>
      </c>
    </row>
    <row r="789" spans="1:8" ht="31.5" hidden="1" x14ac:dyDescent="0.25">
      <c r="A789" s="34" t="s">
        <v>1014</v>
      </c>
      <c r="B789" s="495" t="s">
        <v>1015</v>
      </c>
      <c r="C789" s="573"/>
      <c r="D789" s="573"/>
      <c r="E789" s="573"/>
      <c r="F789" s="2"/>
      <c r="G789" s="59">
        <f>G790</f>
        <v>0</v>
      </c>
      <c r="H789" s="59">
        <f>H790</f>
        <v>0</v>
      </c>
    </row>
    <row r="790" spans="1:8" ht="15.75" hidden="1" x14ac:dyDescent="0.25">
      <c r="A790" s="29" t="s">
        <v>390</v>
      </c>
      <c r="B790" s="573" t="s">
        <v>518</v>
      </c>
      <c r="C790" s="573" t="s">
        <v>234</v>
      </c>
      <c r="D790" s="573"/>
      <c r="E790" s="73"/>
      <c r="F790" s="2"/>
      <c r="G790" s="10">
        <f t="shared" ref="G790:H790" si="109">G791</f>
        <v>0</v>
      </c>
      <c r="H790" s="10">
        <f t="shared" si="109"/>
        <v>0</v>
      </c>
    </row>
    <row r="791" spans="1:8" ht="15.75" hidden="1" x14ac:dyDescent="0.25">
      <c r="A791" s="29" t="s">
        <v>517</v>
      </c>
      <c r="B791" s="573" t="s">
        <v>518</v>
      </c>
      <c r="C791" s="573" t="s">
        <v>234</v>
      </c>
      <c r="D791" s="573" t="s">
        <v>213</v>
      </c>
      <c r="E791" s="73"/>
      <c r="F791" s="2"/>
      <c r="G791" s="10">
        <f>G792</f>
        <v>0</v>
      </c>
      <c r="H791" s="10">
        <f>H792</f>
        <v>0</v>
      </c>
    </row>
    <row r="792" spans="1:8" ht="15.75" hidden="1" customHeight="1" x14ac:dyDescent="0.25">
      <c r="A792" s="45" t="s">
        <v>529</v>
      </c>
      <c r="B792" s="580" t="s">
        <v>1018</v>
      </c>
      <c r="C792" s="573" t="s">
        <v>234</v>
      </c>
      <c r="D792" s="573" t="s">
        <v>213</v>
      </c>
      <c r="E792" s="573"/>
      <c r="F792" s="2"/>
      <c r="G792" s="10">
        <f t="shared" ref="G792:H793" si="110">G793</f>
        <v>0</v>
      </c>
      <c r="H792" s="10">
        <f t="shared" si="110"/>
        <v>0</v>
      </c>
    </row>
    <row r="793" spans="1:8" ht="31.7" hidden="1" customHeight="1" x14ac:dyDescent="0.25">
      <c r="A793" s="31" t="s">
        <v>131</v>
      </c>
      <c r="B793" s="580" t="s">
        <v>1018</v>
      </c>
      <c r="C793" s="573" t="s">
        <v>234</v>
      </c>
      <c r="D793" s="573" t="s">
        <v>213</v>
      </c>
      <c r="E793" s="573" t="s">
        <v>132</v>
      </c>
      <c r="F793" s="2"/>
      <c r="G793" s="10">
        <f t="shared" si="110"/>
        <v>0</v>
      </c>
      <c r="H793" s="10">
        <f t="shared" si="110"/>
        <v>0</v>
      </c>
    </row>
    <row r="794" spans="1:8" ht="31.7" hidden="1" customHeight="1" x14ac:dyDescent="0.25">
      <c r="A794" s="31" t="s">
        <v>133</v>
      </c>
      <c r="B794" s="580" t="s">
        <v>1018</v>
      </c>
      <c r="C794" s="573" t="s">
        <v>234</v>
      </c>
      <c r="D794" s="573" t="s">
        <v>213</v>
      </c>
      <c r="E794" s="573" t="s">
        <v>134</v>
      </c>
      <c r="F794" s="2"/>
      <c r="G794" s="10">
        <f>'Пр.3 Рд,пр, ЦС,ВР 22'!F394</f>
        <v>0</v>
      </c>
      <c r="H794" s="10">
        <f>'Пр.3 Рд,пр, ЦС,ВР 22'!G394</f>
        <v>0</v>
      </c>
    </row>
    <row r="795" spans="1:8" ht="31.7" hidden="1" customHeight="1" x14ac:dyDescent="0.25">
      <c r="A795" s="45" t="s">
        <v>623</v>
      </c>
      <c r="B795" s="580" t="s">
        <v>1018</v>
      </c>
      <c r="C795" s="573" t="s">
        <v>234</v>
      </c>
      <c r="D795" s="573" t="s">
        <v>213</v>
      </c>
      <c r="E795" s="573" t="s">
        <v>134</v>
      </c>
      <c r="F795" s="2">
        <v>908</v>
      </c>
      <c r="G795" s="489">
        <f>G794</f>
        <v>0</v>
      </c>
      <c r="H795" s="489">
        <f>H794</f>
        <v>0</v>
      </c>
    </row>
    <row r="796" spans="1:8" ht="31.7" hidden="1" customHeight="1" x14ac:dyDescent="0.25">
      <c r="A796" s="220" t="s">
        <v>1016</v>
      </c>
      <c r="B796" s="495" t="s">
        <v>1017</v>
      </c>
      <c r="C796" s="573"/>
      <c r="D796" s="573"/>
      <c r="E796" s="573"/>
      <c r="F796" s="2"/>
      <c r="G796" s="59">
        <f>G797</f>
        <v>0</v>
      </c>
      <c r="H796" s="59">
        <f>H797</f>
        <v>0</v>
      </c>
    </row>
    <row r="797" spans="1:8" ht="16.5" hidden="1" customHeight="1" x14ac:dyDescent="0.25">
      <c r="A797" s="29" t="s">
        <v>390</v>
      </c>
      <c r="B797" s="573" t="s">
        <v>518</v>
      </c>
      <c r="C797" s="573" t="s">
        <v>234</v>
      </c>
      <c r="D797" s="573"/>
      <c r="E797" s="73"/>
      <c r="F797" s="2"/>
      <c r="G797" s="10">
        <f t="shared" ref="G797:H797" si="111">G798</f>
        <v>0</v>
      </c>
      <c r="H797" s="10">
        <f t="shared" si="111"/>
        <v>0</v>
      </c>
    </row>
    <row r="798" spans="1:8" ht="19.5" hidden="1" customHeight="1" x14ac:dyDescent="0.25">
      <c r="A798" s="29" t="s">
        <v>517</v>
      </c>
      <c r="B798" s="573" t="s">
        <v>518</v>
      </c>
      <c r="C798" s="573" t="s">
        <v>234</v>
      </c>
      <c r="D798" s="573" t="s">
        <v>213</v>
      </c>
      <c r="E798" s="73"/>
      <c r="F798" s="2"/>
      <c r="G798" s="10">
        <f>G799</f>
        <v>0</v>
      </c>
      <c r="H798" s="10">
        <f>H799</f>
        <v>0</v>
      </c>
    </row>
    <row r="799" spans="1:8" ht="31.7" hidden="1" customHeight="1" x14ac:dyDescent="0.25">
      <c r="A799" s="174" t="s">
        <v>531</v>
      </c>
      <c r="B799" s="580" t="s">
        <v>1019</v>
      </c>
      <c r="C799" s="573" t="s">
        <v>234</v>
      </c>
      <c r="D799" s="573" t="s">
        <v>213</v>
      </c>
      <c r="E799" s="573"/>
      <c r="F799" s="2"/>
      <c r="G799" s="10">
        <f t="shared" ref="G799:H800" si="112">G800</f>
        <v>0</v>
      </c>
      <c r="H799" s="10">
        <f t="shared" si="112"/>
        <v>0</v>
      </c>
    </row>
    <row r="800" spans="1:8" ht="31.7" hidden="1" customHeight="1" x14ac:dyDescent="0.25">
      <c r="A800" s="31" t="s">
        <v>131</v>
      </c>
      <c r="B800" s="580" t="s">
        <v>1019</v>
      </c>
      <c r="C800" s="573" t="s">
        <v>234</v>
      </c>
      <c r="D800" s="573" t="s">
        <v>213</v>
      </c>
      <c r="E800" s="573" t="s">
        <v>132</v>
      </c>
      <c r="F800" s="2"/>
      <c r="G800" s="10">
        <f t="shared" si="112"/>
        <v>0</v>
      </c>
      <c r="H800" s="10">
        <f t="shared" si="112"/>
        <v>0</v>
      </c>
    </row>
    <row r="801" spans="1:8" ht="31.7" hidden="1" customHeight="1" x14ac:dyDescent="0.25">
      <c r="A801" s="31" t="s">
        <v>133</v>
      </c>
      <c r="B801" s="580" t="s">
        <v>1019</v>
      </c>
      <c r="C801" s="573" t="s">
        <v>234</v>
      </c>
      <c r="D801" s="573" t="s">
        <v>213</v>
      </c>
      <c r="E801" s="573" t="s">
        <v>134</v>
      </c>
      <c r="F801" s="2"/>
      <c r="G801" s="10">
        <f>'Пр.3 Рд,пр, ЦС,ВР 22'!F398</f>
        <v>0</v>
      </c>
      <c r="H801" s="10">
        <f>'Пр.3 Рд,пр, ЦС,ВР 22'!G398</f>
        <v>0</v>
      </c>
    </row>
    <row r="802" spans="1:8" ht="31.7" hidden="1" customHeight="1" x14ac:dyDescent="0.25">
      <c r="A802" s="45" t="s">
        <v>623</v>
      </c>
      <c r="B802" s="580" t="s">
        <v>1019</v>
      </c>
      <c r="C802" s="573" t="s">
        <v>234</v>
      </c>
      <c r="D802" s="573" t="s">
        <v>213</v>
      </c>
      <c r="E802" s="573" t="s">
        <v>134</v>
      </c>
      <c r="F802" s="2">
        <v>908</v>
      </c>
      <c r="G802" s="489">
        <f>G801</f>
        <v>0</v>
      </c>
      <c r="H802" s="489">
        <f>H801</f>
        <v>0</v>
      </c>
    </row>
    <row r="803" spans="1:8" ht="31.7" hidden="1" customHeight="1" x14ac:dyDescent="0.25">
      <c r="A803" s="220" t="s">
        <v>977</v>
      </c>
      <c r="B803" s="495" t="s">
        <v>978</v>
      </c>
      <c r="C803" s="573"/>
      <c r="D803" s="573"/>
      <c r="E803" s="573"/>
      <c r="F803" s="2"/>
      <c r="G803" s="59">
        <f t="shared" ref="G803:H805" si="113">G804</f>
        <v>0</v>
      </c>
      <c r="H803" s="59">
        <f t="shared" si="113"/>
        <v>0</v>
      </c>
    </row>
    <row r="804" spans="1:8" ht="17.45" hidden="1" customHeight="1" x14ac:dyDescent="0.25">
      <c r="A804" s="29" t="s">
        <v>390</v>
      </c>
      <c r="B804" s="573" t="s">
        <v>518</v>
      </c>
      <c r="C804" s="573" t="s">
        <v>234</v>
      </c>
      <c r="D804" s="573"/>
      <c r="E804" s="73"/>
      <c r="F804" s="2"/>
      <c r="G804" s="10">
        <f t="shared" si="113"/>
        <v>0</v>
      </c>
      <c r="H804" s="10">
        <f t="shared" si="113"/>
        <v>0</v>
      </c>
    </row>
    <row r="805" spans="1:8" ht="20.25" hidden="1" customHeight="1" x14ac:dyDescent="0.25">
      <c r="A805" s="29" t="s">
        <v>517</v>
      </c>
      <c r="B805" s="573" t="s">
        <v>518</v>
      </c>
      <c r="C805" s="573" t="s">
        <v>234</v>
      </c>
      <c r="D805" s="573" t="s">
        <v>213</v>
      </c>
      <c r="E805" s="73"/>
      <c r="F805" s="2"/>
      <c r="G805" s="10">
        <f t="shared" si="113"/>
        <v>0</v>
      </c>
      <c r="H805" s="10">
        <f t="shared" si="113"/>
        <v>0</v>
      </c>
    </row>
    <row r="806" spans="1:8" ht="15.75" hidden="1" x14ac:dyDescent="0.25">
      <c r="A806" s="174" t="s">
        <v>533</v>
      </c>
      <c r="B806" s="580" t="s">
        <v>976</v>
      </c>
      <c r="C806" s="573" t="s">
        <v>234</v>
      </c>
      <c r="D806" s="573" t="s">
        <v>213</v>
      </c>
      <c r="E806" s="573"/>
      <c r="F806" s="2"/>
      <c r="G806" s="10">
        <f t="shared" ref="G806:H807" si="114">G807</f>
        <v>0</v>
      </c>
      <c r="H806" s="10">
        <f t="shared" si="114"/>
        <v>0</v>
      </c>
    </row>
    <row r="807" spans="1:8" ht="31.5" hidden="1" x14ac:dyDescent="0.3">
      <c r="A807" s="579" t="s">
        <v>131</v>
      </c>
      <c r="B807" s="580" t="s">
        <v>976</v>
      </c>
      <c r="C807" s="573" t="s">
        <v>234</v>
      </c>
      <c r="D807" s="573" t="s">
        <v>213</v>
      </c>
      <c r="E807" s="2">
        <v>200</v>
      </c>
      <c r="F807" s="77"/>
      <c r="G807" s="489">
        <f t="shared" si="114"/>
        <v>0</v>
      </c>
      <c r="H807" s="489">
        <f t="shared" si="114"/>
        <v>0</v>
      </c>
    </row>
    <row r="808" spans="1:8" ht="31.5" hidden="1" x14ac:dyDescent="0.3">
      <c r="A808" s="579" t="s">
        <v>133</v>
      </c>
      <c r="B808" s="580" t="s">
        <v>976</v>
      </c>
      <c r="C808" s="573" t="s">
        <v>234</v>
      </c>
      <c r="D808" s="573" t="s">
        <v>213</v>
      </c>
      <c r="E808" s="2">
        <v>240</v>
      </c>
      <c r="F808" s="77"/>
      <c r="G808" s="489">
        <f>'Пр.3 Рд,пр, ЦС,ВР 22'!F402</f>
        <v>0</v>
      </c>
      <c r="H808" s="489">
        <f>'Пр.3 Рд,пр, ЦС,ВР 22'!G402</f>
        <v>0</v>
      </c>
    </row>
    <row r="809" spans="1:8" ht="38.25" hidden="1" customHeight="1" x14ac:dyDescent="0.25">
      <c r="A809" s="45" t="s">
        <v>623</v>
      </c>
      <c r="B809" s="580" t="s">
        <v>976</v>
      </c>
      <c r="C809" s="573" t="s">
        <v>234</v>
      </c>
      <c r="D809" s="573" t="s">
        <v>213</v>
      </c>
      <c r="E809" s="2">
        <v>240</v>
      </c>
      <c r="F809" s="2">
        <v>908</v>
      </c>
      <c r="G809" s="489">
        <f>G808</f>
        <v>0</v>
      </c>
      <c r="H809" s="489">
        <f>H808</f>
        <v>0</v>
      </c>
    </row>
    <row r="810" spans="1:8" ht="39.4" customHeight="1" x14ac:dyDescent="0.25">
      <c r="A810" s="494" t="s">
        <v>1349</v>
      </c>
      <c r="B810" s="495" t="s">
        <v>335</v>
      </c>
      <c r="C810" s="7"/>
      <c r="D810" s="7"/>
      <c r="E810" s="3"/>
      <c r="F810" s="3"/>
      <c r="G810" s="488">
        <f t="shared" ref="G810:H812" si="115">G811</f>
        <v>120</v>
      </c>
      <c r="H810" s="488">
        <f t="shared" si="115"/>
        <v>120</v>
      </c>
    </row>
    <row r="811" spans="1:8" ht="31.5" x14ac:dyDescent="0.25">
      <c r="A811" s="494" t="s">
        <v>1049</v>
      </c>
      <c r="B811" s="495" t="s">
        <v>1050</v>
      </c>
      <c r="C811" s="7"/>
      <c r="D811" s="7"/>
      <c r="E811" s="3"/>
      <c r="F811" s="3"/>
      <c r="G811" s="488">
        <f t="shared" si="115"/>
        <v>120</v>
      </c>
      <c r="H811" s="488">
        <f t="shared" si="115"/>
        <v>120</v>
      </c>
    </row>
    <row r="812" spans="1:8" ht="15.75" x14ac:dyDescent="0.25">
      <c r="A812" s="29" t="s">
        <v>117</v>
      </c>
      <c r="B812" s="580" t="s">
        <v>1050</v>
      </c>
      <c r="C812" s="573" t="s">
        <v>118</v>
      </c>
      <c r="D812" s="573"/>
      <c r="E812" s="2"/>
      <c r="F812" s="2"/>
      <c r="G812" s="489">
        <f t="shared" si="115"/>
        <v>120</v>
      </c>
      <c r="H812" s="489">
        <f t="shared" si="115"/>
        <v>120</v>
      </c>
    </row>
    <row r="813" spans="1:8" ht="15.75" x14ac:dyDescent="0.25">
      <c r="A813" s="29" t="s">
        <v>139</v>
      </c>
      <c r="B813" s="580" t="s">
        <v>1050</v>
      </c>
      <c r="C813" s="573" t="s">
        <v>118</v>
      </c>
      <c r="D813" s="573" t="s">
        <v>140</v>
      </c>
      <c r="E813" s="2"/>
      <c r="F813" s="2"/>
      <c r="G813" s="489">
        <f>G814+G821+G825+G829+G833</f>
        <v>120</v>
      </c>
      <c r="H813" s="489">
        <f>H814+H821+H825+H829+H833</f>
        <v>120</v>
      </c>
    </row>
    <row r="814" spans="1:8" ht="31.5" x14ac:dyDescent="0.25">
      <c r="A814" s="579" t="s">
        <v>336</v>
      </c>
      <c r="B814" s="580" t="s">
        <v>1051</v>
      </c>
      <c r="C814" s="573" t="s">
        <v>118</v>
      </c>
      <c r="D814" s="573" t="s">
        <v>140</v>
      </c>
      <c r="E814" s="2"/>
      <c r="F814" s="2"/>
      <c r="G814" s="489">
        <f>G815+G818</f>
        <v>100</v>
      </c>
      <c r="H814" s="489">
        <f>H815+H818</f>
        <v>100</v>
      </c>
    </row>
    <row r="815" spans="1:8" ht="31.5" x14ac:dyDescent="0.25">
      <c r="A815" s="579" t="s">
        <v>131</v>
      </c>
      <c r="B815" s="580" t="s">
        <v>1051</v>
      </c>
      <c r="C815" s="573" t="s">
        <v>118</v>
      </c>
      <c r="D815" s="573" t="s">
        <v>140</v>
      </c>
      <c r="E815" s="2">
        <v>200</v>
      </c>
      <c r="F815" s="2"/>
      <c r="G815" s="489">
        <f t="shared" ref="G815:H815" si="116">G816</f>
        <v>100</v>
      </c>
      <c r="H815" s="489">
        <f t="shared" si="116"/>
        <v>0</v>
      </c>
    </row>
    <row r="816" spans="1:8" ht="31.5" x14ac:dyDescent="0.25">
      <c r="A816" s="579" t="s">
        <v>133</v>
      </c>
      <c r="B816" s="580" t="s">
        <v>1051</v>
      </c>
      <c r="C816" s="573" t="s">
        <v>118</v>
      </c>
      <c r="D816" s="573" t="s">
        <v>140</v>
      </c>
      <c r="E816" s="2">
        <v>240</v>
      </c>
      <c r="F816" s="2"/>
      <c r="G816" s="489">
        <f>'Пр.4.1 ведом.23-24 '!G593</f>
        <v>100</v>
      </c>
      <c r="H816" s="489">
        <f>'Пр.4.1 ведом.23-24 '!H593</f>
        <v>0</v>
      </c>
    </row>
    <row r="817" spans="1:8" ht="31.5" x14ac:dyDescent="0.25">
      <c r="A817" s="29" t="s">
        <v>403</v>
      </c>
      <c r="B817" s="580" t="s">
        <v>1051</v>
      </c>
      <c r="C817" s="573" t="s">
        <v>118</v>
      </c>
      <c r="D817" s="573" t="s">
        <v>140</v>
      </c>
      <c r="E817" s="2">
        <v>240</v>
      </c>
      <c r="F817" s="2">
        <v>906</v>
      </c>
      <c r="G817" s="489">
        <f>G816</f>
        <v>100</v>
      </c>
      <c r="H817" s="489">
        <f>H816</f>
        <v>0</v>
      </c>
    </row>
    <row r="818" spans="1:8" ht="31.5" x14ac:dyDescent="0.25">
      <c r="A818" s="579" t="s">
        <v>131</v>
      </c>
      <c r="B818" s="580" t="s">
        <v>1051</v>
      </c>
      <c r="C818" s="573" t="s">
        <v>118</v>
      </c>
      <c r="D818" s="573" t="s">
        <v>140</v>
      </c>
      <c r="E818" s="2">
        <v>200</v>
      </c>
      <c r="F818" s="2"/>
      <c r="G818" s="489">
        <f t="shared" ref="G818:H818" si="117">G819</f>
        <v>0</v>
      </c>
      <c r="H818" s="489">
        <f t="shared" si="117"/>
        <v>100</v>
      </c>
    </row>
    <row r="819" spans="1:8" ht="31.5" x14ac:dyDescent="0.25">
      <c r="A819" s="579" t="s">
        <v>133</v>
      </c>
      <c r="B819" s="580" t="s">
        <v>1051</v>
      </c>
      <c r="C819" s="573" t="s">
        <v>118</v>
      </c>
      <c r="D819" s="573" t="s">
        <v>140</v>
      </c>
      <c r="E819" s="2">
        <v>240</v>
      </c>
      <c r="F819" s="2"/>
      <c r="G819" s="489">
        <f>'Пр.4.1 ведом.23-24 '!G828</f>
        <v>0</v>
      </c>
      <c r="H819" s="489">
        <f>'Пр.4.1 ведом.23-24 '!H828</f>
        <v>100</v>
      </c>
    </row>
    <row r="820" spans="1:8" ht="31.5" x14ac:dyDescent="0.25">
      <c r="A820" s="45" t="s">
        <v>480</v>
      </c>
      <c r="B820" s="580" t="s">
        <v>1051</v>
      </c>
      <c r="C820" s="573" t="s">
        <v>118</v>
      </c>
      <c r="D820" s="573" t="s">
        <v>140</v>
      </c>
      <c r="E820" s="2">
        <v>240</v>
      </c>
      <c r="F820" s="2">
        <v>907</v>
      </c>
      <c r="G820" s="489">
        <f>G819</f>
        <v>0</v>
      </c>
      <c r="H820" s="489">
        <f>H819</f>
        <v>100</v>
      </c>
    </row>
    <row r="821" spans="1:8" ht="23.25" customHeight="1" x14ac:dyDescent="0.25">
      <c r="A821" s="579" t="s">
        <v>338</v>
      </c>
      <c r="B821" s="580" t="s">
        <v>1052</v>
      </c>
      <c r="C821" s="573" t="s">
        <v>118</v>
      </c>
      <c r="D821" s="573" t="s">
        <v>140</v>
      </c>
      <c r="E821" s="2"/>
      <c r="F821" s="2"/>
      <c r="G821" s="489">
        <f t="shared" ref="G821:H822" si="118">G822</f>
        <v>20</v>
      </c>
      <c r="H821" s="489">
        <f t="shared" si="118"/>
        <v>20</v>
      </c>
    </row>
    <row r="822" spans="1:8" ht="31.5" x14ac:dyDescent="0.25">
      <c r="A822" s="579" t="s">
        <v>131</v>
      </c>
      <c r="B822" s="580" t="s">
        <v>1052</v>
      </c>
      <c r="C822" s="573" t="s">
        <v>118</v>
      </c>
      <c r="D822" s="573" t="s">
        <v>140</v>
      </c>
      <c r="E822" s="2">
        <v>200</v>
      </c>
      <c r="F822" s="2"/>
      <c r="G822" s="489">
        <f t="shared" si="118"/>
        <v>20</v>
      </c>
      <c r="H822" s="489">
        <f t="shared" si="118"/>
        <v>20</v>
      </c>
    </row>
    <row r="823" spans="1:8" ht="31.5" x14ac:dyDescent="0.25">
      <c r="A823" s="579" t="s">
        <v>133</v>
      </c>
      <c r="B823" s="580" t="s">
        <v>1052</v>
      </c>
      <c r="C823" s="573" t="s">
        <v>118</v>
      </c>
      <c r="D823" s="573" t="s">
        <v>140</v>
      </c>
      <c r="E823" s="2">
        <v>240</v>
      </c>
      <c r="F823" s="2"/>
      <c r="G823" s="489">
        <f>'Пр.4.1 ведом.23-24 '!G263</f>
        <v>20</v>
      </c>
      <c r="H823" s="489">
        <f>'Пр.4.1 ведом.23-24 '!H263</f>
        <v>20</v>
      </c>
    </row>
    <row r="824" spans="1:8" ht="47.25" x14ac:dyDescent="0.25">
      <c r="A824" s="45" t="s">
        <v>261</v>
      </c>
      <c r="B824" s="580" t="s">
        <v>1052</v>
      </c>
      <c r="C824" s="573" t="s">
        <v>118</v>
      </c>
      <c r="D824" s="573" t="s">
        <v>140</v>
      </c>
      <c r="E824" s="2">
        <v>240</v>
      </c>
      <c r="F824" s="2">
        <v>903</v>
      </c>
      <c r="G824" s="489">
        <f>G823</f>
        <v>20</v>
      </c>
      <c r="H824" s="489">
        <f>H823</f>
        <v>20</v>
      </c>
    </row>
    <row r="825" spans="1:8" ht="47.25" hidden="1" x14ac:dyDescent="0.25">
      <c r="A825" s="31" t="s">
        <v>771</v>
      </c>
      <c r="B825" s="580" t="s">
        <v>1053</v>
      </c>
      <c r="C825" s="573" t="s">
        <v>118</v>
      </c>
      <c r="D825" s="573" t="s">
        <v>140</v>
      </c>
      <c r="E825" s="2"/>
      <c r="F825" s="2"/>
      <c r="G825" s="489">
        <f t="shared" ref="G825:H826" si="119">G826</f>
        <v>0</v>
      </c>
      <c r="H825" s="489">
        <f t="shared" si="119"/>
        <v>0</v>
      </c>
    </row>
    <row r="826" spans="1:8" ht="31.5" hidden="1" x14ac:dyDescent="0.25">
      <c r="A826" s="579" t="s">
        <v>131</v>
      </c>
      <c r="B826" s="580" t="s">
        <v>1053</v>
      </c>
      <c r="C826" s="580" t="s">
        <v>118</v>
      </c>
      <c r="D826" s="580" t="s">
        <v>140</v>
      </c>
      <c r="E826" s="580" t="s">
        <v>132</v>
      </c>
      <c r="F826" s="177"/>
      <c r="G826" s="489">
        <f t="shared" si="119"/>
        <v>0</v>
      </c>
      <c r="H826" s="489">
        <f t="shared" si="119"/>
        <v>0</v>
      </c>
    </row>
    <row r="827" spans="1:8" ht="31.5" hidden="1" x14ac:dyDescent="0.25">
      <c r="A827" s="579" t="s">
        <v>133</v>
      </c>
      <c r="B827" s="580" t="s">
        <v>1053</v>
      </c>
      <c r="C827" s="580" t="s">
        <v>118</v>
      </c>
      <c r="D827" s="580" t="s">
        <v>140</v>
      </c>
      <c r="E827" s="580" t="s">
        <v>134</v>
      </c>
      <c r="F827" s="177"/>
      <c r="G827" s="489">
        <f>'Пр.4 ведом.22'!G265</f>
        <v>0</v>
      </c>
      <c r="H827" s="489">
        <f>'Пр.4 ведом.22'!H265</f>
        <v>0</v>
      </c>
    </row>
    <row r="828" spans="1:8" ht="47.25" hidden="1" x14ac:dyDescent="0.25">
      <c r="A828" s="45" t="s">
        <v>261</v>
      </c>
      <c r="B828" s="580" t="s">
        <v>1053</v>
      </c>
      <c r="C828" s="573" t="s">
        <v>118</v>
      </c>
      <c r="D828" s="573" t="s">
        <v>140</v>
      </c>
      <c r="E828" s="2">
        <v>240</v>
      </c>
      <c r="F828" s="2">
        <v>903</v>
      </c>
      <c r="G828" s="489">
        <f>G827</f>
        <v>0</v>
      </c>
      <c r="H828" s="489">
        <f>H827</f>
        <v>0</v>
      </c>
    </row>
    <row r="829" spans="1:8" ht="31.5" hidden="1" x14ac:dyDescent="0.25">
      <c r="A829" s="579" t="s">
        <v>679</v>
      </c>
      <c r="B829" s="580" t="s">
        <v>1054</v>
      </c>
      <c r="C829" s="573" t="s">
        <v>118</v>
      </c>
      <c r="D829" s="573" t="s">
        <v>140</v>
      </c>
      <c r="E829" s="2"/>
      <c r="F829" s="177"/>
      <c r="G829" s="489">
        <f t="shared" ref="G829:H830" si="120">G830</f>
        <v>0</v>
      </c>
      <c r="H829" s="489">
        <f t="shared" si="120"/>
        <v>0</v>
      </c>
    </row>
    <row r="830" spans="1:8" ht="31.5" hidden="1" x14ac:dyDescent="0.25">
      <c r="A830" s="579" t="s">
        <v>131</v>
      </c>
      <c r="B830" s="580" t="s">
        <v>1054</v>
      </c>
      <c r="C830" s="573" t="s">
        <v>118</v>
      </c>
      <c r="D830" s="573" t="s">
        <v>140</v>
      </c>
      <c r="E830" s="2">
        <v>200</v>
      </c>
      <c r="F830" s="177"/>
      <c r="G830" s="489">
        <f t="shared" si="120"/>
        <v>0</v>
      </c>
      <c r="H830" s="489">
        <f t="shared" si="120"/>
        <v>0</v>
      </c>
    </row>
    <row r="831" spans="1:8" ht="31.5" hidden="1" x14ac:dyDescent="0.25">
      <c r="A831" s="579" t="s">
        <v>133</v>
      </c>
      <c r="B831" s="580" t="s">
        <v>1054</v>
      </c>
      <c r="C831" s="573" t="s">
        <v>118</v>
      </c>
      <c r="D831" s="573" t="s">
        <v>140</v>
      </c>
      <c r="E831" s="2">
        <v>240</v>
      </c>
      <c r="F831" s="177"/>
      <c r="G831" s="489">
        <f>'Пр.4 ведом.22'!G268</f>
        <v>0</v>
      </c>
      <c r="H831" s="489">
        <f>'Пр.4 ведом.22'!H268</f>
        <v>0</v>
      </c>
    </row>
    <row r="832" spans="1:8" ht="47.25" hidden="1" x14ac:dyDescent="0.25">
      <c r="A832" s="45" t="s">
        <v>261</v>
      </c>
      <c r="B832" s="580" t="s">
        <v>1054</v>
      </c>
      <c r="C832" s="573" t="s">
        <v>118</v>
      </c>
      <c r="D832" s="573" t="s">
        <v>140</v>
      </c>
      <c r="E832" s="2">
        <v>240</v>
      </c>
      <c r="F832" s="2">
        <v>903</v>
      </c>
      <c r="G832" s="489">
        <f>G831</f>
        <v>0</v>
      </c>
      <c r="H832" s="489">
        <f>H831</f>
        <v>0</v>
      </c>
    </row>
    <row r="833" spans="1:9" ht="31.7" hidden="1" customHeight="1" x14ac:dyDescent="0.25">
      <c r="A833" s="31" t="s">
        <v>772</v>
      </c>
      <c r="B833" s="580" t="s">
        <v>1055</v>
      </c>
      <c r="C833" s="580" t="s">
        <v>118</v>
      </c>
      <c r="D833" s="580" t="s">
        <v>140</v>
      </c>
      <c r="E833" s="580"/>
      <c r="F833" s="177"/>
      <c r="G833" s="489">
        <f t="shared" ref="G833:H834" si="121">G834</f>
        <v>0</v>
      </c>
      <c r="H833" s="489">
        <f t="shared" si="121"/>
        <v>0</v>
      </c>
    </row>
    <row r="834" spans="1:9" ht="31.7" hidden="1" customHeight="1" x14ac:dyDescent="0.25">
      <c r="A834" s="579" t="s">
        <v>131</v>
      </c>
      <c r="B834" s="580" t="s">
        <v>1055</v>
      </c>
      <c r="C834" s="580" t="s">
        <v>118</v>
      </c>
      <c r="D834" s="580" t="s">
        <v>140</v>
      </c>
      <c r="E834" s="580" t="s">
        <v>132</v>
      </c>
      <c r="F834" s="177"/>
      <c r="G834" s="489">
        <f t="shared" si="121"/>
        <v>0</v>
      </c>
      <c r="H834" s="489">
        <f t="shared" si="121"/>
        <v>0</v>
      </c>
    </row>
    <row r="835" spans="1:9" ht="31.7" hidden="1" customHeight="1" x14ac:dyDescent="0.25">
      <c r="A835" s="579" t="s">
        <v>133</v>
      </c>
      <c r="B835" s="580" t="s">
        <v>1055</v>
      </c>
      <c r="C835" s="580" t="s">
        <v>118</v>
      </c>
      <c r="D835" s="580" t="s">
        <v>140</v>
      </c>
      <c r="E835" s="580" t="s">
        <v>134</v>
      </c>
      <c r="F835" s="177"/>
      <c r="G835" s="489">
        <f>'Пр.4 ведом.22'!G271</f>
        <v>0</v>
      </c>
      <c r="H835" s="489">
        <f>'Пр.4 ведом.22'!H271</f>
        <v>0</v>
      </c>
    </row>
    <row r="836" spans="1:9" ht="47.25" hidden="1" x14ac:dyDescent="0.25">
      <c r="A836" s="45" t="s">
        <v>261</v>
      </c>
      <c r="B836" s="580" t="s">
        <v>1055</v>
      </c>
      <c r="C836" s="580" t="s">
        <v>118</v>
      </c>
      <c r="D836" s="580" t="s">
        <v>140</v>
      </c>
      <c r="E836" s="580" t="s">
        <v>134</v>
      </c>
      <c r="F836" s="2">
        <v>903</v>
      </c>
      <c r="G836" s="489">
        <f>G835</f>
        <v>0</v>
      </c>
      <c r="H836" s="489">
        <f>H835</f>
        <v>0</v>
      </c>
    </row>
    <row r="837" spans="1:9" ht="48.75" customHeight="1" x14ac:dyDescent="0.25">
      <c r="A837" s="572" t="s">
        <v>1352</v>
      </c>
      <c r="B837" s="495" t="s">
        <v>705</v>
      </c>
      <c r="C837" s="7"/>
      <c r="D837" s="7"/>
      <c r="E837" s="3"/>
      <c r="F837" s="3"/>
      <c r="G837" s="488">
        <f>G838+G849+G888+G895</f>
        <v>3826.6399999999994</v>
      </c>
      <c r="H837" s="488">
        <f>H838+H849+H888+H895</f>
        <v>3826.6399999999994</v>
      </c>
      <c r="I837" s="22">
        <f>H837-G837</f>
        <v>0</v>
      </c>
    </row>
    <row r="838" spans="1:9" ht="48.75" customHeight="1" x14ac:dyDescent="0.25">
      <c r="A838" s="571" t="s">
        <v>846</v>
      </c>
      <c r="B838" s="495" t="s">
        <v>852</v>
      </c>
      <c r="C838" s="7"/>
      <c r="D838" s="7"/>
      <c r="E838" s="3"/>
      <c r="F838" s="3"/>
      <c r="G838" s="488">
        <f>G839</f>
        <v>43</v>
      </c>
      <c r="H838" s="488">
        <f>H839</f>
        <v>43</v>
      </c>
      <c r="I838" s="22"/>
    </row>
    <row r="839" spans="1:9" s="121" customFormat="1" ht="15.75" x14ac:dyDescent="0.25">
      <c r="A839" s="29" t="s">
        <v>117</v>
      </c>
      <c r="B839" s="580" t="s">
        <v>852</v>
      </c>
      <c r="C839" s="573" t="s">
        <v>118</v>
      </c>
      <c r="D839" s="573"/>
      <c r="E839" s="2"/>
      <c r="F839" s="2"/>
      <c r="G839" s="489">
        <f t="shared" ref="G839:H839" si="122">G840</f>
        <v>43</v>
      </c>
      <c r="H839" s="489">
        <f t="shared" si="122"/>
        <v>43</v>
      </c>
    </row>
    <row r="840" spans="1:9" s="121" customFormat="1" ht="15.75" x14ac:dyDescent="0.25">
      <c r="A840" s="29" t="s">
        <v>139</v>
      </c>
      <c r="B840" s="580" t="s">
        <v>852</v>
      </c>
      <c r="C840" s="573" t="s">
        <v>118</v>
      </c>
      <c r="D840" s="573" t="s">
        <v>140</v>
      </c>
      <c r="E840" s="2"/>
      <c r="F840" s="2"/>
      <c r="G840" s="489">
        <f>G841+G845</f>
        <v>43</v>
      </c>
      <c r="H840" s="489">
        <f>H841+H845</f>
        <v>43</v>
      </c>
    </row>
    <row r="841" spans="1:9" ht="31.5" x14ac:dyDescent="0.25">
      <c r="A841" s="98" t="s">
        <v>776</v>
      </c>
      <c r="B841" s="580" t="s">
        <v>847</v>
      </c>
      <c r="C841" s="573" t="s">
        <v>118</v>
      </c>
      <c r="D841" s="573" t="s">
        <v>140</v>
      </c>
      <c r="E841" s="2"/>
      <c r="F841" s="2"/>
      <c r="G841" s="489">
        <f t="shared" ref="G841:H842" si="123">G842</f>
        <v>37</v>
      </c>
      <c r="H841" s="489">
        <f t="shared" si="123"/>
        <v>37</v>
      </c>
    </row>
    <row r="842" spans="1:9" ht="31.5" x14ac:dyDescent="0.25">
      <c r="A842" s="579" t="s">
        <v>131</v>
      </c>
      <c r="B842" s="580" t="s">
        <v>847</v>
      </c>
      <c r="C842" s="573" t="s">
        <v>118</v>
      </c>
      <c r="D842" s="573" t="s">
        <v>140</v>
      </c>
      <c r="E842" s="2">
        <v>200</v>
      </c>
      <c r="F842" s="2"/>
      <c r="G842" s="489">
        <f t="shared" si="123"/>
        <v>37</v>
      </c>
      <c r="H842" s="489">
        <f t="shared" si="123"/>
        <v>37</v>
      </c>
    </row>
    <row r="843" spans="1:9" ht="31.5" x14ac:dyDescent="0.25">
      <c r="A843" s="579" t="s">
        <v>133</v>
      </c>
      <c r="B843" s="580" t="s">
        <v>847</v>
      </c>
      <c r="C843" s="573" t="s">
        <v>118</v>
      </c>
      <c r="D843" s="573" t="s">
        <v>140</v>
      </c>
      <c r="E843" s="2">
        <v>240</v>
      </c>
      <c r="F843" s="2"/>
      <c r="G843" s="489">
        <f>'Пр.4.1 ведом.23-24 '!G144</f>
        <v>37</v>
      </c>
      <c r="H843" s="489">
        <f>'Пр.4.1 ведом.23-24 '!H144</f>
        <v>37</v>
      </c>
    </row>
    <row r="844" spans="1:9" ht="19.5" customHeight="1" x14ac:dyDescent="0.25">
      <c r="A844" s="29" t="s">
        <v>148</v>
      </c>
      <c r="B844" s="580" t="s">
        <v>847</v>
      </c>
      <c r="C844" s="573" t="s">
        <v>118</v>
      </c>
      <c r="D844" s="573" t="s">
        <v>140</v>
      </c>
      <c r="E844" s="2">
        <v>240</v>
      </c>
      <c r="F844" s="2">
        <v>902</v>
      </c>
      <c r="G844" s="489">
        <f>G843</f>
        <v>37</v>
      </c>
      <c r="H844" s="489">
        <f>H843</f>
        <v>37</v>
      </c>
    </row>
    <row r="845" spans="1:9" ht="31.5" x14ac:dyDescent="0.25">
      <c r="A845" s="98" t="s">
        <v>776</v>
      </c>
      <c r="B845" s="580" t="s">
        <v>847</v>
      </c>
      <c r="C845" s="573" t="s">
        <v>118</v>
      </c>
      <c r="D845" s="573" t="s">
        <v>140</v>
      </c>
      <c r="E845" s="2"/>
      <c r="F845" s="2"/>
      <c r="G845" s="489">
        <f>G846</f>
        <v>6</v>
      </c>
      <c r="H845" s="489">
        <f>H846</f>
        <v>6</v>
      </c>
    </row>
    <row r="846" spans="1:9" ht="31.5" x14ac:dyDescent="0.25">
      <c r="A846" s="579" t="s">
        <v>131</v>
      </c>
      <c r="B846" s="580" t="s">
        <v>847</v>
      </c>
      <c r="C846" s="573" t="s">
        <v>118</v>
      </c>
      <c r="D846" s="573" t="s">
        <v>140</v>
      </c>
      <c r="E846" s="2">
        <v>200</v>
      </c>
      <c r="F846" s="2"/>
      <c r="G846" s="489">
        <f>G847</f>
        <v>6</v>
      </c>
      <c r="H846" s="489">
        <f>H847</f>
        <v>6</v>
      </c>
    </row>
    <row r="847" spans="1:9" ht="31.5" x14ac:dyDescent="0.25">
      <c r="A847" s="579" t="s">
        <v>133</v>
      </c>
      <c r="B847" s="580" t="s">
        <v>847</v>
      </c>
      <c r="C847" s="573" t="s">
        <v>118</v>
      </c>
      <c r="D847" s="573" t="s">
        <v>140</v>
      </c>
      <c r="E847" s="2">
        <v>240</v>
      </c>
      <c r="F847" s="2"/>
      <c r="G847" s="489">
        <f>'Пр.4.1 ведом.23-24 '!G277</f>
        <v>6</v>
      </c>
      <c r="H847" s="489">
        <f>'Пр.4.1 ведом.23-24 '!H277</f>
        <v>6</v>
      </c>
    </row>
    <row r="848" spans="1:9" ht="47.25" x14ac:dyDescent="0.25">
      <c r="A848" s="45" t="s">
        <v>261</v>
      </c>
      <c r="B848" s="580" t="s">
        <v>847</v>
      </c>
      <c r="C848" s="573" t="s">
        <v>118</v>
      </c>
      <c r="D848" s="573" t="s">
        <v>140</v>
      </c>
      <c r="E848" s="2">
        <v>240</v>
      </c>
      <c r="F848" s="2">
        <v>903</v>
      </c>
      <c r="G848" s="489">
        <f>G847</f>
        <v>6</v>
      </c>
      <c r="H848" s="489">
        <f>H847</f>
        <v>6</v>
      </c>
    </row>
    <row r="849" spans="1:14" ht="47.25" x14ac:dyDescent="0.25">
      <c r="A849" s="572" t="s">
        <v>890</v>
      </c>
      <c r="B849" s="495" t="s">
        <v>888</v>
      </c>
      <c r="C849" s="573"/>
      <c r="D849" s="573"/>
      <c r="E849" s="2"/>
      <c r="F849" s="2"/>
      <c r="G849" s="488">
        <f>G850+G870+G876+G882</f>
        <v>3768.6399999999994</v>
      </c>
      <c r="H849" s="488">
        <f>H850+H870+H876+H882</f>
        <v>3768.6399999999994</v>
      </c>
      <c r="K849" s="22"/>
      <c r="N849" s="232"/>
    </row>
    <row r="850" spans="1:14" ht="15.75" x14ac:dyDescent="0.25">
      <c r="A850" s="29" t="s">
        <v>263</v>
      </c>
      <c r="B850" s="580" t="s">
        <v>888</v>
      </c>
      <c r="C850" s="573" t="s">
        <v>264</v>
      </c>
      <c r="D850" s="573"/>
      <c r="E850" s="2"/>
      <c r="F850" s="2"/>
      <c r="G850" s="489">
        <f>G851+G857+G861</f>
        <v>2235.9399999999996</v>
      </c>
      <c r="H850" s="489">
        <f>H851+H857+H861</f>
        <v>2235.9399999999996</v>
      </c>
    </row>
    <row r="851" spans="1:14" ht="15.75" x14ac:dyDescent="0.25">
      <c r="A851" s="29" t="s">
        <v>404</v>
      </c>
      <c r="B851" s="580" t="s">
        <v>888</v>
      </c>
      <c r="C851" s="573" t="s">
        <v>264</v>
      </c>
      <c r="D851" s="573" t="s">
        <v>118</v>
      </c>
      <c r="E851" s="2"/>
      <c r="F851" s="2"/>
      <c r="G851" s="489">
        <f t="shared" ref="G851:H853" si="124">G852</f>
        <v>571.79999999999995</v>
      </c>
      <c r="H851" s="489">
        <f t="shared" si="124"/>
        <v>571.79999999999995</v>
      </c>
    </row>
    <row r="852" spans="1:14" ht="47.25" x14ac:dyDescent="0.25">
      <c r="A852" s="45" t="s">
        <v>780</v>
      </c>
      <c r="B852" s="580" t="s">
        <v>936</v>
      </c>
      <c r="C852" s="573" t="s">
        <v>264</v>
      </c>
      <c r="D852" s="573" t="s">
        <v>118</v>
      </c>
      <c r="E852" s="2"/>
      <c r="F852" s="2"/>
      <c r="G852" s="489">
        <f t="shared" si="124"/>
        <v>571.79999999999995</v>
      </c>
      <c r="H852" s="489">
        <f t="shared" si="124"/>
        <v>571.79999999999995</v>
      </c>
      <c r="N852" s="232"/>
    </row>
    <row r="853" spans="1:14" ht="31.5" x14ac:dyDescent="0.25">
      <c r="A853" s="29" t="s">
        <v>272</v>
      </c>
      <c r="B853" s="580" t="s">
        <v>936</v>
      </c>
      <c r="C853" s="573" t="s">
        <v>264</v>
      </c>
      <c r="D853" s="573" t="s">
        <v>118</v>
      </c>
      <c r="E853" s="2">
        <v>600</v>
      </c>
      <c r="F853" s="2"/>
      <c r="G853" s="489">
        <f t="shared" si="124"/>
        <v>571.79999999999995</v>
      </c>
      <c r="H853" s="489">
        <f t="shared" si="124"/>
        <v>571.79999999999995</v>
      </c>
    </row>
    <row r="854" spans="1:14" ht="15.75" x14ac:dyDescent="0.25">
      <c r="A854" s="182" t="s">
        <v>274</v>
      </c>
      <c r="B854" s="580" t="s">
        <v>936</v>
      </c>
      <c r="C854" s="573" t="s">
        <v>264</v>
      </c>
      <c r="D854" s="573" t="s">
        <v>118</v>
      </c>
      <c r="E854" s="2">
        <v>610</v>
      </c>
      <c r="F854" s="2"/>
      <c r="G854" s="489">
        <f>'Пр.4.1 ведом.23-24 '!G656</f>
        <v>571.79999999999995</v>
      </c>
      <c r="H854" s="489">
        <f>'Пр.4.1 ведом.23-24 '!H656</f>
        <v>571.79999999999995</v>
      </c>
    </row>
    <row r="855" spans="1:14" ht="31.5" x14ac:dyDescent="0.25">
      <c r="A855" s="29" t="s">
        <v>403</v>
      </c>
      <c r="B855" s="580" t="s">
        <v>936</v>
      </c>
      <c r="C855" s="573" t="s">
        <v>264</v>
      </c>
      <c r="D855" s="573" t="s">
        <v>118</v>
      </c>
      <c r="E855" s="2">
        <v>610</v>
      </c>
      <c r="F855" s="2">
        <v>906</v>
      </c>
      <c r="G855" s="489">
        <f>G854</f>
        <v>571.79999999999995</v>
      </c>
      <c r="H855" s="489">
        <f>H854</f>
        <v>571.79999999999995</v>
      </c>
    </row>
    <row r="856" spans="1:14" ht="15.75" x14ac:dyDescent="0.25">
      <c r="A856" s="45" t="s">
        <v>425</v>
      </c>
      <c r="B856" s="580" t="s">
        <v>888</v>
      </c>
      <c r="C856" s="573" t="s">
        <v>264</v>
      </c>
      <c r="D856" s="573" t="s">
        <v>213</v>
      </c>
      <c r="E856" s="2"/>
      <c r="F856" s="2"/>
      <c r="G856" s="489">
        <f t="shared" ref="G856:H858" si="125">G857</f>
        <v>870.84</v>
      </c>
      <c r="H856" s="489">
        <f t="shared" si="125"/>
        <v>870.84</v>
      </c>
    </row>
    <row r="857" spans="1:14" ht="47.25" x14ac:dyDescent="0.25">
      <c r="A857" s="45" t="s">
        <v>780</v>
      </c>
      <c r="B857" s="580" t="s">
        <v>936</v>
      </c>
      <c r="C857" s="573" t="s">
        <v>264</v>
      </c>
      <c r="D857" s="573" t="s">
        <v>213</v>
      </c>
      <c r="E857" s="2"/>
      <c r="F857" s="2"/>
      <c r="G857" s="489">
        <f t="shared" si="125"/>
        <v>870.84</v>
      </c>
      <c r="H857" s="489">
        <f t="shared" si="125"/>
        <v>870.84</v>
      </c>
    </row>
    <row r="858" spans="1:14" ht="31.5" x14ac:dyDescent="0.25">
      <c r="A858" s="29" t="s">
        <v>272</v>
      </c>
      <c r="B858" s="580" t="s">
        <v>936</v>
      </c>
      <c r="C858" s="573" t="s">
        <v>264</v>
      </c>
      <c r="D858" s="573" t="s">
        <v>213</v>
      </c>
      <c r="E858" s="2">
        <v>600</v>
      </c>
      <c r="F858" s="2"/>
      <c r="G858" s="489">
        <f t="shared" si="125"/>
        <v>870.84</v>
      </c>
      <c r="H858" s="489">
        <f t="shared" si="125"/>
        <v>870.84</v>
      </c>
    </row>
    <row r="859" spans="1:14" ht="15.75" x14ac:dyDescent="0.25">
      <c r="A859" s="182" t="s">
        <v>274</v>
      </c>
      <c r="B859" s="580" t="s">
        <v>936</v>
      </c>
      <c r="C859" s="573" t="s">
        <v>264</v>
      </c>
      <c r="D859" s="573" t="s">
        <v>213</v>
      </c>
      <c r="E859" s="2">
        <v>610</v>
      </c>
      <c r="F859" s="2"/>
      <c r="G859" s="489">
        <f>'Пр.4.1 ведом.23-24 '!G745</f>
        <v>870.84</v>
      </c>
      <c r="H859" s="489">
        <f>'Пр.4.1 ведом.23-24 '!H745</f>
        <v>870.84</v>
      </c>
    </row>
    <row r="860" spans="1:14" ht="31.5" x14ac:dyDescent="0.25">
      <c r="A860" s="29" t="s">
        <v>403</v>
      </c>
      <c r="B860" s="580" t="s">
        <v>936</v>
      </c>
      <c r="C860" s="573" t="s">
        <v>264</v>
      </c>
      <c r="D860" s="573" t="s">
        <v>213</v>
      </c>
      <c r="E860" s="2">
        <v>610</v>
      </c>
      <c r="F860" s="2">
        <v>906</v>
      </c>
      <c r="G860" s="489">
        <f>G859</f>
        <v>870.84</v>
      </c>
      <c r="H860" s="489">
        <f>H859</f>
        <v>870.84</v>
      </c>
    </row>
    <row r="861" spans="1:14" ht="15.75" x14ac:dyDescent="0.25">
      <c r="A861" s="45" t="s">
        <v>265</v>
      </c>
      <c r="B861" s="580" t="s">
        <v>888</v>
      </c>
      <c r="C861" s="573" t="s">
        <v>264</v>
      </c>
      <c r="D861" s="573" t="s">
        <v>215</v>
      </c>
      <c r="E861" s="2"/>
      <c r="F861" s="2"/>
      <c r="G861" s="489">
        <f>G866+G862</f>
        <v>793.3</v>
      </c>
      <c r="H861" s="489">
        <f>H866+H862</f>
        <v>793.3</v>
      </c>
    </row>
    <row r="862" spans="1:14" ht="31.5" x14ac:dyDescent="0.25">
      <c r="A862" s="98" t="s">
        <v>1004</v>
      </c>
      <c r="B862" s="580" t="s">
        <v>889</v>
      </c>
      <c r="C862" s="573" t="s">
        <v>264</v>
      </c>
      <c r="D862" s="573" t="s">
        <v>215</v>
      </c>
      <c r="E862" s="2"/>
      <c r="F862" s="2"/>
      <c r="G862" s="489">
        <f>G863</f>
        <v>490.9</v>
      </c>
      <c r="H862" s="489">
        <f>H863</f>
        <v>490.9</v>
      </c>
    </row>
    <row r="863" spans="1:14" ht="31.5" x14ac:dyDescent="0.25">
      <c r="A863" s="579" t="s">
        <v>131</v>
      </c>
      <c r="B863" s="580" t="s">
        <v>889</v>
      </c>
      <c r="C863" s="573" t="s">
        <v>264</v>
      </c>
      <c r="D863" s="573" t="s">
        <v>215</v>
      </c>
      <c r="E863" s="2">
        <v>200</v>
      </c>
      <c r="F863" s="2"/>
      <c r="G863" s="489">
        <f>G864</f>
        <v>490.9</v>
      </c>
      <c r="H863" s="489">
        <f>H864</f>
        <v>490.9</v>
      </c>
    </row>
    <row r="864" spans="1:14" ht="31.5" x14ac:dyDescent="0.25">
      <c r="A864" s="579" t="s">
        <v>133</v>
      </c>
      <c r="B864" s="580" t="s">
        <v>889</v>
      </c>
      <c r="C864" s="573" t="s">
        <v>264</v>
      </c>
      <c r="D864" s="573" t="s">
        <v>215</v>
      </c>
      <c r="E864" s="2">
        <v>240</v>
      </c>
      <c r="F864" s="2"/>
      <c r="G864" s="489">
        <f>'Пр.4.1 ведом.23-24 '!G341</f>
        <v>490.9</v>
      </c>
      <c r="H864" s="489">
        <f>'Пр.4.1 ведом.23-24 '!H341</f>
        <v>490.9</v>
      </c>
    </row>
    <row r="865" spans="1:8" ht="47.25" x14ac:dyDescent="0.25">
      <c r="A865" s="45" t="s">
        <v>261</v>
      </c>
      <c r="B865" s="580" t="s">
        <v>889</v>
      </c>
      <c r="C865" s="573" t="s">
        <v>264</v>
      </c>
      <c r="D865" s="573" t="s">
        <v>215</v>
      </c>
      <c r="E865" s="2">
        <v>240</v>
      </c>
      <c r="F865" s="2">
        <v>903</v>
      </c>
      <c r="G865" s="489">
        <f>G864</f>
        <v>490.9</v>
      </c>
      <c r="H865" s="489">
        <f>H864</f>
        <v>490.9</v>
      </c>
    </row>
    <row r="866" spans="1:8" ht="47.25" x14ac:dyDescent="0.25">
      <c r="A866" s="45" t="s">
        <v>780</v>
      </c>
      <c r="B866" s="580" t="s">
        <v>936</v>
      </c>
      <c r="C866" s="573" t="s">
        <v>264</v>
      </c>
      <c r="D866" s="573" t="s">
        <v>215</v>
      </c>
      <c r="E866" s="2"/>
      <c r="F866" s="2"/>
      <c r="G866" s="489">
        <f>G867</f>
        <v>302.39999999999998</v>
      </c>
      <c r="H866" s="489">
        <f>H867</f>
        <v>302.39999999999998</v>
      </c>
    </row>
    <row r="867" spans="1:8" ht="31.5" x14ac:dyDescent="0.25">
      <c r="A867" s="29" t="s">
        <v>272</v>
      </c>
      <c r="B867" s="580" t="s">
        <v>936</v>
      </c>
      <c r="C867" s="573" t="s">
        <v>264</v>
      </c>
      <c r="D867" s="573" t="s">
        <v>215</v>
      </c>
      <c r="E867" s="2">
        <v>600</v>
      </c>
      <c r="F867" s="2"/>
      <c r="G867" s="489">
        <f>G868</f>
        <v>302.39999999999998</v>
      </c>
      <c r="H867" s="489">
        <f>H868</f>
        <v>302.39999999999998</v>
      </c>
    </row>
    <row r="868" spans="1:8" ht="15.75" x14ac:dyDescent="0.25">
      <c r="A868" s="182" t="s">
        <v>274</v>
      </c>
      <c r="B868" s="580" t="s">
        <v>936</v>
      </c>
      <c r="C868" s="573" t="s">
        <v>264</v>
      </c>
      <c r="D868" s="573" t="s">
        <v>215</v>
      </c>
      <c r="E868" s="2">
        <v>610</v>
      </c>
      <c r="F868" s="2"/>
      <c r="G868" s="489">
        <f>'Пр.4.1 ведом.23-24 '!G778</f>
        <v>302.39999999999998</v>
      </c>
      <c r="H868" s="489">
        <f>'Пр.4.1 ведом.23-24 '!H778</f>
        <v>302.39999999999998</v>
      </c>
    </row>
    <row r="869" spans="1:8" ht="31.5" x14ac:dyDescent="0.25">
      <c r="A869" s="29" t="s">
        <v>403</v>
      </c>
      <c r="B869" s="580" t="s">
        <v>936</v>
      </c>
      <c r="C869" s="573" t="s">
        <v>264</v>
      </c>
      <c r="D869" s="573" t="s">
        <v>215</v>
      </c>
      <c r="E869" s="2">
        <v>610</v>
      </c>
      <c r="F869" s="2">
        <v>906</v>
      </c>
      <c r="G869" s="489">
        <f>G868</f>
        <v>302.39999999999998</v>
      </c>
      <c r="H869" s="489">
        <f>H868</f>
        <v>302.39999999999998</v>
      </c>
    </row>
    <row r="870" spans="1:8" ht="15.75" x14ac:dyDescent="0.25">
      <c r="A870" s="579" t="s">
        <v>298</v>
      </c>
      <c r="B870" s="580" t="s">
        <v>888</v>
      </c>
      <c r="C870" s="573" t="s">
        <v>299</v>
      </c>
      <c r="D870" s="573"/>
      <c r="E870" s="2"/>
      <c r="F870" s="2"/>
      <c r="G870" s="489">
        <f t="shared" ref="G870:H873" si="126">G871</f>
        <v>878.7</v>
      </c>
      <c r="H870" s="489">
        <f t="shared" si="126"/>
        <v>878.7</v>
      </c>
    </row>
    <row r="871" spans="1:8" ht="15.75" x14ac:dyDescent="0.25">
      <c r="A871" s="579" t="s">
        <v>300</v>
      </c>
      <c r="B871" s="580" t="s">
        <v>888</v>
      </c>
      <c r="C871" s="573" t="s">
        <v>299</v>
      </c>
      <c r="D871" s="573" t="s">
        <v>118</v>
      </c>
      <c r="E871" s="2"/>
      <c r="F871" s="2"/>
      <c r="G871" s="489">
        <f t="shared" si="126"/>
        <v>878.7</v>
      </c>
      <c r="H871" s="489">
        <f t="shared" si="126"/>
        <v>878.7</v>
      </c>
    </row>
    <row r="872" spans="1:8" ht="31.5" x14ac:dyDescent="0.25">
      <c r="A872" s="45" t="s">
        <v>778</v>
      </c>
      <c r="B872" s="580" t="s">
        <v>889</v>
      </c>
      <c r="C872" s="573" t="s">
        <v>299</v>
      </c>
      <c r="D872" s="573" t="s">
        <v>118</v>
      </c>
      <c r="E872" s="2"/>
      <c r="F872" s="2"/>
      <c r="G872" s="489">
        <f t="shared" si="126"/>
        <v>878.7</v>
      </c>
      <c r="H872" s="489">
        <f t="shared" si="126"/>
        <v>878.7</v>
      </c>
    </row>
    <row r="873" spans="1:8" ht="31.5" x14ac:dyDescent="0.25">
      <c r="A873" s="579" t="s">
        <v>131</v>
      </c>
      <c r="B873" s="580" t="s">
        <v>889</v>
      </c>
      <c r="C873" s="573" t="s">
        <v>299</v>
      </c>
      <c r="D873" s="573" t="s">
        <v>118</v>
      </c>
      <c r="E873" s="2">
        <v>200</v>
      </c>
      <c r="F873" s="2"/>
      <c r="G873" s="489">
        <f t="shared" si="126"/>
        <v>878.7</v>
      </c>
      <c r="H873" s="489">
        <f t="shared" si="126"/>
        <v>878.7</v>
      </c>
    </row>
    <row r="874" spans="1:8" ht="31.5" x14ac:dyDescent="0.25">
      <c r="A874" s="579" t="s">
        <v>133</v>
      </c>
      <c r="B874" s="580" t="s">
        <v>889</v>
      </c>
      <c r="C874" s="573" t="s">
        <v>299</v>
      </c>
      <c r="D874" s="573" t="s">
        <v>118</v>
      </c>
      <c r="E874" s="2">
        <v>240</v>
      </c>
      <c r="F874" s="2"/>
      <c r="G874" s="489">
        <f>'Пр.4.1 ведом.23-24 '!G432</f>
        <v>878.7</v>
      </c>
      <c r="H874" s="489">
        <f>'Пр.4.1 ведом.23-24 '!H432</f>
        <v>878.7</v>
      </c>
    </row>
    <row r="875" spans="1:8" ht="47.25" x14ac:dyDescent="0.25">
      <c r="A875" s="45" t="s">
        <v>261</v>
      </c>
      <c r="B875" s="580" t="s">
        <v>889</v>
      </c>
      <c r="C875" s="573" t="s">
        <v>299</v>
      </c>
      <c r="D875" s="573" t="s">
        <v>118</v>
      </c>
      <c r="E875" s="2">
        <v>240</v>
      </c>
      <c r="F875" s="2">
        <v>903</v>
      </c>
      <c r="G875" s="489">
        <f>G874</f>
        <v>878.7</v>
      </c>
      <c r="H875" s="489">
        <f>H874</f>
        <v>878.7</v>
      </c>
    </row>
    <row r="876" spans="1:8" ht="15.75" x14ac:dyDescent="0.25">
      <c r="A876" s="579" t="s">
        <v>490</v>
      </c>
      <c r="B876" s="580" t="s">
        <v>888</v>
      </c>
      <c r="C876" s="573" t="s">
        <v>491</v>
      </c>
      <c r="D876" s="573"/>
      <c r="E876" s="2"/>
      <c r="F876" s="2"/>
      <c r="G876" s="489">
        <f t="shared" ref="G876:H879" si="127">G877</f>
        <v>579.1</v>
      </c>
      <c r="H876" s="489">
        <f t="shared" si="127"/>
        <v>579.1</v>
      </c>
    </row>
    <row r="877" spans="1:8" ht="15.75" x14ac:dyDescent="0.25">
      <c r="A877" s="579" t="s">
        <v>1078</v>
      </c>
      <c r="B877" s="580" t="s">
        <v>888</v>
      </c>
      <c r="C877" s="573" t="s">
        <v>491</v>
      </c>
      <c r="D877" s="573" t="s">
        <v>118</v>
      </c>
      <c r="E877" s="2"/>
      <c r="F877" s="2"/>
      <c r="G877" s="489">
        <f t="shared" si="127"/>
        <v>579.1</v>
      </c>
      <c r="H877" s="489">
        <f t="shared" si="127"/>
        <v>579.1</v>
      </c>
    </row>
    <row r="878" spans="1:8" ht="47.25" x14ac:dyDescent="0.25">
      <c r="A878" s="45" t="s">
        <v>780</v>
      </c>
      <c r="B878" s="580" t="s">
        <v>936</v>
      </c>
      <c r="C878" s="573" t="s">
        <v>491</v>
      </c>
      <c r="D878" s="573" t="s">
        <v>118</v>
      </c>
      <c r="E878" s="2"/>
      <c r="F878" s="2"/>
      <c r="G878" s="489">
        <f t="shared" si="127"/>
        <v>579.1</v>
      </c>
      <c r="H878" s="489">
        <f t="shared" si="127"/>
        <v>579.1</v>
      </c>
    </row>
    <row r="879" spans="1:8" ht="31.5" x14ac:dyDescent="0.25">
      <c r="A879" s="29" t="s">
        <v>272</v>
      </c>
      <c r="B879" s="580" t="s">
        <v>936</v>
      </c>
      <c r="C879" s="573" t="s">
        <v>491</v>
      </c>
      <c r="D879" s="573" t="s">
        <v>118</v>
      </c>
      <c r="E879" s="2">
        <v>600</v>
      </c>
      <c r="F879" s="2"/>
      <c r="G879" s="489">
        <f t="shared" si="127"/>
        <v>579.1</v>
      </c>
      <c r="H879" s="489">
        <f t="shared" si="127"/>
        <v>579.1</v>
      </c>
    </row>
    <row r="880" spans="1:8" ht="15.75" x14ac:dyDescent="0.25">
      <c r="A880" s="182" t="s">
        <v>274</v>
      </c>
      <c r="B880" s="580" t="s">
        <v>936</v>
      </c>
      <c r="C880" s="573" t="s">
        <v>491</v>
      </c>
      <c r="D880" s="573" t="s">
        <v>118</v>
      </c>
      <c r="E880" s="2">
        <v>610</v>
      </c>
      <c r="F880" s="2"/>
      <c r="G880" s="489">
        <f>'Пр.4.1 ведом.23-24 '!G876</f>
        <v>579.1</v>
      </c>
      <c r="H880" s="489">
        <f>'Пр.4.1 ведом.23-24 '!H876</f>
        <v>579.1</v>
      </c>
    </row>
    <row r="881" spans="1:8" ht="31.5" x14ac:dyDescent="0.25">
      <c r="A881" s="45" t="s">
        <v>480</v>
      </c>
      <c r="B881" s="580" t="s">
        <v>936</v>
      </c>
      <c r="C881" s="573" t="s">
        <v>491</v>
      </c>
      <c r="D881" s="573" t="s">
        <v>118</v>
      </c>
      <c r="E881" s="2">
        <v>610</v>
      </c>
      <c r="F881" s="2">
        <v>907</v>
      </c>
      <c r="G881" s="489">
        <f>G880</f>
        <v>579.1</v>
      </c>
      <c r="H881" s="489">
        <f>H880</f>
        <v>579.1</v>
      </c>
    </row>
    <row r="882" spans="1:8" ht="15.75" x14ac:dyDescent="0.25">
      <c r="A882" s="29" t="s">
        <v>582</v>
      </c>
      <c r="B882" s="580" t="s">
        <v>888</v>
      </c>
      <c r="C882" s="573" t="s">
        <v>238</v>
      </c>
      <c r="D882" s="573"/>
      <c r="E882" s="2"/>
      <c r="F882" s="2"/>
      <c r="G882" s="489">
        <f t="shared" ref="G882:H885" si="128">G883</f>
        <v>74.900000000000006</v>
      </c>
      <c r="H882" s="489">
        <f t="shared" si="128"/>
        <v>74.900000000000006</v>
      </c>
    </row>
    <row r="883" spans="1:8" ht="15.75" x14ac:dyDescent="0.25">
      <c r="A883" s="29" t="s">
        <v>583</v>
      </c>
      <c r="B883" s="580" t="s">
        <v>888</v>
      </c>
      <c r="C883" s="573" t="s">
        <v>238</v>
      </c>
      <c r="D883" s="573" t="s">
        <v>213</v>
      </c>
      <c r="E883" s="2"/>
      <c r="F883" s="2"/>
      <c r="G883" s="489">
        <f t="shared" si="128"/>
        <v>74.900000000000006</v>
      </c>
      <c r="H883" s="489">
        <f t="shared" si="128"/>
        <v>74.900000000000006</v>
      </c>
    </row>
    <row r="884" spans="1:8" ht="31.5" x14ac:dyDescent="0.25">
      <c r="A884" s="45" t="s">
        <v>778</v>
      </c>
      <c r="B884" s="580" t="s">
        <v>889</v>
      </c>
      <c r="C884" s="573" t="s">
        <v>238</v>
      </c>
      <c r="D884" s="573" t="s">
        <v>213</v>
      </c>
      <c r="E884" s="2"/>
      <c r="F884" s="2"/>
      <c r="G884" s="489">
        <f t="shared" si="128"/>
        <v>74.900000000000006</v>
      </c>
      <c r="H884" s="489">
        <f t="shared" si="128"/>
        <v>74.900000000000006</v>
      </c>
    </row>
    <row r="885" spans="1:8" ht="31.5" x14ac:dyDescent="0.25">
      <c r="A885" s="579" t="s">
        <v>131</v>
      </c>
      <c r="B885" s="580" t="s">
        <v>889</v>
      </c>
      <c r="C885" s="573" t="s">
        <v>238</v>
      </c>
      <c r="D885" s="573" t="s">
        <v>213</v>
      </c>
      <c r="E885" s="2">
        <v>200</v>
      </c>
      <c r="F885" s="2"/>
      <c r="G885" s="489">
        <f t="shared" si="128"/>
        <v>74.900000000000006</v>
      </c>
      <c r="H885" s="489">
        <f t="shared" si="128"/>
        <v>74.900000000000006</v>
      </c>
    </row>
    <row r="886" spans="1:8" ht="31.5" x14ac:dyDescent="0.25">
      <c r="A886" s="579" t="s">
        <v>133</v>
      </c>
      <c r="B886" s="580" t="s">
        <v>889</v>
      </c>
      <c r="C886" s="573" t="s">
        <v>238</v>
      </c>
      <c r="D886" s="573" t="s">
        <v>213</v>
      </c>
      <c r="E886" s="2">
        <v>240</v>
      </c>
      <c r="F886" s="2"/>
      <c r="G886" s="489">
        <f>'Пр.4.1 ведом.23-24 '!G518</f>
        <v>74.900000000000006</v>
      </c>
      <c r="H886" s="489">
        <f>'Пр.4.1 ведом.23-24 '!H518</f>
        <v>74.900000000000006</v>
      </c>
    </row>
    <row r="887" spans="1:8" ht="47.25" x14ac:dyDescent="0.25">
      <c r="A887" s="45" t="s">
        <v>261</v>
      </c>
      <c r="B887" s="580" t="s">
        <v>889</v>
      </c>
      <c r="C887" s="573" t="s">
        <v>238</v>
      </c>
      <c r="D887" s="573" t="s">
        <v>213</v>
      </c>
      <c r="E887" s="2">
        <v>240</v>
      </c>
      <c r="F887" s="2">
        <v>903</v>
      </c>
      <c r="G887" s="489">
        <f>G884</f>
        <v>74.900000000000006</v>
      </c>
      <c r="H887" s="489">
        <f>H884</f>
        <v>74.900000000000006</v>
      </c>
    </row>
    <row r="888" spans="1:8" ht="31.5" x14ac:dyDescent="0.25">
      <c r="A888" s="503" t="s">
        <v>1023</v>
      </c>
      <c r="B888" s="495" t="s">
        <v>853</v>
      </c>
      <c r="C888" s="7"/>
      <c r="D888" s="7"/>
      <c r="E888" s="3"/>
      <c r="F888" s="3"/>
      <c r="G888" s="488">
        <f t="shared" ref="G888:H890" si="129">G889</f>
        <v>15</v>
      </c>
      <c r="H888" s="488">
        <f t="shared" si="129"/>
        <v>15</v>
      </c>
    </row>
    <row r="889" spans="1:8" ht="15.75" x14ac:dyDescent="0.25">
      <c r="A889" s="224" t="s">
        <v>117</v>
      </c>
      <c r="B889" s="580" t="s">
        <v>853</v>
      </c>
      <c r="C889" s="573" t="s">
        <v>118</v>
      </c>
      <c r="D889" s="573"/>
      <c r="E889" s="2"/>
      <c r="F889" s="2"/>
      <c r="G889" s="489">
        <f t="shared" si="129"/>
        <v>15</v>
      </c>
      <c r="H889" s="489">
        <f t="shared" si="129"/>
        <v>15</v>
      </c>
    </row>
    <row r="890" spans="1:8" ht="15.75" x14ac:dyDescent="0.25">
      <c r="A890" s="224" t="s">
        <v>139</v>
      </c>
      <c r="B890" s="580" t="s">
        <v>853</v>
      </c>
      <c r="C890" s="573" t="s">
        <v>118</v>
      </c>
      <c r="D890" s="573" t="s">
        <v>140</v>
      </c>
      <c r="E890" s="2"/>
      <c r="F890" s="2"/>
      <c r="G890" s="489">
        <f t="shared" si="129"/>
        <v>15</v>
      </c>
      <c r="H890" s="489">
        <f t="shared" si="129"/>
        <v>15</v>
      </c>
    </row>
    <row r="891" spans="1:8" ht="47.25" x14ac:dyDescent="0.25">
      <c r="A891" s="256" t="s">
        <v>1005</v>
      </c>
      <c r="B891" s="580" t="s">
        <v>848</v>
      </c>
      <c r="C891" s="573" t="s">
        <v>118</v>
      </c>
      <c r="D891" s="573" t="s">
        <v>140</v>
      </c>
      <c r="E891" s="2"/>
      <c r="F891" s="2"/>
      <c r="G891" s="489">
        <f t="shared" ref="G891:H892" si="130">G892</f>
        <v>15</v>
      </c>
      <c r="H891" s="489">
        <f t="shared" si="130"/>
        <v>15</v>
      </c>
    </row>
    <row r="892" spans="1:8" ht="31.5" x14ac:dyDescent="0.25">
      <c r="A892" s="579" t="s">
        <v>131</v>
      </c>
      <c r="B892" s="580" t="s">
        <v>848</v>
      </c>
      <c r="C892" s="573" t="s">
        <v>118</v>
      </c>
      <c r="D892" s="573" t="s">
        <v>140</v>
      </c>
      <c r="E892" s="2">
        <v>200</v>
      </c>
      <c r="F892" s="2"/>
      <c r="G892" s="489">
        <f t="shared" si="130"/>
        <v>15</v>
      </c>
      <c r="H892" s="489">
        <f t="shared" si="130"/>
        <v>15</v>
      </c>
    </row>
    <row r="893" spans="1:8" ht="31.5" x14ac:dyDescent="0.25">
      <c r="A893" s="579" t="s">
        <v>133</v>
      </c>
      <c r="B893" s="580" t="s">
        <v>848</v>
      </c>
      <c r="C893" s="573" t="s">
        <v>118</v>
      </c>
      <c r="D893" s="573" t="s">
        <v>140</v>
      </c>
      <c r="E893" s="2">
        <v>240</v>
      </c>
      <c r="F893" s="2"/>
      <c r="G893" s="489">
        <f>'Пр.4.1 ведом.23-24 '!G148</f>
        <v>15</v>
      </c>
      <c r="H893" s="489">
        <f>'Пр.4.1 ведом.23-24 '!H148</f>
        <v>15</v>
      </c>
    </row>
    <row r="894" spans="1:8" ht="20.25" customHeight="1" x14ac:dyDescent="0.25">
      <c r="A894" s="29" t="s">
        <v>148</v>
      </c>
      <c r="B894" s="580" t="s">
        <v>848</v>
      </c>
      <c r="C894" s="573" t="s">
        <v>118</v>
      </c>
      <c r="D894" s="573" t="s">
        <v>140</v>
      </c>
      <c r="E894" s="2">
        <v>240</v>
      </c>
      <c r="F894" s="2">
        <v>902</v>
      </c>
      <c r="G894" s="489">
        <f>G893</f>
        <v>15</v>
      </c>
      <c r="H894" s="489">
        <f>H893</f>
        <v>15</v>
      </c>
    </row>
    <row r="895" spans="1:8" ht="33" hidden="1" customHeight="1" x14ac:dyDescent="0.25">
      <c r="A895" s="494" t="s">
        <v>1624</v>
      </c>
      <c r="B895" s="495" t="s">
        <v>1625</v>
      </c>
      <c r="C895" s="7"/>
      <c r="D895" s="7"/>
      <c r="E895" s="3"/>
      <c r="F895" s="3"/>
      <c r="G895" s="488">
        <f>G896</f>
        <v>0</v>
      </c>
      <c r="H895" s="488">
        <f>H896</f>
        <v>0</v>
      </c>
    </row>
    <row r="896" spans="1:8" ht="31.5" hidden="1" x14ac:dyDescent="0.25">
      <c r="A896" s="579" t="s">
        <v>222</v>
      </c>
      <c r="B896" s="580" t="s">
        <v>1625</v>
      </c>
      <c r="C896" s="573" t="s">
        <v>215</v>
      </c>
      <c r="D896" s="573"/>
      <c r="E896" s="2"/>
      <c r="F896" s="2"/>
      <c r="G896" s="489">
        <f>G897</f>
        <v>0</v>
      </c>
      <c r="H896" s="489">
        <f>H897</f>
        <v>0</v>
      </c>
    </row>
    <row r="897" spans="1:8" ht="47.25" hidden="1" x14ac:dyDescent="0.25">
      <c r="A897" s="579" t="s">
        <v>1345</v>
      </c>
      <c r="B897" s="580" t="s">
        <v>1625</v>
      </c>
      <c r="C897" s="573" t="s">
        <v>215</v>
      </c>
      <c r="D897" s="573" t="s">
        <v>244</v>
      </c>
      <c r="E897" s="2"/>
      <c r="F897" s="2"/>
      <c r="G897" s="489">
        <f>G898+G902</f>
        <v>0</v>
      </c>
      <c r="H897" s="489">
        <f>H898+H902</f>
        <v>0</v>
      </c>
    </row>
    <row r="898" spans="1:8" ht="20.25" hidden="1" customHeight="1" x14ac:dyDescent="0.25">
      <c r="A898" s="579" t="s">
        <v>230</v>
      </c>
      <c r="B898" s="580" t="s">
        <v>1626</v>
      </c>
      <c r="C898" s="573" t="s">
        <v>215</v>
      </c>
      <c r="D898" s="573" t="s">
        <v>244</v>
      </c>
      <c r="E898" s="2"/>
      <c r="F898" s="2"/>
      <c r="G898" s="489">
        <f>G899</f>
        <v>0</v>
      </c>
      <c r="H898" s="489">
        <f>H899</f>
        <v>0</v>
      </c>
    </row>
    <row r="899" spans="1:8" ht="31.5" hidden="1" x14ac:dyDescent="0.25">
      <c r="A899" s="579" t="s">
        <v>131</v>
      </c>
      <c r="B899" s="580" t="s">
        <v>1626</v>
      </c>
      <c r="C899" s="573" t="s">
        <v>215</v>
      </c>
      <c r="D899" s="573" t="s">
        <v>244</v>
      </c>
      <c r="E899" s="2">
        <v>200</v>
      </c>
      <c r="F899" s="2"/>
      <c r="G899" s="489">
        <f>G900</f>
        <v>0</v>
      </c>
      <c r="H899" s="489">
        <f>H900</f>
        <v>0</v>
      </c>
    </row>
    <row r="900" spans="1:8" ht="31.5" hidden="1" x14ac:dyDescent="0.25">
      <c r="A900" s="579" t="s">
        <v>133</v>
      </c>
      <c r="B900" s="580" t="s">
        <v>1626</v>
      </c>
      <c r="C900" s="573" t="s">
        <v>215</v>
      </c>
      <c r="D900" s="573" t="s">
        <v>244</v>
      </c>
      <c r="E900" s="2">
        <v>240</v>
      </c>
      <c r="F900" s="2"/>
      <c r="G900" s="489">
        <f>'Пр.4 ведом.22'!G188</f>
        <v>0</v>
      </c>
      <c r="H900" s="489">
        <f>'Пр.4 ведом.22'!H188</f>
        <v>0</v>
      </c>
    </row>
    <row r="901" spans="1:8" ht="15.75" hidden="1" x14ac:dyDescent="0.25">
      <c r="A901" s="29" t="s">
        <v>148</v>
      </c>
      <c r="B901" s="580" t="s">
        <v>1626</v>
      </c>
      <c r="C901" s="573" t="s">
        <v>215</v>
      </c>
      <c r="D901" s="573" t="s">
        <v>244</v>
      </c>
      <c r="E901" s="2">
        <v>240</v>
      </c>
      <c r="F901" s="2">
        <v>902</v>
      </c>
      <c r="G901" s="489">
        <f>G900</f>
        <v>0</v>
      </c>
      <c r="H901" s="489">
        <f>H900</f>
        <v>0</v>
      </c>
    </row>
    <row r="902" spans="1:8" ht="47.25" hidden="1" x14ac:dyDescent="0.25">
      <c r="A902" s="579" t="s">
        <v>1659</v>
      </c>
      <c r="B902" s="580" t="s">
        <v>1660</v>
      </c>
      <c r="C902" s="573" t="s">
        <v>215</v>
      </c>
      <c r="D902" s="573" t="s">
        <v>244</v>
      </c>
      <c r="E902" s="2"/>
      <c r="F902" s="2"/>
      <c r="G902" s="489">
        <f>G903</f>
        <v>0</v>
      </c>
      <c r="H902" s="489">
        <f>H903</f>
        <v>0</v>
      </c>
    </row>
    <row r="903" spans="1:8" ht="15.75" hidden="1" x14ac:dyDescent="0.25">
      <c r="A903" s="579" t="s">
        <v>248</v>
      </c>
      <c r="B903" s="580" t="s">
        <v>1660</v>
      </c>
      <c r="C903" s="573" t="s">
        <v>215</v>
      </c>
      <c r="D903" s="573" t="s">
        <v>244</v>
      </c>
      <c r="E903" s="2" t="s">
        <v>249</v>
      </c>
      <c r="F903" s="2"/>
      <c r="G903" s="489">
        <f>G904</f>
        <v>0</v>
      </c>
      <c r="H903" s="489">
        <f>H904</f>
        <v>0</v>
      </c>
    </row>
    <row r="904" spans="1:8" ht="31.5" hidden="1" x14ac:dyDescent="0.25">
      <c r="A904" s="579" t="s">
        <v>250</v>
      </c>
      <c r="B904" s="580" t="s">
        <v>1660</v>
      </c>
      <c r="C904" s="573" t="s">
        <v>215</v>
      </c>
      <c r="D904" s="573" t="s">
        <v>244</v>
      </c>
      <c r="E904" s="2" t="s">
        <v>251</v>
      </c>
      <c r="F904" s="2"/>
      <c r="G904" s="489">
        <f>'Пр.4 ведом.22'!G194</f>
        <v>0</v>
      </c>
      <c r="H904" s="489">
        <f>'Пр.4 ведом.22'!H194</f>
        <v>0</v>
      </c>
    </row>
    <row r="905" spans="1:8" ht="15.75" hidden="1" x14ac:dyDescent="0.25">
      <c r="A905" s="29" t="s">
        <v>148</v>
      </c>
      <c r="B905" s="580" t="s">
        <v>1660</v>
      </c>
      <c r="C905" s="573" t="s">
        <v>215</v>
      </c>
      <c r="D905" s="573" t="s">
        <v>244</v>
      </c>
      <c r="E905" s="2">
        <v>320</v>
      </c>
      <c r="F905" s="2">
        <v>902</v>
      </c>
      <c r="G905" s="489">
        <f>G904</f>
        <v>0</v>
      </c>
      <c r="H905" s="489">
        <f>H904</f>
        <v>0</v>
      </c>
    </row>
    <row r="906" spans="1:8" ht="65.25" customHeight="1" x14ac:dyDescent="0.25">
      <c r="A906" s="494" t="s">
        <v>1531</v>
      </c>
      <c r="B906" s="495" t="s">
        <v>711</v>
      </c>
      <c r="C906" s="7"/>
      <c r="D906" s="7"/>
      <c r="E906" s="3"/>
      <c r="F906" s="3"/>
      <c r="G906" s="488">
        <f>G907+G914</f>
        <v>500</v>
      </c>
      <c r="H906" s="488">
        <f>H907+H914</f>
        <v>500</v>
      </c>
    </row>
    <row r="907" spans="1:8" ht="31.5" x14ac:dyDescent="0.25">
      <c r="A907" s="494" t="s">
        <v>1066</v>
      </c>
      <c r="B907" s="495" t="s">
        <v>1087</v>
      </c>
      <c r="C907" s="7"/>
      <c r="D907" s="7"/>
      <c r="E907" s="3"/>
      <c r="F907" s="3"/>
      <c r="G907" s="488">
        <f>G908</f>
        <v>500</v>
      </c>
      <c r="H907" s="488">
        <f>H908</f>
        <v>500</v>
      </c>
    </row>
    <row r="908" spans="1:8" ht="15.75" x14ac:dyDescent="0.25">
      <c r="A908" s="579" t="s">
        <v>390</v>
      </c>
      <c r="B908" s="580" t="s">
        <v>835</v>
      </c>
      <c r="C908" s="573" t="s">
        <v>234</v>
      </c>
      <c r="D908" s="573"/>
      <c r="E908" s="2"/>
      <c r="F908" s="2"/>
      <c r="G908" s="489">
        <f t="shared" ref="G908:H911" si="131">G909</f>
        <v>500</v>
      </c>
      <c r="H908" s="489">
        <f t="shared" si="131"/>
        <v>500</v>
      </c>
    </row>
    <row r="909" spans="1:8" ht="15.75" x14ac:dyDescent="0.25">
      <c r="A909" s="579" t="s">
        <v>541</v>
      </c>
      <c r="B909" s="580" t="s">
        <v>835</v>
      </c>
      <c r="C909" s="573" t="s">
        <v>234</v>
      </c>
      <c r="D909" s="573" t="s">
        <v>215</v>
      </c>
      <c r="E909" s="2"/>
      <c r="F909" s="2"/>
      <c r="G909" s="489">
        <f t="shared" si="131"/>
        <v>500</v>
      </c>
      <c r="H909" s="489">
        <f t="shared" si="131"/>
        <v>500</v>
      </c>
    </row>
    <row r="910" spans="1:8" ht="47.25" x14ac:dyDescent="0.25">
      <c r="A910" s="80" t="s">
        <v>693</v>
      </c>
      <c r="B910" s="580" t="s">
        <v>835</v>
      </c>
      <c r="C910" s="573" t="s">
        <v>234</v>
      </c>
      <c r="D910" s="573" t="s">
        <v>215</v>
      </c>
      <c r="E910" s="2"/>
      <c r="F910" s="2"/>
      <c r="G910" s="489">
        <f t="shared" si="131"/>
        <v>500</v>
      </c>
      <c r="H910" s="489">
        <f t="shared" si="131"/>
        <v>500</v>
      </c>
    </row>
    <row r="911" spans="1:8" ht="31.5" x14ac:dyDescent="0.25">
      <c r="A911" s="579" t="s">
        <v>131</v>
      </c>
      <c r="B911" s="580" t="s">
        <v>835</v>
      </c>
      <c r="C911" s="573" t="s">
        <v>234</v>
      </c>
      <c r="D911" s="573" t="s">
        <v>215</v>
      </c>
      <c r="E911" s="2">
        <v>200</v>
      </c>
      <c r="F911" s="2"/>
      <c r="G911" s="489">
        <f t="shared" si="131"/>
        <v>500</v>
      </c>
      <c r="H911" s="489">
        <f t="shared" si="131"/>
        <v>500</v>
      </c>
    </row>
    <row r="912" spans="1:8" ht="31.5" x14ac:dyDescent="0.25">
      <c r="A912" s="579" t="s">
        <v>133</v>
      </c>
      <c r="B912" s="580" t="s">
        <v>835</v>
      </c>
      <c r="C912" s="573" t="s">
        <v>234</v>
      </c>
      <c r="D912" s="573" t="s">
        <v>215</v>
      </c>
      <c r="E912" s="2">
        <v>240</v>
      </c>
      <c r="F912" s="2"/>
      <c r="G912" s="489">
        <f>'Пр.4.1 ведом.23-24 '!G1095</f>
        <v>500</v>
      </c>
      <c r="H912" s="489">
        <f>'Пр.4.1 ведом.23-24 '!H1095</f>
        <v>500</v>
      </c>
    </row>
    <row r="913" spans="1:8" ht="34.5" customHeight="1" x14ac:dyDescent="0.25">
      <c r="A913" s="45" t="s">
        <v>623</v>
      </c>
      <c r="B913" s="580" t="s">
        <v>835</v>
      </c>
      <c r="C913" s="573" t="s">
        <v>234</v>
      </c>
      <c r="D913" s="573" t="s">
        <v>215</v>
      </c>
      <c r="E913" s="2">
        <v>240</v>
      </c>
      <c r="F913" s="2">
        <v>908</v>
      </c>
      <c r="G913" s="489">
        <f t="shared" ref="G913:H913" si="132">G906</f>
        <v>500</v>
      </c>
      <c r="H913" s="489">
        <f t="shared" si="132"/>
        <v>500</v>
      </c>
    </row>
    <row r="914" spans="1:8" s="656" customFormat="1" ht="110.25" hidden="1" x14ac:dyDescent="0.25">
      <c r="A914" s="668" t="s">
        <v>1681</v>
      </c>
      <c r="B914" s="665" t="s">
        <v>1682</v>
      </c>
      <c r="C914" s="658"/>
      <c r="D914" s="658"/>
      <c r="E914" s="666"/>
      <c r="F914" s="666"/>
      <c r="G914" s="659">
        <f>G915</f>
        <v>0</v>
      </c>
      <c r="H914" s="659">
        <f>H915</f>
        <v>0</v>
      </c>
    </row>
    <row r="915" spans="1:8" s="656" customFormat="1" ht="15.75" hidden="1" x14ac:dyDescent="0.25">
      <c r="A915" s="650" t="s">
        <v>390</v>
      </c>
      <c r="B915" s="653" t="s">
        <v>1683</v>
      </c>
      <c r="C915" s="654" t="s">
        <v>234</v>
      </c>
      <c r="D915" s="654"/>
      <c r="E915" s="661"/>
      <c r="F915" s="661"/>
      <c r="G915" s="660">
        <f t="shared" ref="G915:H918" si="133">G916</f>
        <v>0</v>
      </c>
      <c r="H915" s="660">
        <f t="shared" si="133"/>
        <v>0</v>
      </c>
    </row>
    <row r="916" spans="1:8" s="656" customFormat="1" ht="15.75" hidden="1" x14ac:dyDescent="0.25">
      <c r="A916" s="650" t="s">
        <v>541</v>
      </c>
      <c r="B916" s="653" t="s">
        <v>1683</v>
      </c>
      <c r="C916" s="654" t="s">
        <v>234</v>
      </c>
      <c r="D916" s="654" t="s">
        <v>215</v>
      </c>
      <c r="E916" s="661"/>
      <c r="F916" s="661"/>
      <c r="G916" s="660">
        <f t="shared" si="133"/>
        <v>0</v>
      </c>
      <c r="H916" s="660">
        <f t="shared" si="133"/>
        <v>0</v>
      </c>
    </row>
    <row r="917" spans="1:8" s="656" customFormat="1" ht="94.5" hidden="1" x14ac:dyDescent="0.25">
      <c r="A917" s="669" t="s">
        <v>1704</v>
      </c>
      <c r="B917" s="653" t="s">
        <v>1683</v>
      </c>
      <c r="C917" s="654" t="s">
        <v>234</v>
      </c>
      <c r="D917" s="654" t="s">
        <v>215</v>
      </c>
      <c r="E917" s="661"/>
      <c r="F917" s="661"/>
      <c r="G917" s="660">
        <f t="shared" si="133"/>
        <v>0</v>
      </c>
      <c r="H917" s="660">
        <f t="shared" si="133"/>
        <v>0</v>
      </c>
    </row>
    <row r="918" spans="1:8" s="656" customFormat="1" ht="31.5" hidden="1" x14ac:dyDescent="0.25">
      <c r="A918" s="650" t="s">
        <v>131</v>
      </c>
      <c r="B918" s="653" t="s">
        <v>1683</v>
      </c>
      <c r="C918" s="654" t="s">
        <v>234</v>
      </c>
      <c r="D918" s="654" t="s">
        <v>215</v>
      </c>
      <c r="E918" s="661">
        <v>200</v>
      </c>
      <c r="F918" s="661"/>
      <c r="G918" s="660">
        <f t="shared" si="133"/>
        <v>0</v>
      </c>
      <c r="H918" s="660">
        <f t="shared" si="133"/>
        <v>0</v>
      </c>
    </row>
    <row r="919" spans="1:8" s="656" customFormat="1" ht="31.5" hidden="1" x14ac:dyDescent="0.25">
      <c r="A919" s="650" t="s">
        <v>133</v>
      </c>
      <c r="B919" s="653" t="s">
        <v>1683</v>
      </c>
      <c r="C919" s="654" t="s">
        <v>234</v>
      </c>
      <c r="D919" s="654" t="s">
        <v>215</v>
      </c>
      <c r="E919" s="661">
        <v>240</v>
      </c>
      <c r="F919" s="661"/>
      <c r="G919" s="660">
        <f>'Пр.4 ведом.22'!G1098</f>
        <v>0</v>
      </c>
      <c r="H919" s="660">
        <f>'Пр.4 ведом.22'!H1098</f>
        <v>0</v>
      </c>
    </row>
    <row r="920" spans="1:8" s="656" customFormat="1" ht="34.5" hidden="1" customHeight="1" x14ac:dyDescent="0.25">
      <c r="A920" s="657" t="s">
        <v>623</v>
      </c>
      <c r="B920" s="653" t="s">
        <v>1683</v>
      </c>
      <c r="C920" s="654" t="s">
        <v>234</v>
      </c>
      <c r="D920" s="654" t="s">
        <v>215</v>
      </c>
      <c r="E920" s="661">
        <v>240</v>
      </c>
      <c r="F920" s="661">
        <v>908</v>
      </c>
      <c r="G920" s="660">
        <f>'Пр.4 ведом.22'!G1098</f>
        <v>0</v>
      </c>
      <c r="H920" s="660">
        <f>'Пр.4 ведом.22'!H1098</f>
        <v>0</v>
      </c>
    </row>
    <row r="921" spans="1:8" s="185" customFormat="1" ht="63" hidden="1" x14ac:dyDescent="0.25">
      <c r="A921" s="58" t="s">
        <v>1529</v>
      </c>
      <c r="B921" s="495" t="s">
        <v>782</v>
      </c>
      <c r="C921" s="7"/>
      <c r="D921" s="7"/>
      <c r="E921" s="3"/>
      <c r="F921" s="3"/>
      <c r="G921" s="488">
        <f>G923</f>
        <v>0</v>
      </c>
      <c r="H921" s="488">
        <f>H923</f>
        <v>0</v>
      </c>
    </row>
    <row r="922" spans="1:8" s="185" customFormat="1" ht="31.5" hidden="1" x14ac:dyDescent="0.25">
      <c r="A922" s="494" t="s">
        <v>930</v>
      </c>
      <c r="B922" s="495" t="s">
        <v>1020</v>
      </c>
      <c r="C922" s="7"/>
      <c r="D922" s="7"/>
      <c r="E922" s="3"/>
      <c r="F922" s="3"/>
      <c r="G922" s="488">
        <f t="shared" ref="G922:H926" si="134">G923</f>
        <v>0</v>
      </c>
      <c r="H922" s="488">
        <f t="shared" si="134"/>
        <v>0</v>
      </c>
    </row>
    <row r="923" spans="1:8" ht="15.75" hidden="1" x14ac:dyDescent="0.25">
      <c r="A923" s="45" t="s">
        <v>117</v>
      </c>
      <c r="B923" s="580" t="s">
        <v>1020</v>
      </c>
      <c r="C923" s="573" t="s">
        <v>118</v>
      </c>
      <c r="D923" s="573"/>
      <c r="E923" s="2"/>
      <c r="F923" s="2"/>
      <c r="G923" s="489">
        <f t="shared" si="134"/>
        <v>0</v>
      </c>
      <c r="H923" s="489">
        <f t="shared" si="134"/>
        <v>0</v>
      </c>
    </row>
    <row r="924" spans="1:8" ht="15.75" hidden="1" x14ac:dyDescent="0.25">
      <c r="A924" s="45" t="s">
        <v>139</v>
      </c>
      <c r="B924" s="580" t="s">
        <v>1020</v>
      </c>
      <c r="C924" s="573" t="s">
        <v>118</v>
      </c>
      <c r="D924" s="573" t="s">
        <v>140</v>
      </c>
      <c r="E924" s="2"/>
      <c r="F924" s="2"/>
      <c r="G924" s="489">
        <f t="shared" si="134"/>
        <v>0</v>
      </c>
      <c r="H924" s="489">
        <f t="shared" si="134"/>
        <v>0</v>
      </c>
    </row>
    <row r="925" spans="1:8" ht="31.5" hidden="1" x14ac:dyDescent="0.25">
      <c r="A925" s="45" t="s">
        <v>790</v>
      </c>
      <c r="B925" s="580" t="s">
        <v>1021</v>
      </c>
      <c r="C925" s="573" t="s">
        <v>118</v>
      </c>
      <c r="D925" s="573" t="s">
        <v>140</v>
      </c>
      <c r="E925" s="2"/>
      <c r="F925" s="2"/>
      <c r="G925" s="489">
        <f t="shared" si="134"/>
        <v>0</v>
      </c>
      <c r="H925" s="489">
        <f t="shared" si="134"/>
        <v>0</v>
      </c>
    </row>
    <row r="926" spans="1:8" ht="31.5" hidden="1" x14ac:dyDescent="0.25">
      <c r="A926" s="45" t="s">
        <v>131</v>
      </c>
      <c r="B926" s="580" t="s">
        <v>1021</v>
      </c>
      <c r="C926" s="573" t="s">
        <v>118</v>
      </c>
      <c r="D926" s="573" t="s">
        <v>140</v>
      </c>
      <c r="E926" s="2">
        <v>200</v>
      </c>
      <c r="F926" s="2"/>
      <c r="G926" s="489">
        <f t="shared" si="134"/>
        <v>0</v>
      </c>
      <c r="H926" s="489">
        <f t="shared" si="134"/>
        <v>0</v>
      </c>
    </row>
    <row r="927" spans="1:8" ht="31.5" hidden="1" x14ac:dyDescent="0.25">
      <c r="A927" s="45" t="s">
        <v>133</v>
      </c>
      <c r="B927" s="580" t="s">
        <v>1021</v>
      </c>
      <c r="C927" s="573" t="s">
        <v>118</v>
      </c>
      <c r="D927" s="573" t="s">
        <v>140</v>
      </c>
      <c r="E927" s="2">
        <v>240</v>
      </c>
      <c r="F927" s="2"/>
      <c r="G927" s="489">
        <f>'Пр.4 ведом.22'!G568</f>
        <v>0</v>
      </c>
      <c r="H927" s="489">
        <f>'Пр.4 ведом.22'!H568</f>
        <v>0</v>
      </c>
    </row>
    <row r="928" spans="1:8" ht="36.75" hidden="1" customHeight="1" x14ac:dyDescent="0.25">
      <c r="A928" s="45" t="s">
        <v>1385</v>
      </c>
      <c r="B928" s="580" t="s">
        <v>1021</v>
      </c>
      <c r="C928" s="573" t="s">
        <v>118</v>
      </c>
      <c r="D928" s="573" t="s">
        <v>140</v>
      </c>
      <c r="E928" s="2">
        <v>240</v>
      </c>
      <c r="F928" s="2">
        <v>905</v>
      </c>
      <c r="G928" s="489">
        <f>G921</f>
        <v>0</v>
      </c>
      <c r="H928" s="489">
        <f>H921</f>
        <v>0</v>
      </c>
    </row>
    <row r="929" spans="1:8" ht="68.25" customHeight="1" x14ac:dyDescent="0.25">
      <c r="A929" s="572" t="s">
        <v>1365</v>
      </c>
      <c r="B929" s="495" t="s">
        <v>817</v>
      </c>
      <c r="C929" s="7"/>
      <c r="D929" s="7"/>
      <c r="E929" s="3"/>
      <c r="F929" s="3"/>
      <c r="G929" s="488">
        <f>G931</f>
        <v>45</v>
      </c>
      <c r="H929" s="488">
        <f>H931</f>
        <v>45</v>
      </c>
    </row>
    <row r="930" spans="1:8" ht="47.25" x14ac:dyDescent="0.25">
      <c r="A930" s="213" t="s">
        <v>854</v>
      </c>
      <c r="B930" s="495" t="s">
        <v>1075</v>
      </c>
      <c r="C930" s="7"/>
      <c r="D930" s="7"/>
      <c r="E930" s="3"/>
      <c r="F930" s="3"/>
      <c r="G930" s="488">
        <f t="shared" ref="G930:H934" si="135">G931</f>
        <v>45</v>
      </c>
      <c r="H930" s="488">
        <f t="shared" si="135"/>
        <v>45</v>
      </c>
    </row>
    <row r="931" spans="1:8" ht="15.75" x14ac:dyDescent="0.25">
      <c r="A931" s="45" t="s">
        <v>117</v>
      </c>
      <c r="B931" s="580" t="s">
        <v>1075</v>
      </c>
      <c r="C931" s="573" t="s">
        <v>118</v>
      </c>
      <c r="D931" s="573"/>
      <c r="E931" s="2"/>
      <c r="F931" s="2"/>
      <c r="G931" s="489">
        <f t="shared" si="135"/>
        <v>45</v>
      </c>
      <c r="H931" s="489">
        <f t="shared" si="135"/>
        <v>45</v>
      </c>
    </row>
    <row r="932" spans="1:8" ht="15.75" x14ac:dyDescent="0.25">
      <c r="A932" s="45" t="s">
        <v>139</v>
      </c>
      <c r="B932" s="580" t="s">
        <v>1075</v>
      </c>
      <c r="C932" s="573" t="s">
        <v>118</v>
      </c>
      <c r="D932" s="573" t="s">
        <v>140</v>
      </c>
      <c r="E932" s="2"/>
      <c r="F932" s="2"/>
      <c r="G932" s="489">
        <f t="shared" si="135"/>
        <v>45</v>
      </c>
      <c r="H932" s="489">
        <f t="shared" si="135"/>
        <v>45</v>
      </c>
    </row>
    <row r="933" spans="1:8" ht="31.5" x14ac:dyDescent="0.25">
      <c r="A933" s="97" t="s">
        <v>171</v>
      </c>
      <c r="B933" s="580" t="s">
        <v>855</v>
      </c>
      <c r="C933" s="573" t="s">
        <v>118</v>
      </c>
      <c r="D933" s="573" t="s">
        <v>140</v>
      </c>
      <c r="E933" s="2"/>
      <c r="F933" s="2"/>
      <c r="G933" s="489">
        <f t="shared" si="135"/>
        <v>45</v>
      </c>
      <c r="H933" s="489">
        <f t="shared" si="135"/>
        <v>45</v>
      </c>
    </row>
    <row r="934" spans="1:8" ht="31.5" x14ac:dyDescent="0.25">
      <c r="A934" s="45" t="s">
        <v>131</v>
      </c>
      <c r="B934" s="580" t="s">
        <v>855</v>
      </c>
      <c r="C934" s="573" t="s">
        <v>118</v>
      </c>
      <c r="D934" s="573" t="s">
        <v>140</v>
      </c>
      <c r="E934" s="2">
        <v>200</v>
      </c>
      <c r="F934" s="2"/>
      <c r="G934" s="489">
        <f t="shared" si="135"/>
        <v>45</v>
      </c>
      <c r="H934" s="489">
        <f t="shared" si="135"/>
        <v>45</v>
      </c>
    </row>
    <row r="935" spans="1:8" ht="31.5" x14ac:dyDescent="0.25">
      <c r="A935" s="45" t="s">
        <v>133</v>
      </c>
      <c r="B935" s="580" t="s">
        <v>855</v>
      </c>
      <c r="C935" s="573" t="s">
        <v>118</v>
      </c>
      <c r="D935" s="573" t="s">
        <v>140</v>
      </c>
      <c r="E935" s="2">
        <v>240</v>
      </c>
      <c r="F935" s="2"/>
      <c r="G935" s="489">
        <f>'Пр.4.1 ведом.23-24 '!G153</f>
        <v>45</v>
      </c>
      <c r="H935" s="489">
        <f>'Пр.4.1 ведом.23-24 '!H153</f>
        <v>45</v>
      </c>
    </row>
    <row r="936" spans="1:8" ht="23.25" customHeight="1" x14ac:dyDescent="0.25">
      <c r="A936" s="29" t="s">
        <v>148</v>
      </c>
      <c r="B936" s="580" t="s">
        <v>855</v>
      </c>
      <c r="C936" s="573" t="s">
        <v>118</v>
      </c>
      <c r="D936" s="573" t="s">
        <v>140</v>
      </c>
      <c r="E936" s="2">
        <v>240</v>
      </c>
      <c r="F936" s="2">
        <v>902</v>
      </c>
      <c r="G936" s="489">
        <f>G929</f>
        <v>45</v>
      </c>
      <c r="H936" s="489">
        <f>H929</f>
        <v>45</v>
      </c>
    </row>
    <row r="937" spans="1:8" ht="63" x14ac:dyDescent="0.25">
      <c r="A937" s="572" t="s">
        <v>1374</v>
      </c>
      <c r="B937" s="495" t="s">
        <v>818</v>
      </c>
      <c r="C937" s="7"/>
      <c r="D937" s="7"/>
      <c r="E937" s="3"/>
      <c r="F937" s="3"/>
      <c r="G937" s="488">
        <f>G939</f>
        <v>80</v>
      </c>
      <c r="H937" s="488">
        <f>H939</f>
        <v>80</v>
      </c>
    </row>
    <row r="938" spans="1:8" ht="31.5" x14ac:dyDescent="0.25">
      <c r="A938" s="58" t="s">
        <v>856</v>
      </c>
      <c r="B938" s="495" t="s">
        <v>864</v>
      </c>
      <c r="C938" s="7"/>
      <c r="D938" s="7"/>
      <c r="E938" s="3"/>
      <c r="F938" s="3"/>
      <c r="G938" s="488">
        <f t="shared" ref="G938:H942" si="136">G939</f>
        <v>80</v>
      </c>
      <c r="H938" s="488">
        <f t="shared" si="136"/>
        <v>80</v>
      </c>
    </row>
    <row r="939" spans="1:8" ht="15.75" x14ac:dyDescent="0.25">
      <c r="A939" s="45" t="s">
        <v>117</v>
      </c>
      <c r="B939" s="580" t="s">
        <v>864</v>
      </c>
      <c r="C939" s="573" t="s">
        <v>118</v>
      </c>
      <c r="D939" s="573"/>
      <c r="E939" s="2"/>
      <c r="F939" s="2"/>
      <c r="G939" s="489">
        <f t="shared" si="136"/>
        <v>80</v>
      </c>
      <c r="H939" s="489">
        <f t="shared" si="136"/>
        <v>80</v>
      </c>
    </row>
    <row r="940" spans="1:8" ht="15.75" x14ac:dyDescent="0.25">
      <c r="A940" s="45" t="s">
        <v>139</v>
      </c>
      <c r="B940" s="580" t="s">
        <v>864</v>
      </c>
      <c r="C940" s="573" t="s">
        <v>118</v>
      </c>
      <c r="D940" s="573" t="s">
        <v>140</v>
      </c>
      <c r="E940" s="2"/>
      <c r="F940" s="2"/>
      <c r="G940" s="489">
        <f t="shared" si="136"/>
        <v>80</v>
      </c>
      <c r="H940" s="489">
        <f t="shared" si="136"/>
        <v>80</v>
      </c>
    </row>
    <row r="941" spans="1:8" ht="15.75" x14ac:dyDescent="0.25">
      <c r="A941" s="45" t="s">
        <v>175</v>
      </c>
      <c r="B941" s="580" t="s">
        <v>857</v>
      </c>
      <c r="C941" s="573" t="s">
        <v>118</v>
      </c>
      <c r="D941" s="573" t="s">
        <v>140</v>
      </c>
      <c r="E941" s="2"/>
      <c r="F941" s="2"/>
      <c r="G941" s="489">
        <f t="shared" si="136"/>
        <v>80</v>
      </c>
      <c r="H941" s="489">
        <f t="shared" si="136"/>
        <v>80</v>
      </c>
    </row>
    <row r="942" spans="1:8" ht="31.5" x14ac:dyDescent="0.25">
      <c r="A942" s="45" t="s">
        <v>131</v>
      </c>
      <c r="B942" s="580" t="s">
        <v>857</v>
      </c>
      <c r="C942" s="573" t="s">
        <v>118</v>
      </c>
      <c r="D942" s="573" t="s">
        <v>140</v>
      </c>
      <c r="E942" s="2">
        <v>200</v>
      </c>
      <c r="F942" s="2"/>
      <c r="G942" s="489">
        <f t="shared" si="136"/>
        <v>80</v>
      </c>
      <c r="H942" s="489">
        <f t="shared" si="136"/>
        <v>80</v>
      </c>
    </row>
    <row r="943" spans="1:8" ht="31.5" x14ac:dyDescent="0.25">
      <c r="A943" s="45" t="s">
        <v>133</v>
      </c>
      <c r="B943" s="580" t="s">
        <v>857</v>
      </c>
      <c r="C943" s="573" t="s">
        <v>118</v>
      </c>
      <c r="D943" s="573" t="s">
        <v>140</v>
      </c>
      <c r="E943" s="2">
        <v>240</v>
      </c>
      <c r="F943" s="2"/>
      <c r="G943" s="489">
        <f>'Пр.4.1 ведом.23-24 '!G158</f>
        <v>80</v>
      </c>
      <c r="H943" s="489">
        <f>'Пр.4.1 ведом.23-24 '!H158</f>
        <v>80</v>
      </c>
    </row>
    <row r="944" spans="1:8" ht="23.25" customHeight="1" x14ac:dyDescent="0.25">
      <c r="A944" s="29" t="s">
        <v>148</v>
      </c>
      <c r="B944" s="580" t="s">
        <v>857</v>
      </c>
      <c r="C944" s="573" t="s">
        <v>118</v>
      </c>
      <c r="D944" s="573" t="s">
        <v>140</v>
      </c>
      <c r="E944" s="2">
        <v>240</v>
      </c>
      <c r="F944" s="2">
        <v>902</v>
      </c>
      <c r="G944" s="489">
        <f>G937</f>
        <v>80</v>
      </c>
      <c r="H944" s="489">
        <f>H937</f>
        <v>80</v>
      </c>
    </row>
    <row r="945" spans="1:14" ht="47.25" x14ac:dyDescent="0.25">
      <c r="A945" s="494" t="s">
        <v>1528</v>
      </c>
      <c r="B945" s="495" t="s">
        <v>1141</v>
      </c>
      <c r="C945" s="573"/>
      <c r="D945" s="573"/>
      <c r="E945" s="2"/>
      <c r="F945" s="2"/>
      <c r="G945" s="488">
        <f t="shared" ref="G945:H950" si="137">G946</f>
        <v>204</v>
      </c>
      <c r="H945" s="488">
        <f t="shared" si="137"/>
        <v>204</v>
      </c>
    </row>
    <row r="946" spans="1:14" ht="31.5" x14ac:dyDescent="0.25">
      <c r="A946" s="494" t="s">
        <v>1142</v>
      </c>
      <c r="B946" s="495" t="s">
        <v>1143</v>
      </c>
      <c r="C946" s="573"/>
      <c r="D946" s="573"/>
      <c r="E946" s="2"/>
      <c r="F946" s="2"/>
      <c r="G946" s="488">
        <f t="shared" si="137"/>
        <v>204</v>
      </c>
      <c r="H946" s="488">
        <f t="shared" si="137"/>
        <v>204</v>
      </c>
    </row>
    <row r="947" spans="1:14" ht="15.75" x14ac:dyDescent="0.25">
      <c r="A947" s="29" t="s">
        <v>390</v>
      </c>
      <c r="B947" s="580" t="s">
        <v>1143</v>
      </c>
      <c r="C947" s="573" t="s">
        <v>234</v>
      </c>
      <c r="D947" s="573"/>
      <c r="E947" s="2"/>
      <c r="F947" s="2"/>
      <c r="G947" s="489">
        <f t="shared" si="137"/>
        <v>204</v>
      </c>
      <c r="H947" s="489">
        <f t="shared" si="137"/>
        <v>204</v>
      </c>
    </row>
    <row r="948" spans="1:14" ht="15.75" x14ac:dyDescent="0.25">
      <c r="A948" s="29" t="s">
        <v>517</v>
      </c>
      <c r="B948" s="580" t="s">
        <v>1143</v>
      </c>
      <c r="C948" s="573" t="s">
        <v>234</v>
      </c>
      <c r="D948" s="573" t="s">
        <v>213</v>
      </c>
      <c r="E948" s="2"/>
      <c r="F948" s="2"/>
      <c r="G948" s="489">
        <f t="shared" si="137"/>
        <v>204</v>
      </c>
      <c r="H948" s="489">
        <f t="shared" si="137"/>
        <v>204</v>
      </c>
    </row>
    <row r="949" spans="1:14" ht="15.75" x14ac:dyDescent="0.25">
      <c r="A949" s="29" t="s">
        <v>1145</v>
      </c>
      <c r="B949" s="580" t="s">
        <v>1144</v>
      </c>
      <c r="C949" s="573" t="s">
        <v>234</v>
      </c>
      <c r="D949" s="573" t="s">
        <v>213</v>
      </c>
      <c r="E949" s="2"/>
      <c r="F949" s="2"/>
      <c r="G949" s="489">
        <f t="shared" si="137"/>
        <v>204</v>
      </c>
      <c r="H949" s="489">
        <f t="shared" si="137"/>
        <v>204</v>
      </c>
    </row>
    <row r="950" spans="1:14" ht="31.5" x14ac:dyDescent="0.25">
      <c r="A950" s="45" t="s">
        <v>131</v>
      </c>
      <c r="B950" s="580" t="s">
        <v>1144</v>
      </c>
      <c r="C950" s="573" t="s">
        <v>234</v>
      </c>
      <c r="D950" s="573" t="s">
        <v>213</v>
      </c>
      <c r="E950" s="2">
        <v>200</v>
      </c>
      <c r="F950" s="2"/>
      <c r="G950" s="489">
        <f t="shared" si="137"/>
        <v>204</v>
      </c>
      <c r="H950" s="489">
        <f t="shared" si="137"/>
        <v>204</v>
      </c>
    </row>
    <row r="951" spans="1:14" ht="31.5" x14ac:dyDescent="0.25">
      <c r="A951" s="45" t="s">
        <v>133</v>
      </c>
      <c r="B951" s="580" t="s">
        <v>1144</v>
      </c>
      <c r="C951" s="573" t="s">
        <v>234</v>
      </c>
      <c r="D951" s="573" t="s">
        <v>213</v>
      </c>
      <c r="E951" s="2">
        <v>240</v>
      </c>
      <c r="F951" s="2"/>
      <c r="G951" s="489">
        <f>'Пр.4.1 ведом.23-24 '!G1037</f>
        <v>204</v>
      </c>
      <c r="H951" s="489">
        <f>'Пр.4.1 ведом.23-24 '!H1037</f>
        <v>204</v>
      </c>
    </row>
    <row r="952" spans="1:14" ht="31.5" x14ac:dyDescent="0.25">
      <c r="A952" s="45" t="s">
        <v>623</v>
      </c>
      <c r="B952" s="580" t="s">
        <v>1144</v>
      </c>
      <c r="C952" s="573" t="s">
        <v>234</v>
      </c>
      <c r="D952" s="573" t="s">
        <v>213</v>
      </c>
      <c r="E952" s="2">
        <v>240</v>
      </c>
      <c r="F952" s="2">
        <v>908</v>
      </c>
      <c r="G952" s="489">
        <f>'Пр.4 ведом.22'!G1036</f>
        <v>204</v>
      </c>
      <c r="H952" s="489">
        <f>'Пр.4 ведом.22'!H1036</f>
        <v>0</v>
      </c>
    </row>
    <row r="953" spans="1:14" ht="15.75" x14ac:dyDescent="0.25">
      <c r="A953" s="72" t="s">
        <v>657</v>
      </c>
      <c r="B953" s="72"/>
      <c r="C953" s="72"/>
      <c r="D953" s="72"/>
      <c r="E953" s="72"/>
      <c r="F953" s="72"/>
      <c r="G953" s="120">
        <f>G937+G929+G921+G906+G837+G810+G745+G672+G625+G480+G404+G396+G362+G354+G147+G30+G9+G760+G945</f>
        <v>508320.14000000007</v>
      </c>
      <c r="H953" s="120">
        <f>H937+H929+H921+H906+H837+H810+H745+H672+H625+H480+H404+H396+H362+H354+H147+H30+H9+H760+H945</f>
        <v>464321.84</v>
      </c>
      <c r="I953" s="22"/>
      <c r="N953" s="232"/>
    </row>
    <row r="955" spans="1:14" x14ac:dyDescent="0.25">
      <c r="G955" s="115">
        <f>'Пр.4 ведом.22'!G1230</f>
        <v>518584.89</v>
      </c>
      <c r="H955" s="115">
        <f>'Пр.4 ведом.22'!H1230</f>
        <v>0</v>
      </c>
    </row>
    <row r="956" spans="1:14" x14ac:dyDescent="0.25">
      <c r="G956" s="115">
        <f>G955-G953</f>
        <v>10264.749999999942</v>
      </c>
      <c r="H956" s="115">
        <f>H955-H953</f>
        <v>-464321.84</v>
      </c>
    </row>
  </sheetData>
  <mergeCells count="4">
    <mergeCell ref="A5:G5"/>
    <mergeCell ref="G1:H1"/>
    <mergeCell ref="G2:H2"/>
    <mergeCell ref="G3:H3"/>
  </mergeCells>
  <pageMargins left="0.23622047244094491" right="0.23622047244094491" top="0.74803149606299213" bottom="0.74803149606299213" header="0.31496062992125984" footer="0.31496062992125984"/>
  <pageSetup paperSize="9" scale="6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view="pageBreakPreview" zoomScaleNormal="100" zoomScaleSheetLayoutView="100" workbookViewId="0">
      <selection activeCell="H15" sqref="H15"/>
    </sheetView>
  </sheetViews>
  <sheetFormatPr defaultRowHeight="15" x14ac:dyDescent="0.25"/>
  <cols>
    <col min="1" max="1" width="44.28515625" customWidth="1"/>
    <col min="2" max="2" width="15.5703125" style="203" customWidth="1"/>
    <col min="3" max="3" width="7.140625" customWidth="1"/>
    <col min="4" max="4" width="6.28515625" customWidth="1"/>
    <col min="5" max="5" width="7.28515625" style="203" customWidth="1"/>
    <col min="6" max="6" width="10.140625" customWidth="1"/>
    <col min="7" max="7" width="12.5703125" style="22" customWidth="1"/>
  </cols>
  <sheetData>
    <row r="1" spans="1:7" ht="18.75" customHeight="1" x14ac:dyDescent="0.25">
      <c r="A1" s="748"/>
      <c r="B1" s="748"/>
      <c r="C1" s="748"/>
      <c r="D1" s="62"/>
      <c r="E1" s="62"/>
      <c r="F1" s="749" t="s">
        <v>616</v>
      </c>
      <c r="G1" s="749"/>
    </row>
    <row r="2" spans="1:7" ht="18.75" customHeight="1" x14ac:dyDescent="0.25">
      <c r="A2" s="748"/>
      <c r="B2" s="748"/>
      <c r="C2" s="748"/>
      <c r="D2" s="62"/>
      <c r="E2" s="62"/>
      <c r="F2" s="749" t="s">
        <v>0</v>
      </c>
      <c r="G2" s="749"/>
    </row>
    <row r="3" spans="1:7" ht="15.75" x14ac:dyDescent="0.25">
      <c r="A3" s="62"/>
      <c r="B3" s="62"/>
      <c r="C3" s="62"/>
      <c r="D3" s="62"/>
      <c r="E3" s="62"/>
      <c r="F3" s="749" t="s">
        <v>1808</v>
      </c>
      <c r="G3" s="749"/>
    </row>
    <row r="4" spans="1:7" s="203" customFormat="1" ht="15.75" x14ac:dyDescent="0.25">
      <c r="A4" s="62"/>
      <c r="B4" s="62"/>
      <c r="C4" s="62"/>
      <c r="D4" s="62"/>
      <c r="E4" s="62"/>
      <c r="F4" s="62"/>
      <c r="G4" s="274"/>
    </row>
    <row r="5" spans="1:7" s="203" customFormat="1" ht="15.75" x14ac:dyDescent="0.25">
      <c r="A5" s="62"/>
      <c r="B5" s="62"/>
      <c r="C5" s="62"/>
      <c r="D5" s="62"/>
      <c r="E5" s="62"/>
      <c r="F5" s="62"/>
      <c r="G5" s="274"/>
    </row>
    <row r="6" spans="1:7" x14ac:dyDescent="0.25">
      <c r="A6" s="728" t="s">
        <v>1785</v>
      </c>
      <c r="B6" s="728"/>
      <c r="C6" s="728"/>
      <c r="D6" s="728"/>
      <c r="E6" s="728"/>
      <c r="F6" s="728"/>
      <c r="G6" s="728"/>
    </row>
    <row r="7" spans="1:7" x14ac:dyDescent="0.25">
      <c r="A7" s="728"/>
      <c r="B7" s="728"/>
      <c r="C7" s="728"/>
      <c r="D7" s="728"/>
      <c r="E7" s="728"/>
      <c r="F7" s="728"/>
      <c r="G7" s="728"/>
    </row>
    <row r="8" spans="1:7" ht="16.5" x14ac:dyDescent="0.25">
      <c r="A8" s="238"/>
      <c r="B8" s="238"/>
      <c r="C8" s="238"/>
      <c r="D8" s="238"/>
      <c r="E8" s="238"/>
      <c r="F8" s="238"/>
      <c r="G8" s="403"/>
    </row>
    <row r="9" spans="1:7" ht="15.75" x14ac:dyDescent="0.25">
      <c r="A9" s="62"/>
      <c r="B9" s="62"/>
      <c r="C9" s="62"/>
      <c r="D9" s="62"/>
      <c r="E9" s="62"/>
      <c r="F9" s="64"/>
      <c r="G9" s="368" t="s">
        <v>1</v>
      </c>
    </row>
    <row r="10" spans="1:7" ht="53.65" customHeight="1" x14ac:dyDescent="0.25">
      <c r="A10" s="66" t="s">
        <v>592</v>
      </c>
      <c r="B10" s="66" t="s">
        <v>1092</v>
      </c>
      <c r="C10" s="66" t="s">
        <v>1090</v>
      </c>
      <c r="D10" s="66" t="s">
        <v>113</v>
      </c>
      <c r="E10" s="66" t="s">
        <v>1091</v>
      </c>
      <c r="F10" s="66" t="s">
        <v>111</v>
      </c>
      <c r="G10" s="404" t="s">
        <v>1027</v>
      </c>
    </row>
    <row r="11" spans="1:7" s="203" customFormat="1" ht="33.4" customHeight="1" x14ac:dyDescent="0.25">
      <c r="A11" s="25" t="s">
        <v>246</v>
      </c>
      <c r="B11" s="20" t="s">
        <v>881</v>
      </c>
      <c r="C11" s="66"/>
      <c r="D11" s="66"/>
      <c r="E11" s="66"/>
      <c r="F11" s="66"/>
      <c r="G11" s="404">
        <f>G12</f>
        <v>9913.5</v>
      </c>
    </row>
    <row r="12" spans="1:7" s="203" customFormat="1" ht="18.399999999999999" customHeight="1" x14ac:dyDescent="0.25">
      <c r="A12" s="25" t="s">
        <v>243</v>
      </c>
      <c r="B12" s="20" t="s">
        <v>881</v>
      </c>
      <c r="C12" s="66">
        <v>10</v>
      </c>
      <c r="D12" s="66"/>
      <c r="E12" s="66"/>
      <c r="F12" s="66"/>
      <c r="G12" s="404">
        <f>G13</f>
        <v>9913.5</v>
      </c>
    </row>
    <row r="13" spans="1:7" s="203" customFormat="1" ht="18.399999999999999" customHeight="1" x14ac:dyDescent="0.25">
      <c r="A13" s="25" t="s">
        <v>245</v>
      </c>
      <c r="B13" s="20" t="s">
        <v>881</v>
      </c>
      <c r="C13" s="66">
        <v>10</v>
      </c>
      <c r="D13" s="40" t="s">
        <v>118</v>
      </c>
      <c r="E13" s="66"/>
      <c r="F13" s="66"/>
      <c r="G13" s="404">
        <f>G14</f>
        <v>9913.5</v>
      </c>
    </row>
    <row r="14" spans="1:7" s="203" customFormat="1" ht="28.15" customHeight="1" x14ac:dyDescent="0.25">
      <c r="A14" s="29" t="s">
        <v>248</v>
      </c>
      <c r="B14" s="20" t="s">
        <v>881</v>
      </c>
      <c r="C14" s="66">
        <v>10</v>
      </c>
      <c r="D14" s="40" t="s">
        <v>118</v>
      </c>
      <c r="E14" s="66">
        <v>300</v>
      </c>
      <c r="F14" s="66"/>
      <c r="G14" s="404">
        <f>G15</f>
        <v>9913.5</v>
      </c>
    </row>
    <row r="15" spans="1:7" s="203" customFormat="1" ht="34.700000000000003" customHeight="1" x14ac:dyDescent="0.25">
      <c r="A15" s="25" t="s">
        <v>348</v>
      </c>
      <c r="B15" s="20" t="s">
        <v>881</v>
      </c>
      <c r="C15" s="66">
        <v>10</v>
      </c>
      <c r="D15" s="40" t="s">
        <v>118</v>
      </c>
      <c r="E15" s="66">
        <v>310</v>
      </c>
      <c r="F15" s="66"/>
      <c r="G15" s="404">
        <f>'Пр.4 ведом.22'!G225</f>
        <v>9913.5</v>
      </c>
    </row>
    <row r="16" spans="1:7" s="203" customFormat="1" ht="37.35" customHeight="1" x14ac:dyDescent="0.25">
      <c r="A16" s="364" t="s">
        <v>148</v>
      </c>
      <c r="B16" s="20" t="s">
        <v>881</v>
      </c>
      <c r="C16" s="66">
        <v>10</v>
      </c>
      <c r="D16" s="40" t="s">
        <v>118</v>
      </c>
      <c r="E16" s="66">
        <v>310</v>
      </c>
      <c r="F16" s="66">
        <v>902</v>
      </c>
      <c r="G16" s="404">
        <f>G11</f>
        <v>9913.5</v>
      </c>
    </row>
    <row r="17" spans="1:7" s="203" customFormat="1" ht="63" hidden="1" x14ac:dyDescent="0.25">
      <c r="A17" s="231" t="s">
        <v>1034</v>
      </c>
      <c r="B17" s="20" t="s">
        <v>1047</v>
      </c>
      <c r="C17" s="40"/>
      <c r="D17" s="40"/>
      <c r="E17" s="40"/>
      <c r="F17" s="5"/>
      <c r="G17" s="6">
        <f>G18</f>
        <v>0</v>
      </c>
    </row>
    <row r="18" spans="1:7" s="203" customFormat="1" ht="15.75" hidden="1" x14ac:dyDescent="0.25">
      <c r="A18" s="45" t="s">
        <v>263</v>
      </c>
      <c r="B18" s="20" t="s">
        <v>1047</v>
      </c>
      <c r="C18" s="40" t="s">
        <v>264</v>
      </c>
      <c r="D18" s="40"/>
      <c r="E18" s="194"/>
      <c r="F18" s="5"/>
      <c r="G18" s="6">
        <f>G19</f>
        <v>0</v>
      </c>
    </row>
    <row r="19" spans="1:7" s="203" customFormat="1" ht="31.5" hidden="1" x14ac:dyDescent="0.25">
      <c r="A19" s="45" t="s">
        <v>466</v>
      </c>
      <c r="B19" s="20" t="s">
        <v>1047</v>
      </c>
      <c r="C19" s="40" t="s">
        <v>264</v>
      </c>
      <c r="D19" s="40" t="s">
        <v>264</v>
      </c>
      <c r="E19" s="194"/>
      <c r="F19" s="5"/>
      <c r="G19" s="6">
        <f>G20</f>
        <v>0</v>
      </c>
    </row>
    <row r="20" spans="1:7" ht="31.5" hidden="1" x14ac:dyDescent="0.25">
      <c r="A20" s="29" t="s">
        <v>248</v>
      </c>
      <c r="B20" s="20" t="s">
        <v>1047</v>
      </c>
      <c r="C20" s="40" t="s">
        <v>264</v>
      </c>
      <c r="D20" s="40" t="s">
        <v>264</v>
      </c>
      <c r="E20" s="40" t="s">
        <v>249</v>
      </c>
      <c r="F20" s="5"/>
      <c r="G20" s="6">
        <f>G21</f>
        <v>0</v>
      </c>
    </row>
    <row r="21" spans="1:7" ht="38.1" hidden="1" customHeight="1" x14ac:dyDescent="0.25">
      <c r="A21" s="29" t="s">
        <v>1196</v>
      </c>
      <c r="B21" s="20" t="s">
        <v>1047</v>
      </c>
      <c r="C21" s="40" t="s">
        <v>264</v>
      </c>
      <c r="D21" s="40" t="s">
        <v>264</v>
      </c>
      <c r="E21" s="40" t="s">
        <v>1195</v>
      </c>
      <c r="F21" s="5"/>
      <c r="G21" s="6">
        <f>G22</f>
        <v>0</v>
      </c>
    </row>
    <row r="22" spans="1:7" s="203" customFormat="1" ht="46.9" hidden="1" customHeight="1" x14ac:dyDescent="0.25">
      <c r="A22" s="45" t="s">
        <v>658</v>
      </c>
      <c r="B22" s="20" t="s">
        <v>1047</v>
      </c>
      <c r="C22" s="40" t="s">
        <v>264</v>
      </c>
      <c r="D22" s="40" t="s">
        <v>264</v>
      </c>
      <c r="E22" s="40" t="s">
        <v>1195</v>
      </c>
      <c r="F22" s="5">
        <v>903</v>
      </c>
      <c r="G22" s="6"/>
    </row>
    <row r="23" spans="1:7" s="203" customFormat="1" ht="18.399999999999999" customHeight="1" x14ac:dyDescent="0.25">
      <c r="A23" s="25" t="s">
        <v>1036</v>
      </c>
      <c r="B23" s="20" t="s">
        <v>908</v>
      </c>
      <c r="C23" s="40"/>
      <c r="D23" s="40"/>
      <c r="E23" s="40"/>
      <c r="F23" s="5"/>
      <c r="G23" s="6">
        <f>G24</f>
        <v>420</v>
      </c>
    </row>
    <row r="24" spans="1:7" s="203" customFormat="1" ht="20.25" customHeight="1" x14ac:dyDescent="0.25">
      <c r="A24" s="25" t="s">
        <v>1084</v>
      </c>
      <c r="B24" s="20" t="s">
        <v>908</v>
      </c>
      <c r="C24" s="40" t="s">
        <v>244</v>
      </c>
      <c r="D24" s="40"/>
      <c r="E24" s="40"/>
      <c r="F24" s="5"/>
      <c r="G24" s="6">
        <f>G25</f>
        <v>420</v>
      </c>
    </row>
    <row r="25" spans="1:7" s="203" customFormat="1" ht="19.7" customHeight="1" x14ac:dyDescent="0.25">
      <c r="A25" s="29" t="s">
        <v>252</v>
      </c>
      <c r="B25" s="20" t="s">
        <v>908</v>
      </c>
      <c r="C25" s="40" t="s">
        <v>244</v>
      </c>
      <c r="D25" s="40" t="s">
        <v>215</v>
      </c>
      <c r="E25" s="40"/>
      <c r="F25" s="5"/>
      <c r="G25" s="6">
        <f>G26</f>
        <v>420</v>
      </c>
    </row>
    <row r="26" spans="1:7" s="203" customFormat="1" ht="33.75" customHeight="1" x14ac:dyDescent="0.25">
      <c r="A26" s="25" t="s">
        <v>248</v>
      </c>
      <c r="B26" s="20" t="s">
        <v>908</v>
      </c>
      <c r="C26" s="40" t="s">
        <v>244</v>
      </c>
      <c r="D26" s="40" t="s">
        <v>215</v>
      </c>
      <c r="E26" s="40" t="s">
        <v>249</v>
      </c>
      <c r="F26" s="5"/>
      <c r="G26" s="6">
        <f>G27</f>
        <v>420</v>
      </c>
    </row>
    <row r="27" spans="1:7" s="203" customFormat="1" ht="31.9" customHeight="1" x14ac:dyDescent="0.25">
      <c r="A27" s="25" t="s">
        <v>348</v>
      </c>
      <c r="B27" s="20" t="s">
        <v>908</v>
      </c>
      <c r="C27" s="40" t="s">
        <v>244</v>
      </c>
      <c r="D27" s="40" t="s">
        <v>215</v>
      </c>
      <c r="E27" s="40" t="s">
        <v>349</v>
      </c>
      <c r="F27" s="5"/>
      <c r="G27" s="6">
        <f>G28</f>
        <v>420</v>
      </c>
    </row>
    <row r="28" spans="1:7" s="203" customFormat="1" ht="55.7" customHeight="1" x14ac:dyDescent="0.25">
      <c r="A28" s="45" t="s">
        <v>658</v>
      </c>
      <c r="B28" s="20" t="s">
        <v>908</v>
      </c>
      <c r="C28" s="40" t="s">
        <v>244</v>
      </c>
      <c r="D28" s="40" t="s">
        <v>215</v>
      </c>
      <c r="E28" s="40" t="s">
        <v>349</v>
      </c>
      <c r="F28" s="5">
        <v>903</v>
      </c>
      <c r="G28" s="6">
        <f>'Пр.4 ведом.22'!G497</f>
        <v>420</v>
      </c>
    </row>
    <row r="29" spans="1:7" s="203" customFormat="1" ht="61.15" customHeight="1" x14ac:dyDescent="0.25">
      <c r="A29" s="98" t="s">
        <v>1039</v>
      </c>
      <c r="B29" s="20" t="s">
        <v>910</v>
      </c>
      <c r="C29" s="40"/>
      <c r="D29" s="40"/>
      <c r="E29" s="40"/>
      <c r="F29" s="5"/>
      <c r="G29" s="6">
        <f>G30</f>
        <v>630</v>
      </c>
    </row>
    <row r="30" spans="1:7" ht="15.75" x14ac:dyDescent="0.25">
      <c r="A30" s="80" t="s">
        <v>243</v>
      </c>
      <c r="B30" s="20" t="s">
        <v>910</v>
      </c>
      <c r="C30" s="9" t="s">
        <v>244</v>
      </c>
      <c r="D30" s="9"/>
      <c r="E30" s="9"/>
      <c r="F30" s="9"/>
      <c r="G30" s="10">
        <f>G31</f>
        <v>630</v>
      </c>
    </row>
    <row r="31" spans="1:7" ht="19.149999999999999" customHeight="1" x14ac:dyDescent="0.25">
      <c r="A31" s="29" t="s">
        <v>252</v>
      </c>
      <c r="B31" s="20" t="s">
        <v>910</v>
      </c>
      <c r="C31" s="40" t="s">
        <v>244</v>
      </c>
      <c r="D31" s="40" t="s">
        <v>215</v>
      </c>
      <c r="E31" s="40"/>
      <c r="F31" s="5"/>
      <c r="G31" s="6">
        <f>G32</f>
        <v>630</v>
      </c>
    </row>
    <row r="32" spans="1:7" ht="31.5" x14ac:dyDescent="0.25">
      <c r="A32" s="29" t="s">
        <v>248</v>
      </c>
      <c r="B32" s="20" t="s">
        <v>910</v>
      </c>
      <c r="C32" s="40" t="s">
        <v>244</v>
      </c>
      <c r="D32" s="40" t="s">
        <v>215</v>
      </c>
      <c r="E32" s="40" t="s">
        <v>249</v>
      </c>
      <c r="F32" s="5"/>
      <c r="G32" s="6">
        <f>G33</f>
        <v>630</v>
      </c>
    </row>
    <row r="33" spans="1:7" ht="31.5" x14ac:dyDescent="0.25">
      <c r="A33" s="29" t="s">
        <v>348</v>
      </c>
      <c r="B33" s="20" t="s">
        <v>910</v>
      </c>
      <c r="C33" s="40" t="s">
        <v>244</v>
      </c>
      <c r="D33" s="40" t="s">
        <v>215</v>
      </c>
      <c r="E33" s="81" t="s">
        <v>349</v>
      </c>
      <c r="F33" s="5"/>
      <c r="G33" s="6">
        <f>G34</f>
        <v>630</v>
      </c>
    </row>
    <row r="34" spans="1:7" s="203" customFormat="1" ht="46.9" customHeight="1" x14ac:dyDescent="0.25">
      <c r="A34" s="45" t="s">
        <v>658</v>
      </c>
      <c r="B34" s="20" t="s">
        <v>910</v>
      </c>
      <c r="C34" s="40" t="s">
        <v>244</v>
      </c>
      <c r="D34" s="40" t="s">
        <v>215</v>
      </c>
      <c r="E34" s="81" t="s">
        <v>349</v>
      </c>
      <c r="F34" s="5">
        <v>903</v>
      </c>
      <c r="G34" s="6">
        <f>'Пр.4 ведом.22'!G487</f>
        <v>630</v>
      </c>
    </row>
    <row r="35" spans="1:7" ht="31.5" x14ac:dyDescent="0.25">
      <c r="A35" s="25" t="s">
        <v>998</v>
      </c>
      <c r="B35" s="20" t="s">
        <v>911</v>
      </c>
      <c r="C35" s="40"/>
      <c r="D35" s="40"/>
      <c r="E35" s="40"/>
      <c r="F35" s="5"/>
      <c r="G35" s="6">
        <f>G36</f>
        <v>257</v>
      </c>
    </row>
    <row r="36" spans="1:7" s="203" customFormat="1" ht="15.75" x14ac:dyDescent="0.25">
      <c r="A36" s="80" t="s">
        <v>243</v>
      </c>
      <c r="B36" s="20" t="s">
        <v>911</v>
      </c>
      <c r="C36" s="40" t="s">
        <v>244</v>
      </c>
      <c r="D36" s="40"/>
      <c r="E36" s="40"/>
      <c r="F36" s="5"/>
      <c r="G36" s="6">
        <f>G37</f>
        <v>257</v>
      </c>
    </row>
    <row r="37" spans="1:7" ht="17.649999999999999" customHeight="1" x14ac:dyDescent="0.25">
      <c r="A37" s="29" t="s">
        <v>252</v>
      </c>
      <c r="B37" s="20" t="s">
        <v>911</v>
      </c>
      <c r="C37" s="40" t="s">
        <v>244</v>
      </c>
      <c r="D37" s="40" t="s">
        <v>215</v>
      </c>
      <c r="E37" s="40"/>
      <c r="F37" s="5"/>
      <c r="G37" s="6">
        <f>G38</f>
        <v>257</v>
      </c>
    </row>
    <row r="38" spans="1:7" ht="31.5" x14ac:dyDescent="0.25">
      <c r="A38" s="29" t="s">
        <v>248</v>
      </c>
      <c r="B38" s="20" t="s">
        <v>911</v>
      </c>
      <c r="C38" s="40" t="s">
        <v>244</v>
      </c>
      <c r="D38" s="40" t="s">
        <v>215</v>
      </c>
      <c r="E38" s="40" t="s">
        <v>249</v>
      </c>
      <c r="F38" s="5"/>
      <c r="G38" s="6">
        <f>G39</f>
        <v>257</v>
      </c>
    </row>
    <row r="39" spans="1:7" ht="31.5" x14ac:dyDescent="0.25">
      <c r="A39" s="29" t="s">
        <v>348</v>
      </c>
      <c r="B39" s="20" t="s">
        <v>911</v>
      </c>
      <c r="C39" s="40" t="s">
        <v>244</v>
      </c>
      <c r="D39" s="40" t="s">
        <v>215</v>
      </c>
      <c r="E39" s="40" t="s">
        <v>349</v>
      </c>
      <c r="F39" s="5"/>
      <c r="G39" s="6">
        <f>G40</f>
        <v>257</v>
      </c>
    </row>
    <row r="40" spans="1:7" s="203" customFormat="1" ht="57.2" customHeight="1" x14ac:dyDescent="0.25">
      <c r="A40" s="45" t="s">
        <v>658</v>
      </c>
      <c r="B40" s="20" t="s">
        <v>911</v>
      </c>
      <c r="C40" s="40" t="s">
        <v>244</v>
      </c>
      <c r="D40" s="40" t="s">
        <v>215</v>
      </c>
      <c r="E40" s="40" t="s">
        <v>349</v>
      </c>
      <c r="F40" s="5">
        <v>903</v>
      </c>
      <c r="G40" s="6">
        <f>'Пр.4 ведом.22'!G493</f>
        <v>257</v>
      </c>
    </row>
    <row r="41" spans="1:7" s="203" customFormat="1" ht="63" hidden="1" x14ac:dyDescent="0.25">
      <c r="A41" s="25" t="s">
        <v>1040</v>
      </c>
      <c r="B41" s="20" t="s">
        <v>912</v>
      </c>
      <c r="C41" s="40"/>
      <c r="D41" s="40"/>
      <c r="E41" s="40"/>
      <c r="F41" s="5"/>
      <c r="G41" s="6">
        <f>G42</f>
        <v>0</v>
      </c>
    </row>
    <row r="42" spans="1:7" s="203" customFormat="1" ht="15.75" hidden="1" x14ac:dyDescent="0.25">
      <c r="A42" s="80" t="s">
        <v>243</v>
      </c>
      <c r="B42" s="20" t="s">
        <v>912</v>
      </c>
      <c r="C42" s="40" t="s">
        <v>244</v>
      </c>
      <c r="D42" s="40"/>
      <c r="E42" s="40"/>
      <c r="F42" s="5"/>
      <c r="G42" s="6">
        <f>G43</f>
        <v>0</v>
      </c>
    </row>
    <row r="43" spans="1:7" ht="15.75" hidden="1" x14ac:dyDescent="0.25">
      <c r="A43" s="29" t="s">
        <v>252</v>
      </c>
      <c r="B43" s="20" t="s">
        <v>912</v>
      </c>
      <c r="C43" s="40" t="s">
        <v>244</v>
      </c>
      <c r="D43" s="40" t="s">
        <v>215</v>
      </c>
      <c r="E43" s="40"/>
      <c r="F43" s="5">
        <v>903</v>
      </c>
      <c r="G43" s="6">
        <f>G44</f>
        <v>0</v>
      </c>
    </row>
    <row r="44" spans="1:7" ht="31.5" hidden="1" x14ac:dyDescent="0.25">
      <c r="A44" s="29" t="s">
        <v>248</v>
      </c>
      <c r="B44" s="20" t="s">
        <v>912</v>
      </c>
      <c r="C44" s="40" t="s">
        <v>244</v>
      </c>
      <c r="D44" s="40" t="s">
        <v>215</v>
      </c>
      <c r="E44" s="40" t="s">
        <v>249</v>
      </c>
      <c r="F44" s="5">
        <v>903</v>
      </c>
      <c r="G44" s="6">
        <f>G45</f>
        <v>0</v>
      </c>
    </row>
    <row r="45" spans="1:7" ht="31.5" hidden="1" x14ac:dyDescent="0.25">
      <c r="A45" s="29" t="s">
        <v>348</v>
      </c>
      <c r="B45" s="20" t="s">
        <v>912</v>
      </c>
      <c r="C45" s="40" t="s">
        <v>244</v>
      </c>
      <c r="D45" s="40" t="s">
        <v>215</v>
      </c>
      <c r="E45" s="40" t="s">
        <v>349</v>
      </c>
      <c r="F45" s="5">
        <v>903</v>
      </c>
      <c r="G45" s="6"/>
    </row>
    <row r="46" spans="1:7" s="203" customFormat="1" ht="47.25" hidden="1" x14ac:dyDescent="0.25">
      <c r="A46" s="45" t="s">
        <v>658</v>
      </c>
      <c r="B46" s="20" t="s">
        <v>912</v>
      </c>
      <c r="C46" s="40" t="s">
        <v>244</v>
      </c>
      <c r="D46" s="40" t="s">
        <v>215</v>
      </c>
      <c r="E46" s="40" t="s">
        <v>349</v>
      </c>
      <c r="F46" s="5">
        <v>903</v>
      </c>
      <c r="G46" s="6"/>
    </row>
    <row r="47" spans="1:7" ht="15.75" x14ac:dyDescent="0.25">
      <c r="A47" s="41" t="s">
        <v>657</v>
      </c>
      <c r="B47" s="239"/>
      <c r="C47" s="239"/>
      <c r="D47" s="239"/>
      <c r="E47" s="239"/>
      <c r="F47" s="41"/>
      <c r="G47" s="59">
        <f>G17+G23+G29+G35+G41+G11</f>
        <v>11220.5</v>
      </c>
    </row>
  </sheetData>
  <mergeCells count="5">
    <mergeCell ref="A6:G7"/>
    <mergeCell ref="A1:C2"/>
    <mergeCell ref="F2:G2"/>
    <mergeCell ref="F1:G1"/>
    <mergeCell ref="F3:G3"/>
  </mergeCells>
  <pageMargins left="0.23622047244094491" right="0.23622047244094491" top="0.74803149606299213" bottom="0.74803149606299213" header="0.31496062992125984" footer="0.31496062992125984"/>
  <pageSetup paperSize="9" scale="9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view="pageBreakPreview" topLeftCell="A27" zoomScaleNormal="100" zoomScaleSheetLayoutView="100" workbookViewId="0">
      <selection activeCell="A5" sqref="A5:H5"/>
    </sheetView>
  </sheetViews>
  <sheetFormatPr defaultRowHeight="15" x14ac:dyDescent="0.25"/>
  <cols>
    <col min="1" max="1" width="40.7109375" customWidth="1"/>
    <col min="2" max="2" width="16.85546875" customWidth="1"/>
    <col min="3" max="3" width="7.28515625" customWidth="1"/>
    <col min="4" max="4" width="7.7109375" customWidth="1"/>
    <col min="6" max="6" width="8.28515625" customWidth="1"/>
    <col min="7" max="7" width="10.7109375" customWidth="1"/>
    <col min="8" max="8" width="11" customWidth="1"/>
  </cols>
  <sheetData>
    <row r="1" spans="1:9" ht="15.75" x14ac:dyDescent="0.25">
      <c r="A1" s="748"/>
      <c r="B1" s="748"/>
      <c r="C1" s="748"/>
      <c r="D1" s="62"/>
      <c r="E1" s="62"/>
      <c r="F1" s="204"/>
      <c r="G1" s="751" t="s">
        <v>1085</v>
      </c>
      <c r="H1" s="751"/>
      <c r="I1" s="204"/>
    </row>
    <row r="2" spans="1:9" ht="15.75" x14ac:dyDescent="0.25">
      <c r="A2" s="748"/>
      <c r="B2" s="748"/>
      <c r="C2" s="748"/>
      <c r="D2" s="62"/>
      <c r="E2" s="62"/>
      <c r="F2" s="204"/>
      <c r="G2" s="751" t="s">
        <v>0</v>
      </c>
      <c r="H2" s="751"/>
      <c r="I2" s="204"/>
    </row>
    <row r="3" spans="1:9" ht="15.75" x14ac:dyDescent="0.25">
      <c r="A3" s="62"/>
      <c r="B3" s="62"/>
      <c r="C3" s="62"/>
      <c r="D3" s="62"/>
      <c r="E3" s="62"/>
      <c r="F3" s="62"/>
      <c r="G3" s="750" t="s">
        <v>1512</v>
      </c>
      <c r="H3" s="750"/>
      <c r="I3" s="204"/>
    </row>
    <row r="4" spans="1:9" s="203" customFormat="1" ht="15.75" x14ac:dyDescent="0.25">
      <c r="A4" s="62"/>
      <c r="B4" s="62"/>
      <c r="C4" s="62"/>
      <c r="D4" s="62"/>
      <c r="E4" s="62"/>
      <c r="F4" s="62"/>
      <c r="G4" s="62"/>
      <c r="H4" s="129"/>
      <c r="I4" s="204"/>
    </row>
    <row r="5" spans="1:9" ht="39.200000000000003" customHeight="1" x14ac:dyDescent="0.25">
      <c r="A5" s="728" t="s">
        <v>1448</v>
      </c>
      <c r="B5" s="728"/>
      <c r="C5" s="728"/>
      <c r="D5" s="728"/>
      <c r="E5" s="728"/>
      <c r="F5" s="728"/>
      <c r="G5" s="728"/>
      <c r="H5" s="728"/>
      <c r="I5" s="204"/>
    </row>
    <row r="6" spans="1:9" ht="16.5" x14ac:dyDescent="0.25">
      <c r="A6" s="238"/>
      <c r="B6" s="238"/>
      <c r="C6" s="238"/>
      <c r="D6" s="238"/>
      <c r="E6" s="238"/>
      <c r="F6" s="238"/>
      <c r="G6" s="238"/>
      <c r="H6" s="204"/>
      <c r="I6" s="204"/>
    </row>
    <row r="7" spans="1:9" ht="15.75" x14ac:dyDescent="0.25">
      <c r="A7" s="62"/>
      <c r="B7" s="62"/>
      <c r="C7" s="62"/>
      <c r="D7" s="62"/>
      <c r="E7" s="62"/>
      <c r="F7" s="64"/>
      <c r="G7" s="204"/>
      <c r="H7" s="65" t="s">
        <v>1</v>
      </c>
      <c r="I7" s="204"/>
    </row>
    <row r="8" spans="1:9" ht="47.25" x14ac:dyDescent="0.25">
      <c r="A8" s="66" t="s">
        <v>592</v>
      </c>
      <c r="B8" s="66" t="s">
        <v>1092</v>
      </c>
      <c r="C8" s="66" t="s">
        <v>1090</v>
      </c>
      <c r="D8" s="66" t="s">
        <v>113</v>
      </c>
      <c r="E8" s="66" t="s">
        <v>1091</v>
      </c>
      <c r="F8" s="66" t="s">
        <v>111</v>
      </c>
      <c r="G8" s="66" t="s">
        <v>1027</v>
      </c>
      <c r="H8" s="66" t="s">
        <v>1290</v>
      </c>
      <c r="I8" s="204"/>
    </row>
    <row r="9" spans="1:9" ht="68.25" hidden="1" customHeight="1" x14ac:dyDescent="0.25">
      <c r="A9" s="231" t="s">
        <v>1034</v>
      </c>
      <c r="B9" s="20" t="s">
        <v>1047</v>
      </c>
      <c r="C9" s="40"/>
      <c r="D9" s="40"/>
      <c r="E9" s="40"/>
      <c r="F9" s="5"/>
      <c r="G9" s="6">
        <f t="shared" ref="G9:H13" si="0">G10</f>
        <v>0</v>
      </c>
      <c r="H9" s="6">
        <f t="shared" si="0"/>
        <v>0</v>
      </c>
      <c r="I9" s="204"/>
    </row>
    <row r="10" spans="1:9" ht="15.75" hidden="1" x14ac:dyDescent="0.25">
      <c r="A10" s="45" t="s">
        <v>263</v>
      </c>
      <c r="B10" s="20" t="s">
        <v>1047</v>
      </c>
      <c r="C10" s="40" t="s">
        <v>264</v>
      </c>
      <c r="D10" s="40"/>
      <c r="E10" s="194"/>
      <c r="F10" s="5"/>
      <c r="G10" s="6">
        <f t="shared" si="0"/>
        <v>0</v>
      </c>
      <c r="H10" s="6">
        <f t="shared" si="0"/>
        <v>0</v>
      </c>
      <c r="I10" s="204"/>
    </row>
    <row r="11" spans="1:9" ht="31.5" hidden="1" x14ac:dyDescent="0.25">
      <c r="A11" s="45" t="s">
        <v>466</v>
      </c>
      <c r="B11" s="20" t="s">
        <v>1047</v>
      </c>
      <c r="C11" s="40" t="s">
        <v>264</v>
      </c>
      <c r="D11" s="40" t="s">
        <v>264</v>
      </c>
      <c r="E11" s="194"/>
      <c r="F11" s="5"/>
      <c r="G11" s="6">
        <f t="shared" si="0"/>
        <v>0</v>
      </c>
      <c r="H11" s="6">
        <f t="shared" si="0"/>
        <v>0</v>
      </c>
      <c r="I11" s="204"/>
    </row>
    <row r="12" spans="1:9" ht="31.5" hidden="1" x14ac:dyDescent="0.25">
      <c r="A12" s="29" t="s">
        <v>248</v>
      </c>
      <c r="B12" s="20" t="s">
        <v>1047</v>
      </c>
      <c r="C12" s="40" t="s">
        <v>264</v>
      </c>
      <c r="D12" s="40" t="s">
        <v>264</v>
      </c>
      <c r="E12" s="40" t="s">
        <v>249</v>
      </c>
      <c r="F12" s="5"/>
      <c r="G12" s="6">
        <f t="shared" si="0"/>
        <v>0</v>
      </c>
      <c r="H12" s="6">
        <f t="shared" si="0"/>
        <v>0</v>
      </c>
      <c r="I12" s="204"/>
    </row>
    <row r="13" spans="1:9" ht="31.5" hidden="1" x14ac:dyDescent="0.25">
      <c r="A13" s="29" t="s">
        <v>348</v>
      </c>
      <c r="B13" s="20" t="s">
        <v>1047</v>
      </c>
      <c r="C13" s="40" t="s">
        <v>264</v>
      </c>
      <c r="D13" s="40" t="s">
        <v>264</v>
      </c>
      <c r="E13" s="40" t="s">
        <v>349</v>
      </c>
      <c r="F13" s="5"/>
      <c r="G13" s="6">
        <f t="shared" si="0"/>
        <v>0</v>
      </c>
      <c r="H13" s="6">
        <f t="shared" si="0"/>
        <v>0</v>
      </c>
      <c r="I13" s="204"/>
    </row>
    <row r="14" spans="1:9" ht="47.25" hidden="1" x14ac:dyDescent="0.25">
      <c r="A14" s="45" t="s">
        <v>658</v>
      </c>
      <c r="B14" s="20" t="s">
        <v>1047</v>
      </c>
      <c r="C14" s="40" t="s">
        <v>264</v>
      </c>
      <c r="D14" s="40" t="s">
        <v>264</v>
      </c>
      <c r="E14" s="40" t="s">
        <v>349</v>
      </c>
      <c r="F14" s="5">
        <v>903</v>
      </c>
      <c r="G14" s="6"/>
      <c r="H14" s="6"/>
      <c r="I14" s="204"/>
    </row>
    <row r="15" spans="1:9" s="203" customFormat="1" ht="31.5" x14ac:dyDescent="0.25">
      <c r="A15" s="25" t="s">
        <v>246</v>
      </c>
      <c r="B15" s="20" t="s">
        <v>881</v>
      </c>
      <c r="C15" s="66"/>
      <c r="D15" s="66"/>
      <c r="E15" s="66"/>
      <c r="F15" s="66"/>
      <c r="G15" s="365">
        <f t="shared" ref="G15:H18" si="1">G16</f>
        <v>9815.2999999999993</v>
      </c>
      <c r="H15" s="365">
        <f t="shared" si="1"/>
        <v>9815.2999999999993</v>
      </c>
      <c r="I15" s="204"/>
    </row>
    <row r="16" spans="1:9" s="203" customFormat="1" ht="15.75" x14ac:dyDescent="0.25">
      <c r="A16" s="25" t="s">
        <v>243</v>
      </c>
      <c r="B16" s="20" t="s">
        <v>881</v>
      </c>
      <c r="C16" s="66">
        <v>10</v>
      </c>
      <c r="D16" s="66"/>
      <c r="E16" s="66"/>
      <c r="F16" s="66"/>
      <c r="G16" s="365">
        <f t="shared" si="1"/>
        <v>9815.2999999999993</v>
      </c>
      <c r="H16" s="365">
        <f t="shared" si="1"/>
        <v>9815.2999999999993</v>
      </c>
      <c r="I16" s="204"/>
    </row>
    <row r="17" spans="1:9" s="203" customFormat="1" ht="15.75" x14ac:dyDescent="0.25">
      <c r="A17" s="25" t="s">
        <v>245</v>
      </c>
      <c r="B17" s="20" t="s">
        <v>881</v>
      </c>
      <c r="C17" s="66">
        <v>10</v>
      </c>
      <c r="D17" s="40" t="s">
        <v>118</v>
      </c>
      <c r="E17" s="66"/>
      <c r="F17" s="66"/>
      <c r="G17" s="365">
        <f t="shared" si="1"/>
        <v>9815.2999999999993</v>
      </c>
      <c r="H17" s="365">
        <f t="shared" si="1"/>
        <v>9815.2999999999993</v>
      </c>
      <c r="I17" s="204"/>
    </row>
    <row r="18" spans="1:9" s="203" customFormat="1" ht="31.5" x14ac:dyDescent="0.25">
      <c r="A18" s="29" t="s">
        <v>248</v>
      </c>
      <c r="B18" s="20" t="s">
        <v>881</v>
      </c>
      <c r="C18" s="66">
        <v>10</v>
      </c>
      <c r="D18" s="40" t="s">
        <v>118</v>
      </c>
      <c r="E18" s="66">
        <v>300</v>
      </c>
      <c r="F18" s="66"/>
      <c r="G18" s="365">
        <f t="shared" si="1"/>
        <v>9815.2999999999993</v>
      </c>
      <c r="H18" s="365">
        <f t="shared" si="1"/>
        <v>9815.2999999999993</v>
      </c>
      <c r="I18" s="204"/>
    </row>
    <row r="19" spans="1:9" s="203" customFormat="1" ht="31.5" x14ac:dyDescent="0.25">
      <c r="A19" s="25" t="s">
        <v>348</v>
      </c>
      <c r="B19" s="20" t="s">
        <v>881</v>
      </c>
      <c r="C19" s="66">
        <v>10</v>
      </c>
      <c r="D19" s="40" t="s">
        <v>118</v>
      </c>
      <c r="E19" s="66">
        <v>310</v>
      </c>
      <c r="F19" s="66"/>
      <c r="G19" s="365">
        <f>'пр.6.1.ведом.22-23'!G224</f>
        <v>9815.2999999999993</v>
      </c>
      <c r="H19" s="365">
        <f>'пр.6.1.ведом.22-23'!H224</f>
        <v>9815.2999999999993</v>
      </c>
      <c r="I19" s="204"/>
    </row>
    <row r="20" spans="1:9" s="203" customFormat="1" ht="31.5" x14ac:dyDescent="0.25">
      <c r="A20" s="364" t="s">
        <v>148</v>
      </c>
      <c r="B20" s="20" t="s">
        <v>881</v>
      </c>
      <c r="C20" s="66">
        <v>10</v>
      </c>
      <c r="D20" s="40" t="s">
        <v>118</v>
      </c>
      <c r="E20" s="66">
        <v>310</v>
      </c>
      <c r="F20" s="66">
        <v>902</v>
      </c>
      <c r="G20" s="365">
        <f>G15</f>
        <v>9815.2999999999993</v>
      </c>
      <c r="H20" s="6">
        <f>'пр.6.1.ведом.22-23'!H224</f>
        <v>9815.2999999999993</v>
      </c>
      <c r="I20" s="204"/>
    </row>
    <row r="21" spans="1:9" ht="31.5" x14ac:dyDescent="0.25">
      <c r="A21" s="25" t="s">
        <v>1036</v>
      </c>
      <c r="B21" s="20" t="s">
        <v>908</v>
      </c>
      <c r="C21" s="40"/>
      <c r="D21" s="40"/>
      <c r="E21" s="40"/>
      <c r="F21" s="5"/>
      <c r="G21" s="6">
        <f t="shared" ref="G21:H25" si="2">G22</f>
        <v>420</v>
      </c>
      <c r="H21" s="6">
        <f t="shared" si="2"/>
        <v>450</v>
      </c>
      <c r="I21" s="204"/>
    </row>
    <row r="22" spans="1:9" ht="15.75" x14ac:dyDescent="0.25">
      <c r="A22" s="25" t="s">
        <v>1084</v>
      </c>
      <c r="B22" s="20" t="s">
        <v>908</v>
      </c>
      <c r="C22" s="40" t="s">
        <v>244</v>
      </c>
      <c r="D22" s="40"/>
      <c r="E22" s="40"/>
      <c r="F22" s="5"/>
      <c r="G22" s="6">
        <f t="shared" si="2"/>
        <v>420</v>
      </c>
      <c r="H22" s="6">
        <f t="shared" si="2"/>
        <v>450</v>
      </c>
      <c r="I22" s="204"/>
    </row>
    <row r="23" spans="1:9" ht="15.75" x14ac:dyDescent="0.25">
      <c r="A23" s="29" t="s">
        <v>252</v>
      </c>
      <c r="B23" s="20" t="s">
        <v>908</v>
      </c>
      <c r="C23" s="40" t="s">
        <v>244</v>
      </c>
      <c r="D23" s="40" t="s">
        <v>215</v>
      </c>
      <c r="E23" s="40"/>
      <c r="F23" s="5"/>
      <c r="G23" s="6">
        <f t="shared" si="2"/>
        <v>420</v>
      </c>
      <c r="H23" s="6">
        <f t="shared" si="2"/>
        <v>450</v>
      </c>
      <c r="I23" s="204"/>
    </row>
    <row r="24" spans="1:9" ht="31.5" x14ac:dyDescent="0.25">
      <c r="A24" s="25" t="s">
        <v>248</v>
      </c>
      <c r="B24" s="20" t="s">
        <v>908</v>
      </c>
      <c r="C24" s="40" t="s">
        <v>244</v>
      </c>
      <c r="D24" s="40" t="s">
        <v>215</v>
      </c>
      <c r="E24" s="40" t="s">
        <v>249</v>
      </c>
      <c r="F24" s="5"/>
      <c r="G24" s="6">
        <f t="shared" si="2"/>
        <v>420</v>
      </c>
      <c r="H24" s="6">
        <f t="shared" si="2"/>
        <v>450</v>
      </c>
      <c r="I24" s="204"/>
    </row>
    <row r="25" spans="1:9" ht="31.5" x14ac:dyDescent="0.25">
      <c r="A25" s="25" t="s">
        <v>348</v>
      </c>
      <c r="B25" s="20" t="s">
        <v>908</v>
      </c>
      <c r="C25" s="40" t="s">
        <v>244</v>
      </c>
      <c r="D25" s="40" t="s">
        <v>215</v>
      </c>
      <c r="E25" s="40" t="s">
        <v>349</v>
      </c>
      <c r="F25" s="5"/>
      <c r="G25" s="6">
        <f t="shared" si="2"/>
        <v>420</v>
      </c>
      <c r="H25" s="6">
        <f t="shared" si="2"/>
        <v>450</v>
      </c>
      <c r="I25" s="204"/>
    </row>
    <row r="26" spans="1:9" ht="47.25" x14ac:dyDescent="0.25">
      <c r="A26" s="45" t="s">
        <v>658</v>
      </c>
      <c r="B26" s="20" t="s">
        <v>908</v>
      </c>
      <c r="C26" s="40" t="s">
        <v>244</v>
      </c>
      <c r="D26" s="40" t="s">
        <v>215</v>
      </c>
      <c r="E26" s="40" t="s">
        <v>349</v>
      </c>
      <c r="F26" s="5">
        <v>903</v>
      </c>
      <c r="G26" s="6">
        <f>'пр.6.1.ведом.22-23'!G467</f>
        <v>420</v>
      </c>
      <c r="H26" s="6">
        <f>'пр.6.1.ведом.22-23'!H467</f>
        <v>450</v>
      </c>
      <c r="I26" s="204"/>
    </row>
    <row r="27" spans="1:9" ht="63" x14ac:dyDescent="0.25">
      <c r="A27" s="98" t="s">
        <v>1039</v>
      </c>
      <c r="B27" s="20" t="s">
        <v>910</v>
      </c>
      <c r="C27" s="40"/>
      <c r="D27" s="40"/>
      <c r="E27" s="40"/>
      <c r="F27" s="5"/>
      <c r="G27" s="6">
        <f t="shared" ref="G27:H31" si="3">G28</f>
        <v>630</v>
      </c>
      <c r="H27" s="6">
        <f t="shared" si="3"/>
        <v>630</v>
      </c>
      <c r="I27" s="204"/>
    </row>
    <row r="28" spans="1:9" ht="15.75" x14ac:dyDescent="0.25">
      <c r="A28" s="80" t="s">
        <v>243</v>
      </c>
      <c r="B28" s="20" t="s">
        <v>910</v>
      </c>
      <c r="C28" s="9" t="s">
        <v>244</v>
      </c>
      <c r="D28" s="9"/>
      <c r="E28" s="9"/>
      <c r="F28" s="9"/>
      <c r="G28" s="10">
        <f t="shared" si="3"/>
        <v>630</v>
      </c>
      <c r="H28" s="10">
        <f t="shared" si="3"/>
        <v>630</v>
      </c>
      <c r="I28" s="204"/>
    </row>
    <row r="29" spans="1:9" ht="15.75" x14ac:dyDescent="0.25">
      <c r="A29" s="29" t="s">
        <v>252</v>
      </c>
      <c r="B29" s="20" t="s">
        <v>910</v>
      </c>
      <c r="C29" s="40" t="s">
        <v>244</v>
      </c>
      <c r="D29" s="40" t="s">
        <v>215</v>
      </c>
      <c r="E29" s="40"/>
      <c r="F29" s="5"/>
      <c r="G29" s="6">
        <f t="shared" si="3"/>
        <v>630</v>
      </c>
      <c r="H29" s="6">
        <f t="shared" si="3"/>
        <v>630</v>
      </c>
      <c r="I29" s="204"/>
    </row>
    <row r="30" spans="1:9" ht="31.5" x14ac:dyDescent="0.25">
      <c r="A30" s="29" t="s">
        <v>248</v>
      </c>
      <c r="B30" s="20" t="s">
        <v>910</v>
      </c>
      <c r="C30" s="40" t="s">
        <v>244</v>
      </c>
      <c r="D30" s="40" t="s">
        <v>215</v>
      </c>
      <c r="E30" s="40" t="s">
        <v>249</v>
      </c>
      <c r="F30" s="5"/>
      <c r="G30" s="6">
        <f t="shared" si="3"/>
        <v>630</v>
      </c>
      <c r="H30" s="6">
        <f t="shared" si="3"/>
        <v>630</v>
      </c>
      <c r="I30" s="204"/>
    </row>
    <row r="31" spans="1:9" ht="31.5" x14ac:dyDescent="0.25">
      <c r="A31" s="29" t="s">
        <v>348</v>
      </c>
      <c r="B31" s="20" t="s">
        <v>910</v>
      </c>
      <c r="C31" s="40" t="s">
        <v>244</v>
      </c>
      <c r="D31" s="40" t="s">
        <v>215</v>
      </c>
      <c r="E31" s="81" t="s">
        <v>349</v>
      </c>
      <c r="F31" s="5"/>
      <c r="G31" s="6">
        <f t="shared" si="3"/>
        <v>630</v>
      </c>
      <c r="H31" s="6">
        <f t="shared" si="3"/>
        <v>630</v>
      </c>
      <c r="I31" s="204"/>
    </row>
    <row r="32" spans="1:9" ht="47.25" x14ac:dyDescent="0.25">
      <c r="A32" s="45" t="s">
        <v>658</v>
      </c>
      <c r="B32" s="20" t="s">
        <v>910</v>
      </c>
      <c r="C32" s="40" t="s">
        <v>244</v>
      </c>
      <c r="D32" s="40" t="s">
        <v>215</v>
      </c>
      <c r="E32" s="81" t="s">
        <v>349</v>
      </c>
      <c r="F32" s="5">
        <v>903</v>
      </c>
      <c r="G32" s="6">
        <f>'пр.6.1.ведом.22-23'!G457</f>
        <v>630</v>
      </c>
      <c r="H32" s="6">
        <f>'пр.6.1.ведом.22-23'!H457</f>
        <v>630</v>
      </c>
      <c r="I32" s="204"/>
    </row>
    <row r="33" spans="1:9" ht="31.5" x14ac:dyDescent="0.25">
      <c r="A33" s="25" t="s">
        <v>998</v>
      </c>
      <c r="B33" s="20" t="s">
        <v>911</v>
      </c>
      <c r="C33" s="40"/>
      <c r="D33" s="40"/>
      <c r="E33" s="40"/>
      <c r="F33" s="5"/>
      <c r="G33" s="6">
        <f t="shared" ref="G33:H37" si="4">G34</f>
        <v>257</v>
      </c>
      <c r="H33" s="6">
        <f t="shared" si="4"/>
        <v>257</v>
      </c>
      <c r="I33" s="204"/>
    </row>
    <row r="34" spans="1:9" ht="15.75" x14ac:dyDescent="0.25">
      <c r="A34" s="80" t="s">
        <v>243</v>
      </c>
      <c r="B34" s="20" t="s">
        <v>911</v>
      </c>
      <c r="C34" s="40" t="s">
        <v>244</v>
      </c>
      <c r="D34" s="40"/>
      <c r="E34" s="40"/>
      <c r="F34" s="5"/>
      <c r="G34" s="6">
        <f t="shared" si="4"/>
        <v>257</v>
      </c>
      <c r="H34" s="6">
        <f t="shared" si="4"/>
        <v>257</v>
      </c>
      <c r="I34" s="204"/>
    </row>
    <row r="35" spans="1:9" ht="15.75" x14ac:dyDescent="0.25">
      <c r="A35" s="29" t="s">
        <v>252</v>
      </c>
      <c r="B35" s="20" t="s">
        <v>911</v>
      </c>
      <c r="C35" s="40" t="s">
        <v>244</v>
      </c>
      <c r="D35" s="40" t="s">
        <v>215</v>
      </c>
      <c r="E35" s="40"/>
      <c r="F35" s="5"/>
      <c r="G35" s="6">
        <f t="shared" si="4"/>
        <v>257</v>
      </c>
      <c r="H35" s="6">
        <f t="shared" si="4"/>
        <v>257</v>
      </c>
      <c r="I35" s="204"/>
    </row>
    <row r="36" spans="1:9" ht="31.5" x14ac:dyDescent="0.25">
      <c r="A36" s="29" t="s">
        <v>248</v>
      </c>
      <c r="B36" s="20" t="s">
        <v>911</v>
      </c>
      <c r="C36" s="40" t="s">
        <v>244</v>
      </c>
      <c r="D36" s="40" t="s">
        <v>215</v>
      </c>
      <c r="E36" s="40" t="s">
        <v>249</v>
      </c>
      <c r="F36" s="5"/>
      <c r="G36" s="6">
        <f t="shared" si="4"/>
        <v>257</v>
      </c>
      <c r="H36" s="6">
        <f t="shared" si="4"/>
        <v>257</v>
      </c>
      <c r="I36" s="204"/>
    </row>
    <row r="37" spans="1:9" ht="31.5" x14ac:dyDescent="0.25">
      <c r="A37" s="29" t="s">
        <v>348</v>
      </c>
      <c r="B37" s="20" t="s">
        <v>911</v>
      </c>
      <c r="C37" s="40" t="s">
        <v>244</v>
      </c>
      <c r="D37" s="40" t="s">
        <v>215</v>
      </c>
      <c r="E37" s="40" t="s">
        <v>349</v>
      </c>
      <c r="F37" s="5"/>
      <c r="G37" s="6">
        <f t="shared" si="4"/>
        <v>257</v>
      </c>
      <c r="H37" s="6">
        <f t="shared" si="4"/>
        <v>257</v>
      </c>
      <c r="I37" s="204"/>
    </row>
    <row r="38" spans="1:9" ht="47.25" x14ac:dyDescent="0.25">
      <c r="A38" s="45" t="s">
        <v>658</v>
      </c>
      <c r="B38" s="20" t="s">
        <v>911</v>
      </c>
      <c r="C38" s="40" t="s">
        <v>244</v>
      </c>
      <c r="D38" s="40" t="s">
        <v>215</v>
      </c>
      <c r="E38" s="40" t="s">
        <v>349</v>
      </c>
      <c r="F38" s="5">
        <v>903</v>
      </c>
      <c r="G38" s="6">
        <f>'пр.6.1.ведом.22-23'!G463</f>
        <v>257</v>
      </c>
      <c r="H38" s="6">
        <f>'пр.6.1.ведом.22-23'!H463</f>
        <v>257</v>
      </c>
      <c r="I38" s="204"/>
    </row>
    <row r="39" spans="1:9" ht="63" hidden="1" x14ac:dyDescent="0.25">
      <c r="A39" s="25" t="s">
        <v>1040</v>
      </c>
      <c r="B39" s="20" t="s">
        <v>912</v>
      </c>
      <c r="C39" s="40"/>
      <c r="D39" s="40"/>
      <c r="E39" s="40"/>
      <c r="F39" s="5"/>
      <c r="G39" s="6">
        <f t="shared" ref="G39:H42" si="5">G40</f>
        <v>0</v>
      </c>
      <c r="H39" s="6">
        <f t="shared" si="5"/>
        <v>0</v>
      </c>
      <c r="I39" s="204"/>
    </row>
    <row r="40" spans="1:9" ht="15.75" hidden="1" x14ac:dyDescent="0.25">
      <c r="A40" s="80" t="s">
        <v>243</v>
      </c>
      <c r="B40" s="20" t="s">
        <v>912</v>
      </c>
      <c r="C40" s="40" t="s">
        <v>244</v>
      </c>
      <c r="D40" s="40"/>
      <c r="E40" s="40"/>
      <c r="F40" s="5"/>
      <c r="G40" s="6">
        <f t="shared" si="5"/>
        <v>0</v>
      </c>
      <c r="H40" s="6">
        <f t="shared" si="5"/>
        <v>0</v>
      </c>
      <c r="I40" s="204"/>
    </row>
    <row r="41" spans="1:9" ht="15.75" hidden="1" x14ac:dyDescent="0.25">
      <c r="A41" s="29" t="s">
        <v>252</v>
      </c>
      <c r="B41" s="20" t="s">
        <v>912</v>
      </c>
      <c r="C41" s="40" t="s">
        <v>244</v>
      </c>
      <c r="D41" s="40" t="s">
        <v>215</v>
      </c>
      <c r="E41" s="40"/>
      <c r="F41" s="5">
        <v>903</v>
      </c>
      <c r="G41" s="6">
        <f t="shared" si="5"/>
        <v>0</v>
      </c>
      <c r="H41" s="6">
        <f t="shared" si="5"/>
        <v>0</v>
      </c>
      <c r="I41" s="204"/>
    </row>
    <row r="42" spans="1:9" ht="31.5" hidden="1" x14ac:dyDescent="0.25">
      <c r="A42" s="29" t="s">
        <v>248</v>
      </c>
      <c r="B42" s="20" t="s">
        <v>912</v>
      </c>
      <c r="C42" s="40" t="s">
        <v>244</v>
      </c>
      <c r="D42" s="40" t="s">
        <v>215</v>
      </c>
      <c r="E42" s="40" t="s">
        <v>249</v>
      </c>
      <c r="F42" s="5">
        <v>903</v>
      </c>
      <c r="G42" s="6">
        <f t="shared" si="5"/>
        <v>0</v>
      </c>
      <c r="H42" s="6">
        <f t="shared" si="5"/>
        <v>0</v>
      </c>
      <c r="I42" s="204"/>
    </row>
    <row r="43" spans="1:9" ht="31.5" hidden="1" x14ac:dyDescent="0.25">
      <c r="A43" s="29" t="s">
        <v>348</v>
      </c>
      <c r="B43" s="20" t="s">
        <v>912</v>
      </c>
      <c r="C43" s="40" t="s">
        <v>244</v>
      </c>
      <c r="D43" s="40" t="s">
        <v>215</v>
      </c>
      <c r="E43" s="40" t="s">
        <v>349</v>
      </c>
      <c r="F43" s="5">
        <v>903</v>
      </c>
      <c r="G43" s="6"/>
      <c r="H43" s="6"/>
      <c r="I43" s="204"/>
    </row>
    <row r="44" spans="1:9" ht="47.25" hidden="1" x14ac:dyDescent="0.25">
      <c r="A44" s="45" t="s">
        <v>658</v>
      </c>
      <c r="B44" s="20" t="s">
        <v>912</v>
      </c>
      <c r="C44" s="40" t="s">
        <v>244</v>
      </c>
      <c r="D44" s="40" t="s">
        <v>215</v>
      </c>
      <c r="E44" s="40" t="s">
        <v>349</v>
      </c>
      <c r="F44" s="5">
        <v>903</v>
      </c>
      <c r="G44" s="6"/>
      <c r="H44" s="6"/>
      <c r="I44" s="204"/>
    </row>
    <row r="45" spans="1:9" ht="15.75" x14ac:dyDescent="0.25">
      <c r="A45" s="41" t="s">
        <v>657</v>
      </c>
      <c r="B45" s="239"/>
      <c r="C45" s="239"/>
      <c r="D45" s="239"/>
      <c r="E45" s="239"/>
      <c r="F45" s="41"/>
      <c r="G45" s="59">
        <f>G9+G21+G27+G33+G39+G15</f>
        <v>11122.3</v>
      </c>
      <c r="H45" s="59">
        <f>H9+H21+H27+H33+H39+H15</f>
        <v>11152.3</v>
      </c>
      <c r="I45" s="204"/>
    </row>
  </sheetData>
  <mergeCells count="5">
    <mergeCell ref="A1:C2"/>
    <mergeCell ref="A5:H5"/>
    <mergeCell ref="G3:H3"/>
    <mergeCell ref="G2:H2"/>
    <mergeCell ref="G1:H1"/>
  </mergeCells>
  <pageMargins left="0.23622047244094491" right="0.23622047244094491" top="0.74803149606299213" bottom="0.74803149606299213" header="0.31496062992125984" footer="0.31496062992125984"/>
  <pageSetup paperSize="9" scale="83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7"/>
  <sheetViews>
    <sheetView view="pageBreakPreview" topLeftCell="A887" zoomScaleNormal="100" zoomScaleSheetLayoutView="100" workbookViewId="0">
      <selection activeCell="C103" sqref="C103:D103"/>
    </sheetView>
  </sheetViews>
  <sheetFormatPr defaultColWidth="9.140625" defaultRowHeight="15" x14ac:dyDescent="0.25"/>
  <cols>
    <col min="1" max="1" width="45.140625" style="487" customWidth="1"/>
    <col min="2" max="2" width="15.28515625" style="487" customWidth="1"/>
    <col min="3" max="3" width="5.7109375" style="487" customWidth="1"/>
    <col min="4" max="4" width="6.7109375" style="487" customWidth="1"/>
    <col min="5" max="5" width="9.140625" style="487"/>
    <col min="6" max="6" width="8.140625" style="487" customWidth="1"/>
    <col min="7" max="7" width="13.42578125" style="22" customWidth="1"/>
    <col min="8" max="8" width="15.5703125" style="22" customWidth="1"/>
    <col min="9" max="16384" width="9.140625" style="487"/>
  </cols>
  <sheetData>
    <row r="1" spans="1:8" ht="15.75" x14ac:dyDescent="0.25">
      <c r="A1" s="204"/>
      <c r="B1" s="204"/>
      <c r="C1" s="204"/>
      <c r="D1" s="204"/>
      <c r="E1" s="204"/>
      <c r="F1" s="204"/>
      <c r="G1" s="747" t="s">
        <v>1520</v>
      </c>
      <c r="H1" s="747"/>
    </row>
    <row r="2" spans="1:8" ht="15.75" x14ac:dyDescent="0.25">
      <c r="A2" s="204"/>
      <c r="B2" s="204"/>
      <c r="C2" s="204"/>
      <c r="D2" s="204"/>
      <c r="E2" s="204"/>
      <c r="F2" s="204"/>
      <c r="G2" s="747" t="s">
        <v>1519</v>
      </c>
      <c r="H2" s="747"/>
    </row>
    <row r="3" spans="1:8" ht="15.75" x14ac:dyDescent="0.25">
      <c r="A3" s="204"/>
      <c r="B3" s="204"/>
      <c r="C3" s="204"/>
      <c r="D3" s="204"/>
      <c r="E3" s="204"/>
      <c r="F3" s="62"/>
      <c r="G3" s="724" t="s">
        <v>1513</v>
      </c>
      <c r="H3" s="724"/>
    </row>
    <row r="4" spans="1:8" ht="15.75" x14ac:dyDescent="0.25">
      <c r="A4" s="204"/>
      <c r="B4" s="204"/>
      <c r="C4" s="204"/>
      <c r="D4" s="204"/>
      <c r="E4" s="204"/>
      <c r="F4" s="62"/>
      <c r="G4" s="115"/>
      <c r="H4" s="543"/>
    </row>
    <row r="5" spans="1:8" ht="44.45" customHeight="1" x14ac:dyDescent="0.25">
      <c r="A5" s="746" t="s">
        <v>1328</v>
      </c>
      <c r="B5" s="746"/>
      <c r="C5" s="746"/>
      <c r="D5" s="746"/>
      <c r="E5" s="746"/>
      <c r="F5" s="746"/>
      <c r="G5" s="746"/>
      <c r="H5" s="746"/>
    </row>
    <row r="6" spans="1:8" ht="16.5" x14ac:dyDescent="0.25">
      <c r="A6" s="548"/>
      <c r="B6" s="548"/>
      <c r="C6" s="548"/>
      <c r="D6" s="548"/>
      <c r="E6" s="548"/>
      <c r="F6" s="548"/>
      <c r="G6" s="115"/>
      <c r="H6" s="115"/>
    </row>
    <row r="7" spans="1:8" ht="15.75" x14ac:dyDescent="0.25">
      <c r="A7" s="62"/>
      <c r="B7" s="62"/>
      <c r="C7" s="62"/>
      <c r="D7" s="62"/>
      <c r="E7" s="64"/>
      <c r="F7" s="64"/>
      <c r="G7" s="115"/>
      <c r="H7" s="275" t="s">
        <v>1</v>
      </c>
    </row>
    <row r="8" spans="1:8" ht="31.5" x14ac:dyDescent="0.25">
      <c r="A8" s="66" t="s">
        <v>592</v>
      </c>
      <c r="B8" s="66" t="s">
        <v>617</v>
      </c>
      <c r="C8" s="66" t="s">
        <v>618</v>
      </c>
      <c r="D8" s="66" t="s">
        <v>619</v>
      </c>
      <c r="E8" s="66" t="s">
        <v>620</v>
      </c>
      <c r="F8" s="66" t="s">
        <v>621</v>
      </c>
      <c r="G8" s="402" t="s">
        <v>1027</v>
      </c>
      <c r="H8" s="392" t="s">
        <v>1290</v>
      </c>
    </row>
    <row r="9" spans="1:8" ht="47.25" x14ac:dyDescent="0.25">
      <c r="A9" s="58" t="s">
        <v>1370</v>
      </c>
      <c r="B9" s="7" t="s">
        <v>510</v>
      </c>
      <c r="C9" s="7"/>
      <c r="D9" s="7"/>
      <c r="E9" s="7"/>
      <c r="F9" s="7"/>
      <c r="G9" s="488">
        <f>G10+G17</f>
        <v>2319</v>
      </c>
      <c r="H9" s="488">
        <f>H10+H17</f>
        <v>2319</v>
      </c>
    </row>
    <row r="10" spans="1:8" ht="36" hidden="1" customHeight="1" x14ac:dyDescent="0.25">
      <c r="A10" s="34" t="s">
        <v>999</v>
      </c>
      <c r="B10" s="7" t="s">
        <v>958</v>
      </c>
      <c r="C10" s="499"/>
      <c r="D10" s="499"/>
      <c r="E10" s="499"/>
      <c r="F10" s="499"/>
      <c r="G10" s="489">
        <f>G13</f>
        <v>0</v>
      </c>
      <c r="H10" s="489">
        <f>H13</f>
        <v>0</v>
      </c>
    </row>
    <row r="11" spans="1:8" ht="15.75" hidden="1" x14ac:dyDescent="0.25">
      <c r="A11" s="29" t="s">
        <v>232</v>
      </c>
      <c r="B11" s="499" t="s">
        <v>958</v>
      </c>
      <c r="C11" s="499" t="s">
        <v>150</v>
      </c>
      <c r="D11" s="499"/>
      <c r="E11" s="499"/>
      <c r="F11" s="499"/>
      <c r="G11" s="489">
        <f t="shared" ref="G11:H14" si="0">G12</f>
        <v>0</v>
      </c>
      <c r="H11" s="489">
        <f t="shared" si="0"/>
        <v>0</v>
      </c>
    </row>
    <row r="12" spans="1:8" ht="15.75" hidden="1" x14ac:dyDescent="0.25">
      <c r="A12" s="29" t="s">
        <v>508</v>
      </c>
      <c r="B12" s="499" t="s">
        <v>958</v>
      </c>
      <c r="C12" s="499" t="s">
        <v>150</v>
      </c>
      <c r="D12" s="499" t="s">
        <v>219</v>
      </c>
      <c r="E12" s="499"/>
      <c r="F12" s="499"/>
      <c r="G12" s="489">
        <f t="shared" si="0"/>
        <v>0</v>
      </c>
      <c r="H12" s="489">
        <f t="shared" si="0"/>
        <v>0</v>
      </c>
    </row>
    <row r="13" spans="1:8" ht="31.5" hidden="1" x14ac:dyDescent="0.25">
      <c r="A13" s="29" t="s">
        <v>1001</v>
      </c>
      <c r="B13" s="499" t="s">
        <v>1000</v>
      </c>
      <c r="C13" s="499" t="s">
        <v>150</v>
      </c>
      <c r="D13" s="499" t="s">
        <v>219</v>
      </c>
      <c r="E13" s="499"/>
      <c r="F13" s="499"/>
      <c r="G13" s="489">
        <f t="shared" si="0"/>
        <v>0</v>
      </c>
      <c r="H13" s="489">
        <f t="shared" si="0"/>
        <v>0</v>
      </c>
    </row>
    <row r="14" spans="1:8" ht="31.5" hidden="1" x14ac:dyDescent="0.25">
      <c r="A14" s="496" t="s">
        <v>131</v>
      </c>
      <c r="B14" s="499" t="s">
        <v>1000</v>
      </c>
      <c r="C14" s="499" t="s">
        <v>150</v>
      </c>
      <c r="D14" s="499" t="s">
        <v>219</v>
      </c>
      <c r="E14" s="499" t="s">
        <v>132</v>
      </c>
      <c r="F14" s="499"/>
      <c r="G14" s="489">
        <f t="shared" si="0"/>
        <v>0</v>
      </c>
      <c r="H14" s="489">
        <f t="shared" si="0"/>
        <v>0</v>
      </c>
    </row>
    <row r="15" spans="1:8" ht="47.25" hidden="1" x14ac:dyDescent="0.25">
      <c r="A15" s="496" t="s">
        <v>133</v>
      </c>
      <c r="B15" s="499" t="s">
        <v>1000</v>
      </c>
      <c r="C15" s="499" t="s">
        <v>150</v>
      </c>
      <c r="D15" s="499" t="s">
        <v>219</v>
      </c>
      <c r="E15" s="499" t="s">
        <v>134</v>
      </c>
      <c r="F15" s="499"/>
      <c r="G15" s="489">
        <f>'пр.6.1.ведом.22-23 (2)'!G865</f>
        <v>0</v>
      </c>
      <c r="H15" s="489">
        <f>'пр.6.1.ведом.22-23 (2)'!H865</f>
        <v>0</v>
      </c>
    </row>
    <row r="16" spans="1:8" ht="47.25" hidden="1" x14ac:dyDescent="0.25">
      <c r="A16" s="45" t="s">
        <v>623</v>
      </c>
      <c r="B16" s="499" t="s">
        <v>1000</v>
      </c>
      <c r="C16" s="499" t="s">
        <v>150</v>
      </c>
      <c r="D16" s="499" t="s">
        <v>219</v>
      </c>
      <c r="E16" s="499" t="s">
        <v>134</v>
      </c>
      <c r="F16" s="499" t="s">
        <v>624</v>
      </c>
      <c r="G16" s="489">
        <f>G15</f>
        <v>0</v>
      </c>
      <c r="H16" s="489">
        <f>H15</f>
        <v>0</v>
      </c>
    </row>
    <row r="17" spans="1:8" ht="47.25" x14ac:dyDescent="0.25">
      <c r="A17" s="34" t="s">
        <v>1060</v>
      </c>
      <c r="B17" s="495" t="s">
        <v>959</v>
      </c>
      <c r="C17" s="499"/>
      <c r="D17" s="499"/>
      <c r="E17" s="499"/>
      <c r="F17" s="499"/>
      <c r="G17" s="488">
        <f t="shared" ref="G17:H19" si="1">G18</f>
        <v>2319</v>
      </c>
      <c r="H17" s="488">
        <f t="shared" si="1"/>
        <v>2319</v>
      </c>
    </row>
    <row r="18" spans="1:8" ht="15.75" x14ac:dyDescent="0.25">
      <c r="A18" s="29" t="s">
        <v>232</v>
      </c>
      <c r="B18" s="499" t="s">
        <v>959</v>
      </c>
      <c r="C18" s="499" t="s">
        <v>150</v>
      </c>
      <c r="D18" s="499"/>
      <c r="E18" s="499"/>
      <c r="F18" s="499"/>
      <c r="G18" s="489">
        <f t="shared" si="1"/>
        <v>2319</v>
      </c>
      <c r="H18" s="489">
        <f t="shared" si="1"/>
        <v>2319</v>
      </c>
    </row>
    <row r="19" spans="1:8" ht="15.75" x14ac:dyDescent="0.25">
      <c r="A19" s="29" t="s">
        <v>508</v>
      </c>
      <c r="B19" s="499" t="s">
        <v>959</v>
      </c>
      <c r="C19" s="499" t="s">
        <v>150</v>
      </c>
      <c r="D19" s="499" t="s">
        <v>219</v>
      </c>
      <c r="E19" s="499"/>
      <c r="F19" s="499"/>
      <c r="G19" s="489">
        <f t="shared" si="1"/>
        <v>2319</v>
      </c>
      <c r="H19" s="489">
        <f t="shared" si="1"/>
        <v>2319</v>
      </c>
    </row>
    <row r="20" spans="1:8" ht="15.75" x14ac:dyDescent="0.25">
      <c r="A20" s="29" t="s">
        <v>511</v>
      </c>
      <c r="B20" s="499" t="s">
        <v>1002</v>
      </c>
      <c r="C20" s="499" t="s">
        <v>150</v>
      </c>
      <c r="D20" s="499" t="s">
        <v>219</v>
      </c>
      <c r="E20" s="499"/>
      <c r="F20" s="499"/>
      <c r="G20" s="489">
        <f>G24+G27+G21</f>
        <v>2319</v>
      </c>
      <c r="H20" s="489">
        <f>H24+H27+H21</f>
        <v>2319</v>
      </c>
    </row>
    <row r="21" spans="1:8" ht="94.5" x14ac:dyDescent="0.25">
      <c r="A21" s="496" t="s">
        <v>127</v>
      </c>
      <c r="B21" s="499" t="s">
        <v>1002</v>
      </c>
      <c r="C21" s="499" t="s">
        <v>150</v>
      </c>
      <c r="D21" s="499" t="s">
        <v>219</v>
      </c>
      <c r="E21" s="499" t="s">
        <v>128</v>
      </c>
      <c r="F21" s="499"/>
      <c r="G21" s="489">
        <f>G22</f>
        <v>1807</v>
      </c>
      <c r="H21" s="489">
        <f>H22</f>
        <v>1807</v>
      </c>
    </row>
    <row r="22" spans="1:8" ht="31.5" x14ac:dyDescent="0.25">
      <c r="A22" s="496" t="s">
        <v>342</v>
      </c>
      <c r="B22" s="499" t="s">
        <v>1002</v>
      </c>
      <c r="C22" s="499" t="s">
        <v>150</v>
      </c>
      <c r="D22" s="499" t="s">
        <v>219</v>
      </c>
      <c r="E22" s="499" t="s">
        <v>209</v>
      </c>
      <c r="F22" s="499"/>
      <c r="G22" s="489">
        <f>'пр.6.1.ведом.22-23 (2)'!G869</f>
        <v>1807</v>
      </c>
      <c r="H22" s="489">
        <f>'пр.6.1.ведом.22-23 (2)'!H869</f>
        <v>1807</v>
      </c>
    </row>
    <row r="23" spans="1:8" ht="47.25" x14ac:dyDescent="0.25">
      <c r="A23" s="45" t="s">
        <v>623</v>
      </c>
      <c r="B23" s="499" t="s">
        <v>1002</v>
      </c>
      <c r="C23" s="499" t="s">
        <v>150</v>
      </c>
      <c r="D23" s="499" t="s">
        <v>219</v>
      </c>
      <c r="E23" s="499" t="s">
        <v>209</v>
      </c>
      <c r="F23" s="499" t="s">
        <v>624</v>
      </c>
      <c r="G23" s="489">
        <f>G22</f>
        <v>1807</v>
      </c>
      <c r="H23" s="489">
        <f>H22</f>
        <v>1807</v>
      </c>
    </row>
    <row r="24" spans="1:8" ht="31.5" x14ac:dyDescent="0.25">
      <c r="A24" s="29" t="s">
        <v>131</v>
      </c>
      <c r="B24" s="499" t="s">
        <v>1002</v>
      </c>
      <c r="C24" s="499" t="s">
        <v>150</v>
      </c>
      <c r="D24" s="499" t="s">
        <v>219</v>
      </c>
      <c r="E24" s="499" t="s">
        <v>132</v>
      </c>
      <c r="F24" s="499"/>
      <c r="G24" s="489">
        <f t="shared" ref="G24:H24" si="2">G25</f>
        <v>512</v>
      </c>
      <c r="H24" s="489">
        <f t="shared" si="2"/>
        <v>512</v>
      </c>
    </row>
    <row r="25" spans="1:8" ht="47.25" x14ac:dyDescent="0.25">
      <c r="A25" s="29" t="s">
        <v>133</v>
      </c>
      <c r="B25" s="499" t="s">
        <v>1002</v>
      </c>
      <c r="C25" s="499" t="s">
        <v>150</v>
      </c>
      <c r="D25" s="499" t="s">
        <v>219</v>
      </c>
      <c r="E25" s="499" t="s">
        <v>134</v>
      </c>
      <c r="F25" s="499"/>
      <c r="G25" s="489">
        <f>'пр.6.1.ведом.22-23 (2)'!G871</f>
        <v>512</v>
      </c>
      <c r="H25" s="489">
        <f>'пр.6.1.ведом.22-23 (2)'!H871</f>
        <v>512</v>
      </c>
    </row>
    <row r="26" spans="1:8" ht="47.25" x14ac:dyDescent="0.25">
      <c r="A26" s="45" t="s">
        <v>623</v>
      </c>
      <c r="B26" s="499" t="s">
        <v>1002</v>
      </c>
      <c r="C26" s="499" t="s">
        <v>150</v>
      </c>
      <c r="D26" s="499" t="s">
        <v>219</v>
      </c>
      <c r="E26" s="499" t="s">
        <v>134</v>
      </c>
      <c r="F26" s="499" t="s">
        <v>624</v>
      </c>
      <c r="G26" s="489">
        <f>G25</f>
        <v>512</v>
      </c>
      <c r="H26" s="489">
        <f>H25</f>
        <v>512</v>
      </c>
    </row>
    <row r="27" spans="1:8" ht="15.75" hidden="1" x14ac:dyDescent="0.25">
      <c r="A27" s="496" t="s">
        <v>135</v>
      </c>
      <c r="B27" s="499" t="s">
        <v>1002</v>
      </c>
      <c r="C27" s="499" t="s">
        <v>150</v>
      </c>
      <c r="D27" s="499" t="s">
        <v>219</v>
      </c>
      <c r="E27" s="499" t="s">
        <v>145</v>
      </c>
      <c r="F27" s="499"/>
      <c r="G27" s="489">
        <f t="shared" ref="G27:H27" si="3">G28</f>
        <v>0</v>
      </c>
      <c r="H27" s="489">
        <f t="shared" si="3"/>
        <v>0</v>
      </c>
    </row>
    <row r="28" spans="1:8" ht="15.75" hidden="1" x14ac:dyDescent="0.25">
      <c r="A28" s="496" t="s">
        <v>137</v>
      </c>
      <c r="B28" s="499" t="s">
        <v>1002</v>
      </c>
      <c r="C28" s="499" t="s">
        <v>150</v>
      </c>
      <c r="D28" s="499" t="s">
        <v>219</v>
      </c>
      <c r="E28" s="499" t="s">
        <v>138</v>
      </c>
      <c r="F28" s="499"/>
      <c r="G28" s="489">
        <f>'пр.6.1.ведом.22-23 (2)'!G873</f>
        <v>0</v>
      </c>
      <c r="H28" s="489">
        <f>'пр.6.1.ведом.22-23 (2)'!H873</f>
        <v>0</v>
      </c>
    </row>
    <row r="29" spans="1:8" ht="47.25" hidden="1" x14ac:dyDescent="0.25">
      <c r="A29" s="45" t="s">
        <v>623</v>
      </c>
      <c r="B29" s="499" t="s">
        <v>1002</v>
      </c>
      <c r="C29" s="499" t="s">
        <v>150</v>
      </c>
      <c r="D29" s="499" t="s">
        <v>219</v>
      </c>
      <c r="E29" s="499" t="s">
        <v>138</v>
      </c>
      <c r="F29" s="499" t="s">
        <v>624</v>
      </c>
      <c r="G29" s="489">
        <f>G28</f>
        <v>0</v>
      </c>
      <c r="H29" s="489">
        <f>H28</f>
        <v>0</v>
      </c>
    </row>
    <row r="30" spans="1:8" ht="63" x14ac:dyDescent="0.25">
      <c r="A30" s="58" t="s">
        <v>1382</v>
      </c>
      <c r="B30" s="7" t="s">
        <v>344</v>
      </c>
      <c r="C30" s="7"/>
      <c r="D30" s="7"/>
      <c r="E30" s="7"/>
      <c r="F30" s="7"/>
      <c r="G30" s="59">
        <f>G31+G60+G68+G97+G109</f>
        <v>3481.61</v>
      </c>
      <c r="H30" s="59">
        <f>H31+H60+H68+H97+H109</f>
        <v>3896.11</v>
      </c>
    </row>
    <row r="31" spans="1:8" ht="31.5" x14ac:dyDescent="0.25">
      <c r="A31" s="58" t="s">
        <v>625</v>
      </c>
      <c r="B31" s="7" t="s">
        <v>346</v>
      </c>
      <c r="C31" s="7"/>
      <c r="D31" s="7"/>
      <c r="E31" s="7"/>
      <c r="F31" s="7"/>
      <c r="G31" s="59">
        <f>G33+G43+G53</f>
        <v>760</v>
      </c>
      <c r="H31" s="59">
        <f>H33+H43+H53</f>
        <v>825</v>
      </c>
    </row>
    <row r="32" spans="1:8" ht="63" x14ac:dyDescent="0.25">
      <c r="A32" s="211" t="s">
        <v>1029</v>
      </c>
      <c r="B32" s="495" t="s">
        <v>892</v>
      </c>
      <c r="C32" s="7"/>
      <c r="D32" s="7"/>
      <c r="E32" s="499"/>
      <c r="F32" s="499"/>
      <c r="G32" s="59">
        <f>G33</f>
        <v>280</v>
      </c>
      <c r="H32" s="59">
        <f>H33</f>
        <v>280</v>
      </c>
    </row>
    <row r="33" spans="1:8" ht="15.75" x14ac:dyDescent="0.25">
      <c r="A33" s="45" t="s">
        <v>263</v>
      </c>
      <c r="B33" s="499" t="s">
        <v>892</v>
      </c>
      <c r="C33" s="499" t="s">
        <v>264</v>
      </c>
      <c r="D33" s="499"/>
      <c r="E33" s="499"/>
      <c r="F33" s="499"/>
      <c r="G33" s="10">
        <f t="shared" ref="G33:H33" si="4">G34</f>
        <v>280</v>
      </c>
      <c r="H33" s="10">
        <f t="shared" si="4"/>
        <v>280</v>
      </c>
    </row>
    <row r="34" spans="1:8" ht="17.45" customHeight="1" x14ac:dyDescent="0.25">
      <c r="A34" s="45" t="s">
        <v>466</v>
      </c>
      <c r="B34" s="499" t="s">
        <v>892</v>
      </c>
      <c r="C34" s="499" t="s">
        <v>264</v>
      </c>
      <c r="D34" s="499" t="s">
        <v>264</v>
      </c>
      <c r="E34" s="499"/>
      <c r="F34" s="499"/>
      <c r="G34" s="10">
        <f>G35+G39</f>
        <v>280</v>
      </c>
      <c r="H34" s="10">
        <f>H35+H39</f>
        <v>280</v>
      </c>
    </row>
    <row r="35" spans="1:8" ht="31.5" x14ac:dyDescent="0.25">
      <c r="A35" s="98" t="s">
        <v>1035</v>
      </c>
      <c r="B35" s="492" t="s">
        <v>893</v>
      </c>
      <c r="C35" s="499" t="s">
        <v>264</v>
      </c>
      <c r="D35" s="499" t="s">
        <v>264</v>
      </c>
      <c r="E35" s="499"/>
      <c r="F35" s="499"/>
      <c r="G35" s="10">
        <f>G36</f>
        <v>280</v>
      </c>
      <c r="H35" s="10">
        <f>H36</f>
        <v>280</v>
      </c>
    </row>
    <row r="36" spans="1:8" ht="94.5" x14ac:dyDescent="0.25">
      <c r="A36" s="496" t="s">
        <v>127</v>
      </c>
      <c r="B36" s="492" t="s">
        <v>893</v>
      </c>
      <c r="C36" s="499" t="s">
        <v>264</v>
      </c>
      <c r="D36" s="499" t="s">
        <v>264</v>
      </c>
      <c r="E36" s="499" t="s">
        <v>128</v>
      </c>
      <c r="F36" s="499"/>
      <c r="G36" s="10">
        <f>G37</f>
        <v>280</v>
      </c>
      <c r="H36" s="10">
        <f>H37</f>
        <v>280</v>
      </c>
    </row>
    <row r="37" spans="1:8" ht="31.5" x14ac:dyDescent="0.25">
      <c r="A37" s="496" t="s">
        <v>342</v>
      </c>
      <c r="B37" s="492" t="s">
        <v>893</v>
      </c>
      <c r="C37" s="499" t="s">
        <v>264</v>
      </c>
      <c r="D37" s="499" t="s">
        <v>264</v>
      </c>
      <c r="E37" s="499" t="s">
        <v>209</v>
      </c>
      <c r="F37" s="499"/>
      <c r="G37" s="10">
        <f>'пр.6.1.ведом.22-23 (2)'!G343</f>
        <v>280</v>
      </c>
      <c r="H37" s="10">
        <f>'пр.6.1.ведом.22-23 (2)'!H343</f>
        <v>280</v>
      </c>
    </row>
    <row r="38" spans="1:8" ht="47.25" x14ac:dyDescent="0.25">
      <c r="A38" s="45" t="s">
        <v>261</v>
      </c>
      <c r="B38" s="492" t="s">
        <v>893</v>
      </c>
      <c r="C38" s="499" t="s">
        <v>264</v>
      </c>
      <c r="D38" s="499" t="s">
        <v>264</v>
      </c>
      <c r="E38" s="499" t="s">
        <v>209</v>
      </c>
      <c r="F38" s="499" t="s">
        <v>627</v>
      </c>
      <c r="G38" s="489">
        <f>G37</f>
        <v>280</v>
      </c>
      <c r="H38" s="489">
        <f>H37</f>
        <v>280</v>
      </c>
    </row>
    <row r="39" spans="1:8" ht="31.5" hidden="1" x14ac:dyDescent="0.25">
      <c r="A39" s="496" t="s">
        <v>1030</v>
      </c>
      <c r="B39" s="492" t="s">
        <v>1046</v>
      </c>
      <c r="C39" s="499" t="s">
        <v>264</v>
      </c>
      <c r="D39" s="499" t="s">
        <v>264</v>
      </c>
      <c r="E39" s="499"/>
      <c r="F39" s="499"/>
      <c r="G39" s="10">
        <f>G40</f>
        <v>0</v>
      </c>
      <c r="H39" s="10">
        <f>H40</f>
        <v>0</v>
      </c>
    </row>
    <row r="40" spans="1:8" ht="31.5" hidden="1" x14ac:dyDescent="0.25">
      <c r="A40" s="496" t="s">
        <v>131</v>
      </c>
      <c r="B40" s="492" t="s">
        <v>1046</v>
      </c>
      <c r="C40" s="499" t="s">
        <v>264</v>
      </c>
      <c r="D40" s="499" t="s">
        <v>264</v>
      </c>
      <c r="E40" s="499" t="s">
        <v>132</v>
      </c>
      <c r="F40" s="499"/>
      <c r="G40" s="10">
        <f>G41</f>
        <v>0</v>
      </c>
      <c r="H40" s="10">
        <f>H41</f>
        <v>0</v>
      </c>
    </row>
    <row r="41" spans="1:8" ht="47.25" hidden="1" x14ac:dyDescent="0.25">
      <c r="A41" s="496" t="s">
        <v>133</v>
      </c>
      <c r="B41" s="492" t="s">
        <v>1046</v>
      </c>
      <c r="C41" s="499" t="s">
        <v>264</v>
      </c>
      <c r="D41" s="499" t="s">
        <v>264</v>
      </c>
      <c r="E41" s="499" t="s">
        <v>134</v>
      </c>
      <c r="F41" s="499"/>
      <c r="G41" s="10">
        <f>'пр.6.1.ведом.22-23 (2)'!G346</f>
        <v>0</v>
      </c>
      <c r="H41" s="10">
        <f>'пр.6.1.ведом.22-23 (2)'!H346</f>
        <v>0</v>
      </c>
    </row>
    <row r="42" spans="1:8" ht="47.25" hidden="1" x14ac:dyDescent="0.25">
      <c r="A42" s="45" t="s">
        <v>261</v>
      </c>
      <c r="B42" s="492" t="s">
        <v>1046</v>
      </c>
      <c r="C42" s="499" t="s">
        <v>264</v>
      </c>
      <c r="D42" s="499" t="s">
        <v>264</v>
      </c>
      <c r="E42" s="499" t="s">
        <v>134</v>
      </c>
      <c r="F42" s="499" t="s">
        <v>627</v>
      </c>
      <c r="G42" s="489">
        <f>G41</f>
        <v>0</v>
      </c>
      <c r="H42" s="489">
        <f>H41</f>
        <v>0</v>
      </c>
    </row>
    <row r="43" spans="1:8" ht="78.75" x14ac:dyDescent="0.25">
      <c r="A43" s="494" t="s">
        <v>1031</v>
      </c>
      <c r="B43" s="495" t="s">
        <v>894</v>
      </c>
      <c r="C43" s="499"/>
      <c r="D43" s="499"/>
      <c r="E43" s="499"/>
      <c r="F43" s="499"/>
      <c r="G43" s="59">
        <f>G44</f>
        <v>455</v>
      </c>
      <c r="H43" s="59">
        <f>H44</f>
        <v>520</v>
      </c>
    </row>
    <row r="44" spans="1:8" ht="15.75" x14ac:dyDescent="0.25">
      <c r="A44" s="45" t="s">
        <v>263</v>
      </c>
      <c r="B44" s="499" t="s">
        <v>894</v>
      </c>
      <c r="C44" s="499" t="s">
        <v>264</v>
      </c>
      <c r="D44" s="499"/>
      <c r="E44" s="499"/>
      <c r="F44" s="499"/>
      <c r="G44" s="10">
        <f>G45</f>
        <v>455</v>
      </c>
      <c r="H44" s="10">
        <f>H45</f>
        <v>520</v>
      </c>
    </row>
    <row r="45" spans="1:8" ht="21.75" customHeight="1" x14ac:dyDescent="0.25">
      <c r="A45" s="45" t="s">
        <v>466</v>
      </c>
      <c r="B45" s="499" t="s">
        <v>894</v>
      </c>
      <c r="C45" s="499" t="s">
        <v>264</v>
      </c>
      <c r="D45" s="499" t="s">
        <v>264</v>
      </c>
      <c r="E45" s="499"/>
      <c r="F45" s="499"/>
      <c r="G45" s="10">
        <f>G46+G50</f>
        <v>455</v>
      </c>
      <c r="H45" s="10">
        <f>H46+H50</f>
        <v>520</v>
      </c>
    </row>
    <row r="46" spans="1:8" ht="31.5" x14ac:dyDescent="0.25">
      <c r="A46" s="496" t="s">
        <v>1032</v>
      </c>
      <c r="B46" s="492" t="s">
        <v>901</v>
      </c>
      <c r="C46" s="499" t="s">
        <v>264</v>
      </c>
      <c r="D46" s="499" t="s">
        <v>264</v>
      </c>
      <c r="E46" s="499"/>
      <c r="F46" s="499"/>
      <c r="G46" s="10">
        <f>G47</f>
        <v>40</v>
      </c>
      <c r="H46" s="10">
        <f>H47</f>
        <v>40</v>
      </c>
    </row>
    <row r="47" spans="1:8" ht="94.5" x14ac:dyDescent="0.25">
      <c r="A47" s="496" t="s">
        <v>127</v>
      </c>
      <c r="B47" s="492" t="s">
        <v>901</v>
      </c>
      <c r="C47" s="499" t="s">
        <v>264</v>
      </c>
      <c r="D47" s="499" t="s">
        <v>264</v>
      </c>
      <c r="E47" s="499" t="s">
        <v>128</v>
      </c>
      <c r="F47" s="499"/>
      <c r="G47" s="10">
        <f t="shared" ref="G47:H47" si="5">G48</f>
        <v>40</v>
      </c>
      <c r="H47" s="10">
        <f t="shared" si="5"/>
        <v>40</v>
      </c>
    </row>
    <row r="48" spans="1:8" ht="31.5" x14ac:dyDescent="0.25">
      <c r="A48" s="496" t="s">
        <v>342</v>
      </c>
      <c r="B48" s="492" t="s">
        <v>901</v>
      </c>
      <c r="C48" s="499" t="s">
        <v>264</v>
      </c>
      <c r="D48" s="499" t="s">
        <v>264</v>
      </c>
      <c r="E48" s="499" t="s">
        <v>209</v>
      </c>
      <c r="F48" s="499"/>
      <c r="G48" s="10">
        <f>'пр.6.1.ведом.22-23 (2)'!G350</f>
        <v>40</v>
      </c>
      <c r="H48" s="10">
        <f>'пр.6.1.ведом.22-23 (2)'!H350</f>
        <v>40</v>
      </c>
    </row>
    <row r="49" spans="1:8" ht="47.25" x14ac:dyDescent="0.25">
      <c r="A49" s="45" t="s">
        <v>261</v>
      </c>
      <c r="B49" s="492" t="s">
        <v>901</v>
      </c>
      <c r="C49" s="499" t="s">
        <v>264</v>
      </c>
      <c r="D49" s="499" t="s">
        <v>264</v>
      </c>
      <c r="E49" s="499" t="s">
        <v>209</v>
      </c>
      <c r="F49" s="499" t="s">
        <v>627</v>
      </c>
      <c r="G49" s="489">
        <f>G48</f>
        <v>40</v>
      </c>
      <c r="H49" s="489">
        <f>H48</f>
        <v>40</v>
      </c>
    </row>
    <row r="50" spans="1:8" ht="31.5" x14ac:dyDescent="0.25">
      <c r="A50" s="496" t="s">
        <v>131</v>
      </c>
      <c r="B50" s="492" t="s">
        <v>901</v>
      </c>
      <c r="C50" s="499" t="s">
        <v>264</v>
      </c>
      <c r="D50" s="499" t="s">
        <v>264</v>
      </c>
      <c r="E50" s="499" t="s">
        <v>132</v>
      </c>
      <c r="F50" s="499"/>
      <c r="G50" s="10">
        <f t="shared" ref="G50:H50" si="6">G51</f>
        <v>415</v>
      </c>
      <c r="H50" s="10">
        <f t="shared" si="6"/>
        <v>480</v>
      </c>
    </row>
    <row r="51" spans="1:8" ht="47.25" x14ac:dyDescent="0.25">
      <c r="A51" s="496" t="s">
        <v>133</v>
      </c>
      <c r="B51" s="492" t="s">
        <v>901</v>
      </c>
      <c r="C51" s="499" t="s">
        <v>264</v>
      </c>
      <c r="D51" s="499" t="s">
        <v>264</v>
      </c>
      <c r="E51" s="499" t="s">
        <v>134</v>
      </c>
      <c r="F51" s="499"/>
      <c r="G51" s="489">
        <f>'пр.6.1.ведом.22-23 (2)'!G352</f>
        <v>415</v>
      </c>
      <c r="H51" s="489">
        <f>'пр.6.1.ведом.22-23 (2)'!H352</f>
        <v>480</v>
      </c>
    </row>
    <row r="52" spans="1:8" ht="47.25" x14ac:dyDescent="0.25">
      <c r="A52" s="45" t="s">
        <v>261</v>
      </c>
      <c r="B52" s="492" t="s">
        <v>901</v>
      </c>
      <c r="C52" s="499" t="s">
        <v>264</v>
      </c>
      <c r="D52" s="499" t="s">
        <v>264</v>
      </c>
      <c r="E52" s="499" t="s">
        <v>134</v>
      </c>
      <c r="F52" s="499" t="s">
        <v>627</v>
      </c>
      <c r="G52" s="489">
        <f>G51</f>
        <v>415</v>
      </c>
      <c r="H52" s="489">
        <f>H51</f>
        <v>480</v>
      </c>
    </row>
    <row r="53" spans="1:8" ht="47.25" x14ac:dyDescent="0.25">
      <c r="A53" s="494" t="s">
        <v>1037</v>
      </c>
      <c r="B53" s="495" t="s">
        <v>1033</v>
      </c>
      <c r="C53" s="499"/>
      <c r="D53" s="499"/>
      <c r="E53" s="499"/>
      <c r="F53" s="499"/>
      <c r="G53" s="488">
        <f>G56</f>
        <v>25</v>
      </c>
      <c r="H53" s="488">
        <f>H56</f>
        <v>25</v>
      </c>
    </row>
    <row r="54" spans="1:8" ht="15.75" x14ac:dyDescent="0.25">
      <c r="A54" s="45" t="s">
        <v>263</v>
      </c>
      <c r="B54" s="499" t="s">
        <v>1033</v>
      </c>
      <c r="C54" s="499" t="s">
        <v>264</v>
      </c>
      <c r="D54" s="499"/>
      <c r="E54" s="499"/>
      <c r="F54" s="499"/>
      <c r="G54" s="10">
        <f>G55</f>
        <v>25</v>
      </c>
      <c r="H54" s="10">
        <f>H55</f>
        <v>25</v>
      </c>
    </row>
    <row r="55" spans="1:8" ht="20.25" customHeight="1" x14ac:dyDescent="0.25">
      <c r="A55" s="45" t="s">
        <v>466</v>
      </c>
      <c r="B55" s="499" t="s">
        <v>1033</v>
      </c>
      <c r="C55" s="499" t="s">
        <v>264</v>
      </c>
      <c r="D55" s="499" t="s">
        <v>264</v>
      </c>
      <c r="E55" s="499"/>
      <c r="F55" s="499"/>
      <c r="G55" s="10">
        <f>G56</f>
        <v>25</v>
      </c>
      <c r="H55" s="10">
        <f>H56</f>
        <v>25</v>
      </c>
    </row>
    <row r="56" spans="1:8" ht="63" x14ac:dyDescent="0.25">
      <c r="A56" s="231" t="s">
        <v>1034</v>
      </c>
      <c r="B56" s="492" t="s">
        <v>1047</v>
      </c>
      <c r="C56" s="499" t="s">
        <v>264</v>
      </c>
      <c r="D56" s="499" t="s">
        <v>264</v>
      </c>
      <c r="E56" s="492"/>
      <c r="F56" s="499"/>
      <c r="G56" s="489">
        <f t="shared" ref="G56:H56" si="7">G57</f>
        <v>25</v>
      </c>
      <c r="H56" s="489">
        <f t="shared" si="7"/>
        <v>25</v>
      </c>
    </row>
    <row r="57" spans="1:8" ht="31.5" x14ac:dyDescent="0.25">
      <c r="A57" s="496" t="s">
        <v>248</v>
      </c>
      <c r="B57" s="492" t="s">
        <v>1047</v>
      </c>
      <c r="C57" s="499" t="s">
        <v>264</v>
      </c>
      <c r="D57" s="499" t="s">
        <v>264</v>
      </c>
      <c r="E57" s="492" t="s">
        <v>249</v>
      </c>
      <c r="F57" s="499"/>
      <c r="G57" s="489">
        <f>G58</f>
        <v>25</v>
      </c>
      <c r="H57" s="489">
        <f>H58</f>
        <v>25</v>
      </c>
    </row>
    <row r="58" spans="1:8" ht="31.5" x14ac:dyDescent="0.25">
      <c r="A58" s="496" t="s">
        <v>1196</v>
      </c>
      <c r="B58" s="492" t="s">
        <v>1047</v>
      </c>
      <c r="C58" s="499" t="s">
        <v>264</v>
      </c>
      <c r="D58" s="499" t="s">
        <v>264</v>
      </c>
      <c r="E58" s="492" t="s">
        <v>349</v>
      </c>
      <c r="F58" s="499"/>
      <c r="G58" s="10">
        <f>'пр.6.1.ведом.22-23 (2)'!G356</f>
        <v>25</v>
      </c>
      <c r="H58" s="10">
        <f>'пр.6.1.ведом.22-23 (2)'!H356</f>
        <v>25</v>
      </c>
    </row>
    <row r="59" spans="1:8" ht="47.25" x14ac:dyDescent="0.25">
      <c r="A59" s="45" t="s">
        <v>261</v>
      </c>
      <c r="B59" s="492" t="s">
        <v>1047</v>
      </c>
      <c r="C59" s="499" t="s">
        <v>264</v>
      </c>
      <c r="D59" s="499" t="s">
        <v>264</v>
      </c>
      <c r="E59" s="499" t="s">
        <v>349</v>
      </c>
      <c r="F59" s="499" t="s">
        <v>627</v>
      </c>
      <c r="G59" s="489">
        <f>G58</f>
        <v>25</v>
      </c>
      <c r="H59" s="489">
        <f>H58</f>
        <v>25</v>
      </c>
    </row>
    <row r="60" spans="1:8" ht="47.25" hidden="1" x14ac:dyDescent="0.25">
      <c r="A60" s="58" t="s">
        <v>1383</v>
      </c>
      <c r="B60" s="7" t="s">
        <v>353</v>
      </c>
      <c r="C60" s="7"/>
      <c r="D60" s="7"/>
      <c r="E60" s="7"/>
      <c r="F60" s="7"/>
      <c r="G60" s="59">
        <f>G61</f>
        <v>294.61</v>
      </c>
      <c r="H60" s="59">
        <f>H61</f>
        <v>289.11</v>
      </c>
    </row>
    <row r="61" spans="1:8" ht="31.5" hidden="1" x14ac:dyDescent="0.25">
      <c r="A61" s="494" t="s">
        <v>905</v>
      </c>
      <c r="B61" s="495" t="s">
        <v>904</v>
      </c>
      <c r="C61" s="7"/>
      <c r="D61" s="7"/>
      <c r="E61" s="7"/>
      <c r="F61" s="7"/>
      <c r="G61" s="59">
        <f>G62</f>
        <v>294.61</v>
      </c>
      <c r="H61" s="59">
        <f>H62</f>
        <v>289.11</v>
      </c>
    </row>
    <row r="62" spans="1:8" ht="15.75" hidden="1" x14ac:dyDescent="0.25">
      <c r="A62" s="45" t="s">
        <v>243</v>
      </c>
      <c r="B62" s="499" t="s">
        <v>904</v>
      </c>
      <c r="C62" s="499" t="s">
        <v>244</v>
      </c>
      <c r="D62" s="499"/>
      <c r="E62" s="499"/>
      <c r="F62" s="499"/>
      <c r="G62" s="10">
        <f t="shared" ref="G62:H65" si="8">G63</f>
        <v>294.61</v>
      </c>
      <c r="H62" s="10">
        <f t="shared" si="8"/>
        <v>289.11</v>
      </c>
    </row>
    <row r="63" spans="1:8" ht="15.75" hidden="1" x14ac:dyDescent="0.25">
      <c r="A63" s="45" t="s">
        <v>252</v>
      </c>
      <c r="B63" s="499" t="s">
        <v>904</v>
      </c>
      <c r="C63" s="499" t="s">
        <v>244</v>
      </c>
      <c r="D63" s="499" t="s">
        <v>215</v>
      </c>
      <c r="E63" s="499"/>
      <c r="F63" s="499"/>
      <c r="G63" s="10">
        <f>G64</f>
        <v>294.61</v>
      </c>
      <c r="H63" s="10">
        <f>H64</f>
        <v>289.11</v>
      </c>
    </row>
    <row r="64" spans="1:8" ht="31.5" hidden="1" x14ac:dyDescent="0.25">
      <c r="A64" s="496" t="s">
        <v>824</v>
      </c>
      <c r="B64" s="492" t="s">
        <v>906</v>
      </c>
      <c r="C64" s="499" t="s">
        <v>244</v>
      </c>
      <c r="D64" s="499" t="s">
        <v>215</v>
      </c>
      <c r="E64" s="499"/>
      <c r="F64" s="499"/>
      <c r="G64" s="10">
        <f t="shared" si="8"/>
        <v>294.61</v>
      </c>
      <c r="H64" s="10">
        <f t="shared" si="8"/>
        <v>289.11</v>
      </c>
    </row>
    <row r="65" spans="1:8" ht="31.5" hidden="1" x14ac:dyDescent="0.25">
      <c r="A65" s="29" t="s">
        <v>248</v>
      </c>
      <c r="B65" s="492" t="s">
        <v>906</v>
      </c>
      <c r="C65" s="499" t="s">
        <v>244</v>
      </c>
      <c r="D65" s="499" t="s">
        <v>215</v>
      </c>
      <c r="E65" s="499" t="s">
        <v>249</v>
      </c>
      <c r="F65" s="499"/>
      <c r="G65" s="10">
        <f t="shared" si="8"/>
        <v>294.61</v>
      </c>
      <c r="H65" s="10">
        <f t="shared" si="8"/>
        <v>289.11</v>
      </c>
    </row>
    <row r="66" spans="1:8" ht="47.25" hidden="1" x14ac:dyDescent="0.25">
      <c r="A66" s="29" t="s">
        <v>250</v>
      </c>
      <c r="B66" s="492" t="s">
        <v>906</v>
      </c>
      <c r="C66" s="499" t="s">
        <v>244</v>
      </c>
      <c r="D66" s="499" t="s">
        <v>215</v>
      </c>
      <c r="E66" s="499" t="s">
        <v>251</v>
      </c>
      <c r="F66" s="499"/>
      <c r="G66" s="10">
        <f>'пр.6.1.ведом.22-23 (2)'!G452</f>
        <v>294.61</v>
      </c>
      <c r="H66" s="10">
        <f>'пр.6.1.ведом.22-23 (2)'!H452</f>
        <v>289.11</v>
      </c>
    </row>
    <row r="67" spans="1:8" ht="47.25" hidden="1" x14ac:dyDescent="0.25">
      <c r="A67" s="45" t="s">
        <v>261</v>
      </c>
      <c r="B67" s="492" t="s">
        <v>906</v>
      </c>
      <c r="C67" s="499" t="s">
        <v>244</v>
      </c>
      <c r="D67" s="499" t="s">
        <v>215</v>
      </c>
      <c r="E67" s="499" t="s">
        <v>251</v>
      </c>
      <c r="F67" s="499" t="s">
        <v>627</v>
      </c>
      <c r="G67" s="10">
        <f>G66</f>
        <v>294.61</v>
      </c>
      <c r="H67" s="10">
        <f>H66</f>
        <v>289.11</v>
      </c>
    </row>
    <row r="68" spans="1:8" ht="63" x14ac:dyDescent="0.25">
      <c r="A68" s="500" t="s">
        <v>367</v>
      </c>
      <c r="B68" s="7" t="s">
        <v>356</v>
      </c>
      <c r="C68" s="7"/>
      <c r="D68" s="7"/>
      <c r="E68" s="7"/>
      <c r="F68" s="7"/>
      <c r="G68" s="59">
        <f>G69+G76+G83+G90</f>
        <v>260</v>
      </c>
      <c r="H68" s="59">
        <f>H69+H76+H83+H90</f>
        <v>260</v>
      </c>
    </row>
    <row r="69" spans="1:8" ht="47.25" hidden="1" x14ac:dyDescent="0.25">
      <c r="A69" s="215" t="s">
        <v>1042</v>
      </c>
      <c r="B69" s="495" t="s">
        <v>907</v>
      </c>
      <c r="C69" s="7"/>
      <c r="D69" s="7"/>
      <c r="E69" s="7"/>
      <c r="F69" s="7"/>
      <c r="G69" s="59">
        <f t="shared" ref="G69:H73" si="9">G70</f>
        <v>0</v>
      </c>
      <c r="H69" s="59">
        <f t="shared" si="9"/>
        <v>0</v>
      </c>
    </row>
    <row r="70" spans="1:8" ht="15.75" hidden="1" x14ac:dyDescent="0.25">
      <c r="A70" s="45" t="s">
        <v>232</v>
      </c>
      <c r="B70" s="499" t="s">
        <v>907</v>
      </c>
      <c r="C70" s="499" t="s">
        <v>150</v>
      </c>
      <c r="D70" s="499"/>
      <c r="E70" s="499"/>
      <c r="F70" s="499"/>
      <c r="G70" s="10">
        <f t="shared" si="9"/>
        <v>0</v>
      </c>
      <c r="H70" s="10">
        <f t="shared" si="9"/>
        <v>0</v>
      </c>
    </row>
    <row r="71" spans="1:8" ht="31.5" hidden="1" x14ac:dyDescent="0.25">
      <c r="A71" s="45" t="s">
        <v>237</v>
      </c>
      <c r="B71" s="499" t="s">
        <v>907</v>
      </c>
      <c r="C71" s="499" t="s">
        <v>150</v>
      </c>
      <c r="D71" s="499" t="s">
        <v>238</v>
      </c>
      <c r="E71" s="499"/>
      <c r="F71" s="499"/>
      <c r="G71" s="10">
        <f t="shared" si="9"/>
        <v>0</v>
      </c>
      <c r="H71" s="10">
        <f t="shared" si="9"/>
        <v>0</v>
      </c>
    </row>
    <row r="72" spans="1:8" ht="63" hidden="1" x14ac:dyDescent="0.25">
      <c r="A72" s="496" t="s">
        <v>375</v>
      </c>
      <c r="B72" s="492" t="s">
        <v>1316</v>
      </c>
      <c r="C72" s="499" t="s">
        <v>150</v>
      </c>
      <c r="D72" s="499" t="s">
        <v>238</v>
      </c>
      <c r="E72" s="499"/>
      <c r="F72" s="499"/>
      <c r="G72" s="10">
        <f t="shared" si="9"/>
        <v>0</v>
      </c>
      <c r="H72" s="10">
        <f t="shared" si="9"/>
        <v>0</v>
      </c>
    </row>
    <row r="73" spans="1:8" ht="31.5" hidden="1" x14ac:dyDescent="0.25">
      <c r="A73" s="496" t="s">
        <v>248</v>
      </c>
      <c r="B73" s="492" t="s">
        <v>1316</v>
      </c>
      <c r="C73" s="499" t="s">
        <v>150</v>
      </c>
      <c r="D73" s="499" t="s">
        <v>238</v>
      </c>
      <c r="E73" s="499" t="s">
        <v>249</v>
      </c>
      <c r="F73" s="499"/>
      <c r="G73" s="10">
        <f t="shared" si="9"/>
        <v>0</v>
      </c>
      <c r="H73" s="10">
        <f t="shared" si="9"/>
        <v>0</v>
      </c>
    </row>
    <row r="74" spans="1:8" ht="47.25" hidden="1" x14ac:dyDescent="0.25">
      <c r="A74" s="496" t="s">
        <v>250</v>
      </c>
      <c r="B74" s="492" t="s">
        <v>1316</v>
      </c>
      <c r="C74" s="499" t="s">
        <v>150</v>
      </c>
      <c r="D74" s="499" t="s">
        <v>238</v>
      </c>
      <c r="E74" s="499" t="s">
        <v>251</v>
      </c>
      <c r="F74" s="499"/>
      <c r="G74" s="10">
        <f>'пр.6.1.ведом.22-23 (2)'!G280</f>
        <v>0</v>
      </c>
      <c r="H74" s="10">
        <f>'пр.6.1.ведом.22-23 (2)'!H280</f>
        <v>0</v>
      </c>
    </row>
    <row r="75" spans="1:8" ht="47.25" hidden="1" x14ac:dyDescent="0.25">
      <c r="A75" s="45" t="s">
        <v>261</v>
      </c>
      <c r="B75" s="492" t="s">
        <v>1316</v>
      </c>
      <c r="C75" s="499" t="s">
        <v>150</v>
      </c>
      <c r="D75" s="499" t="s">
        <v>238</v>
      </c>
      <c r="E75" s="499" t="s">
        <v>251</v>
      </c>
      <c r="F75" s="499" t="s">
        <v>627</v>
      </c>
      <c r="G75" s="10">
        <f>G74</f>
        <v>0</v>
      </c>
      <c r="H75" s="10">
        <f>H74</f>
        <v>0</v>
      </c>
    </row>
    <row r="76" spans="1:8" ht="47.25" x14ac:dyDescent="0.25">
      <c r="A76" s="494" t="s">
        <v>1041</v>
      </c>
      <c r="B76" s="7" t="s">
        <v>1199</v>
      </c>
      <c r="C76" s="7"/>
      <c r="D76" s="7"/>
      <c r="E76" s="7"/>
      <c r="F76" s="7"/>
      <c r="G76" s="59">
        <f t="shared" ref="G76:H80" si="10">G77</f>
        <v>260</v>
      </c>
      <c r="H76" s="59">
        <f t="shared" si="10"/>
        <v>260</v>
      </c>
    </row>
    <row r="77" spans="1:8" ht="15.75" x14ac:dyDescent="0.25">
      <c r="A77" s="45" t="s">
        <v>232</v>
      </c>
      <c r="B77" s="499" t="s">
        <v>1199</v>
      </c>
      <c r="C77" s="499" t="s">
        <v>150</v>
      </c>
      <c r="D77" s="499"/>
      <c r="E77" s="499"/>
      <c r="F77" s="499"/>
      <c r="G77" s="10">
        <f t="shared" si="10"/>
        <v>260</v>
      </c>
      <c r="H77" s="10">
        <f t="shared" si="10"/>
        <v>260</v>
      </c>
    </row>
    <row r="78" spans="1:8" ht="31.5" x14ac:dyDescent="0.25">
      <c r="A78" s="45" t="s">
        <v>237</v>
      </c>
      <c r="B78" s="499" t="s">
        <v>1199</v>
      </c>
      <c r="C78" s="499" t="s">
        <v>150</v>
      </c>
      <c r="D78" s="499" t="s">
        <v>238</v>
      </c>
      <c r="E78" s="499"/>
      <c r="F78" s="499"/>
      <c r="G78" s="10">
        <f t="shared" si="10"/>
        <v>260</v>
      </c>
      <c r="H78" s="10">
        <f t="shared" si="10"/>
        <v>260</v>
      </c>
    </row>
    <row r="79" spans="1:8" ht="126" x14ac:dyDescent="0.25">
      <c r="A79" s="496" t="s">
        <v>1501</v>
      </c>
      <c r="B79" s="492" t="s">
        <v>1200</v>
      </c>
      <c r="C79" s="499" t="s">
        <v>150</v>
      </c>
      <c r="D79" s="499" t="s">
        <v>238</v>
      </c>
      <c r="E79" s="499"/>
      <c r="F79" s="499"/>
      <c r="G79" s="10">
        <f t="shared" si="10"/>
        <v>260</v>
      </c>
      <c r="H79" s="10">
        <f t="shared" si="10"/>
        <v>260</v>
      </c>
    </row>
    <row r="80" spans="1:8" ht="47.25" x14ac:dyDescent="0.25">
      <c r="A80" s="496" t="s">
        <v>272</v>
      </c>
      <c r="B80" s="492" t="s">
        <v>1200</v>
      </c>
      <c r="C80" s="499" t="s">
        <v>150</v>
      </c>
      <c r="D80" s="499" t="s">
        <v>238</v>
      </c>
      <c r="E80" s="499" t="s">
        <v>273</v>
      </c>
      <c r="F80" s="499"/>
      <c r="G80" s="10">
        <f t="shared" si="10"/>
        <v>260</v>
      </c>
      <c r="H80" s="10">
        <f t="shared" si="10"/>
        <v>260</v>
      </c>
    </row>
    <row r="81" spans="1:8" ht="78.75" x14ac:dyDescent="0.25">
      <c r="A81" s="496" t="s">
        <v>1089</v>
      </c>
      <c r="B81" s="492" t="s">
        <v>1200</v>
      </c>
      <c r="C81" s="499" t="s">
        <v>150</v>
      </c>
      <c r="D81" s="499" t="s">
        <v>238</v>
      </c>
      <c r="E81" s="499" t="s">
        <v>372</v>
      </c>
      <c r="F81" s="499"/>
      <c r="G81" s="10">
        <f>'пр.6.1.ведом.22-23 (2)'!G284</f>
        <v>260</v>
      </c>
      <c r="H81" s="10">
        <f>'пр.6.1.ведом.22-23 (2)'!H284</f>
        <v>260</v>
      </c>
    </row>
    <row r="82" spans="1:8" ht="47.25" x14ac:dyDescent="0.25">
      <c r="A82" s="45" t="s">
        <v>261</v>
      </c>
      <c r="B82" s="492" t="s">
        <v>1200</v>
      </c>
      <c r="C82" s="499" t="s">
        <v>150</v>
      </c>
      <c r="D82" s="499" t="s">
        <v>238</v>
      </c>
      <c r="E82" s="499" t="s">
        <v>372</v>
      </c>
      <c r="F82" s="499" t="s">
        <v>627</v>
      </c>
      <c r="G82" s="10">
        <f>G81</f>
        <v>260</v>
      </c>
      <c r="H82" s="10">
        <f>H81</f>
        <v>260</v>
      </c>
    </row>
    <row r="83" spans="1:8" ht="31.5" hidden="1" x14ac:dyDescent="0.25">
      <c r="A83" s="494" t="s">
        <v>995</v>
      </c>
      <c r="B83" s="495" t="s">
        <v>1309</v>
      </c>
      <c r="C83" s="7"/>
      <c r="D83" s="7"/>
      <c r="E83" s="7"/>
      <c r="F83" s="7"/>
      <c r="G83" s="59">
        <f t="shared" ref="G83:H87" si="11">G84</f>
        <v>0</v>
      </c>
      <c r="H83" s="59">
        <f t="shared" si="11"/>
        <v>0</v>
      </c>
    </row>
    <row r="84" spans="1:8" ht="15.75" hidden="1" x14ac:dyDescent="0.25">
      <c r="A84" s="45" t="s">
        <v>232</v>
      </c>
      <c r="B84" s="499" t="s">
        <v>1309</v>
      </c>
      <c r="C84" s="499" t="s">
        <v>150</v>
      </c>
      <c r="D84" s="499"/>
      <c r="E84" s="499"/>
      <c r="F84" s="499"/>
      <c r="G84" s="10">
        <f t="shared" si="11"/>
        <v>0</v>
      </c>
      <c r="H84" s="10">
        <f t="shared" si="11"/>
        <v>0</v>
      </c>
    </row>
    <row r="85" spans="1:8" ht="31.5" hidden="1" x14ac:dyDescent="0.25">
      <c r="A85" s="45" t="s">
        <v>237</v>
      </c>
      <c r="B85" s="499" t="s">
        <v>1309</v>
      </c>
      <c r="C85" s="499" t="s">
        <v>150</v>
      </c>
      <c r="D85" s="499" t="s">
        <v>238</v>
      </c>
      <c r="E85" s="499"/>
      <c r="F85" s="499"/>
      <c r="G85" s="10">
        <f t="shared" si="11"/>
        <v>0</v>
      </c>
      <c r="H85" s="10">
        <f t="shared" si="11"/>
        <v>0</v>
      </c>
    </row>
    <row r="86" spans="1:8" ht="47.25" hidden="1" x14ac:dyDescent="0.25">
      <c r="A86" s="252" t="s">
        <v>1043</v>
      </c>
      <c r="B86" s="492" t="s">
        <v>1310</v>
      </c>
      <c r="C86" s="499" t="s">
        <v>150</v>
      </c>
      <c r="D86" s="499" t="s">
        <v>238</v>
      </c>
      <c r="E86" s="499"/>
      <c r="F86" s="499"/>
      <c r="G86" s="10">
        <f t="shared" si="11"/>
        <v>0</v>
      </c>
      <c r="H86" s="10">
        <f t="shared" si="11"/>
        <v>0</v>
      </c>
    </row>
    <row r="87" spans="1:8" ht="31.5" hidden="1" x14ac:dyDescent="0.25">
      <c r="A87" s="496" t="s">
        <v>131</v>
      </c>
      <c r="B87" s="492" t="s">
        <v>1310</v>
      </c>
      <c r="C87" s="499" t="s">
        <v>150</v>
      </c>
      <c r="D87" s="499" t="s">
        <v>238</v>
      </c>
      <c r="E87" s="499" t="s">
        <v>132</v>
      </c>
      <c r="F87" s="499"/>
      <c r="G87" s="10">
        <f t="shared" si="11"/>
        <v>0</v>
      </c>
      <c r="H87" s="10">
        <f t="shared" si="11"/>
        <v>0</v>
      </c>
    </row>
    <row r="88" spans="1:8" ht="47.25" hidden="1" x14ac:dyDescent="0.25">
      <c r="A88" s="496" t="s">
        <v>133</v>
      </c>
      <c r="B88" s="492" t="s">
        <v>1310</v>
      </c>
      <c r="C88" s="499" t="s">
        <v>150</v>
      </c>
      <c r="D88" s="499" t="s">
        <v>238</v>
      </c>
      <c r="E88" s="499" t="s">
        <v>134</v>
      </c>
      <c r="F88" s="499"/>
      <c r="G88" s="10">
        <f>'пр.6.1.ведом.22-23 (2)'!G288</f>
        <v>0</v>
      </c>
      <c r="H88" s="10">
        <f>'пр.6.1.ведом.22-23 (2)'!H288</f>
        <v>0</v>
      </c>
    </row>
    <row r="89" spans="1:8" ht="47.25" hidden="1" x14ac:dyDescent="0.25">
      <c r="A89" s="45" t="s">
        <v>261</v>
      </c>
      <c r="B89" s="492" t="s">
        <v>1310</v>
      </c>
      <c r="C89" s="499" t="s">
        <v>150</v>
      </c>
      <c r="D89" s="499" t="s">
        <v>238</v>
      </c>
      <c r="E89" s="499" t="s">
        <v>134</v>
      </c>
      <c r="F89" s="9" t="s">
        <v>627</v>
      </c>
      <c r="G89" s="10">
        <f>G88</f>
        <v>0</v>
      </c>
      <c r="H89" s="10">
        <f>H88</f>
        <v>0</v>
      </c>
    </row>
    <row r="90" spans="1:8" ht="47.25" hidden="1" x14ac:dyDescent="0.25">
      <c r="A90" s="503" t="s">
        <v>1102</v>
      </c>
      <c r="B90" s="495" t="s">
        <v>1201</v>
      </c>
      <c r="C90" s="7"/>
      <c r="D90" s="7"/>
      <c r="E90" s="7"/>
      <c r="F90" s="7"/>
      <c r="G90" s="59">
        <f t="shared" ref="G90:H94" si="12">G91</f>
        <v>0</v>
      </c>
      <c r="H90" s="59">
        <f t="shared" si="12"/>
        <v>0</v>
      </c>
    </row>
    <row r="91" spans="1:8" ht="15.75" hidden="1" x14ac:dyDescent="0.25">
      <c r="A91" s="45" t="s">
        <v>232</v>
      </c>
      <c r="B91" s="499" t="s">
        <v>1201</v>
      </c>
      <c r="C91" s="499" t="s">
        <v>150</v>
      </c>
      <c r="D91" s="499"/>
      <c r="E91" s="499"/>
      <c r="F91" s="499"/>
      <c r="G91" s="10">
        <f t="shared" si="12"/>
        <v>0</v>
      </c>
      <c r="H91" s="10">
        <f t="shared" si="12"/>
        <v>0</v>
      </c>
    </row>
    <row r="92" spans="1:8" ht="31.5" hidden="1" x14ac:dyDescent="0.25">
      <c r="A92" s="45" t="s">
        <v>237</v>
      </c>
      <c r="B92" s="499" t="s">
        <v>1201</v>
      </c>
      <c r="C92" s="499" t="s">
        <v>150</v>
      </c>
      <c r="D92" s="499" t="s">
        <v>238</v>
      </c>
      <c r="E92" s="499"/>
      <c r="F92" s="499"/>
      <c r="G92" s="10">
        <f t="shared" si="12"/>
        <v>0</v>
      </c>
      <c r="H92" s="10">
        <f t="shared" si="12"/>
        <v>0</v>
      </c>
    </row>
    <row r="93" spans="1:8" ht="31.5" hidden="1" x14ac:dyDescent="0.25">
      <c r="A93" s="231" t="s">
        <v>1103</v>
      </c>
      <c r="B93" s="492" t="s">
        <v>1202</v>
      </c>
      <c r="C93" s="499" t="s">
        <v>150</v>
      </c>
      <c r="D93" s="499" t="s">
        <v>238</v>
      </c>
      <c r="E93" s="499"/>
      <c r="F93" s="499"/>
      <c r="G93" s="10">
        <f t="shared" si="12"/>
        <v>0</v>
      </c>
      <c r="H93" s="10">
        <f t="shared" si="12"/>
        <v>0</v>
      </c>
    </row>
    <row r="94" spans="1:8" ht="31.5" hidden="1" x14ac:dyDescent="0.25">
      <c r="A94" s="496" t="s">
        <v>131</v>
      </c>
      <c r="B94" s="492" t="s">
        <v>1202</v>
      </c>
      <c r="C94" s="499" t="s">
        <v>150</v>
      </c>
      <c r="D94" s="499" t="s">
        <v>238</v>
      </c>
      <c r="E94" s="499" t="s">
        <v>132</v>
      </c>
      <c r="F94" s="499"/>
      <c r="G94" s="10">
        <f t="shared" si="12"/>
        <v>0</v>
      </c>
      <c r="H94" s="10">
        <f t="shared" si="12"/>
        <v>0</v>
      </c>
    </row>
    <row r="95" spans="1:8" ht="47.25" hidden="1" x14ac:dyDescent="0.25">
      <c r="A95" s="496" t="s">
        <v>133</v>
      </c>
      <c r="B95" s="492" t="s">
        <v>1202</v>
      </c>
      <c r="C95" s="499" t="s">
        <v>150</v>
      </c>
      <c r="D95" s="499" t="s">
        <v>238</v>
      </c>
      <c r="E95" s="499" t="s">
        <v>134</v>
      </c>
      <c r="F95" s="499"/>
      <c r="G95" s="10">
        <f>'пр.6.1.ведом.22-23 (2)'!G292</f>
        <v>0</v>
      </c>
      <c r="H95" s="10">
        <f>'пр.6.1.ведом.22-23 (2)'!H292</f>
        <v>0</v>
      </c>
    </row>
    <row r="96" spans="1:8" ht="47.25" hidden="1" x14ac:dyDescent="0.25">
      <c r="A96" s="45" t="s">
        <v>261</v>
      </c>
      <c r="B96" s="492" t="s">
        <v>1202</v>
      </c>
      <c r="C96" s="499" t="s">
        <v>150</v>
      </c>
      <c r="D96" s="499" t="s">
        <v>238</v>
      </c>
      <c r="E96" s="499" t="s">
        <v>134</v>
      </c>
      <c r="F96" s="9" t="s">
        <v>627</v>
      </c>
      <c r="G96" s="10">
        <f>G95</f>
        <v>0</v>
      </c>
      <c r="H96" s="10">
        <f>H95</f>
        <v>0</v>
      </c>
    </row>
    <row r="97" spans="1:8" ht="94.5" x14ac:dyDescent="0.25">
      <c r="A97" s="500" t="s">
        <v>1348</v>
      </c>
      <c r="B97" s="7" t="s">
        <v>359</v>
      </c>
      <c r="C97" s="7"/>
      <c r="D97" s="7"/>
      <c r="E97" s="7"/>
      <c r="F97" s="8"/>
      <c r="G97" s="59">
        <f>G98</f>
        <v>200</v>
      </c>
      <c r="H97" s="59">
        <f>H98</f>
        <v>500</v>
      </c>
    </row>
    <row r="98" spans="1:8" ht="63" x14ac:dyDescent="0.25">
      <c r="A98" s="250" t="s">
        <v>1044</v>
      </c>
      <c r="B98" s="7" t="s">
        <v>909</v>
      </c>
      <c r="C98" s="7"/>
      <c r="D98" s="7"/>
      <c r="E98" s="7"/>
      <c r="F98" s="8"/>
      <c r="G98" s="59">
        <f>G99</f>
        <v>200</v>
      </c>
      <c r="H98" s="59">
        <f>H99</f>
        <v>500</v>
      </c>
    </row>
    <row r="99" spans="1:8" ht="15.75" x14ac:dyDescent="0.25">
      <c r="A99" s="45" t="s">
        <v>117</v>
      </c>
      <c r="B99" s="499" t="s">
        <v>909</v>
      </c>
      <c r="C99" s="499" t="s">
        <v>118</v>
      </c>
      <c r="D99" s="499"/>
      <c r="E99" s="499"/>
      <c r="F99" s="9"/>
      <c r="G99" s="10">
        <f t="shared" ref="G99:H102" si="13">G100</f>
        <v>200</v>
      </c>
      <c r="H99" s="10">
        <f t="shared" si="13"/>
        <v>500</v>
      </c>
    </row>
    <row r="100" spans="1:8" ht="15.75" x14ac:dyDescent="0.25">
      <c r="A100" s="45" t="s">
        <v>139</v>
      </c>
      <c r="B100" s="499" t="s">
        <v>909</v>
      </c>
      <c r="C100" s="499" t="s">
        <v>118</v>
      </c>
      <c r="D100" s="499" t="s">
        <v>140</v>
      </c>
      <c r="E100" s="499"/>
      <c r="F100" s="9"/>
      <c r="G100" s="10">
        <f>G101</f>
        <v>200</v>
      </c>
      <c r="H100" s="10">
        <f>H101</f>
        <v>500</v>
      </c>
    </row>
    <row r="101" spans="1:8" ht="47.25" x14ac:dyDescent="0.25">
      <c r="A101" s="98" t="s">
        <v>1045</v>
      </c>
      <c r="B101" s="499" t="s">
        <v>1198</v>
      </c>
      <c r="C101" s="499" t="s">
        <v>118</v>
      </c>
      <c r="D101" s="499" t="s">
        <v>140</v>
      </c>
      <c r="E101" s="499"/>
      <c r="F101" s="9"/>
      <c r="G101" s="10">
        <f t="shared" si="13"/>
        <v>200</v>
      </c>
      <c r="H101" s="10">
        <f t="shared" si="13"/>
        <v>500</v>
      </c>
    </row>
    <row r="102" spans="1:8" ht="31.5" x14ac:dyDescent="0.25">
      <c r="A102" s="29" t="s">
        <v>131</v>
      </c>
      <c r="B102" s="499" t="s">
        <v>1198</v>
      </c>
      <c r="C102" s="499" t="s">
        <v>118</v>
      </c>
      <c r="D102" s="499" t="s">
        <v>140</v>
      </c>
      <c r="E102" s="499" t="s">
        <v>132</v>
      </c>
      <c r="F102" s="9"/>
      <c r="G102" s="10">
        <f t="shared" si="13"/>
        <v>200</v>
      </c>
      <c r="H102" s="10">
        <f t="shared" si="13"/>
        <v>500</v>
      </c>
    </row>
    <row r="103" spans="1:8" ht="47.25" x14ac:dyDescent="0.25">
      <c r="A103" s="29" t="s">
        <v>133</v>
      </c>
      <c r="B103" s="499" t="s">
        <v>1198</v>
      </c>
      <c r="C103" s="499" t="s">
        <v>118</v>
      </c>
      <c r="D103" s="499" t="s">
        <v>140</v>
      </c>
      <c r="E103" s="499" t="s">
        <v>134</v>
      </c>
      <c r="F103" s="9"/>
      <c r="G103" s="10">
        <f>'пр.6.1.ведом.22-23 (2)'!G250</f>
        <v>200</v>
      </c>
      <c r="H103" s="10">
        <f>'пр.6.1.ведом.22-23 (2)'!H250</f>
        <v>500</v>
      </c>
    </row>
    <row r="104" spans="1:8" ht="47.25" x14ac:dyDescent="0.25">
      <c r="A104" s="45" t="s">
        <v>261</v>
      </c>
      <c r="B104" s="499" t="s">
        <v>1198</v>
      </c>
      <c r="C104" s="499" t="s">
        <v>118</v>
      </c>
      <c r="D104" s="499" t="s">
        <v>140</v>
      </c>
      <c r="E104" s="499" t="s">
        <v>134</v>
      </c>
      <c r="F104" s="9" t="s">
        <v>627</v>
      </c>
      <c r="G104" s="10">
        <f>G103</f>
        <v>200</v>
      </c>
      <c r="H104" s="10">
        <f>H103</f>
        <v>500</v>
      </c>
    </row>
    <row r="105" spans="1:8" ht="47.25" hidden="1" x14ac:dyDescent="0.25">
      <c r="A105" s="35" t="s">
        <v>886</v>
      </c>
      <c r="B105" s="492" t="s">
        <v>1297</v>
      </c>
      <c r="C105" s="499" t="s">
        <v>118</v>
      </c>
      <c r="D105" s="499" t="s">
        <v>140</v>
      </c>
      <c r="E105" s="499"/>
      <c r="F105" s="9"/>
      <c r="G105" s="10" t="e">
        <f>G106</f>
        <v>#REF!</v>
      </c>
      <c r="H105" s="10" t="e">
        <f>H106</f>
        <v>#REF!</v>
      </c>
    </row>
    <row r="106" spans="1:8" ht="31.5" hidden="1" x14ac:dyDescent="0.25">
      <c r="A106" s="496" t="s">
        <v>131</v>
      </c>
      <c r="B106" s="492" t="s">
        <v>1297</v>
      </c>
      <c r="C106" s="499" t="s">
        <v>118</v>
      </c>
      <c r="D106" s="499" t="s">
        <v>140</v>
      </c>
      <c r="E106" s="499" t="s">
        <v>132</v>
      </c>
      <c r="F106" s="9"/>
      <c r="G106" s="10" t="e">
        <f>G107</f>
        <v>#REF!</v>
      </c>
      <c r="H106" s="10" t="e">
        <f>H107</f>
        <v>#REF!</v>
      </c>
    </row>
    <row r="107" spans="1:8" ht="47.25" hidden="1" x14ac:dyDescent="0.25">
      <c r="A107" s="496" t="s">
        <v>133</v>
      </c>
      <c r="B107" s="492" t="s">
        <v>1297</v>
      </c>
      <c r="C107" s="499" t="s">
        <v>118</v>
      </c>
      <c r="D107" s="499" t="s">
        <v>140</v>
      </c>
      <c r="E107" s="499" t="s">
        <v>134</v>
      </c>
      <c r="F107" s="9"/>
      <c r="G107" s="10" t="e">
        <f>'пр.6.1.ведом.22-23 (2)'!#REF!</f>
        <v>#REF!</v>
      </c>
      <c r="H107" s="10" t="e">
        <f>'пр.6.1.ведом.22-23 (2)'!#REF!</f>
        <v>#REF!</v>
      </c>
    </row>
    <row r="108" spans="1:8" ht="47.25" hidden="1" x14ac:dyDescent="0.25">
      <c r="A108" s="45" t="s">
        <v>261</v>
      </c>
      <c r="B108" s="492" t="s">
        <v>1297</v>
      </c>
      <c r="C108" s="499" t="s">
        <v>118</v>
      </c>
      <c r="D108" s="499" t="s">
        <v>140</v>
      </c>
      <c r="E108" s="499" t="s">
        <v>134</v>
      </c>
      <c r="F108" s="9" t="s">
        <v>627</v>
      </c>
      <c r="G108" s="10" t="e">
        <f>G107</f>
        <v>#REF!</v>
      </c>
      <c r="H108" s="10" t="e">
        <f>H107</f>
        <v>#REF!</v>
      </c>
    </row>
    <row r="109" spans="1:8" ht="47.25" x14ac:dyDescent="0.25">
      <c r="A109" s="58" t="s">
        <v>629</v>
      </c>
      <c r="B109" s="7" t="s">
        <v>362</v>
      </c>
      <c r="C109" s="7"/>
      <c r="D109" s="7"/>
      <c r="E109" s="7"/>
      <c r="F109" s="7"/>
      <c r="G109" s="59">
        <f>G110+G117+G127</f>
        <v>1967</v>
      </c>
      <c r="H109" s="59">
        <f>H110+H117+H127</f>
        <v>2022</v>
      </c>
    </row>
    <row r="110" spans="1:8" ht="31.5" x14ac:dyDescent="0.25">
      <c r="A110" s="494" t="s">
        <v>1038</v>
      </c>
      <c r="B110" s="495" t="s">
        <v>913</v>
      </c>
      <c r="C110" s="499"/>
      <c r="D110" s="499"/>
      <c r="E110" s="499"/>
      <c r="F110" s="499"/>
      <c r="G110" s="59">
        <f>G111</f>
        <v>630</v>
      </c>
      <c r="H110" s="59">
        <f>H111</f>
        <v>630</v>
      </c>
    </row>
    <row r="111" spans="1:8" ht="15.75" x14ac:dyDescent="0.25">
      <c r="A111" s="45" t="s">
        <v>243</v>
      </c>
      <c r="B111" s="499" t="s">
        <v>913</v>
      </c>
      <c r="C111" s="499" t="s">
        <v>244</v>
      </c>
      <c r="D111" s="499"/>
      <c r="E111" s="499"/>
      <c r="F111" s="499"/>
      <c r="G111" s="10">
        <f t="shared" ref="G111:H114" si="14">G112</f>
        <v>630</v>
      </c>
      <c r="H111" s="10">
        <f t="shared" si="14"/>
        <v>630</v>
      </c>
    </row>
    <row r="112" spans="1:8" ht="15.75" x14ac:dyDescent="0.25">
      <c r="A112" s="45" t="s">
        <v>252</v>
      </c>
      <c r="B112" s="499" t="s">
        <v>913</v>
      </c>
      <c r="C112" s="499" t="s">
        <v>244</v>
      </c>
      <c r="D112" s="499" t="s">
        <v>215</v>
      </c>
      <c r="E112" s="499"/>
      <c r="F112" s="499"/>
      <c r="G112" s="10">
        <f>G113</f>
        <v>630</v>
      </c>
      <c r="H112" s="10">
        <f>H113</f>
        <v>630</v>
      </c>
    </row>
    <row r="113" spans="1:8" ht="63" x14ac:dyDescent="0.25">
      <c r="A113" s="98" t="s">
        <v>1039</v>
      </c>
      <c r="B113" s="492" t="s">
        <v>1224</v>
      </c>
      <c r="C113" s="499" t="s">
        <v>244</v>
      </c>
      <c r="D113" s="499" t="s">
        <v>215</v>
      </c>
      <c r="E113" s="499"/>
      <c r="F113" s="499"/>
      <c r="G113" s="10">
        <f t="shared" si="14"/>
        <v>630</v>
      </c>
      <c r="H113" s="10">
        <f t="shared" si="14"/>
        <v>630</v>
      </c>
    </row>
    <row r="114" spans="1:8" ht="31.5" x14ac:dyDescent="0.25">
      <c r="A114" s="496" t="s">
        <v>248</v>
      </c>
      <c r="B114" s="492" t="s">
        <v>1224</v>
      </c>
      <c r="C114" s="499" t="s">
        <v>244</v>
      </c>
      <c r="D114" s="499" t="s">
        <v>215</v>
      </c>
      <c r="E114" s="499" t="s">
        <v>249</v>
      </c>
      <c r="F114" s="499"/>
      <c r="G114" s="10">
        <f t="shared" si="14"/>
        <v>630</v>
      </c>
      <c r="H114" s="10">
        <f t="shared" si="14"/>
        <v>630</v>
      </c>
    </row>
    <row r="115" spans="1:8" ht="31.5" x14ac:dyDescent="0.25">
      <c r="A115" s="496" t="s">
        <v>348</v>
      </c>
      <c r="B115" s="492" t="s">
        <v>1224</v>
      </c>
      <c r="C115" s="499" t="s">
        <v>244</v>
      </c>
      <c r="D115" s="499" t="s">
        <v>215</v>
      </c>
      <c r="E115" s="499" t="s">
        <v>349</v>
      </c>
      <c r="F115" s="499"/>
      <c r="G115" s="10">
        <f>'пр.6.1.ведом.22-23 (2)'!G457</f>
        <v>630</v>
      </c>
      <c r="H115" s="10">
        <f>'пр.6.1.ведом.22-23 (2)'!H457</f>
        <v>630</v>
      </c>
    </row>
    <row r="116" spans="1:8" ht="47.25" x14ac:dyDescent="0.25">
      <c r="A116" s="45" t="s">
        <v>261</v>
      </c>
      <c r="B116" s="492" t="s">
        <v>1224</v>
      </c>
      <c r="C116" s="499" t="s">
        <v>244</v>
      </c>
      <c r="D116" s="499" t="s">
        <v>215</v>
      </c>
      <c r="E116" s="499" t="s">
        <v>349</v>
      </c>
      <c r="F116" s="499" t="s">
        <v>627</v>
      </c>
      <c r="G116" s="10">
        <f>G115</f>
        <v>630</v>
      </c>
      <c r="H116" s="10">
        <f>H115</f>
        <v>630</v>
      </c>
    </row>
    <row r="117" spans="1:8" ht="31.5" x14ac:dyDescent="0.25">
      <c r="A117" s="494" t="s">
        <v>1228</v>
      </c>
      <c r="B117" s="495" t="s">
        <v>1226</v>
      </c>
      <c r="C117" s="7"/>
      <c r="D117" s="7"/>
      <c r="E117" s="7"/>
      <c r="F117" s="7"/>
      <c r="G117" s="59">
        <f>G118</f>
        <v>657</v>
      </c>
      <c r="H117" s="59">
        <f>H118</f>
        <v>657</v>
      </c>
    </row>
    <row r="118" spans="1:8" ht="15.75" x14ac:dyDescent="0.25">
      <c r="A118" s="45" t="s">
        <v>243</v>
      </c>
      <c r="B118" s="499" t="s">
        <v>1226</v>
      </c>
      <c r="C118" s="499" t="s">
        <v>244</v>
      </c>
      <c r="D118" s="499"/>
      <c r="E118" s="499"/>
      <c r="F118" s="499"/>
      <c r="G118" s="10">
        <f t="shared" ref="G118:H118" si="15">G119</f>
        <v>657</v>
      </c>
      <c r="H118" s="10">
        <f t="shared" si="15"/>
        <v>657</v>
      </c>
    </row>
    <row r="119" spans="1:8" ht="15.75" x14ac:dyDescent="0.25">
      <c r="A119" s="45" t="s">
        <v>252</v>
      </c>
      <c r="B119" s="499" t="s">
        <v>1226</v>
      </c>
      <c r="C119" s="499" t="s">
        <v>244</v>
      </c>
      <c r="D119" s="499" t="s">
        <v>215</v>
      </c>
      <c r="E119" s="499"/>
      <c r="F119" s="499"/>
      <c r="G119" s="10">
        <f>G120</f>
        <v>657</v>
      </c>
      <c r="H119" s="10">
        <f>H120</f>
        <v>657</v>
      </c>
    </row>
    <row r="120" spans="1:8" ht="31.5" x14ac:dyDescent="0.25">
      <c r="A120" s="496" t="s">
        <v>1225</v>
      </c>
      <c r="B120" s="492" t="s">
        <v>1227</v>
      </c>
      <c r="C120" s="499" t="s">
        <v>244</v>
      </c>
      <c r="D120" s="499" t="s">
        <v>215</v>
      </c>
      <c r="E120" s="499"/>
      <c r="F120" s="499"/>
      <c r="G120" s="10">
        <f>G121+G124</f>
        <v>657</v>
      </c>
      <c r="H120" s="10">
        <f>H121+H124</f>
        <v>657</v>
      </c>
    </row>
    <row r="121" spans="1:8" ht="31.5" x14ac:dyDescent="0.25">
      <c r="A121" s="496" t="s">
        <v>131</v>
      </c>
      <c r="B121" s="492" t="s">
        <v>1227</v>
      </c>
      <c r="C121" s="499" t="s">
        <v>244</v>
      </c>
      <c r="D121" s="499" t="s">
        <v>215</v>
      </c>
      <c r="E121" s="499" t="s">
        <v>132</v>
      </c>
      <c r="F121" s="499"/>
      <c r="G121" s="10">
        <f>G122</f>
        <v>400</v>
      </c>
      <c r="H121" s="10">
        <f>H122</f>
        <v>400</v>
      </c>
    </row>
    <row r="122" spans="1:8" ht="47.25" x14ac:dyDescent="0.25">
      <c r="A122" s="496" t="s">
        <v>133</v>
      </c>
      <c r="B122" s="492" t="s">
        <v>1227</v>
      </c>
      <c r="C122" s="499" t="s">
        <v>244</v>
      </c>
      <c r="D122" s="499" t="s">
        <v>215</v>
      </c>
      <c r="E122" s="499" t="s">
        <v>134</v>
      </c>
      <c r="F122" s="499"/>
      <c r="G122" s="10">
        <f>'пр.6.1.ведом.22-23 (2)'!G461</f>
        <v>400</v>
      </c>
      <c r="H122" s="10">
        <f>'пр.6.1.ведом.22-23 (2)'!H461</f>
        <v>400</v>
      </c>
    </row>
    <row r="123" spans="1:8" ht="47.25" x14ac:dyDescent="0.25">
      <c r="A123" s="45" t="s">
        <v>261</v>
      </c>
      <c r="B123" s="492" t="s">
        <v>1227</v>
      </c>
      <c r="C123" s="499" t="s">
        <v>244</v>
      </c>
      <c r="D123" s="499" t="s">
        <v>215</v>
      </c>
      <c r="E123" s="499" t="s">
        <v>134</v>
      </c>
      <c r="F123" s="499" t="s">
        <v>627</v>
      </c>
      <c r="G123" s="10">
        <f>G122</f>
        <v>400</v>
      </c>
      <c r="H123" s="10">
        <f>H122</f>
        <v>400</v>
      </c>
    </row>
    <row r="124" spans="1:8" ht="31.5" x14ac:dyDescent="0.25">
      <c r="A124" s="496" t="s">
        <v>248</v>
      </c>
      <c r="B124" s="492" t="s">
        <v>1227</v>
      </c>
      <c r="C124" s="499" t="s">
        <v>244</v>
      </c>
      <c r="D124" s="499" t="s">
        <v>215</v>
      </c>
      <c r="E124" s="499" t="s">
        <v>249</v>
      </c>
      <c r="F124" s="499"/>
      <c r="G124" s="10">
        <f>G125</f>
        <v>257</v>
      </c>
      <c r="H124" s="10">
        <f>H125</f>
        <v>257</v>
      </c>
    </row>
    <row r="125" spans="1:8" ht="31.5" x14ac:dyDescent="0.25">
      <c r="A125" s="496" t="s">
        <v>348</v>
      </c>
      <c r="B125" s="492" t="s">
        <v>1227</v>
      </c>
      <c r="C125" s="499" t="s">
        <v>244</v>
      </c>
      <c r="D125" s="499" t="s">
        <v>215</v>
      </c>
      <c r="E125" s="499" t="s">
        <v>349</v>
      </c>
      <c r="F125" s="499"/>
      <c r="G125" s="10">
        <f>'пр.6.1.ведом.22-23 (2)'!G463</f>
        <v>257</v>
      </c>
      <c r="H125" s="10">
        <f>'пр.6.1.ведом.22-23 (2)'!H463</f>
        <v>257</v>
      </c>
    </row>
    <row r="126" spans="1:8" ht="47.25" x14ac:dyDescent="0.25">
      <c r="A126" s="45" t="s">
        <v>261</v>
      </c>
      <c r="B126" s="492" t="s">
        <v>1227</v>
      </c>
      <c r="C126" s="499" t="s">
        <v>244</v>
      </c>
      <c r="D126" s="499" t="s">
        <v>215</v>
      </c>
      <c r="E126" s="499" t="s">
        <v>349</v>
      </c>
      <c r="F126" s="499" t="s">
        <v>627</v>
      </c>
      <c r="G126" s="10">
        <f>G125</f>
        <v>257</v>
      </c>
      <c r="H126" s="10">
        <f>H125</f>
        <v>257</v>
      </c>
    </row>
    <row r="127" spans="1:8" ht="31.5" x14ac:dyDescent="0.25">
      <c r="A127" s="494" t="s">
        <v>997</v>
      </c>
      <c r="B127" s="495" t="s">
        <v>1221</v>
      </c>
      <c r="C127" s="7"/>
      <c r="D127" s="7"/>
      <c r="E127" s="7"/>
      <c r="F127" s="7"/>
      <c r="G127" s="59">
        <f>G134+G128</f>
        <v>680</v>
      </c>
      <c r="H127" s="59">
        <f>H134+H128</f>
        <v>735</v>
      </c>
    </row>
    <row r="128" spans="1:8" ht="15.75" x14ac:dyDescent="0.25">
      <c r="A128" s="496" t="s">
        <v>298</v>
      </c>
      <c r="B128" s="492" t="s">
        <v>1221</v>
      </c>
      <c r="C128" s="499" t="s">
        <v>299</v>
      </c>
      <c r="D128" s="499"/>
      <c r="E128" s="7"/>
      <c r="F128" s="7"/>
      <c r="G128" s="10">
        <f t="shared" ref="G128:H131" si="16">G129</f>
        <v>260</v>
      </c>
      <c r="H128" s="10">
        <f t="shared" si="16"/>
        <v>285</v>
      </c>
    </row>
    <row r="129" spans="1:8" ht="15.75" x14ac:dyDescent="0.25">
      <c r="A129" s="496" t="s">
        <v>300</v>
      </c>
      <c r="B129" s="492" t="s">
        <v>1221</v>
      </c>
      <c r="C129" s="499" t="s">
        <v>299</v>
      </c>
      <c r="D129" s="499" t="s">
        <v>150</v>
      </c>
      <c r="E129" s="7"/>
      <c r="F129" s="7"/>
      <c r="G129" s="10">
        <f t="shared" si="16"/>
        <v>260</v>
      </c>
      <c r="H129" s="10">
        <f t="shared" si="16"/>
        <v>285</v>
      </c>
    </row>
    <row r="130" spans="1:8" ht="31.5" x14ac:dyDescent="0.25">
      <c r="A130" s="496" t="s">
        <v>996</v>
      </c>
      <c r="B130" s="492" t="s">
        <v>1222</v>
      </c>
      <c r="C130" s="499" t="s">
        <v>299</v>
      </c>
      <c r="D130" s="499" t="s">
        <v>150</v>
      </c>
      <c r="E130" s="7"/>
      <c r="F130" s="7"/>
      <c r="G130" s="10">
        <f t="shared" si="16"/>
        <v>260</v>
      </c>
      <c r="H130" s="10">
        <f t="shared" si="16"/>
        <v>285</v>
      </c>
    </row>
    <row r="131" spans="1:8" ht="31.5" x14ac:dyDescent="0.25">
      <c r="A131" s="496" t="s">
        <v>131</v>
      </c>
      <c r="B131" s="492" t="s">
        <v>1222</v>
      </c>
      <c r="C131" s="499" t="s">
        <v>299</v>
      </c>
      <c r="D131" s="499" t="s">
        <v>150</v>
      </c>
      <c r="E131" s="499" t="s">
        <v>132</v>
      </c>
      <c r="F131" s="499"/>
      <c r="G131" s="10">
        <f t="shared" si="16"/>
        <v>260</v>
      </c>
      <c r="H131" s="10">
        <f t="shared" si="16"/>
        <v>285</v>
      </c>
    </row>
    <row r="132" spans="1:8" ht="47.25" x14ac:dyDescent="0.25">
      <c r="A132" s="496" t="s">
        <v>133</v>
      </c>
      <c r="B132" s="492" t="s">
        <v>1222</v>
      </c>
      <c r="C132" s="499" t="s">
        <v>299</v>
      </c>
      <c r="D132" s="499" t="s">
        <v>150</v>
      </c>
      <c r="E132" s="499" t="s">
        <v>134</v>
      </c>
      <c r="F132" s="499"/>
      <c r="G132" s="10">
        <f>'пр.6.1.ведом.22-23 (2)'!G439</f>
        <v>260</v>
      </c>
      <c r="H132" s="10">
        <f>'пр.6.1.ведом.22-23 (2)'!H439</f>
        <v>285</v>
      </c>
    </row>
    <row r="133" spans="1:8" ht="47.25" x14ac:dyDescent="0.25">
      <c r="A133" s="45" t="s">
        <v>261</v>
      </c>
      <c r="B133" s="492" t="s">
        <v>1222</v>
      </c>
      <c r="C133" s="499" t="s">
        <v>299</v>
      </c>
      <c r="D133" s="499" t="s">
        <v>150</v>
      </c>
      <c r="E133" s="499" t="s">
        <v>134</v>
      </c>
      <c r="F133" s="499" t="s">
        <v>627</v>
      </c>
      <c r="G133" s="10">
        <f>G132</f>
        <v>260</v>
      </c>
      <c r="H133" s="10">
        <f>H132</f>
        <v>285</v>
      </c>
    </row>
    <row r="134" spans="1:8" ht="15.75" x14ac:dyDescent="0.25">
      <c r="A134" s="45" t="s">
        <v>243</v>
      </c>
      <c r="B134" s="492" t="s">
        <v>1221</v>
      </c>
      <c r="C134" s="499" t="s">
        <v>244</v>
      </c>
      <c r="D134" s="499"/>
      <c r="E134" s="499"/>
      <c r="F134" s="499"/>
      <c r="G134" s="10">
        <f t="shared" ref="G134:H137" si="17">G135</f>
        <v>420</v>
      </c>
      <c r="H134" s="10">
        <f t="shared" si="17"/>
        <v>450</v>
      </c>
    </row>
    <row r="135" spans="1:8" ht="15.75" x14ac:dyDescent="0.25">
      <c r="A135" s="45" t="s">
        <v>252</v>
      </c>
      <c r="B135" s="492" t="s">
        <v>1221</v>
      </c>
      <c r="C135" s="499" t="s">
        <v>244</v>
      </c>
      <c r="D135" s="499" t="s">
        <v>215</v>
      </c>
      <c r="E135" s="499"/>
      <c r="F135" s="499"/>
      <c r="G135" s="10">
        <f t="shared" si="17"/>
        <v>420</v>
      </c>
      <c r="H135" s="10">
        <f t="shared" si="17"/>
        <v>450</v>
      </c>
    </row>
    <row r="136" spans="1:8" ht="15.75" x14ac:dyDescent="0.25">
      <c r="A136" s="496" t="s">
        <v>1036</v>
      </c>
      <c r="B136" s="492" t="s">
        <v>1223</v>
      </c>
      <c r="C136" s="499" t="s">
        <v>244</v>
      </c>
      <c r="D136" s="499" t="s">
        <v>215</v>
      </c>
      <c r="E136" s="499"/>
      <c r="F136" s="499"/>
      <c r="G136" s="10">
        <f t="shared" si="17"/>
        <v>420</v>
      </c>
      <c r="H136" s="10">
        <f t="shared" si="17"/>
        <v>450</v>
      </c>
    </row>
    <row r="137" spans="1:8" ht="31.5" x14ac:dyDescent="0.25">
      <c r="A137" s="496" t="s">
        <v>248</v>
      </c>
      <c r="B137" s="492" t="s">
        <v>1223</v>
      </c>
      <c r="C137" s="499" t="s">
        <v>244</v>
      </c>
      <c r="D137" s="499" t="s">
        <v>215</v>
      </c>
      <c r="E137" s="499" t="s">
        <v>249</v>
      </c>
      <c r="F137" s="499"/>
      <c r="G137" s="10">
        <f t="shared" si="17"/>
        <v>420</v>
      </c>
      <c r="H137" s="10">
        <f t="shared" si="17"/>
        <v>450</v>
      </c>
    </row>
    <row r="138" spans="1:8" ht="31.5" x14ac:dyDescent="0.25">
      <c r="A138" s="496" t="s">
        <v>348</v>
      </c>
      <c r="B138" s="492" t="s">
        <v>1223</v>
      </c>
      <c r="C138" s="499" t="s">
        <v>244</v>
      </c>
      <c r="D138" s="499" t="s">
        <v>215</v>
      </c>
      <c r="E138" s="499" t="s">
        <v>349</v>
      </c>
      <c r="F138" s="499"/>
      <c r="G138" s="10">
        <f>'[1]Пр.5 ведом.21'!G456</f>
        <v>420</v>
      </c>
      <c r="H138" s="10">
        <f>'пр.6.1.ведом.22-23 (2)'!H467</f>
        <v>450</v>
      </c>
    </row>
    <row r="139" spans="1:8" ht="47.25" x14ac:dyDescent="0.25">
      <c r="A139" s="45" t="s">
        <v>261</v>
      </c>
      <c r="B139" s="492" t="s">
        <v>1223</v>
      </c>
      <c r="C139" s="499" t="s">
        <v>244</v>
      </c>
      <c r="D139" s="499" t="s">
        <v>215</v>
      </c>
      <c r="E139" s="499" t="s">
        <v>349</v>
      </c>
      <c r="F139" s="499" t="s">
        <v>627</v>
      </c>
      <c r="G139" s="10">
        <f>G138</f>
        <v>420</v>
      </c>
      <c r="H139" s="10">
        <f>H138</f>
        <v>450</v>
      </c>
    </row>
    <row r="140" spans="1:8" ht="47.25" x14ac:dyDescent="0.25">
      <c r="A140" s="58" t="s">
        <v>1358</v>
      </c>
      <c r="B140" s="7" t="s">
        <v>406</v>
      </c>
      <c r="C140" s="7"/>
      <c r="D140" s="7"/>
      <c r="E140" s="7"/>
      <c r="F140" s="7"/>
      <c r="G140" s="59">
        <f>G141+G158+G215+G248+G255+G284+G291+G298+G305+G312+G330+G323+G337</f>
        <v>324504.29999999993</v>
      </c>
      <c r="H140" s="59">
        <f>H141+H158+H215+H248+H255+H284+H291+H298+H305+H312+H330+H323+H337</f>
        <v>347534.15</v>
      </c>
    </row>
    <row r="141" spans="1:8" ht="47.25" x14ac:dyDescent="0.25">
      <c r="A141" s="494" t="s">
        <v>937</v>
      </c>
      <c r="B141" s="495" t="s">
        <v>1230</v>
      </c>
      <c r="C141" s="7"/>
      <c r="D141" s="7"/>
      <c r="E141" s="7"/>
      <c r="F141" s="7"/>
      <c r="G141" s="59">
        <f>G142</f>
        <v>80542.700000000012</v>
      </c>
      <c r="H141" s="59">
        <f>H142</f>
        <v>80542.700000000012</v>
      </c>
    </row>
    <row r="142" spans="1:8" ht="15.75" x14ac:dyDescent="0.25">
      <c r="A142" s="29" t="s">
        <v>263</v>
      </c>
      <c r="B142" s="499" t="s">
        <v>1230</v>
      </c>
      <c r="C142" s="499" t="s">
        <v>264</v>
      </c>
      <c r="D142" s="499"/>
      <c r="E142" s="499"/>
      <c r="F142" s="499"/>
      <c r="G142" s="10">
        <f>G143+G148+G153</f>
        <v>80542.700000000012</v>
      </c>
      <c r="H142" s="10">
        <f>H143+H148+H153</f>
        <v>80542.700000000012</v>
      </c>
    </row>
    <row r="143" spans="1:8" ht="15.75" x14ac:dyDescent="0.25">
      <c r="A143" s="45" t="s">
        <v>404</v>
      </c>
      <c r="B143" s="499" t="s">
        <v>1230</v>
      </c>
      <c r="C143" s="499" t="s">
        <v>264</v>
      </c>
      <c r="D143" s="499" t="s">
        <v>118</v>
      </c>
      <c r="E143" s="499"/>
      <c r="F143" s="499"/>
      <c r="G143" s="10">
        <f>G144</f>
        <v>14795.6</v>
      </c>
      <c r="H143" s="10">
        <f>H144</f>
        <v>14795.6</v>
      </c>
    </row>
    <row r="144" spans="1:8" ht="47.25" x14ac:dyDescent="0.25">
      <c r="A144" s="496" t="s">
        <v>1229</v>
      </c>
      <c r="B144" s="492" t="s">
        <v>1231</v>
      </c>
      <c r="C144" s="499" t="s">
        <v>264</v>
      </c>
      <c r="D144" s="499" t="s">
        <v>118</v>
      </c>
      <c r="E144" s="499"/>
      <c r="F144" s="499"/>
      <c r="G144" s="10">
        <f t="shared" ref="G144:H145" si="18">G145</f>
        <v>14795.6</v>
      </c>
      <c r="H144" s="10">
        <f t="shared" si="18"/>
        <v>14795.6</v>
      </c>
    </row>
    <row r="145" spans="1:8" ht="47.25" x14ac:dyDescent="0.25">
      <c r="A145" s="496" t="s">
        <v>272</v>
      </c>
      <c r="B145" s="492" t="s">
        <v>1231</v>
      </c>
      <c r="C145" s="499" t="s">
        <v>264</v>
      </c>
      <c r="D145" s="499" t="s">
        <v>118</v>
      </c>
      <c r="E145" s="499" t="s">
        <v>273</v>
      </c>
      <c r="F145" s="499"/>
      <c r="G145" s="10">
        <f t="shared" si="18"/>
        <v>14795.6</v>
      </c>
      <c r="H145" s="10">
        <f t="shared" si="18"/>
        <v>14795.6</v>
      </c>
    </row>
    <row r="146" spans="1:8" ht="15.75" x14ac:dyDescent="0.25">
      <c r="A146" s="496" t="s">
        <v>274</v>
      </c>
      <c r="B146" s="492" t="s">
        <v>1231</v>
      </c>
      <c r="C146" s="499" t="s">
        <v>264</v>
      </c>
      <c r="D146" s="499" t="s">
        <v>118</v>
      </c>
      <c r="E146" s="499" t="s">
        <v>275</v>
      </c>
      <c r="F146" s="499"/>
      <c r="G146" s="489">
        <f>'пр.6.1.ведом.22-23 (2)'!G554</f>
        <v>14795.6</v>
      </c>
      <c r="H146" s="489">
        <f>'пр.6.1.ведом.22-23 (2)'!H554</f>
        <v>14795.6</v>
      </c>
    </row>
    <row r="147" spans="1:8" ht="31.5" x14ac:dyDescent="0.25">
      <c r="A147" s="29" t="s">
        <v>403</v>
      </c>
      <c r="B147" s="492" t="s">
        <v>1231</v>
      </c>
      <c r="C147" s="499" t="s">
        <v>264</v>
      </c>
      <c r="D147" s="499" t="s">
        <v>118</v>
      </c>
      <c r="E147" s="499" t="s">
        <v>275</v>
      </c>
      <c r="F147" s="499" t="s">
        <v>636</v>
      </c>
      <c r="G147" s="10">
        <f>G146</f>
        <v>14795.6</v>
      </c>
      <c r="H147" s="10">
        <f>H146</f>
        <v>14795.6</v>
      </c>
    </row>
    <row r="148" spans="1:8" ht="15.75" x14ac:dyDescent="0.25">
      <c r="A148" s="29" t="s">
        <v>425</v>
      </c>
      <c r="B148" s="499" t="s">
        <v>1230</v>
      </c>
      <c r="C148" s="499" t="s">
        <v>264</v>
      </c>
      <c r="D148" s="499" t="s">
        <v>213</v>
      </c>
      <c r="E148" s="499"/>
      <c r="F148" s="499"/>
      <c r="G148" s="10">
        <f>G149</f>
        <v>28690.799999999999</v>
      </c>
      <c r="H148" s="10">
        <f>H149</f>
        <v>28690.799999999999</v>
      </c>
    </row>
    <row r="149" spans="1:8" ht="47.25" x14ac:dyDescent="0.25">
      <c r="A149" s="496" t="s">
        <v>427</v>
      </c>
      <c r="B149" s="492" t="s">
        <v>1249</v>
      </c>
      <c r="C149" s="499" t="s">
        <v>264</v>
      </c>
      <c r="D149" s="499" t="s">
        <v>213</v>
      </c>
      <c r="E149" s="499"/>
      <c r="F149" s="499"/>
      <c r="G149" s="10">
        <f t="shared" ref="G149:H150" si="19">G150</f>
        <v>28690.799999999999</v>
      </c>
      <c r="H149" s="10">
        <f t="shared" si="19"/>
        <v>28690.799999999999</v>
      </c>
    </row>
    <row r="150" spans="1:8" ht="47.25" x14ac:dyDescent="0.25">
      <c r="A150" s="496" t="s">
        <v>272</v>
      </c>
      <c r="B150" s="492" t="s">
        <v>1249</v>
      </c>
      <c r="C150" s="499" t="s">
        <v>264</v>
      </c>
      <c r="D150" s="499" t="s">
        <v>213</v>
      </c>
      <c r="E150" s="499" t="s">
        <v>273</v>
      </c>
      <c r="F150" s="499"/>
      <c r="G150" s="10">
        <f t="shared" si="19"/>
        <v>28690.799999999999</v>
      </c>
      <c r="H150" s="10">
        <f t="shared" si="19"/>
        <v>28690.799999999999</v>
      </c>
    </row>
    <row r="151" spans="1:8" ht="15.75" x14ac:dyDescent="0.25">
      <c r="A151" s="496" t="s">
        <v>274</v>
      </c>
      <c r="B151" s="492" t="s">
        <v>1249</v>
      </c>
      <c r="C151" s="499" t="s">
        <v>264</v>
      </c>
      <c r="D151" s="499" t="s">
        <v>213</v>
      </c>
      <c r="E151" s="499" t="s">
        <v>275</v>
      </c>
      <c r="F151" s="499"/>
      <c r="G151" s="489">
        <f>'пр.6.1.ведом.22-23 (2)'!G614</f>
        <v>28690.799999999999</v>
      </c>
      <c r="H151" s="489">
        <f>'пр.6.1.ведом.22-23 (2)'!H614</f>
        <v>28690.799999999999</v>
      </c>
    </row>
    <row r="152" spans="1:8" ht="31.5" x14ac:dyDescent="0.25">
      <c r="A152" s="29" t="s">
        <v>403</v>
      </c>
      <c r="B152" s="492" t="s">
        <v>1249</v>
      </c>
      <c r="C152" s="499" t="s">
        <v>264</v>
      </c>
      <c r="D152" s="499" t="s">
        <v>213</v>
      </c>
      <c r="E152" s="499" t="s">
        <v>275</v>
      </c>
      <c r="F152" s="499" t="s">
        <v>636</v>
      </c>
      <c r="G152" s="10">
        <f>G151</f>
        <v>28690.799999999999</v>
      </c>
      <c r="H152" s="10">
        <f>H151</f>
        <v>28690.799999999999</v>
      </c>
    </row>
    <row r="153" spans="1:8" ht="15.75" x14ac:dyDescent="0.25">
      <c r="A153" s="29" t="s">
        <v>265</v>
      </c>
      <c r="B153" s="499" t="s">
        <v>1230</v>
      </c>
      <c r="C153" s="499" t="s">
        <v>264</v>
      </c>
      <c r="D153" s="499" t="s">
        <v>215</v>
      </c>
      <c r="E153" s="499"/>
      <c r="F153" s="499"/>
      <c r="G153" s="489">
        <f t="shared" ref="G153:H155" si="20">G154</f>
        <v>37056.300000000003</v>
      </c>
      <c r="H153" s="489">
        <f t="shared" si="20"/>
        <v>37056.300000000003</v>
      </c>
    </row>
    <row r="154" spans="1:8" ht="47.25" x14ac:dyDescent="0.25">
      <c r="A154" s="29" t="s">
        <v>270</v>
      </c>
      <c r="B154" s="492" t="s">
        <v>1260</v>
      </c>
      <c r="C154" s="499" t="s">
        <v>264</v>
      </c>
      <c r="D154" s="499" t="s">
        <v>215</v>
      </c>
      <c r="E154" s="7"/>
      <c r="F154" s="7"/>
      <c r="G154" s="10">
        <f t="shared" si="20"/>
        <v>37056.300000000003</v>
      </c>
      <c r="H154" s="10">
        <f t="shared" si="20"/>
        <v>37056.300000000003</v>
      </c>
    </row>
    <row r="155" spans="1:8" ht="47.25" x14ac:dyDescent="0.25">
      <c r="A155" s="29" t="s">
        <v>272</v>
      </c>
      <c r="B155" s="492" t="s">
        <v>1260</v>
      </c>
      <c r="C155" s="499" t="s">
        <v>264</v>
      </c>
      <c r="D155" s="499" t="s">
        <v>215</v>
      </c>
      <c r="E155" s="499" t="s">
        <v>273</v>
      </c>
      <c r="F155" s="499"/>
      <c r="G155" s="10">
        <f t="shared" si="20"/>
        <v>37056.300000000003</v>
      </c>
      <c r="H155" s="10">
        <f t="shared" si="20"/>
        <v>37056.300000000003</v>
      </c>
    </row>
    <row r="156" spans="1:8" ht="15.75" x14ac:dyDescent="0.25">
      <c r="A156" s="29" t="s">
        <v>274</v>
      </c>
      <c r="B156" s="492" t="s">
        <v>1260</v>
      </c>
      <c r="C156" s="499" t="s">
        <v>264</v>
      </c>
      <c r="D156" s="499" t="s">
        <v>215</v>
      </c>
      <c r="E156" s="499" t="s">
        <v>275</v>
      </c>
      <c r="F156" s="499"/>
      <c r="G156" s="489">
        <f>'пр.6.1.ведом.22-23 (2)'!G696</f>
        <v>37056.300000000003</v>
      </c>
      <c r="H156" s="489">
        <f>'пр.6.1.ведом.22-23 (2)'!H696</f>
        <v>37056.300000000003</v>
      </c>
    </row>
    <row r="157" spans="1:8" ht="31.5" x14ac:dyDescent="0.25">
      <c r="A157" s="29" t="s">
        <v>403</v>
      </c>
      <c r="B157" s="492" t="s">
        <v>1260</v>
      </c>
      <c r="C157" s="499" t="s">
        <v>264</v>
      </c>
      <c r="D157" s="499" t="s">
        <v>215</v>
      </c>
      <c r="E157" s="499" t="s">
        <v>275</v>
      </c>
      <c r="F157" s="499" t="s">
        <v>636</v>
      </c>
      <c r="G157" s="10">
        <f>G156</f>
        <v>37056.300000000003</v>
      </c>
      <c r="H157" s="10">
        <f>H156</f>
        <v>37056.300000000003</v>
      </c>
    </row>
    <row r="158" spans="1:8" ht="47.25" x14ac:dyDescent="0.25">
      <c r="A158" s="494" t="s">
        <v>900</v>
      </c>
      <c r="B158" s="495" t="s">
        <v>1232</v>
      </c>
      <c r="C158" s="7"/>
      <c r="D158" s="7"/>
      <c r="E158" s="7"/>
      <c r="F158" s="7"/>
      <c r="G158" s="488">
        <f>G159</f>
        <v>209060.9</v>
      </c>
      <c r="H158" s="488">
        <f>H159</f>
        <v>232587.40000000002</v>
      </c>
    </row>
    <row r="159" spans="1:8" ht="15.75" x14ac:dyDescent="0.25">
      <c r="A159" s="29" t="s">
        <v>263</v>
      </c>
      <c r="B159" s="499" t="s">
        <v>1232</v>
      </c>
      <c r="C159" s="499" t="s">
        <v>264</v>
      </c>
      <c r="D159" s="499"/>
      <c r="E159" s="499"/>
      <c r="F159" s="499"/>
      <c r="G159" s="10">
        <f>G160+G177+G202</f>
        <v>209060.9</v>
      </c>
      <c r="H159" s="10">
        <f>H160+H177+H202</f>
        <v>232587.40000000002</v>
      </c>
    </row>
    <row r="160" spans="1:8" ht="15.75" x14ac:dyDescent="0.25">
      <c r="A160" s="45" t="s">
        <v>404</v>
      </c>
      <c r="B160" s="499" t="s">
        <v>1232</v>
      </c>
      <c r="C160" s="499" t="s">
        <v>264</v>
      </c>
      <c r="D160" s="499" t="s">
        <v>118</v>
      </c>
      <c r="E160" s="499"/>
      <c r="F160" s="499"/>
      <c r="G160" s="10">
        <f>G165+G169+G173+G161</f>
        <v>75561.5</v>
      </c>
      <c r="H160" s="10">
        <f>H165+H169+H173+H161</f>
        <v>79924.100000000006</v>
      </c>
    </row>
    <row r="161" spans="1:8" ht="110.25" x14ac:dyDescent="0.25">
      <c r="A161" s="31" t="s">
        <v>293</v>
      </c>
      <c r="B161" s="492" t="s">
        <v>1390</v>
      </c>
      <c r="C161" s="499" t="s">
        <v>264</v>
      </c>
      <c r="D161" s="499" t="s">
        <v>118</v>
      </c>
      <c r="E161" s="499"/>
      <c r="F161" s="499"/>
      <c r="G161" s="489">
        <f>G162</f>
        <v>3230</v>
      </c>
      <c r="H161" s="489">
        <f>H162</f>
        <v>3230</v>
      </c>
    </row>
    <row r="162" spans="1:8" ht="47.25" x14ac:dyDescent="0.25">
      <c r="A162" s="496" t="s">
        <v>272</v>
      </c>
      <c r="B162" s="492" t="s">
        <v>1390</v>
      </c>
      <c r="C162" s="499" t="s">
        <v>264</v>
      </c>
      <c r="D162" s="499" t="s">
        <v>118</v>
      </c>
      <c r="E162" s="499" t="s">
        <v>273</v>
      </c>
      <c r="F162" s="499"/>
      <c r="G162" s="489">
        <f>G163</f>
        <v>3230</v>
      </c>
      <c r="H162" s="489">
        <f>H163</f>
        <v>3230</v>
      </c>
    </row>
    <row r="163" spans="1:8" ht="15.75" x14ac:dyDescent="0.25">
      <c r="A163" s="496" t="s">
        <v>274</v>
      </c>
      <c r="B163" s="492" t="s">
        <v>1390</v>
      </c>
      <c r="C163" s="499" t="s">
        <v>264</v>
      </c>
      <c r="D163" s="499" t="s">
        <v>118</v>
      </c>
      <c r="E163" s="499" t="s">
        <v>275</v>
      </c>
      <c r="F163" s="499"/>
      <c r="G163" s="489">
        <f>'пр.6.1.ведом.22-23 (2)'!G558</f>
        <v>3230</v>
      </c>
      <c r="H163" s="489">
        <f>'пр.6.1.ведом.22-23 (2)'!H558</f>
        <v>3230</v>
      </c>
    </row>
    <row r="164" spans="1:8" ht="31.5" x14ac:dyDescent="0.25">
      <c r="A164" s="29" t="s">
        <v>403</v>
      </c>
      <c r="B164" s="492" t="s">
        <v>1390</v>
      </c>
      <c r="C164" s="499" t="s">
        <v>264</v>
      </c>
      <c r="D164" s="499" t="s">
        <v>118</v>
      </c>
      <c r="E164" s="499" t="s">
        <v>275</v>
      </c>
      <c r="F164" s="499" t="s">
        <v>636</v>
      </c>
      <c r="G164" s="10">
        <f>G163</f>
        <v>3230</v>
      </c>
      <c r="H164" s="10">
        <f>H163</f>
        <v>3230</v>
      </c>
    </row>
    <row r="165" spans="1:8" ht="78.75" x14ac:dyDescent="0.25">
      <c r="A165" s="31" t="s">
        <v>289</v>
      </c>
      <c r="B165" s="492" t="s">
        <v>1233</v>
      </c>
      <c r="C165" s="499" t="s">
        <v>264</v>
      </c>
      <c r="D165" s="499" t="s">
        <v>118</v>
      </c>
      <c r="E165" s="499"/>
      <c r="F165" s="499"/>
      <c r="G165" s="489">
        <f>G166</f>
        <v>589</v>
      </c>
      <c r="H165" s="489">
        <f>H166</f>
        <v>589</v>
      </c>
    </row>
    <row r="166" spans="1:8" ht="47.25" x14ac:dyDescent="0.25">
      <c r="A166" s="496" t="s">
        <v>272</v>
      </c>
      <c r="B166" s="492" t="s">
        <v>1233</v>
      </c>
      <c r="C166" s="499" t="s">
        <v>264</v>
      </c>
      <c r="D166" s="499" t="s">
        <v>118</v>
      </c>
      <c r="E166" s="499" t="s">
        <v>273</v>
      </c>
      <c r="F166" s="499"/>
      <c r="G166" s="489">
        <f>G167</f>
        <v>589</v>
      </c>
      <c r="H166" s="489">
        <f>H167</f>
        <v>589</v>
      </c>
    </row>
    <row r="167" spans="1:8" ht="15.75" x14ac:dyDescent="0.25">
      <c r="A167" s="496" t="s">
        <v>274</v>
      </c>
      <c r="B167" s="492" t="s">
        <v>1233</v>
      </c>
      <c r="C167" s="499" t="s">
        <v>264</v>
      </c>
      <c r="D167" s="499" t="s">
        <v>118</v>
      </c>
      <c r="E167" s="499" t="s">
        <v>275</v>
      </c>
      <c r="F167" s="499"/>
      <c r="G167" s="489">
        <f>'пр.6.1.ведом.22-23 (2)'!G561</f>
        <v>589</v>
      </c>
      <c r="H167" s="489">
        <f>'пр.6.1.ведом.22-23 (2)'!H561</f>
        <v>589</v>
      </c>
    </row>
    <row r="168" spans="1:8" ht="31.5" x14ac:dyDescent="0.25">
      <c r="A168" s="29" t="s">
        <v>403</v>
      </c>
      <c r="B168" s="492" t="s">
        <v>1233</v>
      </c>
      <c r="C168" s="499" t="s">
        <v>264</v>
      </c>
      <c r="D168" s="499" t="s">
        <v>118</v>
      </c>
      <c r="E168" s="499" t="s">
        <v>275</v>
      </c>
      <c r="F168" s="499" t="s">
        <v>636</v>
      </c>
      <c r="G168" s="10">
        <f>G167</f>
        <v>589</v>
      </c>
      <c r="H168" s="10">
        <f>H167</f>
        <v>589</v>
      </c>
    </row>
    <row r="169" spans="1:8" ht="94.5" x14ac:dyDescent="0.25">
      <c r="A169" s="31" t="s">
        <v>291</v>
      </c>
      <c r="B169" s="492" t="s">
        <v>1234</v>
      </c>
      <c r="C169" s="499" t="s">
        <v>264</v>
      </c>
      <c r="D169" s="499" t="s">
        <v>118</v>
      </c>
      <c r="E169" s="499"/>
      <c r="F169" s="499"/>
      <c r="G169" s="489">
        <f>G170</f>
        <v>1629.3</v>
      </c>
      <c r="H169" s="489">
        <f>H170</f>
        <v>1629.3</v>
      </c>
    </row>
    <row r="170" spans="1:8" ht="47.25" x14ac:dyDescent="0.25">
      <c r="A170" s="496" t="s">
        <v>272</v>
      </c>
      <c r="B170" s="492" t="s">
        <v>1234</v>
      </c>
      <c r="C170" s="499" t="s">
        <v>264</v>
      </c>
      <c r="D170" s="499" t="s">
        <v>118</v>
      </c>
      <c r="E170" s="499" t="s">
        <v>273</v>
      </c>
      <c r="F170" s="499"/>
      <c r="G170" s="489">
        <f>G171</f>
        <v>1629.3</v>
      </c>
      <c r="H170" s="489">
        <f>H171</f>
        <v>1629.3</v>
      </c>
    </row>
    <row r="171" spans="1:8" ht="15.75" x14ac:dyDescent="0.25">
      <c r="A171" s="496" t="s">
        <v>274</v>
      </c>
      <c r="B171" s="492" t="s">
        <v>1234</v>
      </c>
      <c r="C171" s="499" t="s">
        <v>264</v>
      </c>
      <c r="D171" s="499" t="s">
        <v>118</v>
      </c>
      <c r="E171" s="499" t="s">
        <v>275</v>
      </c>
      <c r="F171" s="499"/>
      <c r="G171" s="489">
        <f>'пр.6.1.ведом.22-23 (2)'!G564</f>
        <v>1629.3</v>
      </c>
      <c r="H171" s="489">
        <f>'пр.6.1.ведом.22-23 (2)'!H564</f>
        <v>1629.3</v>
      </c>
    </row>
    <row r="172" spans="1:8" ht="31.5" x14ac:dyDescent="0.25">
      <c r="A172" s="29" t="s">
        <v>403</v>
      </c>
      <c r="B172" s="492" t="s">
        <v>1234</v>
      </c>
      <c r="C172" s="499" t="s">
        <v>264</v>
      </c>
      <c r="D172" s="499" t="s">
        <v>118</v>
      </c>
      <c r="E172" s="499" t="s">
        <v>275</v>
      </c>
      <c r="F172" s="499" t="s">
        <v>636</v>
      </c>
      <c r="G172" s="10">
        <f>G171</f>
        <v>1629.3</v>
      </c>
      <c r="H172" s="10">
        <f>H171</f>
        <v>1629.3</v>
      </c>
    </row>
    <row r="173" spans="1:8" ht="91.5" customHeight="1" x14ac:dyDescent="0.25">
      <c r="A173" s="31" t="s">
        <v>1183</v>
      </c>
      <c r="B173" s="492" t="s">
        <v>1235</v>
      </c>
      <c r="C173" s="499" t="s">
        <v>264</v>
      </c>
      <c r="D173" s="499" t="s">
        <v>118</v>
      </c>
      <c r="E173" s="499"/>
      <c r="F173" s="499"/>
      <c r="G173" s="489">
        <f>G174</f>
        <v>70113.2</v>
      </c>
      <c r="H173" s="489">
        <f>H174</f>
        <v>74475.8</v>
      </c>
    </row>
    <row r="174" spans="1:8" ht="47.25" x14ac:dyDescent="0.25">
      <c r="A174" s="496" t="s">
        <v>272</v>
      </c>
      <c r="B174" s="492" t="s">
        <v>1235</v>
      </c>
      <c r="C174" s="499" t="s">
        <v>264</v>
      </c>
      <c r="D174" s="499" t="s">
        <v>118</v>
      </c>
      <c r="E174" s="499" t="s">
        <v>273</v>
      </c>
      <c r="F174" s="499"/>
      <c r="G174" s="489">
        <f>G175</f>
        <v>70113.2</v>
      </c>
      <c r="H174" s="489">
        <f>H175</f>
        <v>74475.8</v>
      </c>
    </row>
    <row r="175" spans="1:8" ht="15.75" x14ac:dyDescent="0.25">
      <c r="A175" s="496" t="s">
        <v>274</v>
      </c>
      <c r="B175" s="492" t="s">
        <v>1235</v>
      </c>
      <c r="C175" s="499" t="s">
        <v>264</v>
      </c>
      <c r="D175" s="499" t="s">
        <v>118</v>
      </c>
      <c r="E175" s="499" t="s">
        <v>275</v>
      </c>
      <c r="F175" s="499"/>
      <c r="G175" s="489">
        <f>'пр.6.1.ведом.22-23 (2)'!G567</f>
        <v>70113.2</v>
      </c>
      <c r="H175" s="489">
        <f>'пр.6.1.ведом.22-23 (2)'!H567</f>
        <v>74475.8</v>
      </c>
    </row>
    <row r="176" spans="1:8" ht="31.5" x14ac:dyDescent="0.25">
      <c r="A176" s="29" t="s">
        <v>403</v>
      </c>
      <c r="B176" s="492" t="s">
        <v>1235</v>
      </c>
      <c r="C176" s="499" t="s">
        <v>264</v>
      </c>
      <c r="D176" s="499" t="s">
        <v>118</v>
      </c>
      <c r="E176" s="499" t="s">
        <v>275</v>
      </c>
      <c r="F176" s="499" t="s">
        <v>636</v>
      </c>
      <c r="G176" s="10">
        <f>G175</f>
        <v>70113.2</v>
      </c>
      <c r="H176" s="10">
        <f>H175</f>
        <v>74475.8</v>
      </c>
    </row>
    <row r="177" spans="1:8" ht="15.75" x14ac:dyDescent="0.25">
      <c r="A177" s="29" t="s">
        <v>425</v>
      </c>
      <c r="B177" s="499" t="s">
        <v>1232</v>
      </c>
      <c r="C177" s="499" t="s">
        <v>264</v>
      </c>
      <c r="D177" s="499" t="s">
        <v>213</v>
      </c>
      <c r="E177" s="499"/>
      <c r="F177" s="499"/>
      <c r="G177" s="10">
        <f>G186+G190+G194+G198+G182+G178</f>
        <v>131370.9</v>
      </c>
      <c r="H177" s="10">
        <f>H186+H190+H194+H198+H182+H178</f>
        <v>150534.80000000002</v>
      </c>
    </row>
    <row r="178" spans="1:8" ht="78.75" x14ac:dyDescent="0.25">
      <c r="A178" s="496" t="s">
        <v>1392</v>
      </c>
      <c r="B178" s="492" t="s">
        <v>1393</v>
      </c>
      <c r="C178" s="499" t="s">
        <v>264</v>
      </c>
      <c r="D178" s="499" t="s">
        <v>213</v>
      </c>
      <c r="E178" s="499"/>
      <c r="F178" s="499"/>
      <c r="G178" s="10">
        <f>G179</f>
        <v>7226.1</v>
      </c>
      <c r="H178" s="10">
        <f>H179</f>
        <v>7226.1</v>
      </c>
    </row>
    <row r="179" spans="1:8" ht="47.25" x14ac:dyDescent="0.25">
      <c r="A179" s="496" t="s">
        <v>272</v>
      </c>
      <c r="B179" s="492" t="s">
        <v>1393</v>
      </c>
      <c r="C179" s="499" t="s">
        <v>264</v>
      </c>
      <c r="D179" s="499" t="s">
        <v>213</v>
      </c>
      <c r="E179" s="499" t="s">
        <v>273</v>
      </c>
      <c r="F179" s="499"/>
      <c r="G179" s="10">
        <f>G180</f>
        <v>7226.1</v>
      </c>
      <c r="H179" s="10">
        <f>H180</f>
        <v>7226.1</v>
      </c>
    </row>
    <row r="180" spans="1:8" ht="15.75" x14ac:dyDescent="0.25">
      <c r="A180" s="496" t="s">
        <v>274</v>
      </c>
      <c r="B180" s="492" t="s">
        <v>1393</v>
      </c>
      <c r="C180" s="499" t="s">
        <v>264</v>
      </c>
      <c r="D180" s="499" t="s">
        <v>213</v>
      </c>
      <c r="E180" s="499" t="s">
        <v>275</v>
      </c>
      <c r="F180" s="499"/>
      <c r="G180" s="10">
        <f>'пр.6.1.ведом.22-23 (2)'!G618</f>
        <v>7226.1</v>
      </c>
      <c r="H180" s="10">
        <f>'пр.6.1.ведом.22-23 (2)'!H618</f>
        <v>7226.1</v>
      </c>
    </row>
    <row r="181" spans="1:8" ht="31.5" x14ac:dyDescent="0.25">
      <c r="A181" s="45" t="s">
        <v>403</v>
      </c>
      <c r="B181" s="492" t="s">
        <v>1393</v>
      </c>
      <c r="C181" s="499" t="s">
        <v>264</v>
      </c>
      <c r="D181" s="499" t="s">
        <v>213</v>
      </c>
      <c r="E181" s="499" t="s">
        <v>275</v>
      </c>
      <c r="F181" s="499" t="s">
        <v>636</v>
      </c>
      <c r="G181" s="10">
        <f>G178</f>
        <v>7226.1</v>
      </c>
      <c r="H181" s="10">
        <f>H178</f>
        <v>7226.1</v>
      </c>
    </row>
    <row r="182" spans="1:8" ht="110.25" x14ac:dyDescent="0.25">
      <c r="A182" s="31" t="s">
        <v>464</v>
      </c>
      <c r="B182" s="492" t="s">
        <v>1390</v>
      </c>
      <c r="C182" s="499" t="s">
        <v>264</v>
      </c>
      <c r="D182" s="499" t="s">
        <v>213</v>
      </c>
      <c r="E182" s="499"/>
      <c r="F182" s="499"/>
      <c r="G182" s="489">
        <f>G183</f>
        <v>4610</v>
      </c>
      <c r="H182" s="489">
        <f>H183</f>
        <v>4610</v>
      </c>
    </row>
    <row r="183" spans="1:8" ht="47.25" x14ac:dyDescent="0.25">
      <c r="A183" s="496" t="s">
        <v>272</v>
      </c>
      <c r="B183" s="492" t="s">
        <v>1390</v>
      </c>
      <c r="C183" s="499" t="s">
        <v>264</v>
      </c>
      <c r="D183" s="499" t="s">
        <v>213</v>
      </c>
      <c r="E183" s="499" t="s">
        <v>273</v>
      </c>
      <c r="F183" s="499"/>
      <c r="G183" s="489">
        <f>G184</f>
        <v>4610</v>
      </c>
      <c r="H183" s="489">
        <f>H184</f>
        <v>4610</v>
      </c>
    </row>
    <row r="184" spans="1:8" ht="15.75" x14ac:dyDescent="0.25">
      <c r="A184" s="496" t="s">
        <v>274</v>
      </c>
      <c r="B184" s="492" t="s">
        <v>1390</v>
      </c>
      <c r="C184" s="499" t="s">
        <v>264</v>
      </c>
      <c r="D184" s="499" t="s">
        <v>213</v>
      </c>
      <c r="E184" s="499" t="s">
        <v>275</v>
      </c>
      <c r="F184" s="499"/>
      <c r="G184" s="489">
        <f>'пр.6.1.ведом.22-23 (2)'!G621</f>
        <v>4610</v>
      </c>
      <c r="H184" s="489">
        <f>'пр.6.1.ведом.22-23 (2)'!H621</f>
        <v>4610</v>
      </c>
    </row>
    <row r="185" spans="1:8" ht="31.5" x14ac:dyDescent="0.25">
      <c r="A185" s="29" t="s">
        <v>403</v>
      </c>
      <c r="B185" s="492" t="s">
        <v>1390</v>
      </c>
      <c r="C185" s="499" t="s">
        <v>264</v>
      </c>
      <c r="D185" s="499" t="s">
        <v>213</v>
      </c>
      <c r="E185" s="499" t="s">
        <v>275</v>
      </c>
      <c r="F185" s="499" t="s">
        <v>636</v>
      </c>
      <c r="G185" s="10">
        <f>G184</f>
        <v>4610</v>
      </c>
      <c r="H185" s="10">
        <f>H184</f>
        <v>4610</v>
      </c>
    </row>
    <row r="186" spans="1:8" ht="94.5" x14ac:dyDescent="0.25">
      <c r="A186" s="31" t="s">
        <v>1184</v>
      </c>
      <c r="B186" s="492" t="s">
        <v>1250</v>
      </c>
      <c r="C186" s="499" t="s">
        <v>264</v>
      </c>
      <c r="D186" s="499" t="s">
        <v>213</v>
      </c>
      <c r="E186" s="499"/>
      <c r="F186" s="499"/>
      <c r="G186" s="489">
        <f>G187</f>
        <v>115047.8</v>
      </c>
      <c r="H186" s="489">
        <f>H187</f>
        <v>134211.70000000001</v>
      </c>
    </row>
    <row r="187" spans="1:8" ht="47.25" x14ac:dyDescent="0.25">
      <c r="A187" s="496" t="s">
        <v>272</v>
      </c>
      <c r="B187" s="492" t="s">
        <v>1250</v>
      </c>
      <c r="C187" s="499" t="s">
        <v>264</v>
      </c>
      <c r="D187" s="499" t="s">
        <v>213</v>
      </c>
      <c r="E187" s="499" t="s">
        <v>273</v>
      </c>
      <c r="F187" s="499"/>
      <c r="G187" s="489">
        <f>G188</f>
        <v>115047.8</v>
      </c>
      <c r="H187" s="489">
        <f>H188</f>
        <v>134211.70000000001</v>
      </c>
    </row>
    <row r="188" spans="1:8" ht="15.75" x14ac:dyDescent="0.25">
      <c r="A188" s="496" t="s">
        <v>274</v>
      </c>
      <c r="B188" s="492" t="s">
        <v>1250</v>
      </c>
      <c r="C188" s="499" t="s">
        <v>264</v>
      </c>
      <c r="D188" s="499" t="s">
        <v>213</v>
      </c>
      <c r="E188" s="499" t="s">
        <v>275</v>
      </c>
      <c r="F188" s="499"/>
      <c r="G188" s="489">
        <f>'пр.6.1.ведом.22-23 (2)'!G624</f>
        <v>115047.8</v>
      </c>
      <c r="H188" s="489">
        <f>'пр.6.1.ведом.22-23 (2)'!H624</f>
        <v>134211.70000000001</v>
      </c>
    </row>
    <row r="189" spans="1:8" ht="31.5" x14ac:dyDescent="0.25">
      <c r="A189" s="29" t="s">
        <v>403</v>
      </c>
      <c r="B189" s="492" t="s">
        <v>1250</v>
      </c>
      <c r="C189" s="499" t="s">
        <v>264</v>
      </c>
      <c r="D189" s="499" t="s">
        <v>213</v>
      </c>
      <c r="E189" s="499" t="s">
        <v>275</v>
      </c>
      <c r="F189" s="499" t="s">
        <v>636</v>
      </c>
      <c r="G189" s="10">
        <f>G188</f>
        <v>115047.8</v>
      </c>
      <c r="H189" s="10">
        <f>H188</f>
        <v>134211.70000000001</v>
      </c>
    </row>
    <row r="190" spans="1:8" ht="78.75" x14ac:dyDescent="0.25">
      <c r="A190" s="31" t="s">
        <v>289</v>
      </c>
      <c r="B190" s="492" t="s">
        <v>1233</v>
      </c>
      <c r="C190" s="499" t="s">
        <v>264</v>
      </c>
      <c r="D190" s="499" t="s">
        <v>213</v>
      </c>
      <c r="E190" s="499"/>
      <c r="F190" s="499"/>
      <c r="G190" s="489">
        <f>G191</f>
        <v>1311</v>
      </c>
      <c r="H190" s="489">
        <f>H191</f>
        <v>1311</v>
      </c>
    </row>
    <row r="191" spans="1:8" ht="47.25" x14ac:dyDescent="0.25">
      <c r="A191" s="496" t="s">
        <v>272</v>
      </c>
      <c r="B191" s="492" t="s">
        <v>1233</v>
      </c>
      <c r="C191" s="499" t="s">
        <v>264</v>
      </c>
      <c r="D191" s="499" t="s">
        <v>213</v>
      </c>
      <c r="E191" s="499" t="s">
        <v>273</v>
      </c>
      <c r="F191" s="499"/>
      <c r="G191" s="489">
        <f>G192</f>
        <v>1311</v>
      </c>
      <c r="H191" s="489">
        <f>H192</f>
        <v>1311</v>
      </c>
    </row>
    <row r="192" spans="1:8" ht="15.75" x14ac:dyDescent="0.25">
      <c r="A192" s="496" t="s">
        <v>274</v>
      </c>
      <c r="B192" s="492" t="s">
        <v>1233</v>
      </c>
      <c r="C192" s="499" t="s">
        <v>264</v>
      </c>
      <c r="D192" s="499" t="s">
        <v>213</v>
      </c>
      <c r="E192" s="499" t="s">
        <v>275</v>
      </c>
      <c r="F192" s="499"/>
      <c r="G192" s="489">
        <f>'пр.6.1.ведом.22-23 (2)'!G627</f>
        <v>1311</v>
      </c>
      <c r="H192" s="489">
        <f>'пр.6.1.ведом.22-23 (2)'!H627</f>
        <v>1311</v>
      </c>
    </row>
    <row r="193" spans="1:8" ht="31.5" x14ac:dyDescent="0.25">
      <c r="A193" s="29" t="s">
        <v>403</v>
      </c>
      <c r="B193" s="492" t="s">
        <v>1233</v>
      </c>
      <c r="C193" s="499" t="s">
        <v>264</v>
      </c>
      <c r="D193" s="499" t="s">
        <v>213</v>
      </c>
      <c r="E193" s="499" t="s">
        <v>275</v>
      </c>
      <c r="F193" s="499" t="s">
        <v>636</v>
      </c>
      <c r="G193" s="10">
        <f>G192</f>
        <v>1311</v>
      </c>
      <c r="H193" s="10">
        <f>H192</f>
        <v>1311</v>
      </c>
    </row>
    <row r="194" spans="1:8" ht="84.2" customHeight="1" x14ac:dyDescent="0.25">
      <c r="A194" s="31" t="s">
        <v>291</v>
      </c>
      <c r="B194" s="492" t="s">
        <v>1234</v>
      </c>
      <c r="C194" s="499" t="s">
        <v>264</v>
      </c>
      <c r="D194" s="499" t="s">
        <v>213</v>
      </c>
      <c r="E194" s="499"/>
      <c r="F194" s="499"/>
      <c r="G194" s="489">
        <f>G195</f>
        <v>2266.6999999999998</v>
      </c>
      <c r="H194" s="489">
        <f>H195</f>
        <v>2266.6999999999998</v>
      </c>
    </row>
    <row r="195" spans="1:8" ht="47.25" x14ac:dyDescent="0.25">
      <c r="A195" s="496" t="s">
        <v>272</v>
      </c>
      <c r="B195" s="492" t="s">
        <v>1234</v>
      </c>
      <c r="C195" s="499" t="s">
        <v>264</v>
      </c>
      <c r="D195" s="499" t="s">
        <v>213</v>
      </c>
      <c r="E195" s="499" t="s">
        <v>273</v>
      </c>
      <c r="F195" s="499"/>
      <c r="G195" s="489">
        <f>G196</f>
        <v>2266.6999999999998</v>
      </c>
      <c r="H195" s="489">
        <f>H196</f>
        <v>2266.6999999999998</v>
      </c>
    </row>
    <row r="196" spans="1:8" ht="15.75" x14ac:dyDescent="0.25">
      <c r="A196" s="496" t="s">
        <v>274</v>
      </c>
      <c r="B196" s="492" t="s">
        <v>1234</v>
      </c>
      <c r="C196" s="499" t="s">
        <v>264</v>
      </c>
      <c r="D196" s="499" t="s">
        <v>213</v>
      </c>
      <c r="E196" s="499" t="s">
        <v>275</v>
      </c>
      <c r="F196" s="499"/>
      <c r="G196" s="489">
        <f>'пр.6.1.ведом.22-23 (2)'!G630</f>
        <v>2266.6999999999998</v>
      </c>
      <c r="H196" s="489">
        <f>'пр.6.1.ведом.22-23 (2)'!H630</f>
        <v>2266.6999999999998</v>
      </c>
    </row>
    <row r="197" spans="1:8" ht="31.5" x14ac:dyDescent="0.25">
      <c r="A197" s="29" t="s">
        <v>403</v>
      </c>
      <c r="B197" s="492" t="s">
        <v>1234</v>
      </c>
      <c r="C197" s="499" t="s">
        <v>264</v>
      </c>
      <c r="D197" s="499" t="s">
        <v>213</v>
      </c>
      <c r="E197" s="499" t="s">
        <v>275</v>
      </c>
      <c r="F197" s="499" t="s">
        <v>636</v>
      </c>
      <c r="G197" s="10">
        <f>G196</f>
        <v>2266.6999999999998</v>
      </c>
      <c r="H197" s="10">
        <f>H196</f>
        <v>2266.6999999999998</v>
      </c>
    </row>
    <row r="198" spans="1:8" ht="47.25" x14ac:dyDescent="0.25">
      <c r="A198" s="31" t="s">
        <v>462</v>
      </c>
      <c r="B198" s="492" t="s">
        <v>1251</v>
      </c>
      <c r="C198" s="499" t="s">
        <v>264</v>
      </c>
      <c r="D198" s="499" t="s">
        <v>213</v>
      </c>
      <c r="E198" s="499"/>
      <c r="F198" s="499"/>
      <c r="G198" s="489">
        <f>G199</f>
        <v>909.3</v>
      </c>
      <c r="H198" s="489">
        <f>H199</f>
        <v>909.3</v>
      </c>
    </row>
    <row r="199" spans="1:8" ht="47.25" x14ac:dyDescent="0.25">
      <c r="A199" s="496" t="s">
        <v>272</v>
      </c>
      <c r="B199" s="492" t="s">
        <v>1251</v>
      </c>
      <c r="C199" s="499" t="s">
        <v>264</v>
      </c>
      <c r="D199" s="499" t="s">
        <v>213</v>
      </c>
      <c r="E199" s="499" t="s">
        <v>273</v>
      </c>
      <c r="F199" s="499"/>
      <c r="G199" s="489">
        <f>G200</f>
        <v>909.3</v>
      </c>
      <c r="H199" s="489">
        <f>H200</f>
        <v>909.3</v>
      </c>
    </row>
    <row r="200" spans="1:8" ht="15.75" x14ac:dyDescent="0.25">
      <c r="A200" s="496" t="s">
        <v>274</v>
      </c>
      <c r="B200" s="492" t="s">
        <v>1251</v>
      </c>
      <c r="C200" s="499" t="s">
        <v>264</v>
      </c>
      <c r="D200" s="499" t="s">
        <v>213</v>
      </c>
      <c r="E200" s="499" t="s">
        <v>275</v>
      </c>
      <c r="F200" s="499"/>
      <c r="G200" s="489">
        <f>'пр.6.1.ведом.22-23 (2)'!G633</f>
        <v>909.3</v>
      </c>
      <c r="H200" s="489">
        <f>'пр.6.1.ведом.22-23 (2)'!H633</f>
        <v>909.3</v>
      </c>
    </row>
    <row r="201" spans="1:8" ht="31.5" x14ac:dyDescent="0.25">
      <c r="A201" s="29" t="s">
        <v>403</v>
      </c>
      <c r="B201" s="492" t="s">
        <v>1251</v>
      </c>
      <c r="C201" s="499" t="s">
        <v>264</v>
      </c>
      <c r="D201" s="499" t="s">
        <v>213</v>
      </c>
      <c r="E201" s="499" t="s">
        <v>275</v>
      </c>
      <c r="F201" s="499" t="s">
        <v>636</v>
      </c>
      <c r="G201" s="10">
        <f>G200</f>
        <v>909.3</v>
      </c>
      <c r="H201" s="10">
        <f>H200</f>
        <v>909.3</v>
      </c>
    </row>
    <row r="202" spans="1:8" ht="15.75" x14ac:dyDescent="0.25">
      <c r="A202" s="29" t="s">
        <v>265</v>
      </c>
      <c r="B202" s="499" t="s">
        <v>1232</v>
      </c>
      <c r="C202" s="499" t="s">
        <v>264</v>
      </c>
      <c r="D202" s="499" t="s">
        <v>215</v>
      </c>
      <c r="E202" s="499"/>
      <c r="F202" s="499"/>
      <c r="G202" s="489">
        <f>G207+G211+G203</f>
        <v>2128.5</v>
      </c>
      <c r="H202" s="489">
        <f>H207+H211+H203</f>
        <v>2128.5</v>
      </c>
    </row>
    <row r="203" spans="1:8" ht="110.25" x14ac:dyDescent="0.25">
      <c r="A203" s="31" t="s">
        <v>293</v>
      </c>
      <c r="B203" s="492" t="s">
        <v>1390</v>
      </c>
      <c r="C203" s="499" t="s">
        <v>264</v>
      </c>
      <c r="D203" s="499" t="s">
        <v>215</v>
      </c>
      <c r="E203" s="499"/>
      <c r="F203" s="499"/>
      <c r="G203" s="489">
        <f>G204</f>
        <v>1400</v>
      </c>
      <c r="H203" s="489">
        <f>H204</f>
        <v>1400</v>
      </c>
    </row>
    <row r="204" spans="1:8" ht="47.25" x14ac:dyDescent="0.25">
      <c r="A204" s="496" t="s">
        <v>272</v>
      </c>
      <c r="B204" s="492" t="s">
        <v>1390</v>
      </c>
      <c r="C204" s="499" t="s">
        <v>264</v>
      </c>
      <c r="D204" s="499" t="s">
        <v>215</v>
      </c>
      <c r="E204" s="499" t="s">
        <v>273</v>
      </c>
      <c r="F204" s="499"/>
      <c r="G204" s="489">
        <f>G205</f>
        <v>1400</v>
      </c>
      <c r="H204" s="489">
        <f>H205</f>
        <v>1400</v>
      </c>
    </row>
    <row r="205" spans="1:8" ht="15.75" x14ac:dyDescent="0.25">
      <c r="A205" s="496" t="s">
        <v>274</v>
      </c>
      <c r="B205" s="492" t="s">
        <v>1390</v>
      </c>
      <c r="C205" s="499" t="s">
        <v>264</v>
      </c>
      <c r="D205" s="499" t="s">
        <v>215</v>
      </c>
      <c r="E205" s="499" t="s">
        <v>275</v>
      </c>
      <c r="F205" s="499"/>
      <c r="G205" s="489">
        <f>'пр.6.1.ведом.22-23 (2)'!G700</f>
        <v>1400</v>
      </c>
      <c r="H205" s="489">
        <f>'пр.6.1.ведом.22-23 (2)'!H700</f>
        <v>1400</v>
      </c>
    </row>
    <row r="206" spans="1:8" ht="31.5" x14ac:dyDescent="0.25">
      <c r="A206" s="29" t="s">
        <v>403</v>
      </c>
      <c r="B206" s="492" t="s">
        <v>1390</v>
      </c>
      <c r="C206" s="499" t="s">
        <v>264</v>
      </c>
      <c r="D206" s="499" t="s">
        <v>215</v>
      </c>
      <c r="E206" s="499" t="s">
        <v>275</v>
      </c>
      <c r="F206" s="499" t="s">
        <v>636</v>
      </c>
      <c r="G206" s="10">
        <f>G205</f>
        <v>1400</v>
      </c>
      <c r="H206" s="10">
        <f>H205</f>
        <v>1400</v>
      </c>
    </row>
    <row r="207" spans="1:8" ht="78.75" x14ac:dyDescent="0.25">
      <c r="A207" s="31" t="s">
        <v>289</v>
      </c>
      <c r="B207" s="492" t="s">
        <v>1233</v>
      </c>
      <c r="C207" s="499" t="s">
        <v>264</v>
      </c>
      <c r="D207" s="499" t="s">
        <v>215</v>
      </c>
      <c r="E207" s="499"/>
      <c r="F207" s="499"/>
      <c r="G207" s="489">
        <f>G208</f>
        <v>179</v>
      </c>
      <c r="H207" s="489">
        <f>H208</f>
        <v>179</v>
      </c>
    </row>
    <row r="208" spans="1:8" ht="47.25" x14ac:dyDescent="0.25">
      <c r="A208" s="496" t="s">
        <v>272</v>
      </c>
      <c r="B208" s="492" t="s">
        <v>1233</v>
      </c>
      <c r="C208" s="499" t="s">
        <v>264</v>
      </c>
      <c r="D208" s="499" t="s">
        <v>215</v>
      </c>
      <c r="E208" s="499" t="s">
        <v>273</v>
      </c>
      <c r="F208" s="499"/>
      <c r="G208" s="489">
        <f>G209</f>
        <v>179</v>
      </c>
      <c r="H208" s="489">
        <f>H209</f>
        <v>179</v>
      </c>
    </row>
    <row r="209" spans="1:8" ht="15.75" x14ac:dyDescent="0.25">
      <c r="A209" s="496" t="s">
        <v>274</v>
      </c>
      <c r="B209" s="492" t="s">
        <v>1233</v>
      </c>
      <c r="C209" s="499" t="s">
        <v>264</v>
      </c>
      <c r="D209" s="499" t="s">
        <v>215</v>
      </c>
      <c r="E209" s="499" t="s">
        <v>275</v>
      </c>
      <c r="F209" s="499"/>
      <c r="G209" s="489">
        <f>'пр.6.1.ведом.22-23 (2)'!G703</f>
        <v>179</v>
      </c>
      <c r="H209" s="489">
        <f>'пр.6.1.ведом.22-23 (2)'!H703</f>
        <v>179</v>
      </c>
    </row>
    <row r="210" spans="1:8" ht="31.5" x14ac:dyDescent="0.25">
      <c r="A210" s="29" t="s">
        <v>403</v>
      </c>
      <c r="B210" s="492" t="s">
        <v>1233</v>
      </c>
      <c r="C210" s="499" t="s">
        <v>264</v>
      </c>
      <c r="D210" s="499" t="s">
        <v>215</v>
      </c>
      <c r="E210" s="499" t="s">
        <v>275</v>
      </c>
      <c r="F210" s="499" t="s">
        <v>636</v>
      </c>
      <c r="G210" s="10">
        <f>G209</f>
        <v>179</v>
      </c>
      <c r="H210" s="10">
        <f>H209</f>
        <v>179</v>
      </c>
    </row>
    <row r="211" spans="1:8" ht="85.7" customHeight="1" x14ac:dyDescent="0.25">
      <c r="A211" s="31" t="s">
        <v>291</v>
      </c>
      <c r="B211" s="492" t="s">
        <v>1234</v>
      </c>
      <c r="C211" s="499" t="s">
        <v>264</v>
      </c>
      <c r="D211" s="499" t="s">
        <v>215</v>
      </c>
      <c r="E211" s="499"/>
      <c r="F211" s="499"/>
      <c r="G211" s="489">
        <f>G212</f>
        <v>549.5</v>
      </c>
      <c r="H211" s="489">
        <f>H212</f>
        <v>549.5</v>
      </c>
    </row>
    <row r="212" spans="1:8" ht="47.25" x14ac:dyDescent="0.25">
      <c r="A212" s="496" t="s">
        <v>272</v>
      </c>
      <c r="B212" s="492" t="s">
        <v>1234</v>
      </c>
      <c r="C212" s="499" t="s">
        <v>264</v>
      </c>
      <c r="D212" s="499" t="s">
        <v>215</v>
      </c>
      <c r="E212" s="499" t="s">
        <v>273</v>
      </c>
      <c r="F212" s="499"/>
      <c r="G212" s="489">
        <f>G213</f>
        <v>549.5</v>
      </c>
      <c r="H212" s="489">
        <f>H213</f>
        <v>549.5</v>
      </c>
    </row>
    <row r="213" spans="1:8" ht="15.75" x14ac:dyDescent="0.25">
      <c r="A213" s="496" t="s">
        <v>274</v>
      </c>
      <c r="B213" s="492" t="s">
        <v>1234</v>
      </c>
      <c r="C213" s="499" t="s">
        <v>264</v>
      </c>
      <c r="D213" s="499" t="s">
        <v>215</v>
      </c>
      <c r="E213" s="499" t="s">
        <v>275</v>
      </c>
      <c r="F213" s="499"/>
      <c r="G213" s="489">
        <f>'пр.6.1.ведом.22-23 (2)'!G706</f>
        <v>549.5</v>
      </c>
      <c r="H213" s="489">
        <f>'пр.6.1.ведом.22-23 (2)'!H706</f>
        <v>549.5</v>
      </c>
    </row>
    <row r="214" spans="1:8" ht="31.5" x14ac:dyDescent="0.25">
      <c r="A214" s="29" t="s">
        <v>403</v>
      </c>
      <c r="B214" s="492" t="s">
        <v>1234</v>
      </c>
      <c r="C214" s="499" t="s">
        <v>264</v>
      </c>
      <c r="D214" s="499" t="s">
        <v>215</v>
      </c>
      <c r="E214" s="499" t="s">
        <v>275</v>
      </c>
      <c r="F214" s="499" t="s">
        <v>636</v>
      </c>
      <c r="G214" s="10">
        <f>G213</f>
        <v>549.5</v>
      </c>
      <c r="H214" s="10">
        <f>H213</f>
        <v>549.5</v>
      </c>
    </row>
    <row r="215" spans="1:8" ht="31.5" x14ac:dyDescent="0.25">
      <c r="A215" s="494" t="s">
        <v>1292</v>
      </c>
      <c r="B215" s="495" t="s">
        <v>1237</v>
      </c>
      <c r="C215" s="7"/>
      <c r="D215" s="7"/>
      <c r="E215" s="7"/>
      <c r="F215" s="7"/>
      <c r="G215" s="59">
        <f>G216+G230</f>
        <v>4654</v>
      </c>
      <c r="H215" s="59">
        <f>H216+H230</f>
        <v>4654</v>
      </c>
    </row>
    <row r="216" spans="1:8" ht="15.75" x14ac:dyDescent="0.25">
      <c r="A216" s="29" t="s">
        <v>263</v>
      </c>
      <c r="B216" s="492" t="s">
        <v>1237</v>
      </c>
      <c r="C216" s="499" t="s">
        <v>264</v>
      </c>
      <c r="D216" s="499"/>
      <c r="E216" s="499"/>
      <c r="F216" s="499"/>
      <c r="G216" s="10">
        <f t="shared" ref="G216:H216" si="21">G217</f>
        <v>4430</v>
      </c>
      <c r="H216" s="10">
        <f t="shared" si="21"/>
        <v>4430</v>
      </c>
    </row>
    <row r="217" spans="1:8" ht="15.75" x14ac:dyDescent="0.25">
      <c r="A217" s="45" t="s">
        <v>404</v>
      </c>
      <c r="B217" s="492" t="s">
        <v>1237</v>
      </c>
      <c r="C217" s="499" t="s">
        <v>264</v>
      </c>
      <c r="D217" s="499" t="s">
        <v>118</v>
      </c>
      <c r="E217" s="499"/>
      <c r="F217" s="499"/>
      <c r="G217" s="10">
        <f>G218+G222+G226</f>
        <v>4430</v>
      </c>
      <c r="H217" s="10">
        <f>H218+H222+H226</f>
        <v>4430</v>
      </c>
    </row>
    <row r="218" spans="1:8" ht="47.25" hidden="1" x14ac:dyDescent="0.25">
      <c r="A218" s="29" t="s">
        <v>278</v>
      </c>
      <c r="B218" s="492" t="s">
        <v>1318</v>
      </c>
      <c r="C218" s="499" t="s">
        <v>264</v>
      </c>
      <c r="D218" s="499" t="s">
        <v>118</v>
      </c>
      <c r="E218" s="499"/>
      <c r="F218" s="499"/>
      <c r="G218" s="10">
        <f t="shared" ref="G218:H219" si="22">G219</f>
        <v>0</v>
      </c>
      <c r="H218" s="10">
        <f t="shared" si="22"/>
        <v>0</v>
      </c>
    </row>
    <row r="219" spans="1:8" ht="47.25" hidden="1" x14ac:dyDescent="0.25">
      <c r="A219" s="29" t="s">
        <v>272</v>
      </c>
      <c r="B219" s="492" t="s">
        <v>1318</v>
      </c>
      <c r="C219" s="499" t="s">
        <v>264</v>
      </c>
      <c r="D219" s="499" t="s">
        <v>118</v>
      </c>
      <c r="E219" s="499" t="s">
        <v>273</v>
      </c>
      <c r="F219" s="499"/>
      <c r="G219" s="10">
        <f t="shared" si="22"/>
        <v>0</v>
      </c>
      <c r="H219" s="10">
        <f t="shared" si="22"/>
        <v>0</v>
      </c>
    </row>
    <row r="220" spans="1:8" ht="15.75" hidden="1" x14ac:dyDescent="0.25">
      <c r="A220" s="29" t="s">
        <v>274</v>
      </c>
      <c r="B220" s="492" t="s">
        <v>1318</v>
      </c>
      <c r="C220" s="499" t="s">
        <v>264</v>
      </c>
      <c r="D220" s="499" t="s">
        <v>118</v>
      </c>
      <c r="E220" s="499" t="s">
        <v>275</v>
      </c>
      <c r="F220" s="499"/>
      <c r="G220" s="10">
        <f>'пр.6.1.ведом.22-23 (2)'!G571</f>
        <v>0</v>
      </c>
      <c r="H220" s="10">
        <f>'пр.6.1.ведом.22-23 (2)'!H571</f>
        <v>0</v>
      </c>
    </row>
    <row r="221" spans="1:8" ht="31.5" hidden="1" x14ac:dyDescent="0.25">
      <c r="A221" s="29" t="s">
        <v>403</v>
      </c>
      <c r="B221" s="492" t="s">
        <v>1318</v>
      </c>
      <c r="C221" s="499" t="s">
        <v>264</v>
      </c>
      <c r="D221" s="499" t="s">
        <v>118</v>
      </c>
      <c r="E221" s="499" t="s">
        <v>275</v>
      </c>
      <c r="F221" s="499" t="s">
        <v>636</v>
      </c>
      <c r="G221" s="10">
        <f>G220</f>
        <v>0</v>
      </c>
      <c r="H221" s="10">
        <f>H220</f>
        <v>0</v>
      </c>
    </row>
    <row r="222" spans="1:8" ht="31.5" hidden="1" x14ac:dyDescent="0.25">
      <c r="A222" s="29" t="s">
        <v>280</v>
      </c>
      <c r="B222" s="492" t="s">
        <v>1319</v>
      </c>
      <c r="C222" s="499" t="s">
        <v>264</v>
      </c>
      <c r="D222" s="499" t="s">
        <v>118</v>
      </c>
      <c r="E222" s="499"/>
      <c r="F222" s="499"/>
      <c r="G222" s="10">
        <f t="shared" ref="G222:H223" si="23">G223</f>
        <v>0</v>
      </c>
      <c r="H222" s="10">
        <f t="shared" si="23"/>
        <v>0</v>
      </c>
    </row>
    <row r="223" spans="1:8" ht="47.25" hidden="1" x14ac:dyDescent="0.25">
      <c r="A223" s="29" t="s">
        <v>272</v>
      </c>
      <c r="B223" s="492" t="s">
        <v>1319</v>
      </c>
      <c r="C223" s="499" t="s">
        <v>264</v>
      </c>
      <c r="D223" s="499" t="s">
        <v>118</v>
      </c>
      <c r="E223" s="499" t="s">
        <v>273</v>
      </c>
      <c r="F223" s="499"/>
      <c r="G223" s="10">
        <f t="shared" si="23"/>
        <v>0</v>
      </c>
      <c r="H223" s="10">
        <f t="shared" si="23"/>
        <v>0</v>
      </c>
    </row>
    <row r="224" spans="1:8" ht="15.75" hidden="1" x14ac:dyDescent="0.25">
      <c r="A224" s="29" t="s">
        <v>274</v>
      </c>
      <c r="B224" s="492" t="s">
        <v>1319</v>
      </c>
      <c r="C224" s="499" t="s">
        <v>264</v>
      </c>
      <c r="D224" s="499" t="s">
        <v>118</v>
      </c>
      <c r="E224" s="499" t="s">
        <v>275</v>
      </c>
      <c r="F224" s="499"/>
      <c r="G224" s="10">
        <f>'пр.6.1.ведом.22-23 (2)'!G574</f>
        <v>0</v>
      </c>
      <c r="H224" s="10">
        <f>'пр.6.1.ведом.22-23 (2)'!H574</f>
        <v>0</v>
      </c>
    </row>
    <row r="225" spans="1:8" ht="31.5" hidden="1" x14ac:dyDescent="0.25">
      <c r="A225" s="29" t="s">
        <v>403</v>
      </c>
      <c r="B225" s="492" t="s">
        <v>1319</v>
      </c>
      <c r="C225" s="499" t="s">
        <v>264</v>
      </c>
      <c r="D225" s="499" t="s">
        <v>118</v>
      </c>
      <c r="E225" s="499" t="s">
        <v>275</v>
      </c>
      <c r="F225" s="499" t="s">
        <v>636</v>
      </c>
      <c r="G225" s="10">
        <f>G224</f>
        <v>0</v>
      </c>
      <c r="H225" s="10">
        <f>H224</f>
        <v>0</v>
      </c>
    </row>
    <row r="226" spans="1:8" ht="47.25" x14ac:dyDescent="0.25">
      <c r="A226" s="29" t="s">
        <v>415</v>
      </c>
      <c r="B226" s="492" t="s">
        <v>1238</v>
      </c>
      <c r="C226" s="499" t="s">
        <v>264</v>
      </c>
      <c r="D226" s="499" t="s">
        <v>118</v>
      </c>
      <c r="E226" s="499"/>
      <c r="F226" s="499"/>
      <c r="G226" s="10">
        <f t="shared" ref="G226:H227" si="24">G227</f>
        <v>4430</v>
      </c>
      <c r="H226" s="10">
        <f t="shared" si="24"/>
        <v>4430</v>
      </c>
    </row>
    <row r="227" spans="1:8" ht="47.25" x14ac:dyDescent="0.25">
      <c r="A227" s="29" t="s">
        <v>272</v>
      </c>
      <c r="B227" s="492" t="s">
        <v>1238</v>
      </c>
      <c r="C227" s="499" t="s">
        <v>264</v>
      </c>
      <c r="D227" s="499" t="s">
        <v>118</v>
      </c>
      <c r="E227" s="499" t="s">
        <v>273</v>
      </c>
      <c r="F227" s="499"/>
      <c r="G227" s="10">
        <f t="shared" si="24"/>
        <v>4430</v>
      </c>
      <c r="H227" s="10">
        <f t="shared" si="24"/>
        <v>4430</v>
      </c>
    </row>
    <row r="228" spans="1:8" ht="15.75" x14ac:dyDescent="0.25">
      <c r="A228" s="29" t="s">
        <v>274</v>
      </c>
      <c r="B228" s="492" t="s">
        <v>1238</v>
      </c>
      <c r="C228" s="499" t="s">
        <v>264</v>
      </c>
      <c r="D228" s="499" t="s">
        <v>118</v>
      </c>
      <c r="E228" s="499" t="s">
        <v>275</v>
      </c>
      <c r="F228" s="499"/>
      <c r="G228" s="489">
        <f>'пр.6.1.ведом.22-23 (2)'!G577</f>
        <v>4430</v>
      </c>
      <c r="H228" s="489">
        <f>'пр.6.1.ведом.22-23 (2)'!H577</f>
        <v>4430</v>
      </c>
    </row>
    <row r="229" spans="1:8" ht="31.5" x14ac:dyDescent="0.25">
      <c r="A229" s="29" t="s">
        <v>403</v>
      </c>
      <c r="B229" s="492" t="s">
        <v>1238</v>
      </c>
      <c r="C229" s="499" t="s">
        <v>264</v>
      </c>
      <c r="D229" s="499" t="s">
        <v>118</v>
      </c>
      <c r="E229" s="499" t="s">
        <v>275</v>
      </c>
      <c r="F229" s="499" t="s">
        <v>636</v>
      </c>
      <c r="G229" s="10">
        <f>G228</f>
        <v>4430</v>
      </c>
      <c r="H229" s="10">
        <f>H228</f>
        <v>4430</v>
      </c>
    </row>
    <row r="230" spans="1:8" ht="15.75" x14ac:dyDescent="0.25">
      <c r="A230" s="29" t="s">
        <v>263</v>
      </c>
      <c r="B230" s="499" t="s">
        <v>1237</v>
      </c>
      <c r="C230" s="499" t="s">
        <v>264</v>
      </c>
      <c r="D230" s="499"/>
      <c r="E230" s="499"/>
      <c r="F230" s="499"/>
      <c r="G230" s="10">
        <f t="shared" ref="G230:H230" si="25">G231</f>
        <v>224</v>
      </c>
      <c r="H230" s="10">
        <f t="shared" si="25"/>
        <v>224</v>
      </c>
    </row>
    <row r="231" spans="1:8" ht="15.75" x14ac:dyDescent="0.25">
      <c r="A231" s="29" t="s">
        <v>425</v>
      </c>
      <c r="B231" s="499" t="s">
        <v>1237</v>
      </c>
      <c r="C231" s="499" t="s">
        <v>264</v>
      </c>
      <c r="D231" s="499" t="s">
        <v>213</v>
      </c>
      <c r="E231" s="499"/>
      <c r="F231" s="499"/>
      <c r="G231" s="10">
        <f>G232+G236+G240+G244</f>
        <v>224</v>
      </c>
      <c r="H231" s="10">
        <f>H232+H236+H240+H244</f>
        <v>224</v>
      </c>
    </row>
    <row r="232" spans="1:8" ht="47.25" hidden="1" x14ac:dyDescent="0.25">
      <c r="A232" s="496" t="s">
        <v>789</v>
      </c>
      <c r="B232" s="492" t="s">
        <v>1317</v>
      </c>
      <c r="C232" s="499" t="s">
        <v>264</v>
      </c>
      <c r="D232" s="499" t="s">
        <v>213</v>
      </c>
      <c r="E232" s="499"/>
      <c r="F232" s="499"/>
      <c r="G232" s="489">
        <f>G233</f>
        <v>0</v>
      </c>
      <c r="H232" s="489">
        <f>H233</f>
        <v>0</v>
      </c>
    </row>
    <row r="233" spans="1:8" ht="47.25" hidden="1" x14ac:dyDescent="0.25">
      <c r="A233" s="496" t="s">
        <v>272</v>
      </c>
      <c r="B233" s="492" t="s">
        <v>1317</v>
      </c>
      <c r="C233" s="499" t="s">
        <v>264</v>
      </c>
      <c r="D233" s="499" t="s">
        <v>213</v>
      </c>
      <c r="E233" s="499" t="s">
        <v>273</v>
      </c>
      <c r="F233" s="499"/>
      <c r="G233" s="489">
        <f>G234</f>
        <v>0</v>
      </c>
      <c r="H233" s="489">
        <f>H234</f>
        <v>0</v>
      </c>
    </row>
    <row r="234" spans="1:8" ht="15.75" hidden="1" x14ac:dyDescent="0.25">
      <c r="A234" s="496" t="s">
        <v>274</v>
      </c>
      <c r="B234" s="492" t="s">
        <v>1317</v>
      </c>
      <c r="C234" s="499" t="s">
        <v>264</v>
      </c>
      <c r="D234" s="499" t="s">
        <v>213</v>
      </c>
      <c r="E234" s="499" t="s">
        <v>275</v>
      </c>
      <c r="F234" s="499"/>
      <c r="G234" s="489">
        <f>'пр.6.1.ведом.22-23 (2)'!G637</f>
        <v>0</v>
      </c>
      <c r="H234" s="489">
        <f>'пр.6.1.ведом.22-23 (2)'!H637</f>
        <v>0</v>
      </c>
    </row>
    <row r="235" spans="1:8" ht="31.5" hidden="1" x14ac:dyDescent="0.25">
      <c r="A235" s="29" t="s">
        <v>403</v>
      </c>
      <c r="B235" s="492" t="s">
        <v>1317</v>
      </c>
      <c r="C235" s="499" t="s">
        <v>264</v>
      </c>
      <c r="D235" s="499" t="s">
        <v>213</v>
      </c>
      <c r="E235" s="499" t="s">
        <v>275</v>
      </c>
      <c r="F235" s="499" t="s">
        <v>636</v>
      </c>
      <c r="G235" s="10">
        <f>G234</f>
        <v>0</v>
      </c>
      <c r="H235" s="10">
        <f>H234</f>
        <v>0</v>
      </c>
    </row>
    <row r="236" spans="1:8" ht="47.25" hidden="1" x14ac:dyDescent="0.25">
      <c r="A236" s="496" t="s">
        <v>278</v>
      </c>
      <c r="B236" s="492" t="s">
        <v>1318</v>
      </c>
      <c r="C236" s="499" t="s">
        <v>264</v>
      </c>
      <c r="D236" s="499" t="s">
        <v>213</v>
      </c>
      <c r="E236" s="499"/>
      <c r="F236" s="499"/>
      <c r="G236" s="489">
        <f t="shared" ref="G236:H237" si="26">G237</f>
        <v>0</v>
      </c>
      <c r="H236" s="489">
        <f t="shared" si="26"/>
        <v>0</v>
      </c>
    </row>
    <row r="237" spans="1:8" ht="47.25" hidden="1" x14ac:dyDescent="0.25">
      <c r="A237" s="496" t="s">
        <v>272</v>
      </c>
      <c r="B237" s="492" t="s">
        <v>1318</v>
      </c>
      <c r="C237" s="499" t="s">
        <v>264</v>
      </c>
      <c r="D237" s="499" t="s">
        <v>213</v>
      </c>
      <c r="E237" s="499" t="s">
        <v>273</v>
      </c>
      <c r="F237" s="499"/>
      <c r="G237" s="489">
        <f t="shared" si="26"/>
        <v>0</v>
      </c>
      <c r="H237" s="489">
        <f t="shared" si="26"/>
        <v>0</v>
      </c>
    </row>
    <row r="238" spans="1:8" ht="15.75" hidden="1" x14ac:dyDescent="0.25">
      <c r="A238" s="496" t="s">
        <v>274</v>
      </c>
      <c r="B238" s="492" t="s">
        <v>1318</v>
      </c>
      <c r="C238" s="499" t="s">
        <v>264</v>
      </c>
      <c r="D238" s="499" t="s">
        <v>213</v>
      </c>
      <c r="E238" s="499" t="s">
        <v>275</v>
      </c>
      <c r="F238" s="499"/>
      <c r="G238" s="489">
        <f>'пр.6.1.ведом.22-23 (2)'!G640</f>
        <v>0</v>
      </c>
      <c r="H238" s="489">
        <f>'пр.6.1.ведом.22-23 (2)'!H640</f>
        <v>0</v>
      </c>
    </row>
    <row r="239" spans="1:8" ht="31.5" hidden="1" x14ac:dyDescent="0.25">
      <c r="A239" s="29" t="s">
        <v>403</v>
      </c>
      <c r="B239" s="492" t="s">
        <v>1318</v>
      </c>
      <c r="C239" s="499" t="s">
        <v>264</v>
      </c>
      <c r="D239" s="499" t="s">
        <v>213</v>
      </c>
      <c r="E239" s="499" t="s">
        <v>275</v>
      </c>
      <c r="F239" s="499" t="s">
        <v>636</v>
      </c>
      <c r="G239" s="10">
        <f>G238</f>
        <v>0</v>
      </c>
      <c r="H239" s="10">
        <f>H238</f>
        <v>0</v>
      </c>
    </row>
    <row r="240" spans="1:8" ht="31.5" hidden="1" x14ac:dyDescent="0.25">
      <c r="A240" s="496" t="s">
        <v>280</v>
      </c>
      <c r="B240" s="492" t="s">
        <v>1319</v>
      </c>
      <c r="C240" s="499" t="s">
        <v>264</v>
      </c>
      <c r="D240" s="499" t="s">
        <v>213</v>
      </c>
      <c r="E240" s="499"/>
      <c r="F240" s="499"/>
      <c r="G240" s="489">
        <f t="shared" ref="G240:H241" si="27">G241</f>
        <v>0</v>
      </c>
      <c r="H240" s="489">
        <f t="shared" si="27"/>
        <v>0</v>
      </c>
    </row>
    <row r="241" spans="1:8" ht="47.25" hidden="1" x14ac:dyDescent="0.25">
      <c r="A241" s="496" t="s">
        <v>272</v>
      </c>
      <c r="B241" s="492" t="s">
        <v>1319</v>
      </c>
      <c r="C241" s="499" t="s">
        <v>264</v>
      </c>
      <c r="D241" s="499" t="s">
        <v>213</v>
      </c>
      <c r="E241" s="499" t="s">
        <v>273</v>
      </c>
      <c r="F241" s="499"/>
      <c r="G241" s="489">
        <f t="shared" si="27"/>
        <v>0</v>
      </c>
      <c r="H241" s="489">
        <f t="shared" si="27"/>
        <v>0</v>
      </c>
    </row>
    <row r="242" spans="1:8" ht="15.75" hidden="1" x14ac:dyDescent="0.25">
      <c r="A242" s="496" t="s">
        <v>274</v>
      </c>
      <c r="B242" s="492" t="s">
        <v>1319</v>
      </c>
      <c r="C242" s="499" t="s">
        <v>264</v>
      </c>
      <c r="D242" s="499" t="s">
        <v>213</v>
      </c>
      <c r="E242" s="499" t="s">
        <v>275</v>
      </c>
      <c r="F242" s="499"/>
      <c r="G242" s="489">
        <f>'пр.6.1.ведом.22-23 (2)'!G643</f>
        <v>0</v>
      </c>
      <c r="H242" s="489">
        <f>'пр.6.1.ведом.22-23 (2)'!H643</f>
        <v>0</v>
      </c>
    </row>
    <row r="243" spans="1:8" ht="31.5" hidden="1" x14ac:dyDescent="0.25">
      <c r="A243" s="29" t="s">
        <v>403</v>
      </c>
      <c r="B243" s="492" t="s">
        <v>1319</v>
      </c>
      <c r="C243" s="499" t="s">
        <v>264</v>
      </c>
      <c r="D243" s="499" t="s">
        <v>213</v>
      </c>
      <c r="E243" s="499" t="s">
        <v>275</v>
      </c>
      <c r="F243" s="499" t="s">
        <v>636</v>
      </c>
      <c r="G243" s="10">
        <f>G242</f>
        <v>0</v>
      </c>
      <c r="H243" s="10">
        <f>H242</f>
        <v>0</v>
      </c>
    </row>
    <row r="244" spans="1:8" ht="47.25" x14ac:dyDescent="0.25">
      <c r="A244" s="29" t="s">
        <v>282</v>
      </c>
      <c r="B244" s="492" t="s">
        <v>1253</v>
      </c>
      <c r="C244" s="499" t="s">
        <v>264</v>
      </c>
      <c r="D244" s="499" t="s">
        <v>213</v>
      </c>
      <c r="E244" s="499"/>
      <c r="F244" s="499"/>
      <c r="G244" s="10">
        <f t="shared" ref="G244:H245" si="28">G245</f>
        <v>224</v>
      </c>
      <c r="H244" s="10">
        <f t="shared" si="28"/>
        <v>224</v>
      </c>
    </row>
    <row r="245" spans="1:8" ht="47.25" x14ac:dyDescent="0.25">
      <c r="A245" s="29" t="s">
        <v>272</v>
      </c>
      <c r="B245" s="492" t="s">
        <v>1253</v>
      </c>
      <c r="C245" s="499" t="s">
        <v>264</v>
      </c>
      <c r="D245" s="499" t="s">
        <v>213</v>
      </c>
      <c r="E245" s="499" t="s">
        <v>273</v>
      </c>
      <c r="F245" s="499"/>
      <c r="G245" s="10">
        <f t="shared" si="28"/>
        <v>224</v>
      </c>
      <c r="H245" s="10">
        <f t="shared" si="28"/>
        <v>224</v>
      </c>
    </row>
    <row r="246" spans="1:8" ht="15.75" x14ac:dyDescent="0.25">
      <c r="A246" s="29" t="s">
        <v>274</v>
      </c>
      <c r="B246" s="492" t="s">
        <v>1253</v>
      </c>
      <c r="C246" s="499" t="s">
        <v>264</v>
      </c>
      <c r="D246" s="499" t="s">
        <v>213</v>
      </c>
      <c r="E246" s="499" t="s">
        <v>275</v>
      </c>
      <c r="F246" s="499"/>
      <c r="G246" s="10">
        <f>'пр.6.1.ведом.22-23 (2)'!G646</f>
        <v>224</v>
      </c>
      <c r="H246" s="10">
        <f>'пр.6.1.ведом.22-23 (2)'!H646</f>
        <v>224</v>
      </c>
    </row>
    <row r="247" spans="1:8" ht="31.5" x14ac:dyDescent="0.25">
      <c r="A247" s="29" t="s">
        <v>403</v>
      </c>
      <c r="B247" s="492" t="s">
        <v>1253</v>
      </c>
      <c r="C247" s="499" t="s">
        <v>264</v>
      </c>
      <c r="D247" s="499" t="s">
        <v>213</v>
      </c>
      <c r="E247" s="499" t="s">
        <v>275</v>
      </c>
      <c r="F247" s="499" t="s">
        <v>636</v>
      </c>
      <c r="G247" s="10">
        <f>G246</f>
        <v>224</v>
      </c>
      <c r="H247" s="10">
        <f>H246</f>
        <v>224</v>
      </c>
    </row>
    <row r="248" spans="1:8" ht="31.5" x14ac:dyDescent="0.25">
      <c r="A248" s="494" t="s">
        <v>943</v>
      </c>
      <c r="B248" s="495" t="s">
        <v>1239</v>
      </c>
      <c r="C248" s="7"/>
      <c r="D248" s="7"/>
      <c r="E248" s="7"/>
      <c r="F248" s="7"/>
      <c r="G248" s="59">
        <f>G249</f>
        <v>5745.1</v>
      </c>
      <c r="H248" s="59">
        <f>H249</f>
        <v>5745.1</v>
      </c>
    </row>
    <row r="249" spans="1:8" ht="15.75" x14ac:dyDescent="0.25">
      <c r="A249" s="29" t="s">
        <v>263</v>
      </c>
      <c r="B249" s="492" t="s">
        <v>1239</v>
      </c>
      <c r="C249" s="499" t="s">
        <v>264</v>
      </c>
      <c r="D249" s="499"/>
      <c r="E249" s="499"/>
      <c r="F249" s="499"/>
      <c r="G249" s="10">
        <f t="shared" ref="G249:H252" si="29">G250</f>
        <v>5745.1</v>
      </c>
      <c r="H249" s="10">
        <f t="shared" si="29"/>
        <v>5745.1</v>
      </c>
    </row>
    <row r="250" spans="1:8" ht="22.7" customHeight="1" x14ac:dyDescent="0.25">
      <c r="A250" s="29" t="s">
        <v>466</v>
      </c>
      <c r="B250" s="492" t="s">
        <v>1239</v>
      </c>
      <c r="C250" s="499" t="s">
        <v>264</v>
      </c>
      <c r="D250" s="499" t="s">
        <v>264</v>
      </c>
      <c r="E250" s="499"/>
      <c r="F250" s="499"/>
      <c r="G250" s="10">
        <f>G251</f>
        <v>5745.1</v>
      </c>
      <c r="H250" s="10">
        <f>H251</f>
        <v>5745.1</v>
      </c>
    </row>
    <row r="251" spans="1:8" ht="47.25" x14ac:dyDescent="0.25">
      <c r="A251" s="31" t="s">
        <v>1059</v>
      </c>
      <c r="B251" s="492" t="s">
        <v>1261</v>
      </c>
      <c r="C251" s="499" t="s">
        <v>264</v>
      </c>
      <c r="D251" s="499" t="s">
        <v>264</v>
      </c>
      <c r="E251" s="499"/>
      <c r="F251" s="499"/>
      <c r="G251" s="10">
        <f t="shared" si="29"/>
        <v>5745.1</v>
      </c>
      <c r="H251" s="10">
        <f t="shared" si="29"/>
        <v>5745.1</v>
      </c>
    </row>
    <row r="252" spans="1:8" ht="47.25" x14ac:dyDescent="0.25">
      <c r="A252" s="496" t="s">
        <v>272</v>
      </c>
      <c r="B252" s="492" t="s">
        <v>1261</v>
      </c>
      <c r="C252" s="499" t="s">
        <v>264</v>
      </c>
      <c r="D252" s="499" t="s">
        <v>264</v>
      </c>
      <c r="E252" s="499" t="s">
        <v>273</v>
      </c>
      <c r="F252" s="499"/>
      <c r="G252" s="10">
        <f t="shared" si="29"/>
        <v>5745.1</v>
      </c>
      <c r="H252" s="10">
        <f t="shared" si="29"/>
        <v>5745.1</v>
      </c>
    </row>
    <row r="253" spans="1:8" ht="15.75" x14ac:dyDescent="0.25">
      <c r="A253" s="496" t="s">
        <v>274</v>
      </c>
      <c r="B253" s="492" t="s">
        <v>1261</v>
      </c>
      <c r="C253" s="499" t="s">
        <v>264</v>
      </c>
      <c r="D253" s="499" t="s">
        <v>264</v>
      </c>
      <c r="E253" s="499" t="s">
        <v>275</v>
      </c>
      <c r="F253" s="499"/>
      <c r="G253" s="10">
        <f>'пр.6.1.ведом.22-23 (2)'!G725</f>
        <v>5745.1</v>
      </c>
      <c r="H253" s="10">
        <f>'пр.6.1.ведом.22-23 (2)'!H725</f>
        <v>5745.1</v>
      </c>
    </row>
    <row r="254" spans="1:8" ht="31.5" x14ac:dyDescent="0.25">
      <c r="A254" s="29" t="s">
        <v>403</v>
      </c>
      <c r="B254" s="492" t="s">
        <v>1261</v>
      </c>
      <c r="C254" s="499" t="s">
        <v>264</v>
      </c>
      <c r="D254" s="499" t="s">
        <v>264</v>
      </c>
      <c r="E254" s="499" t="s">
        <v>275</v>
      </c>
      <c r="F254" s="499" t="s">
        <v>636</v>
      </c>
      <c r="G254" s="10">
        <f>G253</f>
        <v>5745.1</v>
      </c>
      <c r="H254" s="10">
        <f>H253</f>
        <v>5745.1</v>
      </c>
    </row>
    <row r="255" spans="1:8" ht="47.25" x14ac:dyDescent="0.25">
      <c r="A255" s="219" t="s">
        <v>948</v>
      </c>
      <c r="B255" s="495" t="s">
        <v>1240</v>
      </c>
      <c r="C255" s="7"/>
      <c r="D255" s="7"/>
      <c r="E255" s="7"/>
      <c r="F255" s="7"/>
      <c r="G255" s="488">
        <f>G256</f>
        <v>9300</v>
      </c>
      <c r="H255" s="488">
        <f>H256</f>
        <v>9300</v>
      </c>
    </row>
    <row r="256" spans="1:8" ht="15.75" x14ac:dyDescent="0.25">
      <c r="A256" s="29" t="s">
        <v>263</v>
      </c>
      <c r="B256" s="492" t="s">
        <v>1240</v>
      </c>
      <c r="C256" s="499" t="s">
        <v>264</v>
      </c>
      <c r="D256" s="499"/>
      <c r="E256" s="499"/>
      <c r="F256" s="499"/>
      <c r="G256" s="10">
        <f>G257+G270+G279</f>
        <v>9300</v>
      </c>
      <c r="H256" s="10">
        <f>H257+H270+H279</f>
        <v>9300</v>
      </c>
    </row>
    <row r="257" spans="1:8" ht="15.75" x14ac:dyDescent="0.25">
      <c r="A257" s="45" t="s">
        <v>404</v>
      </c>
      <c r="B257" s="492" t="s">
        <v>1240</v>
      </c>
      <c r="C257" s="499" t="s">
        <v>264</v>
      </c>
      <c r="D257" s="499" t="s">
        <v>118</v>
      </c>
      <c r="E257" s="499"/>
      <c r="F257" s="499"/>
      <c r="G257" s="10">
        <f>G258+G262+G266</f>
        <v>4848</v>
      </c>
      <c r="H257" s="10">
        <f>H258+H262+H266</f>
        <v>4848</v>
      </c>
    </row>
    <row r="258" spans="1:8" ht="31.5" hidden="1" x14ac:dyDescent="0.25">
      <c r="A258" s="29" t="s">
        <v>284</v>
      </c>
      <c r="B258" s="492" t="s">
        <v>1258</v>
      </c>
      <c r="C258" s="499" t="s">
        <v>264</v>
      </c>
      <c r="D258" s="499" t="s">
        <v>118</v>
      </c>
      <c r="E258" s="499"/>
      <c r="F258" s="499"/>
      <c r="G258" s="10">
        <f t="shared" ref="G258:H259" si="30">G259</f>
        <v>0</v>
      </c>
      <c r="H258" s="10">
        <f t="shared" si="30"/>
        <v>0</v>
      </c>
    </row>
    <row r="259" spans="1:8" ht="47.25" hidden="1" x14ac:dyDescent="0.25">
      <c r="A259" s="29" t="s">
        <v>272</v>
      </c>
      <c r="B259" s="492" t="s">
        <v>1258</v>
      </c>
      <c r="C259" s="499" t="s">
        <v>264</v>
      </c>
      <c r="D259" s="499" t="s">
        <v>118</v>
      </c>
      <c r="E259" s="499" t="s">
        <v>273</v>
      </c>
      <c r="F259" s="499"/>
      <c r="G259" s="10">
        <f t="shared" si="30"/>
        <v>0</v>
      </c>
      <c r="H259" s="10">
        <f t="shared" si="30"/>
        <v>0</v>
      </c>
    </row>
    <row r="260" spans="1:8" ht="15.75" hidden="1" x14ac:dyDescent="0.25">
      <c r="A260" s="29" t="s">
        <v>274</v>
      </c>
      <c r="B260" s="492" t="s">
        <v>1258</v>
      </c>
      <c r="C260" s="499" t="s">
        <v>264</v>
      </c>
      <c r="D260" s="499" t="s">
        <v>118</v>
      </c>
      <c r="E260" s="499" t="s">
        <v>275</v>
      </c>
      <c r="F260" s="499"/>
      <c r="G260" s="10">
        <f>'пр.6.1.ведом.22-23 (2)'!G581</f>
        <v>0</v>
      </c>
      <c r="H260" s="10">
        <f>'пр.6.1.ведом.22-23 (2)'!H581</f>
        <v>0</v>
      </c>
    </row>
    <row r="261" spans="1:8" ht="31.5" hidden="1" x14ac:dyDescent="0.25">
      <c r="A261" s="29" t="s">
        <v>403</v>
      </c>
      <c r="B261" s="492" t="s">
        <v>1258</v>
      </c>
      <c r="C261" s="499" t="s">
        <v>264</v>
      </c>
      <c r="D261" s="499" t="s">
        <v>118</v>
      </c>
      <c r="E261" s="499" t="s">
        <v>275</v>
      </c>
      <c r="F261" s="499" t="s">
        <v>636</v>
      </c>
      <c r="G261" s="10">
        <f>G260</f>
        <v>0</v>
      </c>
      <c r="H261" s="10">
        <f>H260</f>
        <v>0</v>
      </c>
    </row>
    <row r="262" spans="1:8" ht="47.25" x14ac:dyDescent="0.25">
      <c r="A262" s="60" t="s">
        <v>764</v>
      </c>
      <c r="B262" s="492" t="s">
        <v>1241</v>
      </c>
      <c r="C262" s="492" t="s">
        <v>264</v>
      </c>
      <c r="D262" s="492" t="s">
        <v>118</v>
      </c>
      <c r="E262" s="492"/>
      <c r="F262" s="492"/>
      <c r="G262" s="10">
        <f t="shared" ref="G262:H263" si="31">G263</f>
        <v>3088</v>
      </c>
      <c r="H262" s="10">
        <f t="shared" si="31"/>
        <v>3088</v>
      </c>
    </row>
    <row r="263" spans="1:8" ht="47.25" x14ac:dyDescent="0.25">
      <c r="A263" s="29" t="s">
        <v>272</v>
      </c>
      <c r="B263" s="492" t="s">
        <v>1241</v>
      </c>
      <c r="C263" s="492" t="s">
        <v>264</v>
      </c>
      <c r="D263" s="492" t="s">
        <v>118</v>
      </c>
      <c r="E263" s="492" t="s">
        <v>273</v>
      </c>
      <c r="F263" s="492"/>
      <c r="G263" s="10">
        <f t="shared" si="31"/>
        <v>3088</v>
      </c>
      <c r="H263" s="10">
        <f t="shared" si="31"/>
        <v>3088</v>
      </c>
    </row>
    <row r="264" spans="1:8" ht="15.75" x14ac:dyDescent="0.25">
      <c r="A264" s="182" t="s">
        <v>274</v>
      </c>
      <c r="B264" s="492" t="s">
        <v>1241</v>
      </c>
      <c r="C264" s="492" t="s">
        <v>264</v>
      </c>
      <c r="D264" s="492" t="s">
        <v>118</v>
      </c>
      <c r="E264" s="492" t="s">
        <v>275</v>
      </c>
      <c r="F264" s="492"/>
      <c r="G264" s="10">
        <f>'пр.6.1.ведом.22-23 (2)'!G584</f>
        <v>3088</v>
      </c>
      <c r="H264" s="10">
        <f>'пр.6.1.ведом.22-23 (2)'!H584</f>
        <v>3088</v>
      </c>
    </row>
    <row r="265" spans="1:8" ht="31.5" x14ac:dyDescent="0.25">
      <c r="A265" s="29" t="s">
        <v>403</v>
      </c>
      <c r="B265" s="492" t="s">
        <v>1241</v>
      </c>
      <c r="C265" s="499" t="s">
        <v>264</v>
      </c>
      <c r="D265" s="499" t="s">
        <v>118</v>
      </c>
      <c r="E265" s="499" t="s">
        <v>275</v>
      </c>
      <c r="F265" s="499" t="s">
        <v>636</v>
      </c>
      <c r="G265" s="10">
        <f>G264</f>
        <v>3088</v>
      </c>
      <c r="H265" s="10">
        <f>H264</f>
        <v>3088</v>
      </c>
    </row>
    <row r="266" spans="1:8" ht="63" x14ac:dyDescent="0.25">
      <c r="A266" s="60" t="s">
        <v>765</v>
      </c>
      <c r="B266" s="492" t="s">
        <v>1242</v>
      </c>
      <c r="C266" s="492" t="s">
        <v>264</v>
      </c>
      <c r="D266" s="492" t="s">
        <v>118</v>
      </c>
      <c r="E266" s="492"/>
      <c r="F266" s="492"/>
      <c r="G266" s="10">
        <f t="shared" ref="G266:H267" si="32">G267</f>
        <v>1760</v>
      </c>
      <c r="H266" s="10">
        <f t="shared" si="32"/>
        <v>1760</v>
      </c>
    </row>
    <row r="267" spans="1:8" ht="47.25" x14ac:dyDescent="0.25">
      <c r="A267" s="29" t="s">
        <v>272</v>
      </c>
      <c r="B267" s="492" t="s">
        <v>1242</v>
      </c>
      <c r="C267" s="492" t="s">
        <v>264</v>
      </c>
      <c r="D267" s="492" t="s">
        <v>118</v>
      </c>
      <c r="E267" s="492" t="s">
        <v>273</v>
      </c>
      <c r="F267" s="492"/>
      <c r="G267" s="10">
        <f t="shared" si="32"/>
        <v>1760</v>
      </c>
      <c r="H267" s="10">
        <f t="shared" si="32"/>
        <v>1760</v>
      </c>
    </row>
    <row r="268" spans="1:8" ht="15.75" x14ac:dyDescent="0.25">
      <c r="A268" s="182" t="s">
        <v>274</v>
      </c>
      <c r="B268" s="492" t="s">
        <v>1242</v>
      </c>
      <c r="C268" s="492" t="s">
        <v>264</v>
      </c>
      <c r="D268" s="492" t="s">
        <v>118</v>
      </c>
      <c r="E268" s="492" t="s">
        <v>275</v>
      </c>
      <c r="F268" s="492"/>
      <c r="G268" s="10">
        <f>'пр.6.1.ведом.22-23 (2)'!G587</f>
        <v>1760</v>
      </c>
      <c r="H268" s="10">
        <f>'пр.6.1.ведом.22-23 (2)'!H587</f>
        <v>1760</v>
      </c>
    </row>
    <row r="269" spans="1:8" ht="31.5" x14ac:dyDescent="0.25">
      <c r="A269" s="29" t="s">
        <v>403</v>
      </c>
      <c r="B269" s="492" t="s">
        <v>1242</v>
      </c>
      <c r="C269" s="499" t="s">
        <v>264</v>
      </c>
      <c r="D269" s="499" t="s">
        <v>118</v>
      </c>
      <c r="E269" s="499" t="s">
        <v>275</v>
      </c>
      <c r="F269" s="499" t="s">
        <v>636</v>
      </c>
      <c r="G269" s="10">
        <f>G268</f>
        <v>1760</v>
      </c>
      <c r="H269" s="10">
        <f>'пр.6.1.ведом.22-23 (2)'!H587</f>
        <v>1760</v>
      </c>
    </row>
    <row r="270" spans="1:8" ht="15.75" x14ac:dyDescent="0.25">
      <c r="A270" s="29" t="s">
        <v>425</v>
      </c>
      <c r="B270" s="499" t="s">
        <v>1240</v>
      </c>
      <c r="C270" s="499" t="s">
        <v>264</v>
      </c>
      <c r="D270" s="499" t="s">
        <v>213</v>
      </c>
      <c r="E270" s="499"/>
      <c r="F270" s="499"/>
      <c r="G270" s="10">
        <f>G271+G275</f>
        <v>2888</v>
      </c>
      <c r="H270" s="10">
        <f>H271+H275</f>
        <v>2888</v>
      </c>
    </row>
    <row r="271" spans="1:8" ht="31.5" hidden="1" x14ac:dyDescent="0.25">
      <c r="A271" s="29" t="s">
        <v>284</v>
      </c>
      <c r="B271" s="492" t="s">
        <v>1258</v>
      </c>
      <c r="C271" s="499" t="s">
        <v>264</v>
      </c>
      <c r="D271" s="499" t="s">
        <v>213</v>
      </c>
      <c r="E271" s="499"/>
      <c r="F271" s="499"/>
      <c r="G271" s="10">
        <f t="shared" ref="G271:H272" si="33">G272</f>
        <v>0</v>
      </c>
      <c r="H271" s="10">
        <f t="shared" si="33"/>
        <v>0</v>
      </c>
    </row>
    <row r="272" spans="1:8" ht="47.25" hidden="1" x14ac:dyDescent="0.25">
      <c r="A272" s="29" t="s">
        <v>272</v>
      </c>
      <c r="B272" s="492" t="s">
        <v>1258</v>
      </c>
      <c r="C272" s="499" t="s">
        <v>264</v>
      </c>
      <c r="D272" s="499" t="s">
        <v>213</v>
      </c>
      <c r="E272" s="499" t="s">
        <v>273</v>
      </c>
      <c r="F272" s="499"/>
      <c r="G272" s="10">
        <f t="shared" si="33"/>
        <v>0</v>
      </c>
      <c r="H272" s="10">
        <f t="shared" si="33"/>
        <v>0</v>
      </c>
    </row>
    <row r="273" spans="1:8" ht="15.75" hidden="1" x14ac:dyDescent="0.25">
      <c r="A273" s="29" t="s">
        <v>274</v>
      </c>
      <c r="B273" s="492" t="s">
        <v>1258</v>
      </c>
      <c r="C273" s="499" t="s">
        <v>264</v>
      </c>
      <c r="D273" s="499" t="s">
        <v>213</v>
      </c>
      <c r="E273" s="499" t="s">
        <v>275</v>
      </c>
      <c r="F273" s="499"/>
      <c r="G273" s="10">
        <f>'пр.6.1.ведом.22-23 (2)'!G650</f>
        <v>0</v>
      </c>
      <c r="H273" s="10">
        <f>'пр.6.1.ведом.22-23 (2)'!H650</f>
        <v>0</v>
      </c>
    </row>
    <row r="274" spans="1:8" ht="31.5" hidden="1" x14ac:dyDescent="0.25">
      <c r="A274" s="29" t="s">
        <v>403</v>
      </c>
      <c r="B274" s="492" t="s">
        <v>1258</v>
      </c>
      <c r="C274" s="499" t="s">
        <v>264</v>
      </c>
      <c r="D274" s="499" t="s">
        <v>213</v>
      </c>
      <c r="E274" s="499" t="s">
        <v>275</v>
      </c>
      <c r="F274" s="499" t="s">
        <v>636</v>
      </c>
      <c r="G274" s="10">
        <f>G273</f>
        <v>0</v>
      </c>
      <c r="H274" s="10">
        <f>H273</f>
        <v>0</v>
      </c>
    </row>
    <row r="275" spans="1:8" ht="47.25" x14ac:dyDescent="0.25">
      <c r="A275" s="60" t="s">
        <v>764</v>
      </c>
      <c r="B275" s="492" t="s">
        <v>1241</v>
      </c>
      <c r="C275" s="499" t="s">
        <v>264</v>
      </c>
      <c r="D275" s="499" t="s">
        <v>213</v>
      </c>
      <c r="E275" s="499"/>
      <c r="F275" s="499"/>
      <c r="G275" s="10">
        <f t="shared" ref="G275:H276" si="34">G276</f>
        <v>2888</v>
      </c>
      <c r="H275" s="10">
        <f t="shared" si="34"/>
        <v>2888</v>
      </c>
    </row>
    <row r="276" spans="1:8" ht="47.25" x14ac:dyDescent="0.25">
      <c r="A276" s="29" t="s">
        <v>272</v>
      </c>
      <c r="B276" s="492" t="s">
        <v>1241</v>
      </c>
      <c r="C276" s="499" t="s">
        <v>264</v>
      </c>
      <c r="D276" s="499" t="s">
        <v>213</v>
      </c>
      <c r="E276" s="499" t="s">
        <v>273</v>
      </c>
      <c r="F276" s="499"/>
      <c r="G276" s="10">
        <f t="shared" si="34"/>
        <v>2888</v>
      </c>
      <c r="H276" s="10">
        <f t="shared" si="34"/>
        <v>2888</v>
      </c>
    </row>
    <row r="277" spans="1:8" ht="15.75" x14ac:dyDescent="0.25">
      <c r="A277" s="182" t="s">
        <v>274</v>
      </c>
      <c r="B277" s="492" t="s">
        <v>1241</v>
      </c>
      <c r="C277" s="499" t="s">
        <v>264</v>
      </c>
      <c r="D277" s="499" t="s">
        <v>213</v>
      </c>
      <c r="E277" s="499" t="s">
        <v>275</v>
      </c>
      <c r="F277" s="499"/>
      <c r="G277" s="10">
        <f>'пр.6.1.ведом.22-23 (2)'!G653</f>
        <v>2888</v>
      </c>
      <c r="H277" s="10">
        <f>'пр.6.1.ведом.22-23 (2)'!H653</f>
        <v>2888</v>
      </c>
    </row>
    <row r="278" spans="1:8" ht="31.5" x14ac:dyDescent="0.25">
      <c r="A278" s="29" t="s">
        <v>403</v>
      </c>
      <c r="B278" s="492" t="s">
        <v>1241</v>
      </c>
      <c r="C278" s="499" t="s">
        <v>264</v>
      </c>
      <c r="D278" s="499" t="s">
        <v>213</v>
      </c>
      <c r="E278" s="499" t="s">
        <v>275</v>
      </c>
      <c r="F278" s="499" t="s">
        <v>636</v>
      </c>
      <c r="G278" s="10">
        <f>G277</f>
        <v>2888</v>
      </c>
      <c r="H278" s="10">
        <f>H277</f>
        <v>2888</v>
      </c>
    </row>
    <row r="279" spans="1:8" ht="15.75" x14ac:dyDescent="0.25">
      <c r="A279" s="29" t="s">
        <v>265</v>
      </c>
      <c r="B279" s="499" t="s">
        <v>1240</v>
      </c>
      <c r="C279" s="499" t="s">
        <v>264</v>
      </c>
      <c r="D279" s="499" t="s">
        <v>215</v>
      </c>
      <c r="E279" s="499"/>
      <c r="F279" s="499"/>
      <c r="G279" s="10">
        <f>G280</f>
        <v>1564</v>
      </c>
      <c r="H279" s="10">
        <f>H280</f>
        <v>1564</v>
      </c>
    </row>
    <row r="280" spans="1:8" ht="47.25" x14ac:dyDescent="0.25">
      <c r="A280" s="45" t="s">
        <v>764</v>
      </c>
      <c r="B280" s="492" t="s">
        <v>1241</v>
      </c>
      <c r="C280" s="492" t="s">
        <v>264</v>
      </c>
      <c r="D280" s="492" t="s">
        <v>215</v>
      </c>
      <c r="E280" s="492"/>
      <c r="F280" s="492"/>
      <c r="G280" s="10">
        <f t="shared" ref="G280:H281" si="35">G281</f>
        <v>1564</v>
      </c>
      <c r="H280" s="10">
        <f t="shared" si="35"/>
        <v>1564</v>
      </c>
    </row>
    <row r="281" spans="1:8" ht="47.25" x14ac:dyDescent="0.25">
      <c r="A281" s="29" t="s">
        <v>272</v>
      </c>
      <c r="B281" s="492" t="s">
        <v>1241</v>
      </c>
      <c r="C281" s="492" t="s">
        <v>264</v>
      </c>
      <c r="D281" s="492" t="s">
        <v>215</v>
      </c>
      <c r="E281" s="492" t="s">
        <v>273</v>
      </c>
      <c r="F281" s="492"/>
      <c r="G281" s="10">
        <f t="shared" si="35"/>
        <v>1564</v>
      </c>
      <c r="H281" s="10">
        <f t="shared" si="35"/>
        <v>1564</v>
      </c>
    </row>
    <row r="282" spans="1:8" ht="15.75" x14ac:dyDescent="0.25">
      <c r="A282" s="31" t="s">
        <v>274</v>
      </c>
      <c r="B282" s="492" t="s">
        <v>1241</v>
      </c>
      <c r="C282" s="492" t="s">
        <v>264</v>
      </c>
      <c r="D282" s="492" t="s">
        <v>215</v>
      </c>
      <c r="E282" s="492" t="s">
        <v>275</v>
      </c>
      <c r="F282" s="492"/>
      <c r="G282" s="10">
        <f>'пр.6.1.ведом.22-23 (2)'!G714</f>
        <v>1564</v>
      </c>
      <c r="H282" s="10">
        <f>'пр.6.1.ведом.22-23 (2)'!H714</f>
        <v>1564</v>
      </c>
    </row>
    <row r="283" spans="1:8" ht="31.5" x14ac:dyDescent="0.25">
      <c r="A283" s="29" t="s">
        <v>403</v>
      </c>
      <c r="B283" s="492" t="s">
        <v>1241</v>
      </c>
      <c r="C283" s="499" t="s">
        <v>264</v>
      </c>
      <c r="D283" s="499" t="s">
        <v>215</v>
      </c>
      <c r="E283" s="499" t="s">
        <v>275</v>
      </c>
      <c r="F283" s="499" t="s">
        <v>636</v>
      </c>
      <c r="G283" s="10">
        <f>G282</f>
        <v>1564</v>
      </c>
      <c r="H283" s="10">
        <f>H282</f>
        <v>1564</v>
      </c>
    </row>
    <row r="284" spans="1:8" ht="78.75" x14ac:dyDescent="0.25">
      <c r="A284" s="494" t="s">
        <v>933</v>
      </c>
      <c r="B284" s="495" t="s">
        <v>1243</v>
      </c>
      <c r="C284" s="495"/>
      <c r="D284" s="495"/>
      <c r="E284" s="495"/>
      <c r="F284" s="495"/>
      <c r="G284" s="59">
        <f>G285</f>
        <v>297.70000000000005</v>
      </c>
      <c r="H284" s="59">
        <f>H285</f>
        <v>297.70000000000005</v>
      </c>
    </row>
    <row r="285" spans="1:8" ht="15.75" x14ac:dyDescent="0.25">
      <c r="A285" s="29" t="s">
        <v>263</v>
      </c>
      <c r="B285" s="492" t="s">
        <v>1243</v>
      </c>
      <c r="C285" s="499" t="s">
        <v>264</v>
      </c>
      <c r="D285" s="499"/>
      <c r="E285" s="499"/>
      <c r="F285" s="499"/>
      <c r="G285" s="10">
        <f t="shared" ref="G285:H288" si="36">G286</f>
        <v>297.70000000000005</v>
      </c>
      <c r="H285" s="10">
        <f t="shared" si="36"/>
        <v>297.70000000000005</v>
      </c>
    </row>
    <row r="286" spans="1:8" ht="15.75" x14ac:dyDescent="0.25">
      <c r="A286" s="45" t="s">
        <v>404</v>
      </c>
      <c r="B286" s="492" t="s">
        <v>1243</v>
      </c>
      <c r="C286" s="499" t="s">
        <v>264</v>
      </c>
      <c r="D286" s="499" t="s">
        <v>118</v>
      </c>
      <c r="E286" s="499"/>
      <c r="F286" s="499"/>
      <c r="G286" s="10">
        <f t="shared" si="36"/>
        <v>297.70000000000005</v>
      </c>
      <c r="H286" s="10">
        <f t="shared" si="36"/>
        <v>297.70000000000005</v>
      </c>
    </row>
    <row r="287" spans="1:8" ht="126" x14ac:dyDescent="0.25">
      <c r="A287" s="496" t="s">
        <v>1506</v>
      </c>
      <c r="B287" s="492" t="s">
        <v>1244</v>
      </c>
      <c r="C287" s="492" t="s">
        <v>264</v>
      </c>
      <c r="D287" s="492" t="s">
        <v>118</v>
      </c>
      <c r="E287" s="492"/>
      <c r="F287" s="492"/>
      <c r="G287" s="10">
        <f t="shared" si="36"/>
        <v>297.70000000000005</v>
      </c>
      <c r="H287" s="10">
        <f t="shared" si="36"/>
        <v>297.70000000000005</v>
      </c>
    </row>
    <row r="288" spans="1:8" ht="47.25" x14ac:dyDescent="0.25">
      <c r="A288" s="496" t="s">
        <v>272</v>
      </c>
      <c r="B288" s="492" t="s">
        <v>1244</v>
      </c>
      <c r="C288" s="492" t="s">
        <v>264</v>
      </c>
      <c r="D288" s="492" t="s">
        <v>118</v>
      </c>
      <c r="E288" s="492" t="s">
        <v>273</v>
      </c>
      <c r="F288" s="492"/>
      <c r="G288" s="10">
        <f t="shared" si="36"/>
        <v>297.70000000000005</v>
      </c>
      <c r="H288" s="10">
        <f t="shared" si="36"/>
        <v>297.70000000000005</v>
      </c>
    </row>
    <row r="289" spans="1:8" ht="15.75" x14ac:dyDescent="0.25">
      <c r="A289" s="496" t="s">
        <v>274</v>
      </c>
      <c r="B289" s="492" t="s">
        <v>1244</v>
      </c>
      <c r="C289" s="492" t="s">
        <v>264</v>
      </c>
      <c r="D289" s="492" t="s">
        <v>118</v>
      </c>
      <c r="E289" s="492" t="s">
        <v>275</v>
      </c>
      <c r="F289" s="492"/>
      <c r="G289" s="10">
        <f>'пр.6.1.ведом.22-23 (2)'!G591</f>
        <v>297.70000000000005</v>
      </c>
      <c r="H289" s="10">
        <f>'пр.6.1.ведом.22-23 (2)'!H591</f>
        <v>297.70000000000005</v>
      </c>
    </row>
    <row r="290" spans="1:8" ht="31.5" x14ac:dyDescent="0.25">
      <c r="A290" s="29" t="s">
        <v>403</v>
      </c>
      <c r="B290" s="492" t="s">
        <v>1244</v>
      </c>
      <c r="C290" s="499" t="s">
        <v>264</v>
      </c>
      <c r="D290" s="499" t="s">
        <v>118</v>
      </c>
      <c r="E290" s="499" t="s">
        <v>275</v>
      </c>
      <c r="F290" s="499" t="s">
        <v>636</v>
      </c>
      <c r="G290" s="10">
        <f>G289</f>
        <v>297.70000000000005</v>
      </c>
      <c r="H290" s="10">
        <f>H289</f>
        <v>297.70000000000005</v>
      </c>
    </row>
    <row r="291" spans="1:8" ht="47.25" x14ac:dyDescent="0.25">
      <c r="A291" s="494" t="s">
        <v>938</v>
      </c>
      <c r="B291" s="495" t="s">
        <v>1254</v>
      </c>
      <c r="C291" s="7"/>
      <c r="D291" s="7"/>
      <c r="E291" s="7"/>
      <c r="F291" s="7"/>
      <c r="G291" s="59">
        <f>G292</f>
        <v>3931.8</v>
      </c>
      <c r="H291" s="59">
        <f>H292</f>
        <v>3865.2</v>
      </c>
    </row>
    <row r="292" spans="1:8" ht="15.75" x14ac:dyDescent="0.25">
      <c r="A292" s="29" t="s">
        <v>263</v>
      </c>
      <c r="B292" s="492" t="s">
        <v>1254</v>
      </c>
      <c r="C292" s="499" t="s">
        <v>264</v>
      </c>
      <c r="D292" s="499"/>
      <c r="E292" s="499"/>
      <c r="F292" s="499"/>
      <c r="G292" s="10">
        <f t="shared" ref="G292:H292" si="37">G293</f>
        <v>3931.8</v>
      </c>
      <c r="H292" s="10">
        <f t="shared" si="37"/>
        <v>3865.2</v>
      </c>
    </row>
    <row r="293" spans="1:8" ht="15.75" x14ac:dyDescent="0.25">
      <c r="A293" s="29" t="s">
        <v>425</v>
      </c>
      <c r="B293" s="492" t="s">
        <v>1254</v>
      </c>
      <c r="C293" s="499" t="s">
        <v>264</v>
      </c>
      <c r="D293" s="499" t="s">
        <v>213</v>
      </c>
      <c r="E293" s="499"/>
      <c r="F293" s="499"/>
      <c r="G293" s="10">
        <f>G294</f>
        <v>3931.8</v>
      </c>
      <c r="H293" s="10">
        <f>H294</f>
        <v>3865.2</v>
      </c>
    </row>
    <row r="294" spans="1:8" ht="47.25" x14ac:dyDescent="0.25">
      <c r="A294" s="29" t="s">
        <v>602</v>
      </c>
      <c r="B294" s="492" t="s">
        <v>1255</v>
      </c>
      <c r="C294" s="499" t="s">
        <v>264</v>
      </c>
      <c r="D294" s="499" t="s">
        <v>213</v>
      </c>
      <c r="E294" s="499"/>
      <c r="F294" s="499"/>
      <c r="G294" s="10">
        <f t="shared" ref="G294:H295" si="38">G295</f>
        <v>3931.8</v>
      </c>
      <c r="H294" s="10">
        <f t="shared" si="38"/>
        <v>3865.2</v>
      </c>
    </row>
    <row r="295" spans="1:8" ht="47.25" x14ac:dyDescent="0.25">
      <c r="A295" s="29" t="s">
        <v>272</v>
      </c>
      <c r="B295" s="492" t="s">
        <v>1255</v>
      </c>
      <c r="C295" s="499" t="s">
        <v>264</v>
      </c>
      <c r="D295" s="499" t="s">
        <v>213</v>
      </c>
      <c r="E295" s="499" t="s">
        <v>273</v>
      </c>
      <c r="F295" s="499"/>
      <c r="G295" s="10">
        <f t="shared" si="38"/>
        <v>3931.8</v>
      </c>
      <c r="H295" s="10">
        <f t="shared" si="38"/>
        <v>3865.2</v>
      </c>
    </row>
    <row r="296" spans="1:8" ht="15.75" x14ac:dyDescent="0.25">
      <c r="A296" s="29" t="s">
        <v>274</v>
      </c>
      <c r="B296" s="492" t="s">
        <v>1255</v>
      </c>
      <c r="C296" s="499" t="s">
        <v>264</v>
      </c>
      <c r="D296" s="499" t="s">
        <v>213</v>
      </c>
      <c r="E296" s="499" t="s">
        <v>275</v>
      </c>
      <c r="F296" s="499"/>
      <c r="G296" s="489">
        <f>'пр.6.1.ведом.22-23 (2)'!G657</f>
        <v>3931.8</v>
      </c>
      <c r="H296" s="489">
        <f>'пр.6.1.ведом.22-23 (2)'!H657</f>
        <v>3865.2</v>
      </c>
    </row>
    <row r="297" spans="1:8" ht="31.5" x14ac:dyDescent="0.25">
      <c r="A297" s="29" t="s">
        <v>403</v>
      </c>
      <c r="B297" s="492" t="s">
        <v>1255</v>
      </c>
      <c r="C297" s="499" t="s">
        <v>264</v>
      </c>
      <c r="D297" s="499" t="s">
        <v>213</v>
      </c>
      <c r="E297" s="499" t="s">
        <v>275</v>
      </c>
      <c r="F297" s="499" t="s">
        <v>636</v>
      </c>
      <c r="G297" s="10">
        <f>G296</f>
        <v>3931.8</v>
      </c>
      <c r="H297" s="10">
        <f>H296</f>
        <v>3865.2</v>
      </c>
    </row>
    <row r="298" spans="1:8" ht="31.5" x14ac:dyDescent="0.25">
      <c r="A298" s="494" t="s">
        <v>939</v>
      </c>
      <c r="B298" s="495" t="s">
        <v>1256</v>
      </c>
      <c r="C298" s="7"/>
      <c r="D298" s="7"/>
      <c r="E298" s="7"/>
      <c r="F298" s="7"/>
      <c r="G298" s="59">
        <f>G299</f>
        <v>1384.6</v>
      </c>
      <c r="H298" s="59">
        <f>H299</f>
        <v>1384.6</v>
      </c>
    </row>
    <row r="299" spans="1:8" ht="15.75" x14ac:dyDescent="0.25">
      <c r="A299" s="29" t="s">
        <v>263</v>
      </c>
      <c r="B299" s="492" t="s">
        <v>1256</v>
      </c>
      <c r="C299" s="499" t="s">
        <v>264</v>
      </c>
      <c r="D299" s="499"/>
      <c r="E299" s="499"/>
      <c r="F299" s="499"/>
      <c r="G299" s="10">
        <f t="shared" ref="G299:H302" si="39">G300</f>
        <v>1384.6</v>
      </c>
      <c r="H299" s="10">
        <f t="shared" si="39"/>
        <v>1384.6</v>
      </c>
    </row>
    <row r="300" spans="1:8" ht="15.75" x14ac:dyDescent="0.25">
      <c r="A300" s="29" t="s">
        <v>425</v>
      </c>
      <c r="B300" s="492" t="s">
        <v>1256</v>
      </c>
      <c r="C300" s="499" t="s">
        <v>264</v>
      </c>
      <c r="D300" s="499" t="s">
        <v>213</v>
      </c>
      <c r="E300" s="499"/>
      <c r="F300" s="499"/>
      <c r="G300" s="10">
        <f t="shared" si="39"/>
        <v>1384.6</v>
      </c>
      <c r="H300" s="10">
        <f t="shared" si="39"/>
        <v>1384.6</v>
      </c>
    </row>
    <row r="301" spans="1:8" ht="63" x14ac:dyDescent="0.25">
      <c r="A301" s="496" t="s">
        <v>438</v>
      </c>
      <c r="B301" s="492" t="s">
        <v>1257</v>
      </c>
      <c r="C301" s="499" t="s">
        <v>264</v>
      </c>
      <c r="D301" s="499" t="s">
        <v>213</v>
      </c>
      <c r="E301" s="499"/>
      <c r="F301" s="499"/>
      <c r="G301" s="10">
        <f t="shared" si="39"/>
        <v>1384.6</v>
      </c>
      <c r="H301" s="10">
        <f t="shared" si="39"/>
        <v>1384.6</v>
      </c>
    </row>
    <row r="302" spans="1:8" ht="47.25" x14ac:dyDescent="0.25">
      <c r="A302" s="496" t="s">
        <v>272</v>
      </c>
      <c r="B302" s="492" t="s">
        <v>1257</v>
      </c>
      <c r="C302" s="499" t="s">
        <v>264</v>
      </c>
      <c r="D302" s="499" t="s">
        <v>213</v>
      </c>
      <c r="E302" s="499" t="s">
        <v>273</v>
      </c>
      <c r="F302" s="499"/>
      <c r="G302" s="10">
        <f t="shared" si="39"/>
        <v>1384.6</v>
      </c>
      <c r="H302" s="10">
        <f t="shared" si="39"/>
        <v>1384.6</v>
      </c>
    </row>
    <row r="303" spans="1:8" ht="15.75" x14ac:dyDescent="0.25">
      <c r="A303" s="496" t="s">
        <v>274</v>
      </c>
      <c r="B303" s="492" t="s">
        <v>1257</v>
      </c>
      <c r="C303" s="499" t="s">
        <v>264</v>
      </c>
      <c r="D303" s="499" t="s">
        <v>213</v>
      </c>
      <c r="E303" s="499" t="s">
        <v>275</v>
      </c>
      <c r="F303" s="499"/>
      <c r="G303" s="10">
        <f>'пр.6.1.ведом.22-23 (2)'!G661</f>
        <v>1384.6</v>
      </c>
      <c r="H303" s="10">
        <f>'пр.6.1.ведом.22-23 (2)'!H661</f>
        <v>1384.6</v>
      </c>
    </row>
    <row r="304" spans="1:8" ht="31.5" x14ac:dyDescent="0.25">
      <c r="A304" s="29" t="s">
        <v>403</v>
      </c>
      <c r="B304" s="492" t="s">
        <v>1257</v>
      </c>
      <c r="C304" s="499" t="s">
        <v>264</v>
      </c>
      <c r="D304" s="499" t="s">
        <v>213</v>
      </c>
      <c r="E304" s="499" t="s">
        <v>275</v>
      </c>
      <c r="F304" s="499" t="s">
        <v>636</v>
      </c>
      <c r="G304" s="10">
        <f>G303</f>
        <v>1384.6</v>
      </c>
      <c r="H304" s="10">
        <f>H303</f>
        <v>1384.6</v>
      </c>
    </row>
    <row r="305" spans="1:8" ht="47.25" x14ac:dyDescent="0.25">
      <c r="A305" s="217" t="s">
        <v>940</v>
      </c>
      <c r="B305" s="495" t="s">
        <v>1259</v>
      </c>
      <c r="C305" s="7"/>
      <c r="D305" s="7"/>
      <c r="E305" s="7"/>
      <c r="F305" s="7"/>
      <c r="G305" s="59">
        <f>G306</f>
        <v>755.8</v>
      </c>
      <c r="H305" s="59">
        <f>H306</f>
        <v>759</v>
      </c>
    </row>
    <row r="306" spans="1:8" ht="15.75" x14ac:dyDescent="0.25">
      <c r="A306" s="29" t="s">
        <v>263</v>
      </c>
      <c r="B306" s="492" t="s">
        <v>1259</v>
      </c>
      <c r="C306" s="499" t="s">
        <v>264</v>
      </c>
      <c r="D306" s="499"/>
      <c r="E306" s="499"/>
      <c r="F306" s="499"/>
      <c r="G306" s="10">
        <f t="shared" ref="G306:H309" si="40">G307</f>
        <v>755.8</v>
      </c>
      <c r="H306" s="10">
        <f t="shared" si="40"/>
        <v>759</v>
      </c>
    </row>
    <row r="307" spans="1:8" ht="15.75" x14ac:dyDescent="0.25">
      <c r="A307" s="29" t="s">
        <v>425</v>
      </c>
      <c r="B307" s="492" t="s">
        <v>1259</v>
      </c>
      <c r="C307" s="499" t="s">
        <v>264</v>
      </c>
      <c r="D307" s="499" t="s">
        <v>213</v>
      </c>
      <c r="E307" s="499"/>
      <c r="F307" s="499"/>
      <c r="G307" s="10">
        <f t="shared" si="40"/>
        <v>755.8</v>
      </c>
      <c r="H307" s="10">
        <f t="shared" si="40"/>
        <v>759</v>
      </c>
    </row>
    <row r="308" spans="1:8" ht="63" x14ac:dyDescent="0.25">
      <c r="A308" s="182" t="s">
        <v>828</v>
      </c>
      <c r="B308" s="492" t="s">
        <v>1425</v>
      </c>
      <c r="C308" s="499" t="s">
        <v>264</v>
      </c>
      <c r="D308" s="499" t="s">
        <v>213</v>
      </c>
      <c r="E308" s="499"/>
      <c r="F308" s="499"/>
      <c r="G308" s="10">
        <f t="shared" si="40"/>
        <v>755.8</v>
      </c>
      <c r="H308" s="10">
        <f t="shared" si="40"/>
        <v>759</v>
      </c>
    </row>
    <row r="309" spans="1:8" ht="47.25" x14ac:dyDescent="0.25">
      <c r="A309" s="29" t="s">
        <v>272</v>
      </c>
      <c r="B309" s="492" t="s">
        <v>1425</v>
      </c>
      <c r="C309" s="499" t="s">
        <v>264</v>
      </c>
      <c r="D309" s="499" t="s">
        <v>213</v>
      </c>
      <c r="E309" s="499" t="s">
        <v>273</v>
      </c>
      <c r="F309" s="499"/>
      <c r="G309" s="10">
        <f t="shared" si="40"/>
        <v>755.8</v>
      </c>
      <c r="H309" s="10">
        <f t="shared" si="40"/>
        <v>759</v>
      </c>
    </row>
    <row r="310" spans="1:8" ht="15.75" x14ac:dyDescent="0.25">
      <c r="A310" s="182" t="s">
        <v>274</v>
      </c>
      <c r="B310" s="492" t="s">
        <v>1425</v>
      </c>
      <c r="C310" s="499" t="s">
        <v>264</v>
      </c>
      <c r="D310" s="499" t="s">
        <v>213</v>
      </c>
      <c r="E310" s="499" t="s">
        <v>275</v>
      </c>
      <c r="F310" s="499"/>
      <c r="G310" s="10">
        <f>'пр.6.1.ведом.22-23 (2)'!G665</f>
        <v>755.8</v>
      </c>
      <c r="H310" s="10">
        <f>'пр.6.1.ведом.22-23 (2)'!H665</f>
        <v>759</v>
      </c>
    </row>
    <row r="311" spans="1:8" ht="31.5" x14ac:dyDescent="0.25">
      <c r="A311" s="29" t="s">
        <v>403</v>
      </c>
      <c r="B311" s="492" t="s">
        <v>1425</v>
      </c>
      <c r="C311" s="499" t="s">
        <v>264</v>
      </c>
      <c r="D311" s="499" t="s">
        <v>213</v>
      </c>
      <c r="E311" s="499" t="s">
        <v>275</v>
      </c>
      <c r="F311" s="499" t="s">
        <v>636</v>
      </c>
      <c r="G311" s="10">
        <f>G310</f>
        <v>755.8</v>
      </c>
      <c r="H311" s="10">
        <f>H310</f>
        <v>759</v>
      </c>
    </row>
    <row r="312" spans="1:8" ht="126" x14ac:dyDescent="0.25">
      <c r="A312" s="494" t="s">
        <v>1166</v>
      </c>
      <c r="B312" s="495" t="s">
        <v>1246</v>
      </c>
      <c r="C312" s="7"/>
      <c r="D312" s="7"/>
      <c r="E312" s="7"/>
      <c r="F312" s="7"/>
      <c r="G312" s="59">
        <f>G313</f>
        <v>1666.6</v>
      </c>
      <c r="H312" s="59">
        <f>H313</f>
        <v>915</v>
      </c>
    </row>
    <row r="313" spans="1:8" ht="15.75" x14ac:dyDescent="0.25">
      <c r="A313" s="29" t="s">
        <v>263</v>
      </c>
      <c r="B313" s="492" t="s">
        <v>1246</v>
      </c>
      <c r="C313" s="499" t="s">
        <v>264</v>
      </c>
      <c r="D313" s="499"/>
      <c r="E313" s="499"/>
      <c r="F313" s="499"/>
      <c r="G313" s="10">
        <f>G314</f>
        <v>1666.6</v>
      </c>
      <c r="H313" s="10">
        <f>H314</f>
        <v>915</v>
      </c>
    </row>
    <row r="314" spans="1:8" ht="15.75" x14ac:dyDescent="0.25">
      <c r="A314" s="45" t="s">
        <v>404</v>
      </c>
      <c r="B314" s="492" t="s">
        <v>1246</v>
      </c>
      <c r="C314" s="499" t="s">
        <v>264</v>
      </c>
      <c r="D314" s="499" t="s">
        <v>118</v>
      </c>
      <c r="E314" s="499"/>
      <c r="F314" s="499"/>
      <c r="G314" s="10">
        <f>G315+G319</f>
        <v>1666.6</v>
      </c>
      <c r="H314" s="10">
        <f>H315+H319</f>
        <v>915</v>
      </c>
    </row>
    <row r="315" spans="1:8" ht="94.5" hidden="1" x14ac:dyDescent="0.25">
      <c r="A315" s="149" t="s">
        <v>1185</v>
      </c>
      <c r="B315" s="492" t="s">
        <v>1247</v>
      </c>
      <c r="C315" s="499" t="s">
        <v>264</v>
      </c>
      <c r="D315" s="499" t="s">
        <v>118</v>
      </c>
      <c r="E315" s="499"/>
      <c r="F315" s="499"/>
      <c r="G315" s="10">
        <f>G316</f>
        <v>0</v>
      </c>
      <c r="H315" s="10">
        <f>H316</f>
        <v>0</v>
      </c>
    </row>
    <row r="316" spans="1:8" ht="47.25" hidden="1" x14ac:dyDescent="0.25">
      <c r="A316" s="496" t="s">
        <v>272</v>
      </c>
      <c r="B316" s="492" t="s">
        <v>1247</v>
      </c>
      <c r="C316" s="499" t="s">
        <v>264</v>
      </c>
      <c r="D316" s="499" t="s">
        <v>118</v>
      </c>
      <c r="E316" s="499" t="s">
        <v>273</v>
      </c>
      <c r="F316" s="499"/>
      <c r="G316" s="10">
        <f>G317</f>
        <v>0</v>
      </c>
      <c r="H316" s="10">
        <f>H317</f>
        <v>0</v>
      </c>
    </row>
    <row r="317" spans="1:8" ht="15.75" hidden="1" x14ac:dyDescent="0.25">
      <c r="A317" s="496" t="s">
        <v>274</v>
      </c>
      <c r="B317" s="492" t="s">
        <v>1247</v>
      </c>
      <c r="C317" s="499" t="s">
        <v>264</v>
      </c>
      <c r="D317" s="499" t="s">
        <v>118</v>
      </c>
      <c r="E317" s="499" t="s">
        <v>275</v>
      </c>
      <c r="F317" s="499"/>
      <c r="G317" s="10">
        <f>'пр.6.1.ведом.22-23 (2)'!G595</f>
        <v>0</v>
      </c>
      <c r="H317" s="10">
        <f>'пр.6.1.ведом.22-23 (2)'!H595</f>
        <v>0</v>
      </c>
    </row>
    <row r="318" spans="1:8" ht="31.5" hidden="1" x14ac:dyDescent="0.25">
      <c r="A318" s="29" t="s">
        <v>403</v>
      </c>
      <c r="B318" s="492" t="s">
        <v>1247</v>
      </c>
      <c r="C318" s="499" t="s">
        <v>264</v>
      </c>
      <c r="D318" s="499" t="s">
        <v>118</v>
      </c>
      <c r="E318" s="499" t="s">
        <v>275</v>
      </c>
      <c r="F318" s="499" t="s">
        <v>636</v>
      </c>
      <c r="G318" s="10">
        <f>G315</f>
        <v>0</v>
      </c>
      <c r="H318" s="10">
        <f>H315</f>
        <v>0</v>
      </c>
    </row>
    <row r="319" spans="1:8" ht="110.25" x14ac:dyDescent="0.25">
      <c r="A319" s="149" t="s">
        <v>1493</v>
      </c>
      <c r="B319" s="492" t="s">
        <v>1247</v>
      </c>
      <c r="C319" s="499" t="s">
        <v>264</v>
      </c>
      <c r="D319" s="499" t="s">
        <v>118</v>
      </c>
      <c r="E319" s="499"/>
      <c r="F319" s="499"/>
      <c r="G319" s="10">
        <f>G320</f>
        <v>1666.6</v>
      </c>
      <c r="H319" s="10">
        <f>H320</f>
        <v>915</v>
      </c>
    </row>
    <row r="320" spans="1:8" ht="47.25" x14ac:dyDescent="0.25">
      <c r="A320" s="496" t="s">
        <v>272</v>
      </c>
      <c r="B320" s="492" t="s">
        <v>1247</v>
      </c>
      <c r="C320" s="499" t="s">
        <v>264</v>
      </c>
      <c r="D320" s="499" t="s">
        <v>118</v>
      </c>
      <c r="E320" s="499" t="s">
        <v>273</v>
      </c>
      <c r="F320" s="499"/>
      <c r="G320" s="10">
        <f>G321</f>
        <v>1666.6</v>
      </c>
      <c r="H320" s="10">
        <f>H321</f>
        <v>915</v>
      </c>
    </row>
    <row r="321" spans="1:8" ht="15.75" x14ac:dyDescent="0.25">
      <c r="A321" s="496" t="s">
        <v>274</v>
      </c>
      <c r="B321" s="492" t="s">
        <v>1247</v>
      </c>
      <c r="C321" s="499" t="s">
        <v>264</v>
      </c>
      <c r="D321" s="499" t="s">
        <v>118</v>
      </c>
      <c r="E321" s="499" t="s">
        <v>275</v>
      </c>
      <c r="F321" s="499"/>
      <c r="G321" s="10">
        <f>'пр.6.1.ведом.22-23 (2)'!G598</f>
        <v>1666.6</v>
      </c>
      <c r="H321" s="10">
        <f>'пр.6.1.ведом.22-23 (2)'!H598</f>
        <v>915</v>
      </c>
    </row>
    <row r="322" spans="1:8" ht="31.5" x14ac:dyDescent="0.25">
      <c r="A322" s="29" t="s">
        <v>403</v>
      </c>
      <c r="B322" s="492" t="s">
        <v>1247</v>
      </c>
      <c r="C322" s="499" t="s">
        <v>264</v>
      </c>
      <c r="D322" s="499" t="s">
        <v>118</v>
      </c>
      <c r="E322" s="499" t="s">
        <v>275</v>
      </c>
      <c r="F322" s="499" t="s">
        <v>636</v>
      </c>
      <c r="G322" s="10">
        <f>G319</f>
        <v>1666.6</v>
      </c>
      <c r="H322" s="10">
        <f>H319</f>
        <v>915</v>
      </c>
    </row>
    <row r="323" spans="1:8" ht="47.25" x14ac:dyDescent="0.25">
      <c r="A323" s="304" t="s">
        <v>1405</v>
      </c>
      <c r="B323" s="495" t="s">
        <v>1404</v>
      </c>
      <c r="C323" s="495"/>
      <c r="D323" s="495"/>
      <c r="E323" s="495"/>
      <c r="F323" s="7"/>
      <c r="G323" s="59">
        <f t="shared" ref="G323:H327" si="41">G324</f>
        <v>5415.6500000000005</v>
      </c>
      <c r="H323" s="59">
        <f t="shared" si="41"/>
        <v>5142.4500000000007</v>
      </c>
    </row>
    <row r="324" spans="1:8" ht="15.75" x14ac:dyDescent="0.25">
      <c r="A324" s="182" t="s">
        <v>263</v>
      </c>
      <c r="B324" s="492" t="s">
        <v>1404</v>
      </c>
      <c r="C324" s="492" t="s">
        <v>264</v>
      </c>
      <c r="D324" s="492"/>
      <c r="E324" s="492"/>
      <c r="F324" s="499"/>
      <c r="G324" s="10">
        <f t="shared" si="41"/>
        <v>5415.6500000000005</v>
      </c>
      <c r="H324" s="10">
        <f t="shared" si="41"/>
        <v>5142.4500000000007</v>
      </c>
    </row>
    <row r="325" spans="1:8" ht="15.75" x14ac:dyDescent="0.25">
      <c r="A325" s="182" t="s">
        <v>425</v>
      </c>
      <c r="B325" s="492" t="s">
        <v>1404</v>
      </c>
      <c r="C325" s="492" t="s">
        <v>264</v>
      </c>
      <c r="D325" s="492" t="s">
        <v>213</v>
      </c>
      <c r="E325" s="492"/>
      <c r="F325" s="499"/>
      <c r="G325" s="10">
        <f t="shared" si="41"/>
        <v>5415.6500000000005</v>
      </c>
      <c r="H325" s="10">
        <f t="shared" si="41"/>
        <v>5142.4500000000007</v>
      </c>
    </row>
    <row r="326" spans="1:8" ht="78.75" x14ac:dyDescent="0.25">
      <c r="A326" s="303" t="s">
        <v>1391</v>
      </c>
      <c r="B326" s="492" t="s">
        <v>1449</v>
      </c>
      <c r="C326" s="492" t="s">
        <v>264</v>
      </c>
      <c r="D326" s="492" t="s">
        <v>213</v>
      </c>
      <c r="E326" s="492"/>
      <c r="F326" s="499"/>
      <c r="G326" s="10">
        <f t="shared" si="41"/>
        <v>5415.6500000000005</v>
      </c>
      <c r="H326" s="10">
        <f t="shared" si="41"/>
        <v>5142.4500000000007</v>
      </c>
    </row>
    <row r="327" spans="1:8" ht="47.25" x14ac:dyDescent="0.25">
      <c r="A327" s="31" t="s">
        <v>272</v>
      </c>
      <c r="B327" s="492" t="s">
        <v>1449</v>
      </c>
      <c r="C327" s="492" t="s">
        <v>264</v>
      </c>
      <c r="D327" s="492" t="s">
        <v>213</v>
      </c>
      <c r="E327" s="492" t="s">
        <v>273</v>
      </c>
      <c r="F327" s="499"/>
      <c r="G327" s="10">
        <f t="shared" si="41"/>
        <v>5415.6500000000005</v>
      </c>
      <c r="H327" s="10">
        <f t="shared" si="41"/>
        <v>5142.4500000000007</v>
      </c>
    </row>
    <row r="328" spans="1:8" ht="15.75" x14ac:dyDescent="0.25">
      <c r="A328" s="31" t="s">
        <v>274</v>
      </c>
      <c r="B328" s="492" t="s">
        <v>1449</v>
      </c>
      <c r="C328" s="492" t="s">
        <v>264</v>
      </c>
      <c r="D328" s="492" t="s">
        <v>213</v>
      </c>
      <c r="E328" s="492" t="s">
        <v>275</v>
      </c>
      <c r="F328" s="499"/>
      <c r="G328" s="10">
        <f>'пр.6.1.ведом.22-23 (2)'!G672</f>
        <v>5415.6500000000005</v>
      </c>
      <c r="H328" s="10">
        <f>'пр.6.1.ведом.22-23 (2)'!H672</f>
        <v>5142.4500000000007</v>
      </c>
    </row>
    <row r="329" spans="1:8" ht="31.5" x14ac:dyDescent="0.25">
      <c r="A329" s="182" t="s">
        <v>403</v>
      </c>
      <c r="B329" s="492" t="s">
        <v>1449</v>
      </c>
      <c r="C329" s="492" t="s">
        <v>264</v>
      </c>
      <c r="D329" s="492" t="s">
        <v>213</v>
      </c>
      <c r="E329" s="492" t="s">
        <v>275</v>
      </c>
      <c r="F329" s="499" t="s">
        <v>636</v>
      </c>
      <c r="G329" s="10">
        <f>G323</f>
        <v>5415.6500000000005</v>
      </c>
      <c r="H329" s="10">
        <f>H323</f>
        <v>5142.4500000000007</v>
      </c>
    </row>
    <row r="330" spans="1:8" ht="63" hidden="1" x14ac:dyDescent="0.25">
      <c r="A330" s="217" t="s">
        <v>1172</v>
      </c>
      <c r="B330" s="495" t="s">
        <v>1320</v>
      </c>
      <c r="C330" s="499"/>
      <c r="D330" s="499"/>
      <c r="E330" s="499"/>
      <c r="F330" s="499"/>
      <c r="G330" s="59">
        <f t="shared" ref="G330:H334" si="42">G331</f>
        <v>0</v>
      </c>
      <c r="H330" s="59">
        <f t="shared" si="42"/>
        <v>0</v>
      </c>
    </row>
    <row r="331" spans="1:8" ht="15.75" hidden="1" x14ac:dyDescent="0.25">
      <c r="A331" s="29" t="s">
        <v>263</v>
      </c>
      <c r="B331" s="492" t="s">
        <v>1320</v>
      </c>
      <c r="C331" s="499" t="s">
        <v>264</v>
      </c>
      <c r="D331" s="499"/>
      <c r="E331" s="499"/>
      <c r="F331" s="499"/>
      <c r="G331" s="10">
        <f t="shared" si="42"/>
        <v>0</v>
      </c>
      <c r="H331" s="10">
        <f t="shared" si="42"/>
        <v>0</v>
      </c>
    </row>
    <row r="332" spans="1:8" ht="15.75" hidden="1" x14ac:dyDescent="0.25">
      <c r="A332" s="29" t="s">
        <v>425</v>
      </c>
      <c r="B332" s="492" t="s">
        <v>1320</v>
      </c>
      <c r="C332" s="499" t="s">
        <v>264</v>
      </c>
      <c r="D332" s="499" t="s">
        <v>213</v>
      </c>
      <c r="E332" s="499"/>
      <c r="F332" s="499"/>
      <c r="G332" s="10">
        <f t="shared" si="42"/>
        <v>0</v>
      </c>
      <c r="H332" s="10">
        <f t="shared" si="42"/>
        <v>0</v>
      </c>
    </row>
    <row r="333" spans="1:8" ht="63" hidden="1" x14ac:dyDescent="0.25">
      <c r="A333" s="182" t="s">
        <v>1180</v>
      </c>
      <c r="B333" s="492" t="s">
        <v>1321</v>
      </c>
      <c r="C333" s="499" t="s">
        <v>264</v>
      </c>
      <c r="D333" s="499" t="s">
        <v>213</v>
      </c>
      <c r="E333" s="499"/>
      <c r="F333" s="499"/>
      <c r="G333" s="10">
        <f t="shared" si="42"/>
        <v>0</v>
      </c>
      <c r="H333" s="10">
        <f t="shared" si="42"/>
        <v>0</v>
      </c>
    </row>
    <row r="334" spans="1:8" ht="47.25" hidden="1" x14ac:dyDescent="0.25">
      <c r="A334" s="31" t="s">
        <v>272</v>
      </c>
      <c r="B334" s="492" t="s">
        <v>1321</v>
      </c>
      <c r="C334" s="499" t="s">
        <v>264</v>
      </c>
      <c r="D334" s="499" t="s">
        <v>213</v>
      </c>
      <c r="E334" s="499" t="s">
        <v>273</v>
      </c>
      <c r="F334" s="499"/>
      <c r="G334" s="10">
        <f t="shared" si="42"/>
        <v>0</v>
      </c>
      <c r="H334" s="10">
        <f t="shared" si="42"/>
        <v>0</v>
      </c>
    </row>
    <row r="335" spans="1:8" ht="15.75" hidden="1" x14ac:dyDescent="0.25">
      <c r="A335" s="31" t="s">
        <v>274</v>
      </c>
      <c r="B335" s="492" t="s">
        <v>1321</v>
      </c>
      <c r="C335" s="499" t="s">
        <v>264</v>
      </c>
      <c r="D335" s="499" t="s">
        <v>213</v>
      </c>
      <c r="E335" s="499" t="s">
        <v>275</v>
      </c>
      <c r="F335" s="499"/>
      <c r="G335" s="10">
        <f>'пр.6.1.ведом.22-23 (2)'!G676</f>
        <v>0</v>
      </c>
      <c r="H335" s="10">
        <f>'пр.6.1.ведом.22-23 (2)'!H675</f>
        <v>0</v>
      </c>
    </row>
    <row r="336" spans="1:8" ht="31.5" hidden="1" x14ac:dyDescent="0.25">
      <c r="A336" s="29" t="s">
        <v>403</v>
      </c>
      <c r="B336" s="492" t="s">
        <v>1321</v>
      </c>
      <c r="C336" s="499" t="s">
        <v>264</v>
      </c>
      <c r="D336" s="499" t="s">
        <v>213</v>
      </c>
      <c r="E336" s="499" t="s">
        <v>275</v>
      </c>
      <c r="F336" s="499" t="s">
        <v>636</v>
      </c>
      <c r="G336" s="10">
        <f>G330</f>
        <v>0</v>
      </c>
      <c r="H336" s="10">
        <f>H335</f>
        <v>0</v>
      </c>
    </row>
    <row r="337" spans="1:8" ht="31.5" x14ac:dyDescent="0.25">
      <c r="A337" s="34" t="s">
        <v>1472</v>
      </c>
      <c r="B337" s="495" t="s">
        <v>1470</v>
      </c>
      <c r="C337" s="499"/>
      <c r="D337" s="499"/>
      <c r="E337" s="499"/>
      <c r="F337" s="499"/>
      <c r="G337" s="59">
        <f t="shared" ref="G337:H341" si="43">G338</f>
        <v>1749.4499999999998</v>
      </c>
      <c r="H337" s="59">
        <f t="shared" si="43"/>
        <v>2341</v>
      </c>
    </row>
    <row r="338" spans="1:8" ht="15.75" x14ac:dyDescent="0.25">
      <c r="A338" s="29" t="s">
        <v>263</v>
      </c>
      <c r="B338" s="492" t="s">
        <v>1470</v>
      </c>
      <c r="C338" s="499" t="s">
        <v>264</v>
      </c>
      <c r="D338" s="499"/>
      <c r="E338" s="499"/>
      <c r="F338" s="499"/>
      <c r="G338" s="10">
        <f t="shared" si="43"/>
        <v>1749.4499999999998</v>
      </c>
      <c r="H338" s="10">
        <f t="shared" si="43"/>
        <v>2341</v>
      </c>
    </row>
    <row r="339" spans="1:8" ht="15.75" x14ac:dyDescent="0.25">
      <c r="A339" s="29" t="s">
        <v>425</v>
      </c>
      <c r="B339" s="492" t="s">
        <v>1470</v>
      </c>
      <c r="C339" s="499" t="s">
        <v>264</v>
      </c>
      <c r="D339" s="499" t="s">
        <v>213</v>
      </c>
      <c r="E339" s="499"/>
      <c r="F339" s="499"/>
      <c r="G339" s="10">
        <f t="shared" si="43"/>
        <v>1749.4499999999998</v>
      </c>
      <c r="H339" s="10">
        <f t="shared" si="43"/>
        <v>2341</v>
      </c>
    </row>
    <row r="340" spans="1:8" ht="63" x14ac:dyDescent="0.25">
      <c r="A340" s="31" t="s">
        <v>1521</v>
      </c>
      <c r="B340" s="492" t="s">
        <v>1471</v>
      </c>
      <c r="C340" s="499" t="s">
        <v>264</v>
      </c>
      <c r="D340" s="499" t="s">
        <v>213</v>
      </c>
      <c r="E340" s="499"/>
      <c r="F340" s="499"/>
      <c r="G340" s="10">
        <f t="shared" si="43"/>
        <v>1749.4499999999998</v>
      </c>
      <c r="H340" s="10">
        <f t="shared" si="43"/>
        <v>2341</v>
      </c>
    </row>
    <row r="341" spans="1:8" ht="47.25" x14ac:dyDescent="0.25">
      <c r="A341" s="31" t="s">
        <v>272</v>
      </c>
      <c r="B341" s="492" t="s">
        <v>1471</v>
      </c>
      <c r="C341" s="499" t="s">
        <v>264</v>
      </c>
      <c r="D341" s="499" t="s">
        <v>213</v>
      </c>
      <c r="E341" s="499" t="s">
        <v>273</v>
      </c>
      <c r="F341" s="499"/>
      <c r="G341" s="10">
        <f t="shared" si="43"/>
        <v>1749.4499999999998</v>
      </c>
      <c r="H341" s="10">
        <f t="shared" si="43"/>
        <v>2341</v>
      </c>
    </row>
    <row r="342" spans="1:8" ht="15.75" x14ac:dyDescent="0.25">
      <c r="A342" s="31" t="s">
        <v>274</v>
      </c>
      <c r="B342" s="492" t="s">
        <v>1471</v>
      </c>
      <c r="C342" s="499" t="s">
        <v>264</v>
      </c>
      <c r="D342" s="499" t="s">
        <v>213</v>
      </c>
      <c r="E342" s="499" t="s">
        <v>275</v>
      </c>
      <c r="F342" s="499"/>
      <c r="G342" s="10">
        <f>'пр.6.1.ведом.22-23 (2)'!G680</f>
        <v>1749.4499999999998</v>
      </c>
      <c r="H342" s="10">
        <f>'пр.6.1.ведом.22-23 (2)'!H680</f>
        <v>2341</v>
      </c>
    </row>
    <row r="343" spans="1:8" ht="31.5" x14ac:dyDescent="0.25">
      <c r="A343" s="29" t="s">
        <v>403</v>
      </c>
      <c r="B343" s="492" t="s">
        <v>1471</v>
      </c>
      <c r="C343" s="499" t="s">
        <v>264</v>
      </c>
      <c r="D343" s="499" t="s">
        <v>213</v>
      </c>
      <c r="E343" s="499" t="s">
        <v>275</v>
      </c>
      <c r="F343" s="499" t="s">
        <v>636</v>
      </c>
      <c r="G343" s="10">
        <f>G342</f>
        <v>1749.4499999999998</v>
      </c>
      <c r="H343" s="10">
        <f>H342</f>
        <v>2341</v>
      </c>
    </row>
    <row r="344" spans="1:8" ht="47.25" x14ac:dyDescent="0.25">
      <c r="A344" s="58" t="s">
        <v>1384</v>
      </c>
      <c r="B344" s="194" t="s">
        <v>156</v>
      </c>
      <c r="C344" s="7"/>
      <c r="D344" s="194"/>
      <c r="E344" s="194"/>
      <c r="F344" s="194"/>
      <c r="G344" s="59">
        <f>G346</f>
        <v>150</v>
      </c>
      <c r="H344" s="59">
        <f>H346</f>
        <v>150</v>
      </c>
    </row>
    <row r="345" spans="1:8" ht="47.25" x14ac:dyDescent="0.25">
      <c r="A345" s="494" t="s">
        <v>1064</v>
      </c>
      <c r="B345" s="495" t="s">
        <v>1061</v>
      </c>
      <c r="C345" s="7"/>
      <c r="D345" s="7"/>
      <c r="E345" s="7"/>
      <c r="F345" s="7"/>
      <c r="G345" s="59">
        <f t="shared" ref="G345:H349" si="44">G346</f>
        <v>150</v>
      </c>
      <c r="H345" s="59">
        <f t="shared" si="44"/>
        <v>150</v>
      </c>
    </row>
    <row r="346" spans="1:8" ht="15.75" x14ac:dyDescent="0.25">
      <c r="A346" s="45" t="s">
        <v>232</v>
      </c>
      <c r="B346" s="5" t="s">
        <v>1061</v>
      </c>
      <c r="C346" s="499" t="s">
        <v>150</v>
      </c>
      <c r="D346" s="499"/>
      <c r="E346" s="499"/>
      <c r="F346" s="499"/>
      <c r="G346" s="10">
        <f t="shared" si="44"/>
        <v>150</v>
      </c>
      <c r="H346" s="10">
        <f t="shared" si="44"/>
        <v>150</v>
      </c>
    </row>
    <row r="347" spans="1:8" ht="15.75" x14ac:dyDescent="0.25">
      <c r="A347" s="45" t="s">
        <v>775</v>
      </c>
      <c r="B347" s="5" t="s">
        <v>1061</v>
      </c>
      <c r="C347" s="499" t="s">
        <v>150</v>
      </c>
      <c r="D347" s="499" t="s">
        <v>238</v>
      </c>
      <c r="E347" s="499"/>
      <c r="F347" s="499"/>
      <c r="G347" s="10">
        <f t="shared" si="44"/>
        <v>150</v>
      </c>
      <c r="H347" s="10">
        <f t="shared" si="44"/>
        <v>150</v>
      </c>
    </row>
    <row r="348" spans="1:8" ht="31.5" x14ac:dyDescent="0.25">
      <c r="A348" s="496" t="s">
        <v>1065</v>
      </c>
      <c r="B348" s="492" t="s">
        <v>1062</v>
      </c>
      <c r="C348" s="499" t="s">
        <v>150</v>
      </c>
      <c r="D348" s="499" t="s">
        <v>238</v>
      </c>
      <c r="E348" s="499"/>
      <c r="F348" s="499"/>
      <c r="G348" s="10">
        <f t="shared" si="44"/>
        <v>150</v>
      </c>
      <c r="H348" s="10">
        <f t="shared" si="44"/>
        <v>150</v>
      </c>
    </row>
    <row r="349" spans="1:8" ht="15.75" x14ac:dyDescent="0.25">
      <c r="A349" s="496" t="s">
        <v>135</v>
      </c>
      <c r="B349" s="492" t="s">
        <v>1062</v>
      </c>
      <c r="C349" s="499" t="s">
        <v>150</v>
      </c>
      <c r="D349" s="499" t="s">
        <v>238</v>
      </c>
      <c r="E349" s="499" t="s">
        <v>132</v>
      </c>
      <c r="F349" s="499"/>
      <c r="G349" s="10">
        <f t="shared" si="44"/>
        <v>150</v>
      </c>
      <c r="H349" s="10">
        <f t="shared" si="44"/>
        <v>150</v>
      </c>
    </row>
    <row r="350" spans="1:8" ht="63" x14ac:dyDescent="0.25">
      <c r="A350" s="496" t="s">
        <v>184</v>
      </c>
      <c r="B350" s="492" t="s">
        <v>1062</v>
      </c>
      <c r="C350" s="499" t="s">
        <v>150</v>
      </c>
      <c r="D350" s="499" t="s">
        <v>238</v>
      </c>
      <c r="E350" s="499" t="s">
        <v>134</v>
      </c>
      <c r="F350" s="499"/>
      <c r="G350" s="10">
        <f>'пр.6.1.ведом.22-23 (2)'!G217</f>
        <v>150</v>
      </c>
      <c r="H350" s="10">
        <f>'пр.6.1.ведом.22-23 (2)'!H217</f>
        <v>150</v>
      </c>
    </row>
    <row r="351" spans="1:8" ht="31.5" x14ac:dyDescent="0.25">
      <c r="A351" s="29" t="s">
        <v>148</v>
      </c>
      <c r="B351" s="492" t="s">
        <v>1062</v>
      </c>
      <c r="C351" s="499" t="s">
        <v>150</v>
      </c>
      <c r="D351" s="499" t="s">
        <v>238</v>
      </c>
      <c r="E351" s="499" t="s">
        <v>134</v>
      </c>
      <c r="F351" s="499" t="s">
        <v>641</v>
      </c>
      <c r="G351" s="10">
        <f>G350</f>
        <v>150</v>
      </c>
      <c r="H351" s="10">
        <f>H350</f>
        <v>150</v>
      </c>
    </row>
    <row r="352" spans="1:8" ht="47.25" hidden="1" x14ac:dyDescent="0.25">
      <c r="A352" s="496" t="s">
        <v>239</v>
      </c>
      <c r="B352" s="492" t="s">
        <v>1063</v>
      </c>
      <c r="C352" s="499" t="s">
        <v>150</v>
      </c>
      <c r="D352" s="499" t="s">
        <v>238</v>
      </c>
      <c r="E352" s="499"/>
      <c r="F352" s="499"/>
      <c r="G352" s="10" t="e">
        <f>G353</f>
        <v>#REF!</v>
      </c>
      <c r="H352" s="10" t="e">
        <f>H353</f>
        <v>#REF!</v>
      </c>
    </row>
    <row r="353" spans="1:8" ht="15.75" hidden="1" x14ac:dyDescent="0.25">
      <c r="A353" s="496" t="s">
        <v>135</v>
      </c>
      <c r="B353" s="492" t="s">
        <v>1063</v>
      </c>
      <c r="C353" s="499" t="s">
        <v>150</v>
      </c>
      <c r="D353" s="499" t="s">
        <v>238</v>
      </c>
      <c r="E353" s="499" t="s">
        <v>145</v>
      </c>
      <c r="F353" s="499"/>
      <c r="G353" s="10" t="e">
        <f>G354</f>
        <v>#REF!</v>
      </c>
      <c r="H353" s="10" t="e">
        <f>H354</f>
        <v>#REF!</v>
      </c>
    </row>
    <row r="354" spans="1:8" ht="63" hidden="1" x14ac:dyDescent="0.25">
      <c r="A354" s="496" t="s">
        <v>184</v>
      </c>
      <c r="B354" s="492" t="s">
        <v>1063</v>
      </c>
      <c r="C354" s="499" t="s">
        <v>150</v>
      </c>
      <c r="D354" s="499" t="s">
        <v>238</v>
      </c>
      <c r="E354" s="499" t="s">
        <v>160</v>
      </c>
      <c r="F354" s="499"/>
      <c r="G354" s="10" t="e">
        <f>'пр.6.1.ведом.22-23 (2)'!#REF!</f>
        <v>#REF!</v>
      </c>
      <c r="H354" s="10" t="e">
        <f>'пр.6.1.ведом.22-23 (2)'!#REF!</f>
        <v>#REF!</v>
      </c>
    </row>
    <row r="355" spans="1:8" ht="31.5" hidden="1" x14ac:dyDescent="0.25">
      <c r="A355" s="29" t="s">
        <v>148</v>
      </c>
      <c r="B355" s="492" t="s">
        <v>1063</v>
      </c>
      <c r="C355" s="499" t="s">
        <v>150</v>
      </c>
      <c r="D355" s="499" t="s">
        <v>238</v>
      </c>
      <c r="E355" s="499" t="s">
        <v>160</v>
      </c>
      <c r="F355" s="499" t="s">
        <v>641</v>
      </c>
      <c r="G355" s="10" t="e">
        <f>G354</f>
        <v>#REF!</v>
      </c>
      <c r="H355" s="10" t="e">
        <f>H354</f>
        <v>#REF!</v>
      </c>
    </row>
    <row r="356" spans="1:8" ht="47.25" x14ac:dyDescent="0.25">
      <c r="A356" s="500" t="s">
        <v>1364</v>
      </c>
      <c r="B356" s="194" t="s">
        <v>162</v>
      </c>
      <c r="C356" s="7"/>
      <c r="D356" s="7"/>
      <c r="E356" s="7"/>
      <c r="F356" s="7"/>
      <c r="G356" s="59">
        <f>G357+G364+G387</f>
        <v>724</v>
      </c>
      <c r="H356" s="59">
        <f>H357+H364+H387</f>
        <v>724</v>
      </c>
    </row>
    <row r="357" spans="1:8" ht="78.75" x14ac:dyDescent="0.25">
      <c r="A357" s="305" t="s">
        <v>1339</v>
      </c>
      <c r="B357" s="7" t="s">
        <v>849</v>
      </c>
      <c r="C357" s="7"/>
      <c r="D357" s="8"/>
      <c r="E357" s="194"/>
      <c r="F357" s="7"/>
      <c r="G357" s="59">
        <f>G359</f>
        <v>606</v>
      </c>
      <c r="H357" s="59">
        <f>H359</f>
        <v>606</v>
      </c>
    </row>
    <row r="358" spans="1:8" ht="15.75" x14ac:dyDescent="0.25">
      <c r="A358" s="45" t="s">
        <v>117</v>
      </c>
      <c r="B358" s="5" t="s">
        <v>849</v>
      </c>
      <c r="C358" s="499" t="s">
        <v>118</v>
      </c>
      <c r="D358" s="5"/>
      <c r="E358" s="5"/>
      <c r="F358" s="499"/>
      <c r="G358" s="10">
        <f t="shared" ref="G358:H358" si="45">G359</f>
        <v>606</v>
      </c>
      <c r="H358" s="10">
        <f t="shared" si="45"/>
        <v>606</v>
      </c>
    </row>
    <row r="359" spans="1:8" ht="78.75" x14ac:dyDescent="0.25">
      <c r="A359" s="29" t="s">
        <v>149</v>
      </c>
      <c r="B359" s="5" t="s">
        <v>849</v>
      </c>
      <c r="C359" s="499" t="s">
        <v>118</v>
      </c>
      <c r="D359" s="9" t="s">
        <v>150</v>
      </c>
      <c r="E359" s="5"/>
      <c r="F359" s="499"/>
      <c r="G359" s="10">
        <f>G360</f>
        <v>606</v>
      </c>
      <c r="H359" s="10">
        <f>H360</f>
        <v>606</v>
      </c>
    </row>
    <row r="360" spans="1:8" ht="63" x14ac:dyDescent="0.25">
      <c r="A360" s="29" t="s">
        <v>1308</v>
      </c>
      <c r="B360" s="499" t="s">
        <v>841</v>
      </c>
      <c r="C360" s="499" t="s">
        <v>118</v>
      </c>
      <c r="D360" s="9" t="s">
        <v>150</v>
      </c>
      <c r="E360" s="499"/>
      <c r="F360" s="499"/>
      <c r="G360" s="10">
        <f t="shared" ref="G360:H361" si="46">G361</f>
        <v>606</v>
      </c>
      <c r="H360" s="10">
        <f t="shared" si="46"/>
        <v>606</v>
      </c>
    </row>
    <row r="361" spans="1:8" ht="31.5" x14ac:dyDescent="0.25">
      <c r="A361" s="29" t="s">
        <v>131</v>
      </c>
      <c r="B361" s="499" t="s">
        <v>841</v>
      </c>
      <c r="C361" s="499" t="s">
        <v>118</v>
      </c>
      <c r="D361" s="9" t="s">
        <v>150</v>
      </c>
      <c r="E361" s="499" t="s">
        <v>132</v>
      </c>
      <c r="F361" s="499"/>
      <c r="G361" s="10">
        <f t="shared" si="46"/>
        <v>606</v>
      </c>
      <c r="H361" s="10">
        <f t="shared" si="46"/>
        <v>606</v>
      </c>
    </row>
    <row r="362" spans="1:8" ht="47.25" x14ac:dyDescent="0.25">
      <c r="A362" s="29" t="s">
        <v>133</v>
      </c>
      <c r="B362" s="499" t="s">
        <v>841</v>
      </c>
      <c r="C362" s="499" t="s">
        <v>118</v>
      </c>
      <c r="D362" s="9" t="s">
        <v>150</v>
      </c>
      <c r="E362" s="499" t="s">
        <v>134</v>
      </c>
      <c r="F362" s="499"/>
      <c r="G362" s="10">
        <f>'пр.6.1.ведом.22-23 (2)'!G93</f>
        <v>606</v>
      </c>
      <c r="H362" s="10">
        <f>'пр.6.1.ведом.22-23 (2)'!H93</f>
        <v>606</v>
      </c>
    </row>
    <row r="363" spans="1:8" ht="31.5" x14ac:dyDescent="0.25">
      <c r="A363" s="29" t="s">
        <v>148</v>
      </c>
      <c r="B363" s="499" t="s">
        <v>841</v>
      </c>
      <c r="C363" s="499" t="s">
        <v>118</v>
      </c>
      <c r="D363" s="9" t="s">
        <v>150</v>
      </c>
      <c r="E363" s="499" t="s">
        <v>134</v>
      </c>
      <c r="F363" s="499" t="s">
        <v>641</v>
      </c>
      <c r="G363" s="10">
        <f>G362</f>
        <v>606</v>
      </c>
      <c r="H363" s="10">
        <f>H362</f>
        <v>606</v>
      </c>
    </row>
    <row r="364" spans="1:8" ht="78.75" x14ac:dyDescent="0.25">
      <c r="A364" s="220" t="s">
        <v>843</v>
      </c>
      <c r="B364" s="7" t="s">
        <v>850</v>
      </c>
      <c r="C364" s="7"/>
      <c r="D364" s="8"/>
      <c r="E364" s="194"/>
      <c r="F364" s="7"/>
      <c r="G364" s="59">
        <f>G365</f>
        <v>117.5</v>
      </c>
      <c r="H364" s="59">
        <f>H365</f>
        <v>117.5</v>
      </c>
    </row>
    <row r="365" spans="1:8" ht="15.75" x14ac:dyDescent="0.25">
      <c r="A365" s="45" t="s">
        <v>117</v>
      </c>
      <c r="B365" s="5" t="s">
        <v>850</v>
      </c>
      <c r="C365" s="499" t="s">
        <v>118</v>
      </c>
      <c r="D365" s="5"/>
      <c r="E365" s="5"/>
      <c r="F365" s="499"/>
      <c r="G365" s="10">
        <f>G371+G366</f>
        <v>117.5</v>
      </c>
      <c r="H365" s="10">
        <f>H371+H366</f>
        <v>117.5</v>
      </c>
    </row>
    <row r="366" spans="1:8" ht="47.25" x14ac:dyDescent="0.25">
      <c r="A366" s="496" t="s">
        <v>575</v>
      </c>
      <c r="B366" s="5" t="s">
        <v>850</v>
      </c>
      <c r="C366" s="499" t="s">
        <v>118</v>
      </c>
      <c r="D366" s="9" t="s">
        <v>213</v>
      </c>
      <c r="E366" s="5"/>
      <c r="F366" s="499"/>
      <c r="G366" s="10">
        <f t="shared" ref="G366:H368" si="47">G367</f>
        <v>40.5</v>
      </c>
      <c r="H366" s="10">
        <f t="shared" si="47"/>
        <v>40.5</v>
      </c>
    </row>
    <row r="367" spans="1:8" ht="63" x14ac:dyDescent="0.25">
      <c r="A367" s="31" t="s">
        <v>695</v>
      </c>
      <c r="B367" s="499" t="s">
        <v>993</v>
      </c>
      <c r="C367" s="492" t="s">
        <v>118</v>
      </c>
      <c r="D367" s="9" t="s">
        <v>213</v>
      </c>
      <c r="E367" s="5"/>
      <c r="F367" s="499"/>
      <c r="G367" s="10">
        <f t="shared" si="47"/>
        <v>40.5</v>
      </c>
      <c r="H367" s="10">
        <f t="shared" si="47"/>
        <v>40.5</v>
      </c>
    </row>
    <row r="368" spans="1:8" ht="31.5" x14ac:dyDescent="0.25">
      <c r="A368" s="496" t="s">
        <v>131</v>
      </c>
      <c r="B368" s="499" t="s">
        <v>696</v>
      </c>
      <c r="C368" s="492" t="s">
        <v>118</v>
      </c>
      <c r="D368" s="9" t="s">
        <v>213</v>
      </c>
      <c r="E368" s="5">
        <v>200</v>
      </c>
      <c r="F368" s="499"/>
      <c r="G368" s="10">
        <f t="shared" si="47"/>
        <v>40.5</v>
      </c>
      <c r="H368" s="10">
        <f t="shared" si="47"/>
        <v>40.5</v>
      </c>
    </row>
    <row r="369" spans="1:8" ht="47.25" x14ac:dyDescent="0.25">
      <c r="A369" s="496" t="s">
        <v>133</v>
      </c>
      <c r="B369" s="499" t="s">
        <v>696</v>
      </c>
      <c r="C369" s="492" t="s">
        <v>118</v>
      </c>
      <c r="D369" s="9" t="s">
        <v>213</v>
      </c>
      <c r="E369" s="5">
        <v>240</v>
      </c>
      <c r="F369" s="499"/>
      <c r="G369" s="10">
        <f>'[1]Пр.5 ведом.21'!G47</f>
        <v>40.5</v>
      </c>
      <c r="H369" s="10">
        <f>H370</f>
        <v>40.5</v>
      </c>
    </row>
    <row r="370" spans="1:8" ht="31.5" x14ac:dyDescent="0.25">
      <c r="A370" s="496" t="s">
        <v>148</v>
      </c>
      <c r="B370" s="499" t="s">
        <v>696</v>
      </c>
      <c r="C370" s="492" t="s">
        <v>118</v>
      </c>
      <c r="D370" s="9" t="s">
        <v>213</v>
      </c>
      <c r="E370" s="5">
        <v>240</v>
      </c>
      <c r="F370" s="499" t="s">
        <v>641</v>
      </c>
      <c r="G370" s="10">
        <f>G367</f>
        <v>40.5</v>
      </c>
      <c r="H370" s="10">
        <f>'пр.6.1.ведом.22-23 (2)'!H48</f>
        <v>40.5</v>
      </c>
    </row>
    <row r="371" spans="1:8" ht="78.75" x14ac:dyDescent="0.25">
      <c r="A371" s="29" t="s">
        <v>149</v>
      </c>
      <c r="B371" s="5" t="s">
        <v>850</v>
      </c>
      <c r="C371" s="499" t="s">
        <v>118</v>
      </c>
      <c r="D371" s="9" t="s">
        <v>150</v>
      </c>
      <c r="E371" s="5"/>
      <c r="F371" s="499"/>
      <c r="G371" s="10">
        <f>G372+G379+G383</f>
        <v>77</v>
      </c>
      <c r="H371" s="10">
        <f>H372+H379+H383</f>
        <v>77</v>
      </c>
    </row>
    <row r="372" spans="1:8" ht="63" x14ac:dyDescent="0.25">
      <c r="A372" s="174" t="s">
        <v>165</v>
      </c>
      <c r="B372" s="499" t="s">
        <v>842</v>
      </c>
      <c r="C372" s="499" t="s">
        <v>118</v>
      </c>
      <c r="D372" s="9" t="s">
        <v>150</v>
      </c>
      <c r="E372" s="499"/>
      <c r="F372" s="499"/>
      <c r="G372" s="10">
        <f>G373+G376</f>
        <v>77</v>
      </c>
      <c r="H372" s="10">
        <f>H373+H376</f>
        <v>77</v>
      </c>
    </row>
    <row r="373" spans="1:8" ht="94.5" x14ac:dyDescent="0.25">
      <c r="A373" s="496" t="s">
        <v>127</v>
      </c>
      <c r="B373" s="499" t="s">
        <v>842</v>
      </c>
      <c r="C373" s="499" t="s">
        <v>118</v>
      </c>
      <c r="D373" s="9" t="s">
        <v>150</v>
      </c>
      <c r="E373" s="499" t="s">
        <v>128</v>
      </c>
      <c r="F373" s="499"/>
      <c r="G373" s="10">
        <f>G374</f>
        <v>37</v>
      </c>
      <c r="H373" s="10">
        <f>H374</f>
        <v>37</v>
      </c>
    </row>
    <row r="374" spans="1:8" ht="31.5" x14ac:dyDescent="0.25">
      <c r="A374" s="496" t="s">
        <v>129</v>
      </c>
      <c r="B374" s="499" t="s">
        <v>842</v>
      </c>
      <c r="C374" s="499" t="s">
        <v>118</v>
      </c>
      <c r="D374" s="9" t="s">
        <v>150</v>
      </c>
      <c r="E374" s="499" t="s">
        <v>130</v>
      </c>
      <c r="F374" s="499"/>
      <c r="G374" s="10">
        <f>'пр.6.1.ведом.22-23 (2)'!G97</f>
        <v>37</v>
      </c>
      <c r="H374" s="10">
        <f>'пр.6.1.ведом.22-23 (2)'!H97</f>
        <v>37</v>
      </c>
    </row>
    <row r="375" spans="1:8" ht="31.5" x14ac:dyDescent="0.25">
      <c r="A375" s="29" t="s">
        <v>1322</v>
      </c>
      <c r="B375" s="499" t="s">
        <v>842</v>
      </c>
      <c r="C375" s="499" t="s">
        <v>118</v>
      </c>
      <c r="D375" s="9" t="s">
        <v>150</v>
      </c>
      <c r="E375" s="499" t="s">
        <v>130</v>
      </c>
      <c r="F375" s="499" t="s">
        <v>641</v>
      </c>
      <c r="G375" s="10">
        <f>G374</f>
        <v>37</v>
      </c>
      <c r="H375" s="10">
        <f>H374</f>
        <v>37</v>
      </c>
    </row>
    <row r="376" spans="1:8" ht="31.5" x14ac:dyDescent="0.25">
      <c r="A376" s="496" t="s">
        <v>131</v>
      </c>
      <c r="B376" s="499" t="s">
        <v>842</v>
      </c>
      <c r="C376" s="499" t="s">
        <v>118</v>
      </c>
      <c r="D376" s="9" t="s">
        <v>150</v>
      </c>
      <c r="E376" s="499" t="s">
        <v>132</v>
      </c>
      <c r="F376" s="499"/>
      <c r="G376" s="10">
        <f>G377</f>
        <v>40</v>
      </c>
      <c r="H376" s="10">
        <f>H377</f>
        <v>40</v>
      </c>
    </row>
    <row r="377" spans="1:8" ht="47.25" x14ac:dyDescent="0.25">
      <c r="A377" s="496" t="s">
        <v>133</v>
      </c>
      <c r="B377" s="499" t="s">
        <v>842</v>
      </c>
      <c r="C377" s="499" t="s">
        <v>118</v>
      </c>
      <c r="D377" s="9" t="s">
        <v>150</v>
      </c>
      <c r="E377" s="499" t="s">
        <v>134</v>
      </c>
      <c r="F377" s="499"/>
      <c r="G377" s="10">
        <f>'пр.6.1.ведом.22-23 (2)'!G99</f>
        <v>40</v>
      </c>
      <c r="H377" s="10">
        <f>'пр.6.1.ведом.22-23 (2)'!H99</f>
        <v>40</v>
      </c>
    </row>
    <row r="378" spans="1:8" ht="31.5" x14ac:dyDescent="0.25">
      <c r="A378" s="29" t="s">
        <v>148</v>
      </c>
      <c r="B378" s="499" t="s">
        <v>842</v>
      </c>
      <c r="C378" s="499" t="s">
        <v>118</v>
      </c>
      <c r="D378" s="9" t="s">
        <v>150</v>
      </c>
      <c r="E378" s="499" t="s">
        <v>134</v>
      </c>
      <c r="F378" s="499" t="s">
        <v>641</v>
      </c>
      <c r="G378" s="10">
        <f>G377</f>
        <v>40</v>
      </c>
      <c r="H378" s="10">
        <f>H377</f>
        <v>40</v>
      </c>
    </row>
    <row r="379" spans="1:8" ht="63" hidden="1" x14ac:dyDescent="0.25">
      <c r="A379" s="31" t="s">
        <v>695</v>
      </c>
      <c r="B379" s="499" t="s">
        <v>993</v>
      </c>
      <c r="C379" s="499" t="s">
        <v>118</v>
      </c>
      <c r="D379" s="9" t="s">
        <v>150</v>
      </c>
      <c r="E379" s="5"/>
      <c r="F379" s="499"/>
      <c r="G379" s="10">
        <f>G380</f>
        <v>0</v>
      </c>
      <c r="H379" s="10">
        <f>H380</f>
        <v>0</v>
      </c>
    </row>
    <row r="380" spans="1:8" ht="31.5" hidden="1" x14ac:dyDescent="0.25">
      <c r="A380" s="496" t="s">
        <v>131</v>
      </c>
      <c r="B380" s="499" t="s">
        <v>993</v>
      </c>
      <c r="C380" s="499" t="s">
        <v>118</v>
      </c>
      <c r="D380" s="9" t="s">
        <v>150</v>
      </c>
      <c r="E380" s="5">
        <v>200</v>
      </c>
      <c r="F380" s="499"/>
      <c r="G380" s="10">
        <f>G381</f>
        <v>0</v>
      </c>
      <c r="H380" s="10">
        <f>H381</f>
        <v>0</v>
      </c>
    </row>
    <row r="381" spans="1:8" ht="47.25" hidden="1" x14ac:dyDescent="0.25">
      <c r="A381" s="496" t="s">
        <v>133</v>
      </c>
      <c r="B381" s="499" t="s">
        <v>993</v>
      </c>
      <c r="C381" s="499" t="s">
        <v>118</v>
      </c>
      <c r="D381" s="9" t="s">
        <v>150</v>
      </c>
      <c r="E381" s="5">
        <v>240</v>
      </c>
      <c r="F381" s="499"/>
      <c r="G381" s="10">
        <f>'[1]Пр.5 ведом.21'!G99</f>
        <v>0</v>
      </c>
      <c r="H381" s="10">
        <f>'пр.6.1.ведом.22-23 (2)'!H102</f>
        <v>0</v>
      </c>
    </row>
    <row r="382" spans="1:8" ht="31.5" hidden="1" x14ac:dyDescent="0.25">
      <c r="A382" s="29" t="s">
        <v>148</v>
      </c>
      <c r="B382" s="499" t="s">
        <v>993</v>
      </c>
      <c r="C382" s="499" t="s">
        <v>118</v>
      </c>
      <c r="D382" s="9" t="s">
        <v>150</v>
      </c>
      <c r="E382" s="5">
        <v>240</v>
      </c>
      <c r="F382" s="499" t="s">
        <v>641</v>
      </c>
      <c r="G382" s="10">
        <f>G381</f>
        <v>0</v>
      </c>
      <c r="H382" s="10">
        <f>H381</f>
        <v>0</v>
      </c>
    </row>
    <row r="383" spans="1:8" ht="63" hidden="1" x14ac:dyDescent="0.25">
      <c r="A383" s="31" t="s">
        <v>695</v>
      </c>
      <c r="B383" s="492" t="s">
        <v>992</v>
      </c>
      <c r="C383" s="499" t="s">
        <v>118</v>
      </c>
      <c r="D383" s="9" t="s">
        <v>150</v>
      </c>
      <c r="E383" s="5"/>
      <c r="F383" s="499"/>
      <c r="G383" s="10">
        <f>G384</f>
        <v>0</v>
      </c>
      <c r="H383" s="10">
        <f>H384</f>
        <v>0</v>
      </c>
    </row>
    <row r="384" spans="1:8" ht="31.5" hidden="1" x14ac:dyDescent="0.25">
      <c r="A384" s="496" t="s">
        <v>131</v>
      </c>
      <c r="B384" s="492" t="s">
        <v>992</v>
      </c>
      <c r="C384" s="499" t="s">
        <v>118</v>
      </c>
      <c r="D384" s="9" t="s">
        <v>150</v>
      </c>
      <c r="E384" s="5">
        <v>200</v>
      </c>
      <c r="F384" s="499"/>
      <c r="G384" s="10">
        <f>G385</f>
        <v>0</v>
      </c>
      <c r="H384" s="10">
        <f>H385</f>
        <v>0</v>
      </c>
    </row>
    <row r="385" spans="1:8" ht="47.25" hidden="1" x14ac:dyDescent="0.25">
      <c r="A385" s="496" t="s">
        <v>133</v>
      </c>
      <c r="B385" s="492" t="s">
        <v>992</v>
      </c>
      <c r="C385" s="499" t="s">
        <v>118</v>
      </c>
      <c r="D385" s="9" t="s">
        <v>150</v>
      </c>
      <c r="E385" s="5">
        <v>240</v>
      </c>
      <c r="F385" s="499"/>
      <c r="G385" s="10">
        <f>'пр.6.1.ведом.22-23 (2)'!G105</f>
        <v>0</v>
      </c>
      <c r="H385" s="10">
        <f>'пр.6.1.ведом.22-23 (2)'!H105</f>
        <v>0</v>
      </c>
    </row>
    <row r="386" spans="1:8" ht="31.5" hidden="1" x14ac:dyDescent="0.25">
      <c r="A386" s="29" t="s">
        <v>148</v>
      </c>
      <c r="B386" s="492" t="s">
        <v>992</v>
      </c>
      <c r="C386" s="499" t="s">
        <v>118</v>
      </c>
      <c r="D386" s="9" t="s">
        <v>150</v>
      </c>
      <c r="E386" s="5">
        <v>240</v>
      </c>
      <c r="F386" s="499" t="s">
        <v>641</v>
      </c>
      <c r="G386" s="10">
        <f>G385</f>
        <v>0</v>
      </c>
      <c r="H386" s="10">
        <f>H385</f>
        <v>0</v>
      </c>
    </row>
    <row r="387" spans="1:8" ht="78.75" x14ac:dyDescent="0.25">
      <c r="A387" s="221" t="s">
        <v>1003</v>
      </c>
      <c r="B387" s="7" t="s">
        <v>851</v>
      </c>
      <c r="C387" s="7"/>
      <c r="D387" s="8"/>
      <c r="E387" s="7"/>
      <c r="F387" s="7"/>
      <c r="G387" s="59">
        <f>G388</f>
        <v>0.5</v>
      </c>
      <c r="H387" s="59">
        <f>H388</f>
        <v>0.5</v>
      </c>
    </row>
    <row r="388" spans="1:8" ht="15.75" x14ac:dyDescent="0.25">
      <c r="A388" s="45" t="s">
        <v>117</v>
      </c>
      <c r="B388" s="499" t="s">
        <v>851</v>
      </c>
      <c r="C388" s="499" t="s">
        <v>118</v>
      </c>
      <c r="D388" s="9"/>
      <c r="E388" s="7"/>
      <c r="F388" s="7"/>
      <c r="G388" s="10">
        <f>G389</f>
        <v>0.5</v>
      </c>
      <c r="H388" s="10">
        <f>H389</f>
        <v>0.5</v>
      </c>
    </row>
    <row r="389" spans="1:8" ht="78.75" x14ac:dyDescent="0.25">
      <c r="A389" s="29" t="s">
        <v>149</v>
      </c>
      <c r="B389" s="499" t="s">
        <v>851</v>
      </c>
      <c r="C389" s="499" t="s">
        <v>118</v>
      </c>
      <c r="D389" s="9" t="s">
        <v>150</v>
      </c>
      <c r="E389" s="7"/>
      <c r="F389" s="7"/>
      <c r="G389" s="10">
        <f>G390</f>
        <v>0.5</v>
      </c>
      <c r="H389" s="10">
        <f>H390+H394</f>
        <v>0.5</v>
      </c>
    </row>
    <row r="390" spans="1:8" ht="63" x14ac:dyDescent="0.25">
      <c r="A390" s="33" t="s">
        <v>191</v>
      </c>
      <c r="B390" s="499" t="s">
        <v>844</v>
      </c>
      <c r="C390" s="499" t="s">
        <v>118</v>
      </c>
      <c r="D390" s="9" t="s">
        <v>150</v>
      </c>
      <c r="E390" s="499"/>
      <c r="F390" s="499"/>
      <c r="G390" s="10">
        <f>G391</f>
        <v>0.5</v>
      </c>
      <c r="H390" s="10">
        <f>H391</f>
        <v>0.5</v>
      </c>
    </row>
    <row r="391" spans="1:8" ht="31.5" x14ac:dyDescent="0.25">
      <c r="A391" s="496" t="s">
        <v>131</v>
      </c>
      <c r="B391" s="499" t="s">
        <v>844</v>
      </c>
      <c r="C391" s="499" t="s">
        <v>118</v>
      </c>
      <c r="D391" s="9" t="s">
        <v>150</v>
      </c>
      <c r="E391" s="499" t="s">
        <v>132</v>
      </c>
      <c r="F391" s="499"/>
      <c r="G391" s="10">
        <f>G392</f>
        <v>0.5</v>
      </c>
      <c r="H391" s="10">
        <f>H392</f>
        <v>0.5</v>
      </c>
    </row>
    <row r="392" spans="1:8" ht="47.25" x14ac:dyDescent="0.25">
      <c r="A392" s="496" t="s">
        <v>133</v>
      </c>
      <c r="B392" s="499" t="s">
        <v>844</v>
      </c>
      <c r="C392" s="499" t="s">
        <v>118</v>
      </c>
      <c r="D392" s="9" t="s">
        <v>150</v>
      </c>
      <c r="E392" s="499" t="s">
        <v>134</v>
      </c>
      <c r="F392" s="499"/>
      <c r="G392" s="10">
        <f>'пр.6.1.ведом.22-23 (2)'!G109</f>
        <v>0.5</v>
      </c>
      <c r="H392" s="10">
        <f>'пр.6.1.ведом.22-23 (2)'!H109</f>
        <v>0.5</v>
      </c>
    </row>
    <row r="393" spans="1:8" ht="31.5" x14ac:dyDescent="0.25">
      <c r="A393" s="29" t="s">
        <v>148</v>
      </c>
      <c r="B393" s="499" t="s">
        <v>844</v>
      </c>
      <c r="C393" s="499" t="s">
        <v>118</v>
      </c>
      <c r="D393" s="9" t="s">
        <v>150</v>
      </c>
      <c r="E393" s="499" t="s">
        <v>134</v>
      </c>
      <c r="F393" s="499" t="s">
        <v>641</v>
      </c>
      <c r="G393" s="10">
        <f>G392</f>
        <v>0.5</v>
      </c>
      <c r="H393" s="10">
        <f>H392</f>
        <v>0.5</v>
      </c>
    </row>
    <row r="394" spans="1:8" ht="63" hidden="1" x14ac:dyDescent="0.25">
      <c r="A394" s="33" t="s">
        <v>191</v>
      </c>
      <c r="B394" s="492" t="s">
        <v>845</v>
      </c>
      <c r="C394" s="499" t="s">
        <v>118</v>
      </c>
      <c r="D394" s="9" t="s">
        <v>150</v>
      </c>
      <c r="E394" s="499"/>
      <c r="F394" s="499"/>
      <c r="G394" s="10">
        <f>G395</f>
        <v>0</v>
      </c>
      <c r="H394" s="10">
        <f>H395</f>
        <v>0</v>
      </c>
    </row>
    <row r="395" spans="1:8" ht="31.5" hidden="1" x14ac:dyDescent="0.25">
      <c r="A395" s="496" t="s">
        <v>131</v>
      </c>
      <c r="B395" s="492" t="s">
        <v>845</v>
      </c>
      <c r="C395" s="499" t="s">
        <v>118</v>
      </c>
      <c r="D395" s="9" t="s">
        <v>150</v>
      </c>
      <c r="E395" s="499" t="s">
        <v>132</v>
      </c>
      <c r="F395" s="499"/>
      <c r="G395" s="10">
        <f>G396</f>
        <v>0</v>
      </c>
      <c r="H395" s="10">
        <f>H396</f>
        <v>0</v>
      </c>
    </row>
    <row r="396" spans="1:8" ht="47.25" hidden="1" x14ac:dyDescent="0.25">
      <c r="A396" s="496" t="s">
        <v>133</v>
      </c>
      <c r="B396" s="492" t="s">
        <v>845</v>
      </c>
      <c r="C396" s="499" t="s">
        <v>118</v>
      </c>
      <c r="D396" s="9" t="s">
        <v>150</v>
      </c>
      <c r="E396" s="499" t="s">
        <v>134</v>
      </c>
      <c r="F396" s="499"/>
      <c r="G396" s="10">
        <f>'пр.6.1.ведом.22-23 (2)'!G112</f>
        <v>0</v>
      </c>
      <c r="H396" s="10">
        <f>'пр.6.1.ведом.22-23 (2)'!H112</f>
        <v>0</v>
      </c>
    </row>
    <row r="397" spans="1:8" ht="31.5" hidden="1" x14ac:dyDescent="0.25">
      <c r="A397" s="29" t="s">
        <v>148</v>
      </c>
      <c r="B397" s="492" t="s">
        <v>845</v>
      </c>
      <c r="C397" s="499" t="s">
        <v>118</v>
      </c>
      <c r="D397" s="9" t="s">
        <v>150</v>
      </c>
      <c r="E397" s="499" t="s">
        <v>134</v>
      </c>
      <c r="F397" s="499" t="s">
        <v>641</v>
      </c>
      <c r="G397" s="10">
        <f>G396</f>
        <v>0</v>
      </c>
      <c r="H397" s="10">
        <f>H396</f>
        <v>0</v>
      </c>
    </row>
    <row r="398" spans="1:8" ht="63" x14ac:dyDescent="0.25">
      <c r="A398" s="500" t="s">
        <v>1346</v>
      </c>
      <c r="B398" s="194" t="s">
        <v>254</v>
      </c>
      <c r="C398" s="499"/>
      <c r="D398" s="499"/>
      <c r="E398" s="499"/>
      <c r="F398" s="499"/>
      <c r="G398" s="59">
        <f t="shared" ref="G398:H398" si="48">G400</f>
        <v>10</v>
      </c>
      <c r="H398" s="59">
        <f t="shared" si="48"/>
        <v>10</v>
      </c>
    </row>
    <row r="399" spans="1:8" ht="47.25" x14ac:dyDescent="0.25">
      <c r="A399" s="494" t="s">
        <v>884</v>
      </c>
      <c r="B399" s="495" t="s">
        <v>882</v>
      </c>
      <c r="C399" s="499"/>
      <c r="D399" s="499"/>
      <c r="E399" s="499"/>
      <c r="F399" s="499"/>
      <c r="G399" s="59">
        <f t="shared" ref="G399:H400" si="49">G400</f>
        <v>10</v>
      </c>
      <c r="H399" s="59">
        <f t="shared" si="49"/>
        <v>10</v>
      </c>
    </row>
    <row r="400" spans="1:8" ht="15.75" x14ac:dyDescent="0.25">
      <c r="A400" s="29" t="s">
        <v>243</v>
      </c>
      <c r="B400" s="5" t="s">
        <v>882</v>
      </c>
      <c r="C400" s="499" t="s">
        <v>244</v>
      </c>
      <c r="D400" s="499"/>
      <c r="E400" s="499"/>
      <c r="F400" s="499"/>
      <c r="G400" s="10">
        <f t="shared" si="49"/>
        <v>10</v>
      </c>
      <c r="H400" s="10">
        <f t="shared" si="49"/>
        <v>10</v>
      </c>
    </row>
    <row r="401" spans="1:8" ht="15.75" x14ac:dyDescent="0.25">
      <c r="A401" s="29" t="s">
        <v>252</v>
      </c>
      <c r="B401" s="5" t="s">
        <v>882</v>
      </c>
      <c r="C401" s="499" t="s">
        <v>244</v>
      </c>
      <c r="D401" s="499" t="s">
        <v>215</v>
      </c>
      <c r="E401" s="499"/>
      <c r="F401" s="499"/>
      <c r="G401" s="10">
        <f>G402</f>
        <v>10</v>
      </c>
      <c r="H401" s="10">
        <f>H402</f>
        <v>10</v>
      </c>
    </row>
    <row r="402" spans="1:8" ht="31.5" x14ac:dyDescent="0.25">
      <c r="A402" s="496" t="s">
        <v>883</v>
      </c>
      <c r="B402" s="492" t="s">
        <v>1188</v>
      </c>
      <c r="C402" s="499" t="s">
        <v>244</v>
      </c>
      <c r="D402" s="499" t="s">
        <v>215</v>
      </c>
      <c r="E402" s="499"/>
      <c r="F402" s="499"/>
      <c r="G402" s="10">
        <f t="shared" ref="G402:H403" si="50">G403</f>
        <v>10</v>
      </c>
      <c r="H402" s="10">
        <f t="shared" si="50"/>
        <v>10</v>
      </c>
    </row>
    <row r="403" spans="1:8" ht="31.5" x14ac:dyDescent="0.25">
      <c r="A403" s="496" t="s">
        <v>248</v>
      </c>
      <c r="B403" s="492" t="s">
        <v>1188</v>
      </c>
      <c r="C403" s="499" t="s">
        <v>244</v>
      </c>
      <c r="D403" s="499" t="s">
        <v>215</v>
      </c>
      <c r="E403" s="499" t="s">
        <v>249</v>
      </c>
      <c r="F403" s="499"/>
      <c r="G403" s="10">
        <f t="shared" si="50"/>
        <v>10</v>
      </c>
      <c r="H403" s="10">
        <f t="shared" si="50"/>
        <v>10</v>
      </c>
    </row>
    <row r="404" spans="1:8" ht="47.25" x14ac:dyDescent="0.25">
      <c r="A404" s="496" t="s">
        <v>250</v>
      </c>
      <c r="B404" s="492" t="s">
        <v>1188</v>
      </c>
      <c r="C404" s="499" t="s">
        <v>244</v>
      </c>
      <c r="D404" s="499" t="s">
        <v>215</v>
      </c>
      <c r="E404" s="499" t="s">
        <v>251</v>
      </c>
      <c r="F404" s="499"/>
      <c r="G404" s="10">
        <f>'пр.6.1.ведом.22-23 (2)'!G230</f>
        <v>10</v>
      </c>
      <c r="H404" s="10">
        <f>'пр.6.1.ведом.22-23 (2)'!H230</f>
        <v>10</v>
      </c>
    </row>
    <row r="405" spans="1:8" ht="31.5" x14ac:dyDescent="0.25">
      <c r="A405" s="29" t="s">
        <v>148</v>
      </c>
      <c r="B405" s="492" t="s">
        <v>1188</v>
      </c>
      <c r="C405" s="499" t="s">
        <v>244</v>
      </c>
      <c r="D405" s="499" t="s">
        <v>215</v>
      </c>
      <c r="E405" s="499" t="s">
        <v>251</v>
      </c>
      <c r="F405" s="499" t="s">
        <v>641</v>
      </c>
      <c r="G405" s="10">
        <f>G404</f>
        <v>10</v>
      </c>
      <c r="H405" s="10">
        <f>H404</f>
        <v>10</v>
      </c>
    </row>
    <row r="406" spans="1:8" ht="47.25" x14ac:dyDescent="0.25">
      <c r="A406" s="500" t="s">
        <v>1369</v>
      </c>
      <c r="B406" s="3" t="s">
        <v>482</v>
      </c>
      <c r="C406" s="68"/>
      <c r="D406" s="68"/>
      <c r="E406" s="68"/>
      <c r="F406" s="68"/>
      <c r="G406" s="488">
        <f>G407+G414+G429+G440+G447</f>
        <v>52873.1</v>
      </c>
      <c r="H406" s="488">
        <f>H407+H414+H429+H440+H447</f>
        <v>52873.1</v>
      </c>
    </row>
    <row r="407" spans="1:8" ht="47.25" x14ac:dyDescent="0.25">
      <c r="A407" s="494" t="s">
        <v>937</v>
      </c>
      <c r="B407" s="495" t="s">
        <v>1263</v>
      </c>
      <c r="C407" s="7"/>
      <c r="D407" s="7"/>
      <c r="E407" s="223"/>
      <c r="F407" s="194"/>
      <c r="G407" s="59">
        <f>G408</f>
        <v>47819.6</v>
      </c>
      <c r="H407" s="59">
        <f>H408</f>
        <v>47819.6</v>
      </c>
    </row>
    <row r="408" spans="1:8" ht="15.75" x14ac:dyDescent="0.25">
      <c r="A408" s="29" t="s">
        <v>490</v>
      </c>
      <c r="B408" s="499" t="s">
        <v>1263</v>
      </c>
      <c r="C408" s="2">
        <v>11</v>
      </c>
      <c r="D408" s="68"/>
      <c r="E408" s="68"/>
      <c r="F408" s="68"/>
      <c r="G408" s="10">
        <f t="shared" ref="G408:H411" si="51">G409</f>
        <v>47819.6</v>
      </c>
      <c r="H408" s="10">
        <f t="shared" si="51"/>
        <v>47819.6</v>
      </c>
    </row>
    <row r="409" spans="1:8" ht="16.5" x14ac:dyDescent="0.25">
      <c r="A409" s="29" t="s">
        <v>492</v>
      </c>
      <c r="B409" s="499" t="s">
        <v>1263</v>
      </c>
      <c r="C409" s="499" t="s">
        <v>491</v>
      </c>
      <c r="D409" s="499" t="s">
        <v>118</v>
      </c>
      <c r="E409" s="71"/>
      <c r="F409" s="5"/>
      <c r="G409" s="10">
        <f t="shared" si="51"/>
        <v>47819.6</v>
      </c>
      <c r="H409" s="10">
        <f t="shared" si="51"/>
        <v>47819.6</v>
      </c>
    </row>
    <row r="410" spans="1:8" ht="47.25" x14ac:dyDescent="0.25">
      <c r="A410" s="496" t="s">
        <v>1293</v>
      </c>
      <c r="B410" s="492" t="s">
        <v>1264</v>
      </c>
      <c r="C410" s="499" t="s">
        <v>491</v>
      </c>
      <c r="D410" s="499" t="s">
        <v>118</v>
      </c>
      <c r="E410" s="71"/>
      <c r="F410" s="5"/>
      <c r="G410" s="10">
        <f t="shared" si="51"/>
        <v>47819.6</v>
      </c>
      <c r="H410" s="10">
        <f t="shared" si="51"/>
        <v>47819.6</v>
      </c>
    </row>
    <row r="411" spans="1:8" ht="47.25" x14ac:dyDescent="0.25">
      <c r="A411" s="29" t="s">
        <v>272</v>
      </c>
      <c r="B411" s="492" t="s">
        <v>1264</v>
      </c>
      <c r="C411" s="499" t="s">
        <v>491</v>
      </c>
      <c r="D411" s="499" t="s">
        <v>118</v>
      </c>
      <c r="E411" s="499" t="s">
        <v>273</v>
      </c>
      <c r="F411" s="5"/>
      <c r="G411" s="10">
        <f t="shared" si="51"/>
        <v>47819.6</v>
      </c>
      <c r="H411" s="10">
        <f t="shared" si="51"/>
        <v>47819.6</v>
      </c>
    </row>
    <row r="412" spans="1:8" ht="15.75" x14ac:dyDescent="0.25">
      <c r="A412" s="29" t="s">
        <v>274</v>
      </c>
      <c r="B412" s="492" t="s">
        <v>1264</v>
      </c>
      <c r="C412" s="499" t="s">
        <v>491</v>
      </c>
      <c r="D412" s="499" t="s">
        <v>118</v>
      </c>
      <c r="E412" s="499" t="s">
        <v>275</v>
      </c>
      <c r="F412" s="5"/>
      <c r="G412" s="10">
        <f>'пр.6.1.ведом.22-23 (2)'!G770</f>
        <v>47819.6</v>
      </c>
      <c r="H412" s="10">
        <f>'пр.6.1.ведом.22-23 (2)'!H770</f>
        <v>47819.6</v>
      </c>
    </row>
    <row r="413" spans="1:8" ht="47.25" x14ac:dyDescent="0.25">
      <c r="A413" s="45" t="s">
        <v>480</v>
      </c>
      <c r="B413" s="492" t="s">
        <v>1264</v>
      </c>
      <c r="C413" s="499" t="s">
        <v>491</v>
      </c>
      <c r="D413" s="499" t="s">
        <v>118</v>
      </c>
      <c r="E413" s="499" t="s">
        <v>275</v>
      </c>
      <c r="F413" s="5">
        <v>907</v>
      </c>
      <c r="G413" s="10">
        <f>G412</f>
        <v>47819.6</v>
      </c>
      <c r="H413" s="10">
        <f>H412</f>
        <v>47819.6</v>
      </c>
    </row>
    <row r="414" spans="1:8" ht="31.5" x14ac:dyDescent="0.25">
      <c r="A414" s="494" t="s">
        <v>945</v>
      </c>
      <c r="B414" s="495" t="s">
        <v>1265</v>
      </c>
      <c r="C414" s="7"/>
      <c r="D414" s="7"/>
      <c r="E414" s="7"/>
      <c r="F414" s="194"/>
      <c r="G414" s="59">
        <f>G415</f>
        <v>36</v>
      </c>
      <c r="H414" s="59">
        <f>H415</f>
        <v>36</v>
      </c>
    </row>
    <row r="415" spans="1:8" ht="15.75" x14ac:dyDescent="0.25">
      <c r="A415" s="29" t="s">
        <v>490</v>
      </c>
      <c r="B415" s="492" t="s">
        <v>1265</v>
      </c>
      <c r="C415" s="2">
        <v>11</v>
      </c>
      <c r="D415" s="68"/>
      <c r="E415" s="68"/>
      <c r="F415" s="68"/>
      <c r="G415" s="10">
        <f t="shared" ref="G415:H415" si="52">G416</f>
        <v>36</v>
      </c>
      <c r="H415" s="10">
        <f t="shared" si="52"/>
        <v>36</v>
      </c>
    </row>
    <row r="416" spans="1:8" ht="16.5" x14ac:dyDescent="0.25">
      <c r="A416" s="29" t="s">
        <v>492</v>
      </c>
      <c r="B416" s="492" t="s">
        <v>1265</v>
      </c>
      <c r="C416" s="499" t="s">
        <v>491</v>
      </c>
      <c r="D416" s="499" t="s">
        <v>118</v>
      </c>
      <c r="E416" s="71"/>
      <c r="F416" s="5"/>
      <c r="G416" s="10">
        <f>G417+G421+G425</f>
        <v>36</v>
      </c>
      <c r="H416" s="10">
        <f>H417+H421+H425</f>
        <v>36</v>
      </c>
    </row>
    <row r="417" spans="1:8" ht="47.25" hidden="1" x14ac:dyDescent="0.25">
      <c r="A417" s="29" t="s">
        <v>278</v>
      </c>
      <c r="B417" s="492" t="s">
        <v>1323</v>
      </c>
      <c r="C417" s="499" t="s">
        <v>491</v>
      </c>
      <c r="D417" s="499" t="s">
        <v>118</v>
      </c>
      <c r="E417" s="499"/>
      <c r="F417" s="5"/>
      <c r="G417" s="10">
        <f t="shared" ref="G417:H418" si="53">G418</f>
        <v>0</v>
      </c>
      <c r="H417" s="10">
        <f t="shared" si="53"/>
        <v>0</v>
      </c>
    </row>
    <row r="418" spans="1:8" ht="47.25" hidden="1" x14ac:dyDescent="0.25">
      <c r="A418" s="29" t="s">
        <v>272</v>
      </c>
      <c r="B418" s="492" t="s">
        <v>1323</v>
      </c>
      <c r="C418" s="499" t="s">
        <v>491</v>
      </c>
      <c r="D418" s="499" t="s">
        <v>118</v>
      </c>
      <c r="E418" s="499" t="s">
        <v>273</v>
      </c>
      <c r="F418" s="5"/>
      <c r="G418" s="10">
        <f t="shared" si="53"/>
        <v>0</v>
      </c>
      <c r="H418" s="10">
        <f t="shared" si="53"/>
        <v>0</v>
      </c>
    </row>
    <row r="419" spans="1:8" ht="15.75" hidden="1" x14ac:dyDescent="0.25">
      <c r="A419" s="29" t="s">
        <v>274</v>
      </c>
      <c r="B419" s="492" t="s">
        <v>1323</v>
      </c>
      <c r="C419" s="499" t="s">
        <v>491</v>
      </c>
      <c r="D419" s="499" t="s">
        <v>118</v>
      </c>
      <c r="E419" s="499" t="s">
        <v>275</v>
      </c>
      <c r="F419" s="5"/>
      <c r="G419" s="10">
        <f>'пр.6.1.ведом.22-23 (2)'!G774</f>
        <v>0</v>
      </c>
      <c r="H419" s="10">
        <f>'пр.6.1.ведом.22-23 (2)'!H774</f>
        <v>0</v>
      </c>
    </row>
    <row r="420" spans="1:8" ht="47.25" hidden="1" x14ac:dyDescent="0.25">
      <c r="A420" s="45" t="s">
        <v>480</v>
      </c>
      <c r="B420" s="492" t="s">
        <v>1323</v>
      </c>
      <c r="C420" s="499" t="s">
        <v>491</v>
      </c>
      <c r="D420" s="499" t="s">
        <v>118</v>
      </c>
      <c r="E420" s="499" t="s">
        <v>275</v>
      </c>
      <c r="F420" s="5">
        <v>907</v>
      </c>
      <c r="G420" s="10">
        <f>G419</f>
        <v>0</v>
      </c>
      <c r="H420" s="10">
        <f>H419</f>
        <v>0</v>
      </c>
    </row>
    <row r="421" spans="1:8" ht="31.5" hidden="1" x14ac:dyDescent="0.25">
      <c r="A421" s="29" t="s">
        <v>280</v>
      </c>
      <c r="B421" s="492" t="s">
        <v>1324</v>
      </c>
      <c r="C421" s="499" t="s">
        <v>491</v>
      </c>
      <c r="D421" s="499" t="s">
        <v>118</v>
      </c>
      <c r="E421" s="499"/>
      <c r="F421" s="5"/>
      <c r="G421" s="10">
        <f t="shared" ref="G421:H422" si="54">G422</f>
        <v>0</v>
      </c>
      <c r="H421" s="10">
        <f t="shared" si="54"/>
        <v>0</v>
      </c>
    </row>
    <row r="422" spans="1:8" ht="47.25" hidden="1" x14ac:dyDescent="0.25">
      <c r="A422" s="29" t="s">
        <v>272</v>
      </c>
      <c r="B422" s="492" t="s">
        <v>1324</v>
      </c>
      <c r="C422" s="499" t="s">
        <v>491</v>
      </c>
      <c r="D422" s="499" t="s">
        <v>118</v>
      </c>
      <c r="E422" s="499" t="s">
        <v>273</v>
      </c>
      <c r="F422" s="5"/>
      <c r="G422" s="10">
        <f t="shared" si="54"/>
        <v>0</v>
      </c>
      <c r="H422" s="10">
        <f t="shared" si="54"/>
        <v>0</v>
      </c>
    </row>
    <row r="423" spans="1:8" ht="15.75" hidden="1" x14ac:dyDescent="0.25">
      <c r="A423" s="29" t="s">
        <v>274</v>
      </c>
      <c r="B423" s="492" t="s">
        <v>1324</v>
      </c>
      <c r="C423" s="499" t="s">
        <v>491</v>
      </c>
      <c r="D423" s="499" t="s">
        <v>118</v>
      </c>
      <c r="E423" s="499" t="s">
        <v>275</v>
      </c>
      <c r="F423" s="5"/>
      <c r="G423" s="10">
        <f>'пр.6.1.ведом.22-23 (2)'!G777</f>
        <v>0</v>
      </c>
      <c r="H423" s="10">
        <f>'пр.6.1.ведом.22-23 (2)'!H777</f>
        <v>0</v>
      </c>
    </row>
    <row r="424" spans="1:8" ht="47.25" hidden="1" x14ac:dyDescent="0.25">
      <c r="A424" s="45" t="s">
        <v>480</v>
      </c>
      <c r="B424" s="492" t="s">
        <v>1324</v>
      </c>
      <c r="C424" s="499" t="s">
        <v>491</v>
      </c>
      <c r="D424" s="499" t="s">
        <v>118</v>
      </c>
      <c r="E424" s="499" t="s">
        <v>275</v>
      </c>
      <c r="F424" s="5">
        <v>907</v>
      </c>
      <c r="G424" s="10">
        <f>G423</f>
        <v>0</v>
      </c>
      <c r="H424" s="10">
        <f>H423</f>
        <v>0</v>
      </c>
    </row>
    <row r="425" spans="1:8" ht="15.75" x14ac:dyDescent="0.25">
      <c r="A425" s="496" t="s">
        <v>830</v>
      </c>
      <c r="B425" s="492" t="s">
        <v>1266</v>
      </c>
      <c r="C425" s="499" t="s">
        <v>491</v>
      </c>
      <c r="D425" s="499" t="s">
        <v>118</v>
      </c>
      <c r="E425" s="499"/>
      <c r="F425" s="5"/>
      <c r="G425" s="10">
        <f>G426</f>
        <v>36</v>
      </c>
      <c r="H425" s="10">
        <f>H426</f>
        <v>36</v>
      </c>
    </row>
    <row r="426" spans="1:8" ht="47.25" x14ac:dyDescent="0.25">
      <c r="A426" s="496" t="s">
        <v>272</v>
      </c>
      <c r="B426" s="492" t="s">
        <v>1266</v>
      </c>
      <c r="C426" s="499" t="s">
        <v>491</v>
      </c>
      <c r="D426" s="499" t="s">
        <v>118</v>
      </c>
      <c r="E426" s="499" t="s">
        <v>273</v>
      </c>
      <c r="F426" s="5"/>
      <c r="G426" s="10">
        <f>G427</f>
        <v>36</v>
      </c>
      <c r="H426" s="10">
        <f>H427</f>
        <v>36</v>
      </c>
    </row>
    <row r="427" spans="1:8" ht="15.75" x14ac:dyDescent="0.25">
      <c r="A427" s="496" t="s">
        <v>274</v>
      </c>
      <c r="B427" s="492" t="s">
        <v>1266</v>
      </c>
      <c r="C427" s="499" t="s">
        <v>491</v>
      </c>
      <c r="D427" s="499" t="s">
        <v>118</v>
      </c>
      <c r="E427" s="499" t="s">
        <v>275</v>
      </c>
      <c r="F427" s="5"/>
      <c r="G427" s="10">
        <f>'пр.6.1.ведом.22-23 (2)'!G781</f>
        <v>36</v>
      </c>
      <c r="H427" s="10">
        <f>'пр.6.1.ведом.22-23 (2)'!H781</f>
        <v>36</v>
      </c>
    </row>
    <row r="428" spans="1:8" ht="47.25" x14ac:dyDescent="0.25">
      <c r="A428" s="45" t="s">
        <v>480</v>
      </c>
      <c r="B428" s="492" t="s">
        <v>1266</v>
      </c>
      <c r="C428" s="499" t="s">
        <v>491</v>
      </c>
      <c r="D428" s="499" t="s">
        <v>118</v>
      </c>
      <c r="E428" s="499" t="s">
        <v>275</v>
      </c>
      <c r="F428" s="5">
        <v>907</v>
      </c>
      <c r="G428" s="10">
        <f>G427</f>
        <v>36</v>
      </c>
      <c r="H428" s="10">
        <f>H427</f>
        <v>36</v>
      </c>
    </row>
    <row r="429" spans="1:8" ht="47.25" x14ac:dyDescent="0.25">
      <c r="A429" s="494" t="s">
        <v>947</v>
      </c>
      <c r="B429" s="495" t="s">
        <v>1267</v>
      </c>
      <c r="C429" s="7"/>
      <c r="D429" s="7"/>
      <c r="E429" s="7"/>
      <c r="F429" s="194"/>
      <c r="G429" s="59">
        <f>G430</f>
        <v>1204</v>
      </c>
      <c r="H429" s="59">
        <f>H430</f>
        <v>1204</v>
      </c>
    </row>
    <row r="430" spans="1:8" ht="15.75" x14ac:dyDescent="0.25">
      <c r="A430" s="29" t="s">
        <v>490</v>
      </c>
      <c r="B430" s="492" t="s">
        <v>1267</v>
      </c>
      <c r="C430" s="2">
        <v>11</v>
      </c>
      <c r="D430" s="68"/>
      <c r="E430" s="68"/>
      <c r="F430" s="68"/>
      <c r="G430" s="10">
        <f t="shared" ref="G430:H430" si="55">G431</f>
        <v>1204</v>
      </c>
      <c r="H430" s="10">
        <f t="shared" si="55"/>
        <v>1204</v>
      </c>
    </row>
    <row r="431" spans="1:8" ht="16.5" x14ac:dyDescent="0.25">
      <c r="A431" s="29" t="s">
        <v>492</v>
      </c>
      <c r="B431" s="492" t="s">
        <v>1267</v>
      </c>
      <c r="C431" s="499" t="s">
        <v>491</v>
      </c>
      <c r="D431" s="499" t="s">
        <v>118</v>
      </c>
      <c r="E431" s="71"/>
      <c r="F431" s="5"/>
      <c r="G431" s="10">
        <f>G432+G436</f>
        <v>1204</v>
      </c>
      <c r="H431" s="10">
        <f>H432+H436</f>
        <v>1204</v>
      </c>
    </row>
    <row r="432" spans="1:8" ht="31.5" hidden="1" x14ac:dyDescent="0.25">
      <c r="A432" s="29" t="s">
        <v>284</v>
      </c>
      <c r="B432" s="492" t="s">
        <v>1305</v>
      </c>
      <c r="C432" s="499" t="s">
        <v>491</v>
      </c>
      <c r="D432" s="499" t="s">
        <v>118</v>
      </c>
      <c r="E432" s="499"/>
      <c r="F432" s="5"/>
      <c r="G432" s="10">
        <f t="shared" ref="G432:H433" si="56">G433</f>
        <v>0</v>
      </c>
      <c r="H432" s="10">
        <f t="shared" si="56"/>
        <v>0</v>
      </c>
    </row>
    <row r="433" spans="1:8" ht="47.25" hidden="1" x14ac:dyDescent="0.25">
      <c r="A433" s="29" t="s">
        <v>272</v>
      </c>
      <c r="B433" s="492" t="s">
        <v>1305</v>
      </c>
      <c r="C433" s="499" t="s">
        <v>491</v>
      </c>
      <c r="D433" s="499" t="s">
        <v>118</v>
      </c>
      <c r="E433" s="499" t="s">
        <v>273</v>
      </c>
      <c r="F433" s="5"/>
      <c r="G433" s="10">
        <f t="shared" si="56"/>
        <v>0</v>
      </c>
      <c r="H433" s="10">
        <f t="shared" si="56"/>
        <v>0</v>
      </c>
    </row>
    <row r="434" spans="1:8" ht="15.75" hidden="1" x14ac:dyDescent="0.25">
      <c r="A434" s="29" t="s">
        <v>274</v>
      </c>
      <c r="B434" s="492" t="s">
        <v>1305</v>
      </c>
      <c r="C434" s="499" t="s">
        <v>491</v>
      </c>
      <c r="D434" s="499" t="s">
        <v>118</v>
      </c>
      <c r="E434" s="499" t="s">
        <v>275</v>
      </c>
      <c r="F434" s="5"/>
      <c r="G434" s="10">
        <f>'пр.6.1.ведом.22-23 (2)'!G785</f>
        <v>0</v>
      </c>
      <c r="H434" s="10">
        <f>'пр.6.1.ведом.22-23 (2)'!H785</f>
        <v>0</v>
      </c>
    </row>
    <row r="435" spans="1:8" ht="47.25" hidden="1" x14ac:dyDescent="0.25">
      <c r="A435" s="45" t="s">
        <v>480</v>
      </c>
      <c r="B435" s="492" t="s">
        <v>1305</v>
      </c>
      <c r="C435" s="499" t="s">
        <v>491</v>
      </c>
      <c r="D435" s="499" t="s">
        <v>118</v>
      </c>
      <c r="E435" s="499" t="s">
        <v>275</v>
      </c>
      <c r="F435" s="5">
        <v>907</v>
      </c>
      <c r="G435" s="10">
        <f>G434</f>
        <v>0</v>
      </c>
      <c r="H435" s="10">
        <f>H434</f>
        <v>0</v>
      </c>
    </row>
    <row r="436" spans="1:8" ht="47.25" x14ac:dyDescent="0.25">
      <c r="A436" s="45" t="s">
        <v>764</v>
      </c>
      <c r="B436" s="492" t="s">
        <v>1268</v>
      </c>
      <c r="C436" s="499" t="s">
        <v>491</v>
      </c>
      <c r="D436" s="499" t="s">
        <v>118</v>
      </c>
      <c r="E436" s="499"/>
      <c r="F436" s="5"/>
      <c r="G436" s="10">
        <f t="shared" ref="G436:H437" si="57">G437</f>
        <v>1204</v>
      </c>
      <c r="H436" s="10">
        <f t="shared" si="57"/>
        <v>1204</v>
      </c>
    </row>
    <row r="437" spans="1:8" ht="47.25" x14ac:dyDescent="0.25">
      <c r="A437" s="31" t="s">
        <v>272</v>
      </c>
      <c r="B437" s="492" t="s">
        <v>1268</v>
      </c>
      <c r="C437" s="499" t="s">
        <v>491</v>
      </c>
      <c r="D437" s="499" t="s">
        <v>118</v>
      </c>
      <c r="E437" s="499" t="s">
        <v>273</v>
      </c>
      <c r="F437" s="5"/>
      <c r="G437" s="10">
        <f t="shared" si="57"/>
        <v>1204</v>
      </c>
      <c r="H437" s="10">
        <f t="shared" si="57"/>
        <v>1204</v>
      </c>
    </row>
    <row r="438" spans="1:8" ht="15.75" x14ac:dyDescent="0.25">
      <c r="A438" s="31" t="s">
        <v>274</v>
      </c>
      <c r="B438" s="492" t="s">
        <v>1268</v>
      </c>
      <c r="C438" s="499" t="s">
        <v>491</v>
      </c>
      <c r="D438" s="499" t="s">
        <v>118</v>
      </c>
      <c r="E438" s="499" t="s">
        <v>275</v>
      </c>
      <c r="F438" s="5"/>
      <c r="G438" s="10">
        <f>'пр.6.1.ведом.22-23 (2)'!G788</f>
        <v>1204</v>
      </c>
      <c r="H438" s="10">
        <f>'пр.6.1.ведом.22-23 (2)'!H788</f>
        <v>1204</v>
      </c>
    </row>
    <row r="439" spans="1:8" ht="47.25" x14ac:dyDescent="0.25">
      <c r="A439" s="45" t="s">
        <v>480</v>
      </c>
      <c r="B439" s="492" t="s">
        <v>1268</v>
      </c>
      <c r="C439" s="499" t="s">
        <v>491</v>
      </c>
      <c r="D439" s="499" t="s">
        <v>118</v>
      </c>
      <c r="E439" s="499" t="s">
        <v>275</v>
      </c>
      <c r="F439" s="5">
        <v>907</v>
      </c>
      <c r="G439" s="10">
        <f>G438</f>
        <v>1204</v>
      </c>
      <c r="H439" s="10">
        <f>H438</f>
        <v>1204</v>
      </c>
    </row>
    <row r="440" spans="1:8" ht="47.25" x14ac:dyDescent="0.25">
      <c r="A440" s="494" t="s">
        <v>900</v>
      </c>
      <c r="B440" s="495" t="s">
        <v>1269</v>
      </c>
      <c r="C440" s="7"/>
      <c r="D440" s="7"/>
      <c r="E440" s="7"/>
      <c r="F440" s="194"/>
      <c r="G440" s="59">
        <f>G441</f>
        <v>813.5</v>
      </c>
      <c r="H440" s="59">
        <f>H441</f>
        <v>813.5</v>
      </c>
    </row>
    <row r="441" spans="1:8" ht="15.75" x14ac:dyDescent="0.25">
      <c r="A441" s="29" t="s">
        <v>490</v>
      </c>
      <c r="B441" s="492" t="s">
        <v>1269</v>
      </c>
      <c r="C441" s="2">
        <v>11</v>
      </c>
      <c r="D441" s="68"/>
      <c r="E441" s="68"/>
      <c r="F441" s="68"/>
      <c r="G441" s="10">
        <f t="shared" ref="G441:H444" si="58">G442</f>
        <v>813.5</v>
      </c>
      <c r="H441" s="10">
        <f t="shared" si="58"/>
        <v>813.5</v>
      </c>
    </row>
    <row r="442" spans="1:8" ht="16.5" x14ac:dyDescent="0.25">
      <c r="A442" s="29" t="s">
        <v>492</v>
      </c>
      <c r="B442" s="492" t="s">
        <v>1269</v>
      </c>
      <c r="C442" s="499" t="s">
        <v>491</v>
      </c>
      <c r="D442" s="499" t="s">
        <v>118</v>
      </c>
      <c r="E442" s="71"/>
      <c r="F442" s="5"/>
      <c r="G442" s="10">
        <f t="shared" si="58"/>
        <v>813.5</v>
      </c>
      <c r="H442" s="10">
        <f t="shared" si="58"/>
        <v>813.5</v>
      </c>
    </row>
    <row r="443" spans="1:8" ht="110.25" x14ac:dyDescent="0.25">
      <c r="A443" s="31" t="s">
        <v>464</v>
      </c>
      <c r="B443" s="492" t="s">
        <v>1402</v>
      </c>
      <c r="C443" s="499" t="s">
        <v>491</v>
      </c>
      <c r="D443" s="499" t="s">
        <v>118</v>
      </c>
      <c r="E443" s="499"/>
      <c r="F443" s="5"/>
      <c r="G443" s="10">
        <f t="shared" si="58"/>
        <v>813.5</v>
      </c>
      <c r="H443" s="10">
        <f t="shared" si="58"/>
        <v>813.5</v>
      </c>
    </row>
    <row r="444" spans="1:8" ht="47.25" x14ac:dyDescent="0.25">
      <c r="A444" s="496" t="s">
        <v>272</v>
      </c>
      <c r="B444" s="492" t="s">
        <v>1402</v>
      </c>
      <c r="C444" s="499" t="s">
        <v>491</v>
      </c>
      <c r="D444" s="499" t="s">
        <v>118</v>
      </c>
      <c r="E444" s="499" t="s">
        <v>273</v>
      </c>
      <c r="F444" s="5"/>
      <c r="G444" s="10">
        <f t="shared" si="58"/>
        <v>813.5</v>
      </c>
      <c r="H444" s="10">
        <f t="shared" si="58"/>
        <v>813.5</v>
      </c>
    </row>
    <row r="445" spans="1:8" ht="15.75" x14ac:dyDescent="0.25">
      <c r="A445" s="496" t="s">
        <v>274</v>
      </c>
      <c r="B445" s="492" t="s">
        <v>1402</v>
      </c>
      <c r="C445" s="499" t="s">
        <v>491</v>
      </c>
      <c r="D445" s="499" t="s">
        <v>118</v>
      </c>
      <c r="E445" s="499" t="s">
        <v>275</v>
      </c>
      <c r="F445" s="5"/>
      <c r="G445" s="10">
        <f>'пр.6.1.ведом.22-23 (2)'!G792</f>
        <v>813.5</v>
      </c>
      <c r="H445" s="10">
        <f>'пр.6.1.ведом.22-23 (2)'!H792</f>
        <v>813.5</v>
      </c>
    </row>
    <row r="446" spans="1:8" ht="47.25" x14ac:dyDescent="0.25">
      <c r="A446" s="45" t="s">
        <v>480</v>
      </c>
      <c r="B446" s="492" t="s">
        <v>1402</v>
      </c>
      <c r="C446" s="499" t="s">
        <v>491</v>
      </c>
      <c r="D446" s="499" t="s">
        <v>118</v>
      </c>
      <c r="E446" s="499" t="s">
        <v>275</v>
      </c>
      <c r="F446" s="5">
        <v>907</v>
      </c>
      <c r="G446" s="10">
        <f>G445</f>
        <v>813.5</v>
      </c>
      <c r="H446" s="10">
        <f>H445</f>
        <v>813.5</v>
      </c>
    </row>
    <row r="447" spans="1:8" ht="37.5" customHeight="1" x14ac:dyDescent="0.25">
      <c r="A447" s="58" t="s">
        <v>951</v>
      </c>
      <c r="B447" s="7" t="s">
        <v>1271</v>
      </c>
      <c r="C447" s="7"/>
      <c r="D447" s="7"/>
      <c r="E447" s="7"/>
      <c r="F447" s="194"/>
      <c r="G447" s="488">
        <f t="shared" ref="G447:H449" si="59">G448</f>
        <v>3000</v>
      </c>
      <c r="H447" s="488">
        <f t="shared" si="59"/>
        <v>3000</v>
      </c>
    </row>
    <row r="448" spans="1:8" ht="15.75" x14ac:dyDescent="0.25">
      <c r="A448" s="29" t="s">
        <v>490</v>
      </c>
      <c r="B448" s="499" t="s">
        <v>1271</v>
      </c>
      <c r="C448" s="499" t="s">
        <v>491</v>
      </c>
      <c r="D448" s="499"/>
      <c r="E448" s="499"/>
      <c r="F448" s="5"/>
      <c r="G448" s="489">
        <f t="shared" si="59"/>
        <v>3000</v>
      </c>
      <c r="H448" s="489">
        <f t="shared" si="59"/>
        <v>3000</v>
      </c>
    </row>
    <row r="449" spans="1:12" ht="31.5" x14ac:dyDescent="0.25">
      <c r="A449" s="496" t="s">
        <v>500</v>
      </c>
      <c r="B449" s="499" t="s">
        <v>1271</v>
      </c>
      <c r="C449" s="499" t="s">
        <v>491</v>
      </c>
      <c r="D449" s="499" t="s">
        <v>234</v>
      </c>
      <c r="E449" s="499"/>
      <c r="F449" s="5"/>
      <c r="G449" s="489">
        <f t="shared" si="59"/>
        <v>3000</v>
      </c>
      <c r="H449" s="489">
        <f t="shared" si="59"/>
        <v>3000</v>
      </c>
    </row>
    <row r="450" spans="1:12" ht="31.5" x14ac:dyDescent="0.25">
      <c r="A450" s="29" t="s">
        <v>952</v>
      </c>
      <c r="B450" s="499" t="s">
        <v>1272</v>
      </c>
      <c r="C450" s="499" t="s">
        <v>491</v>
      </c>
      <c r="D450" s="499" t="s">
        <v>234</v>
      </c>
      <c r="E450" s="499"/>
      <c r="F450" s="5"/>
      <c r="G450" s="489">
        <f>G451+G454</f>
        <v>3000</v>
      </c>
      <c r="H450" s="489">
        <f>H451+H454</f>
        <v>3000</v>
      </c>
    </row>
    <row r="451" spans="1:12" ht="94.5" x14ac:dyDescent="0.25">
      <c r="A451" s="496" t="s">
        <v>127</v>
      </c>
      <c r="B451" s="499" t="s">
        <v>1272</v>
      </c>
      <c r="C451" s="499" t="s">
        <v>491</v>
      </c>
      <c r="D451" s="499" t="s">
        <v>234</v>
      </c>
      <c r="E451" s="499" t="s">
        <v>128</v>
      </c>
      <c r="F451" s="5"/>
      <c r="G451" s="489">
        <f t="shared" ref="G451:H451" si="60">G452</f>
        <v>2500</v>
      </c>
      <c r="H451" s="489">
        <f t="shared" si="60"/>
        <v>2500</v>
      </c>
    </row>
    <row r="452" spans="1:12" ht="31.5" x14ac:dyDescent="0.25">
      <c r="A452" s="496" t="s">
        <v>342</v>
      </c>
      <c r="B452" s="499" t="s">
        <v>1272</v>
      </c>
      <c r="C452" s="499" t="s">
        <v>491</v>
      </c>
      <c r="D452" s="499" t="s">
        <v>234</v>
      </c>
      <c r="E452" s="499" t="s">
        <v>209</v>
      </c>
      <c r="F452" s="5"/>
      <c r="G452" s="489">
        <f>'пр.6.1.ведом.22-23 (2)'!G828</f>
        <v>2500</v>
      </c>
      <c r="H452" s="489">
        <f>'пр.6.1.ведом.22-23 (2)'!H828</f>
        <v>2500</v>
      </c>
    </row>
    <row r="453" spans="1:12" ht="47.25" x14ac:dyDescent="0.25">
      <c r="A453" s="45" t="s">
        <v>480</v>
      </c>
      <c r="B453" s="499" t="s">
        <v>1272</v>
      </c>
      <c r="C453" s="499" t="s">
        <v>491</v>
      </c>
      <c r="D453" s="499" t="s">
        <v>234</v>
      </c>
      <c r="E453" s="499" t="s">
        <v>209</v>
      </c>
      <c r="F453" s="5">
        <v>907</v>
      </c>
      <c r="G453" s="10">
        <f>G452</f>
        <v>2500</v>
      </c>
      <c r="H453" s="10">
        <f>H452</f>
        <v>2500</v>
      </c>
    </row>
    <row r="454" spans="1:12" ht="31.5" x14ac:dyDescent="0.25">
      <c r="A454" s="29" t="s">
        <v>131</v>
      </c>
      <c r="B454" s="499" t="s">
        <v>1272</v>
      </c>
      <c r="C454" s="499" t="s">
        <v>491</v>
      </c>
      <c r="D454" s="499" t="s">
        <v>234</v>
      </c>
      <c r="E454" s="499" t="s">
        <v>132</v>
      </c>
      <c r="F454" s="5"/>
      <c r="G454" s="489">
        <f t="shared" ref="G454:H454" si="61">G455</f>
        <v>500</v>
      </c>
      <c r="H454" s="489">
        <f t="shared" si="61"/>
        <v>500</v>
      </c>
    </row>
    <row r="455" spans="1:12" ht="47.25" x14ac:dyDescent="0.25">
      <c r="A455" s="29" t="s">
        <v>133</v>
      </c>
      <c r="B455" s="499" t="s">
        <v>1272</v>
      </c>
      <c r="C455" s="499" t="s">
        <v>491</v>
      </c>
      <c r="D455" s="499" t="s">
        <v>234</v>
      </c>
      <c r="E455" s="499" t="s">
        <v>134</v>
      </c>
      <c r="F455" s="5"/>
      <c r="G455" s="489">
        <f>'пр.6.1.ведом.22-23 (2)'!G830</f>
        <v>500</v>
      </c>
      <c r="H455" s="489">
        <f>'пр.6.1.ведом.22-23 (2)'!H830</f>
        <v>500</v>
      </c>
    </row>
    <row r="456" spans="1:12" ht="47.25" x14ac:dyDescent="0.25">
      <c r="A456" s="45" t="s">
        <v>480</v>
      </c>
      <c r="B456" s="499" t="s">
        <v>1272</v>
      </c>
      <c r="C456" s="499" t="s">
        <v>491</v>
      </c>
      <c r="D456" s="499" t="s">
        <v>234</v>
      </c>
      <c r="E456" s="499" t="s">
        <v>134</v>
      </c>
      <c r="F456" s="5">
        <v>907</v>
      </c>
      <c r="G456" s="10">
        <f>G455</f>
        <v>500</v>
      </c>
      <c r="H456" s="10">
        <f>H455</f>
        <v>500</v>
      </c>
    </row>
    <row r="457" spans="1:12" ht="78.75" hidden="1" x14ac:dyDescent="0.25">
      <c r="A457" s="494" t="s">
        <v>1331</v>
      </c>
      <c r="B457" s="495" t="s">
        <v>1270</v>
      </c>
      <c r="C457" s="7"/>
      <c r="D457" s="7"/>
      <c r="E457" s="7"/>
      <c r="F457" s="194"/>
      <c r="G457" s="59">
        <f>G458</f>
        <v>769.23</v>
      </c>
      <c r="H457" s="10"/>
    </row>
    <row r="458" spans="1:12" ht="15.75" hidden="1" x14ac:dyDescent="0.25">
      <c r="A458" s="29" t="s">
        <v>490</v>
      </c>
      <c r="B458" s="492" t="s">
        <v>1270</v>
      </c>
      <c r="C458" s="499" t="s">
        <v>491</v>
      </c>
      <c r="D458" s="499"/>
      <c r="E458" s="499"/>
      <c r="F458" s="5"/>
      <c r="G458" s="10">
        <f>G459</f>
        <v>769.23</v>
      </c>
      <c r="H458" s="10"/>
    </row>
    <row r="459" spans="1:12" ht="15.75" hidden="1" x14ac:dyDescent="0.25">
      <c r="A459" s="29" t="s">
        <v>492</v>
      </c>
      <c r="B459" s="492" t="s">
        <v>1270</v>
      </c>
      <c r="C459" s="499" t="s">
        <v>491</v>
      </c>
      <c r="D459" s="499" t="s">
        <v>118</v>
      </c>
      <c r="E459" s="499"/>
      <c r="F459" s="5"/>
      <c r="G459" s="10">
        <f>G460</f>
        <v>769.23</v>
      </c>
      <c r="H459" s="10"/>
    </row>
    <row r="460" spans="1:12" ht="63" hidden="1" x14ac:dyDescent="0.25">
      <c r="A460" s="496" t="s">
        <v>1193</v>
      </c>
      <c r="B460" s="492" t="s">
        <v>1325</v>
      </c>
      <c r="C460" s="499" t="s">
        <v>491</v>
      </c>
      <c r="D460" s="499" t="s">
        <v>118</v>
      </c>
      <c r="E460" s="499"/>
      <c r="F460" s="5"/>
      <c r="G460" s="10">
        <f>G461</f>
        <v>769.23</v>
      </c>
      <c r="H460" s="10"/>
    </row>
    <row r="461" spans="1:12" ht="47.25" hidden="1" x14ac:dyDescent="0.25">
      <c r="A461" s="496" t="s">
        <v>272</v>
      </c>
      <c r="B461" s="492" t="s">
        <v>1325</v>
      </c>
      <c r="C461" s="499" t="s">
        <v>491</v>
      </c>
      <c r="D461" s="499" t="s">
        <v>118</v>
      </c>
      <c r="E461" s="499" t="s">
        <v>273</v>
      </c>
      <c r="F461" s="5"/>
      <c r="G461" s="10">
        <f>G462</f>
        <v>769.23</v>
      </c>
      <c r="H461" s="10"/>
    </row>
    <row r="462" spans="1:12" ht="15.75" hidden="1" x14ac:dyDescent="0.25">
      <c r="A462" s="496" t="s">
        <v>274</v>
      </c>
      <c r="B462" s="492" t="s">
        <v>1325</v>
      </c>
      <c r="C462" s="499" t="s">
        <v>491</v>
      </c>
      <c r="D462" s="499" t="s">
        <v>118</v>
      </c>
      <c r="E462" s="499" t="s">
        <v>275</v>
      </c>
      <c r="F462" s="5"/>
      <c r="G462" s="10">
        <f>'[1]Пр.5 ведом.21'!G784</f>
        <v>769.23</v>
      </c>
      <c r="H462" s="10"/>
    </row>
    <row r="463" spans="1:12" ht="47.25" hidden="1" x14ac:dyDescent="0.25">
      <c r="A463" s="45" t="s">
        <v>480</v>
      </c>
      <c r="B463" s="492" t="s">
        <v>1325</v>
      </c>
      <c r="C463" s="499" t="s">
        <v>491</v>
      </c>
      <c r="D463" s="499" t="s">
        <v>118</v>
      </c>
      <c r="E463" s="499" t="s">
        <v>275</v>
      </c>
      <c r="F463" s="5">
        <v>907</v>
      </c>
      <c r="G463" s="10">
        <f>G457</f>
        <v>769.23</v>
      </c>
      <c r="H463" s="10"/>
    </row>
    <row r="464" spans="1:12" ht="47.25" x14ac:dyDescent="0.25">
      <c r="A464" s="500" t="s">
        <v>1351</v>
      </c>
      <c r="B464" s="7" t="s">
        <v>267</v>
      </c>
      <c r="C464" s="72"/>
      <c r="D464" s="72"/>
      <c r="E464" s="72"/>
      <c r="F464" s="3"/>
      <c r="G464" s="59">
        <f>G465+G502+G525+G544+G569+G576+G583+G590</f>
        <v>81484.889999999985</v>
      </c>
      <c r="H464" s="59">
        <f>H465+H502+H525+H544+H569+H576+H583+H590</f>
        <v>82684.889999999985</v>
      </c>
      <c r="I464" s="487">
        <v>81484.899999999994</v>
      </c>
      <c r="J464" s="22">
        <f>I464-G464</f>
        <v>1.0000000009313226E-2</v>
      </c>
      <c r="K464" s="487">
        <v>82684.899999999994</v>
      </c>
      <c r="L464" s="22">
        <f>K464-H464</f>
        <v>1.0000000009313226E-2</v>
      </c>
    </row>
    <row r="465" spans="1:8" ht="47.25" x14ac:dyDescent="0.25">
      <c r="A465" s="494" t="s">
        <v>1299</v>
      </c>
      <c r="B465" s="495" t="s">
        <v>1203</v>
      </c>
      <c r="C465" s="7"/>
      <c r="D465" s="7"/>
      <c r="E465" s="7"/>
      <c r="F465" s="3"/>
      <c r="G465" s="59">
        <f>G466+G478+G490</f>
        <v>73216.789999999994</v>
      </c>
      <c r="H465" s="59">
        <f>H466+H478+H490</f>
        <v>73216.789999999994</v>
      </c>
    </row>
    <row r="466" spans="1:8" ht="15.75" x14ac:dyDescent="0.25">
      <c r="A466" s="496" t="s">
        <v>263</v>
      </c>
      <c r="B466" s="492" t="s">
        <v>1203</v>
      </c>
      <c r="C466" s="499" t="s">
        <v>264</v>
      </c>
      <c r="D466" s="499"/>
      <c r="E466" s="499"/>
      <c r="F466" s="2"/>
      <c r="G466" s="10">
        <f>G467</f>
        <v>15854.01</v>
      </c>
      <c r="H466" s="10">
        <f>H467</f>
        <v>15854.01</v>
      </c>
    </row>
    <row r="467" spans="1:8" ht="15.75" x14ac:dyDescent="0.25">
      <c r="A467" s="496" t="s">
        <v>265</v>
      </c>
      <c r="B467" s="492" t="s">
        <v>1203</v>
      </c>
      <c r="C467" s="499" t="s">
        <v>264</v>
      </c>
      <c r="D467" s="499" t="s">
        <v>215</v>
      </c>
      <c r="E467" s="499"/>
      <c r="F467" s="2"/>
      <c r="G467" s="10">
        <f>G468</f>
        <v>15854.01</v>
      </c>
      <c r="H467" s="10">
        <f>H468</f>
        <v>15854.01</v>
      </c>
    </row>
    <row r="468" spans="1:8" ht="31.5" x14ac:dyDescent="0.25">
      <c r="A468" s="496" t="s">
        <v>800</v>
      </c>
      <c r="B468" s="492" t="s">
        <v>1204</v>
      </c>
      <c r="C468" s="499" t="s">
        <v>264</v>
      </c>
      <c r="D468" s="499" t="s">
        <v>215</v>
      </c>
      <c r="E468" s="499"/>
      <c r="F468" s="2"/>
      <c r="G468" s="10">
        <f>G469+G472+G475</f>
        <v>15854.01</v>
      </c>
      <c r="H468" s="10">
        <f>H469+H472+H475</f>
        <v>15854.01</v>
      </c>
    </row>
    <row r="469" spans="1:8" ht="94.5" x14ac:dyDescent="0.25">
      <c r="A469" s="496" t="s">
        <v>127</v>
      </c>
      <c r="B469" s="492" t="s">
        <v>1204</v>
      </c>
      <c r="C469" s="499" t="s">
        <v>264</v>
      </c>
      <c r="D469" s="499" t="s">
        <v>215</v>
      </c>
      <c r="E469" s="492" t="s">
        <v>128</v>
      </c>
      <c r="F469" s="2"/>
      <c r="G469" s="10">
        <f>G470</f>
        <v>14172.31</v>
      </c>
      <c r="H469" s="10">
        <f>H470</f>
        <v>14172.31</v>
      </c>
    </row>
    <row r="470" spans="1:8" ht="31.5" x14ac:dyDescent="0.25">
      <c r="A470" s="46" t="s">
        <v>342</v>
      </c>
      <c r="B470" s="492" t="s">
        <v>1204</v>
      </c>
      <c r="C470" s="499" t="s">
        <v>264</v>
      </c>
      <c r="D470" s="499" t="s">
        <v>215</v>
      </c>
      <c r="E470" s="492" t="s">
        <v>209</v>
      </c>
      <c r="F470" s="2"/>
      <c r="G470" s="10">
        <f>'пр.6.1.ведом.22-23 (2)'!G299</f>
        <v>14172.31</v>
      </c>
      <c r="H470" s="10">
        <f>'пр.6.1.ведом.22-23 (2)'!H299</f>
        <v>14172.31</v>
      </c>
    </row>
    <row r="471" spans="1:8" ht="47.25" x14ac:dyDescent="0.25">
      <c r="A471" s="45" t="s">
        <v>261</v>
      </c>
      <c r="B471" s="492" t="s">
        <v>1204</v>
      </c>
      <c r="C471" s="499" t="s">
        <v>264</v>
      </c>
      <c r="D471" s="499" t="s">
        <v>215</v>
      </c>
      <c r="E471" s="492" t="s">
        <v>209</v>
      </c>
      <c r="F471" s="2">
        <v>903</v>
      </c>
      <c r="G471" s="10">
        <f>G470</f>
        <v>14172.31</v>
      </c>
      <c r="H471" s="10">
        <f>H470</f>
        <v>14172.31</v>
      </c>
    </row>
    <row r="472" spans="1:8" ht="31.5" x14ac:dyDescent="0.25">
      <c r="A472" s="496" t="s">
        <v>131</v>
      </c>
      <c r="B472" s="492" t="s">
        <v>1204</v>
      </c>
      <c r="C472" s="499" t="s">
        <v>264</v>
      </c>
      <c r="D472" s="499" t="s">
        <v>215</v>
      </c>
      <c r="E472" s="492" t="s">
        <v>132</v>
      </c>
      <c r="F472" s="2"/>
      <c r="G472" s="10">
        <f>G473</f>
        <v>1603.7</v>
      </c>
      <c r="H472" s="10">
        <f>H473</f>
        <v>1603.7</v>
      </c>
    </row>
    <row r="473" spans="1:8" ht="47.25" x14ac:dyDescent="0.25">
      <c r="A473" s="496" t="s">
        <v>133</v>
      </c>
      <c r="B473" s="492" t="s">
        <v>1204</v>
      </c>
      <c r="C473" s="499" t="s">
        <v>264</v>
      </c>
      <c r="D473" s="499" t="s">
        <v>215</v>
      </c>
      <c r="E473" s="492" t="s">
        <v>134</v>
      </c>
      <c r="F473" s="2"/>
      <c r="G473" s="10">
        <f>'пр.6.1.ведом.22-23 (2)'!G301</f>
        <v>1603.7</v>
      </c>
      <c r="H473" s="10">
        <f>'пр.6.1.ведом.22-23 (2)'!H301</f>
        <v>1603.7</v>
      </c>
    </row>
    <row r="474" spans="1:8" ht="47.25" x14ac:dyDescent="0.25">
      <c r="A474" s="45" t="s">
        <v>261</v>
      </c>
      <c r="B474" s="492" t="s">
        <v>1204</v>
      </c>
      <c r="C474" s="499" t="s">
        <v>264</v>
      </c>
      <c r="D474" s="499" t="s">
        <v>215</v>
      </c>
      <c r="E474" s="492" t="s">
        <v>134</v>
      </c>
      <c r="F474" s="2">
        <v>903</v>
      </c>
      <c r="G474" s="10">
        <f>G473</f>
        <v>1603.7</v>
      </c>
      <c r="H474" s="10">
        <f>H473</f>
        <v>1603.7</v>
      </c>
    </row>
    <row r="475" spans="1:8" ht="15.75" x14ac:dyDescent="0.25">
      <c r="A475" s="496" t="s">
        <v>135</v>
      </c>
      <c r="B475" s="492" t="s">
        <v>1204</v>
      </c>
      <c r="C475" s="499" t="s">
        <v>264</v>
      </c>
      <c r="D475" s="499" t="s">
        <v>215</v>
      </c>
      <c r="E475" s="492" t="s">
        <v>145</v>
      </c>
      <c r="F475" s="2"/>
      <c r="G475" s="10">
        <f>G476</f>
        <v>78</v>
      </c>
      <c r="H475" s="10">
        <f>H476</f>
        <v>78</v>
      </c>
    </row>
    <row r="476" spans="1:8" ht="15.75" x14ac:dyDescent="0.25">
      <c r="A476" s="496" t="s">
        <v>704</v>
      </c>
      <c r="B476" s="492" t="s">
        <v>1204</v>
      </c>
      <c r="C476" s="499" t="s">
        <v>264</v>
      </c>
      <c r="D476" s="499" t="s">
        <v>215</v>
      </c>
      <c r="E476" s="492" t="s">
        <v>138</v>
      </c>
      <c r="F476" s="2"/>
      <c r="G476" s="10">
        <f>'пр.6.1.ведом.22-23 (2)'!G303</f>
        <v>78</v>
      </c>
      <c r="H476" s="10">
        <f>'пр.6.1.ведом.22-23 (2)'!H303</f>
        <v>78</v>
      </c>
    </row>
    <row r="477" spans="1:8" ht="47.25" x14ac:dyDescent="0.25">
      <c r="A477" s="45" t="s">
        <v>261</v>
      </c>
      <c r="B477" s="492" t="s">
        <v>1204</v>
      </c>
      <c r="C477" s="499" t="s">
        <v>264</v>
      </c>
      <c r="D477" s="499" t="s">
        <v>215</v>
      </c>
      <c r="E477" s="492" t="s">
        <v>138</v>
      </c>
      <c r="F477" s="2">
        <v>903</v>
      </c>
      <c r="G477" s="10">
        <f>G476</f>
        <v>78</v>
      </c>
      <c r="H477" s="10">
        <f>H476</f>
        <v>78</v>
      </c>
    </row>
    <row r="478" spans="1:8" ht="15.75" x14ac:dyDescent="0.25">
      <c r="A478" s="73" t="s">
        <v>298</v>
      </c>
      <c r="B478" s="492" t="s">
        <v>1203</v>
      </c>
      <c r="C478" s="499" t="s">
        <v>299</v>
      </c>
      <c r="D478" s="73"/>
      <c r="E478" s="73"/>
      <c r="F478" s="2"/>
      <c r="G478" s="10">
        <f t="shared" ref="G478:H479" si="62">G479</f>
        <v>51840.479999999996</v>
      </c>
      <c r="H478" s="10">
        <f t="shared" si="62"/>
        <v>51840.479999999996</v>
      </c>
    </row>
    <row r="479" spans="1:8" ht="15.75" x14ac:dyDescent="0.25">
      <c r="A479" s="73" t="s">
        <v>300</v>
      </c>
      <c r="B479" s="492" t="s">
        <v>1203</v>
      </c>
      <c r="C479" s="499" t="s">
        <v>299</v>
      </c>
      <c r="D479" s="499" t="s">
        <v>118</v>
      </c>
      <c r="E479" s="73"/>
      <c r="F479" s="2"/>
      <c r="G479" s="10">
        <f t="shared" si="62"/>
        <v>51840.479999999996</v>
      </c>
      <c r="H479" s="10">
        <f t="shared" si="62"/>
        <v>51840.479999999996</v>
      </c>
    </row>
    <row r="480" spans="1:8" ht="31.5" x14ac:dyDescent="0.25">
      <c r="A480" s="496" t="s">
        <v>800</v>
      </c>
      <c r="B480" s="492" t="s">
        <v>1204</v>
      </c>
      <c r="C480" s="499" t="s">
        <v>299</v>
      </c>
      <c r="D480" s="499" t="s">
        <v>118</v>
      </c>
      <c r="E480" s="499"/>
      <c r="F480" s="2"/>
      <c r="G480" s="10">
        <f>G481+G484+G487</f>
        <v>51840.479999999996</v>
      </c>
      <c r="H480" s="10">
        <f>H481+H484+H487</f>
        <v>51840.479999999996</v>
      </c>
    </row>
    <row r="481" spans="1:8" ht="94.5" x14ac:dyDescent="0.25">
      <c r="A481" s="496" t="s">
        <v>127</v>
      </c>
      <c r="B481" s="492" t="s">
        <v>1204</v>
      </c>
      <c r="C481" s="499" t="s">
        <v>299</v>
      </c>
      <c r="D481" s="499" t="s">
        <v>118</v>
      </c>
      <c r="E481" s="499" t="s">
        <v>128</v>
      </c>
      <c r="F481" s="2"/>
      <c r="G481" s="10">
        <f>G482</f>
        <v>43271.28</v>
      </c>
      <c r="H481" s="10">
        <f>H482</f>
        <v>43271.28</v>
      </c>
    </row>
    <row r="482" spans="1:8" ht="31.5" x14ac:dyDescent="0.25">
      <c r="A482" s="496" t="s">
        <v>208</v>
      </c>
      <c r="B482" s="492" t="s">
        <v>1204</v>
      </c>
      <c r="C482" s="499" t="s">
        <v>299</v>
      </c>
      <c r="D482" s="499" t="s">
        <v>118</v>
      </c>
      <c r="E482" s="499" t="s">
        <v>209</v>
      </c>
      <c r="F482" s="2"/>
      <c r="G482" s="10">
        <f>'пр.6.1.ведом.22-23 (2)'!G363</f>
        <v>43271.28</v>
      </c>
      <c r="H482" s="10">
        <f>'пр.6.1.ведом.22-23 (2)'!H363</f>
        <v>43271.28</v>
      </c>
    </row>
    <row r="483" spans="1:8" ht="47.25" x14ac:dyDescent="0.25">
      <c r="A483" s="45" t="s">
        <v>261</v>
      </c>
      <c r="B483" s="492" t="s">
        <v>1204</v>
      </c>
      <c r="C483" s="499" t="s">
        <v>299</v>
      </c>
      <c r="D483" s="499" t="s">
        <v>118</v>
      </c>
      <c r="E483" s="499" t="s">
        <v>209</v>
      </c>
      <c r="F483" s="2">
        <v>903</v>
      </c>
      <c r="G483" s="10">
        <f>G482</f>
        <v>43271.28</v>
      </c>
      <c r="H483" s="10">
        <f>H482</f>
        <v>43271.28</v>
      </c>
    </row>
    <row r="484" spans="1:8" ht="31.5" x14ac:dyDescent="0.25">
      <c r="A484" s="496" t="s">
        <v>131</v>
      </c>
      <c r="B484" s="492" t="s">
        <v>1204</v>
      </c>
      <c r="C484" s="499" t="s">
        <v>299</v>
      </c>
      <c r="D484" s="499" t="s">
        <v>118</v>
      </c>
      <c r="E484" s="499" t="s">
        <v>132</v>
      </c>
      <c r="F484" s="2"/>
      <c r="G484" s="10">
        <f>G485</f>
        <v>8506.2000000000007</v>
      </c>
      <c r="H484" s="10">
        <f>H485</f>
        <v>8506.2000000000007</v>
      </c>
    </row>
    <row r="485" spans="1:8" ht="47.25" x14ac:dyDescent="0.25">
      <c r="A485" s="496" t="s">
        <v>133</v>
      </c>
      <c r="B485" s="492" t="s">
        <v>1204</v>
      </c>
      <c r="C485" s="499" t="s">
        <v>299</v>
      </c>
      <c r="D485" s="499" t="s">
        <v>118</v>
      </c>
      <c r="E485" s="499" t="s">
        <v>134</v>
      </c>
      <c r="F485" s="2"/>
      <c r="G485" s="10">
        <f>'пр.6.1.ведом.22-23 (2)'!G365</f>
        <v>8506.2000000000007</v>
      </c>
      <c r="H485" s="10">
        <f>'пр.6.1.ведом.22-23 (2)'!H365</f>
        <v>8506.2000000000007</v>
      </c>
    </row>
    <row r="486" spans="1:8" ht="47.25" x14ac:dyDescent="0.25">
      <c r="A486" s="45" t="s">
        <v>261</v>
      </c>
      <c r="B486" s="492" t="s">
        <v>1204</v>
      </c>
      <c r="C486" s="499" t="s">
        <v>299</v>
      </c>
      <c r="D486" s="499" t="s">
        <v>118</v>
      </c>
      <c r="E486" s="499" t="s">
        <v>134</v>
      </c>
      <c r="F486" s="2">
        <v>903</v>
      </c>
      <c r="G486" s="10">
        <f>G485</f>
        <v>8506.2000000000007</v>
      </c>
      <c r="H486" s="10">
        <f>H485</f>
        <v>8506.2000000000007</v>
      </c>
    </row>
    <row r="487" spans="1:8" ht="15.75" x14ac:dyDescent="0.25">
      <c r="A487" s="496" t="s">
        <v>135</v>
      </c>
      <c r="B487" s="492" t="s">
        <v>1204</v>
      </c>
      <c r="C487" s="499" t="s">
        <v>299</v>
      </c>
      <c r="D487" s="499" t="s">
        <v>118</v>
      </c>
      <c r="E487" s="499" t="s">
        <v>145</v>
      </c>
      <c r="F487" s="2"/>
      <c r="G487" s="10">
        <f>G488</f>
        <v>63</v>
      </c>
      <c r="H487" s="10">
        <f>H488</f>
        <v>63</v>
      </c>
    </row>
    <row r="488" spans="1:8" ht="15.75" x14ac:dyDescent="0.25">
      <c r="A488" s="496" t="s">
        <v>137</v>
      </c>
      <c r="B488" s="492" t="s">
        <v>1204</v>
      </c>
      <c r="C488" s="499" t="s">
        <v>299</v>
      </c>
      <c r="D488" s="499" t="s">
        <v>118</v>
      </c>
      <c r="E488" s="499" t="s">
        <v>138</v>
      </c>
      <c r="F488" s="2"/>
      <c r="G488" s="10">
        <f>'пр.6.1.ведом.22-23 (2)'!G367</f>
        <v>63</v>
      </c>
      <c r="H488" s="10">
        <f>'пр.6.1.ведом.22-23 (2)'!H367</f>
        <v>63</v>
      </c>
    </row>
    <row r="489" spans="1:8" ht="47.25" x14ac:dyDescent="0.25">
      <c r="A489" s="45" t="s">
        <v>261</v>
      </c>
      <c r="B489" s="492" t="s">
        <v>1204</v>
      </c>
      <c r="C489" s="499" t="s">
        <v>299</v>
      </c>
      <c r="D489" s="499" t="s">
        <v>118</v>
      </c>
      <c r="E489" s="499" t="s">
        <v>138</v>
      </c>
      <c r="F489" s="2">
        <v>903</v>
      </c>
      <c r="G489" s="10">
        <f>G488</f>
        <v>63</v>
      </c>
      <c r="H489" s="10">
        <f>H488</f>
        <v>63</v>
      </c>
    </row>
    <row r="490" spans="1:8" ht="15.75" x14ac:dyDescent="0.25">
      <c r="A490" s="496" t="s">
        <v>582</v>
      </c>
      <c r="B490" s="492" t="s">
        <v>1203</v>
      </c>
      <c r="C490" s="499" t="s">
        <v>238</v>
      </c>
      <c r="D490" s="73"/>
      <c r="E490" s="73"/>
      <c r="F490" s="2"/>
      <c r="G490" s="10">
        <f>G491</f>
        <v>5522.3</v>
      </c>
      <c r="H490" s="10">
        <f>H491</f>
        <v>5522.3</v>
      </c>
    </row>
    <row r="491" spans="1:8" ht="15.75" x14ac:dyDescent="0.25">
      <c r="A491" s="496" t="s">
        <v>583</v>
      </c>
      <c r="B491" s="492" t="s">
        <v>1203</v>
      </c>
      <c r="C491" s="499" t="s">
        <v>238</v>
      </c>
      <c r="D491" s="499" t="s">
        <v>213</v>
      </c>
      <c r="E491" s="73"/>
      <c r="F491" s="2"/>
      <c r="G491" s="10">
        <f>G492</f>
        <v>5522.3</v>
      </c>
      <c r="H491" s="10">
        <f>H492</f>
        <v>5522.3</v>
      </c>
    </row>
    <row r="492" spans="1:8" ht="31.5" x14ac:dyDescent="0.25">
      <c r="A492" s="496" t="s">
        <v>800</v>
      </c>
      <c r="B492" s="492" t="s">
        <v>1204</v>
      </c>
      <c r="C492" s="499" t="s">
        <v>238</v>
      </c>
      <c r="D492" s="499" t="s">
        <v>213</v>
      </c>
      <c r="E492" s="499"/>
      <c r="F492" s="2"/>
      <c r="G492" s="10">
        <f>G493+G496+G499</f>
        <v>5522.3</v>
      </c>
      <c r="H492" s="10">
        <f>H493+H496+H499</f>
        <v>5522.3</v>
      </c>
    </row>
    <row r="493" spans="1:8" ht="94.5" x14ac:dyDescent="0.25">
      <c r="A493" s="496" t="s">
        <v>127</v>
      </c>
      <c r="B493" s="492" t="s">
        <v>1204</v>
      </c>
      <c r="C493" s="499" t="s">
        <v>238</v>
      </c>
      <c r="D493" s="499" t="s">
        <v>213</v>
      </c>
      <c r="E493" s="499" t="s">
        <v>128</v>
      </c>
      <c r="F493" s="2"/>
      <c r="G493" s="10">
        <f>G494</f>
        <v>4897.2</v>
      </c>
      <c r="H493" s="10">
        <f>H494</f>
        <v>4897.2</v>
      </c>
    </row>
    <row r="494" spans="1:8" ht="31.5" x14ac:dyDescent="0.25">
      <c r="A494" s="496" t="s">
        <v>208</v>
      </c>
      <c r="B494" s="492" t="s">
        <v>1204</v>
      </c>
      <c r="C494" s="499" t="s">
        <v>238</v>
      </c>
      <c r="D494" s="499" t="s">
        <v>213</v>
      </c>
      <c r="E494" s="499" t="s">
        <v>209</v>
      </c>
      <c r="F494" s="2"/>
      <c r="G494" s="10">
        <f>'пр.6.1.ведом.22-23 (2)'!G474</f>
        <v>4897.2</v>
      </c>
      <c r="H494" s="10">
        <f>'пр.6.1.ведом.22-23 (2)'!H474</f>
        <v>4897.2</v>
      </c>
    </row>
    <row r="495" spans="1:8" ht="47.25" x14ac:dyDescent="0.25">
      <c r="A495" s="45" t="s">
        <v>261</v>
      </c>
      <c r="B495" s="492" t="s">
        <v>1204</v>
      </c>
      <c r="C495" s="499" t="s">
        <v>238</v>
      </c>
      <c r="D495" s="499" t="s">
        <v>213</v>
      </c>
      <c r="E495" s="499" t="s">
        <v>209</v>
      </c>
      <c r="F495" s="2">
        <v>903</v>
      </c>
      <c r="G495" s="10">
        <f>G494</f>
        <v>4897.2</v>
      </c>
      <c r="H495" s="10">
        <f>H494</f>
        <v>4897.2</v>
      </c>
    </row>
    <row r="496" spans="1:8" ht="31.5" x14ac:dyDescent="0.25">
      <c r="A496" s="496" t="s">
        <v>131</v>
      </c>
      <c r="B496" s="492" t="s">
        <v>1204</v>
      </c>
      <c r="C496" s="499" t="s">
        <v>238</v>
      </c>
      <c r="D496" s="499" t="s">
        <v>213</v>
      </c>
      <c r="E496" s="499" t="s">
        <v>132</v>
      </c>
      <c r="F496" s="2"/>
      <c r="G496" s="10">
        <f>G497</f>
        <v>595.1</v>
      </c>
      <c r="H496" s="10">
        <f>H497</f>
        <v>595.1</v>
      </c>
    </row>
    <row r="497" spans="1:8" ht="47.25" x14ac:dyDescent="0.25">
      <c r="A497" s="496" t="s">
        <v>133</v>
      </c>
      <c r="B497" s="492" t="s">
        <v>1204</v>
      </c>
      <c r="C497" s="499" t="s">
        <v>238</v>
      </c>
      <c r="D497" s="499" t="s">
        <v>213</v>
      </c>
      <c r="E497" s="499" t="s">
        <v>134</v>
      </c>
      <c r="F497" s="2"/>
      <c r="G497" s="10">
        <f>'пр.6.1.ведом.22-23 (2)'!G476</f>
        <v>595.1</v>
      </c>
      <c r="H497" s="10">
        <f>'пр.6.1.ведом.22-23 (2)'!H476</f>
        <v>595.1</v>
      </c>
    </row>
    <row r="498" spans="1:8" ht="47.25" x14ac:dyDescent="0.25">
      <c r="A498" s="45" t="s">
        <v>261</v>
      </c>
      <c r="B498" s="492" t="s">
        <v>1204</v>
      </c>
      <c r="C498" s="499" t="s">
        <v>238</v>
      </c>
      <c r="D498" s="499" t="s">
        <v>213</v>
      </c>
      <c r="E498" s="499" t="s">
        <v>134</v>
      </c>
      <c r="F498" s="2">
        <v>903</v>
      </c>
      <c r="G498" s="10">
        <f>G497</f>
        <v>595.1</v>
      </c>
      <c r="H498" s="10">
        <f>H497</f>
        <v>595.1</v>
      </c>
    </row>
    <row r="499" spans="1:8" ht="15.75" x14ac:dyDescent="0.25">
      <c r="A499" s="496" t="s">
        <v>135</v>
      </c>
      <c r="B499" s="492" t="s">
        <v>1204</v>
      </c>
      <c r="C499" s="499" t="s">
        <v>238</v>
      </c>
      <c r="D499" s="499" t="s">
        <v>213</v>
      </c>
      <c r="E499" s="499" t="s">
        <v>145</v>
      </c>
      <c r="F499" s="2"/>
      <c r="G499" s="10">
        <f>G500</f>
        <v>30</v>
      </c>
      <c r="H499" s="10">
        <f>H500</f>
        <v>30</v>
      </c>
    </row>
    <row r="500" spans="1:8" ht="15.75" x14ac:dyDescent="0.25">
      <c r="A500" s="496" t="s">
        <v>137</v>
      </c>
      <c r="B500" s="492" t="s">
        <v>1204</v>
      </c>
      <c r="C500" s="499" t="s">
        <v>238</v>
      </c>
      <c r="D500" s="499" t="s">
        <v>213</v>
      </c>
      <c r="E500" s="499" t="s">
        <v>138</v>
      </c>
      <c r="F500" s="2"/>
      <c r="G500" s="10">
        <f>'пр.6.1.ведом.22-23 (2)'!G478</f>
        <v>30</v>
      </c>
      <c r="H500" s="10">
        <f>'пр.6.1.ведом.22-23 (2)'!H478</f>
        <v>30</v>
      </c>
    </row>
    <row r="501" spans="1:8" ht="47.25" x14ac:dyDescent="0.25">
      <c r="A501" s="45" t="s">
        <v>261</v>
      </c>
      <c r="B501" s="492" t="s">
        <v>1204</v>
      </c>
      <c r="C501" s="499" t="s">
        <v>238</v>
      </c>
      <c r="D501" s="499" t="s">
        <v>213</v>
      </c>
      <c r="E501" s="499" t="s">
        <v>138</v>
      </c>
      <c r="F501" s="2">
        <v>903</v>
      </c>
      <c r="G501" s="10">
        <f>G500</f>
        <v>30</v>
      </c>
      <c r="H501" s="10">
        <f>H500</f>
        <v>30</v>
      </c>
    </row>
    <row r="502" spans="1:8" ht="31.5" x14ac:dyDescent="0.25">
      <c r="A502" s="217" t="s">
        <v>1326</v>
      </c>
      <c r="B502" s="495" t="s">
        <v>1205</v>
      </c>
      <c r="C502" s="7"/>
      <c r="D502" s="7"/>
      <c r="E502" s="7"/>
      <c r="F502" s="3"/>
      <c r="G502" s="59">
        <f>G503+G516</f>
        <v>2675</v>
      </c>
      <c r="H502" s="59">
        <f>H503+H516</f>
        <v>2675</v>
      </c>
    </row>
    <row r="503" spans="1:8" ht="15.75" x14ac:dyDescent="0.25">
      <c r="A503" s="496" t="s">
        <v>263</v>
      </c>
      <c r="B503" s="492" t="s">
        <v>1205</v>
      </c>
      <c r="C503" s="499" t="s">
        <v>264</v>
      </c>
      <c r="D503" s="499"/>
      <c r="E503" s="499"/>
      <c r="F503" s="2"/>
      <c r="G503" s="10">
        <f t="shared" ref="G503:H506" si="63">G504</f>
        <v>1295</v>
      </c>
      <c r="H503" s="10">
        <f t="shared" si="63"/>
        <v>1295</v>
      </c>
    </row>
    <row r="504" spans="1:8" ht="15.75" x14ac:dyDescent="0.25">
      <c r="A504" s="496" t="s">
        <v>265</v>
      </c>
      <c r="B504" s="492" t="s">
        <v>1205</v>
      </c>
      <c r="C504" s="499" t="s">
        <v>264</v>
      </c>
      <c r="D504" s="499" t="s">
        <v>215</v>
      </c>
      <c r="E504" s="499"/>
      <c r="F504" s="2"/>
      <c r="G504" s="10">
        <f>G505+G509</f>
        <v>1295</v>
      </c>
      <c r="H504" s="10">
        <f>H505+H509</f>
        <v>1295</v>
      </c>
    </row>
    <row r="505" spans="1:8" ht="31.5" x14ac:dyDescent="0.25">
      <c r="A505" s="195" t="s">
        <v>799</v>
      </c>
      <c r="B505" s="492" t="s">
        <v>1206</v>
      </c>
      <c r="C505" s="499" t="s">
        <v>264</v>
      </c>
      <c r="D505" s="499" t="s">
        <v>215</v>
      </c>
      <c r="E505" s="492"/>
      <c r="F505" s="2"/>
      <c r="G505" s="10">
        <f t="shared" si="63"/>
        <v>45</v>
      </c>
      <c r="H505" s="10">
        <f t="shared" si="63"/>
        <v>45</v>
      </c>
    </row>
    <row r="506" spans="1:8" ht="31.5" x14ac:dyDescent="0.25">
      <c r="A506" s="496" t="s">
        <v>248</v>
      </c>
      <c r="B506" s="492" t="s">
        <v>1206</v>
      </c>
      <c r="C506" s="499" t="s">
        <v>264</v>
      </c>
      <c r="D506" s="499" t="s">
        <v>215</v>
      </c>
      <c r="E506" s="492" t="s">
        <v>249</v>
      </c>
      <c r="F506" s="2"/>
      <c r="G506" s="10">
        <f t="shared" si="63"/>
        <v>45</v>
      </c>
      <c r="H506" s="10">
        <f t="shared" si="63"/>
        <v>45</v>
      </c>
    </row>
    <row r="507" spans="1:8" ht="15.75" x14ac:dyDescent="0.25">
      <c r="A507" s="496" t="s">
        <v>820</v>
      </c>
      <c r="B507" s="492" t="s">
        <v>1206</v>
      </c>
      <c r="C507" s="499" t="s">
        <v>264</v>
      </c>
      <c r="D507" s="499" t="s">
        <v>215</v>
      </c>
      <c r="E507" s="492" t="s">
        <v>819</v>
      </c>
      <c r="F507" s="2"/>
      <c r="G507" s="10">
        <f>'пр.6.1.ведом.22-23 (2)'!G307</f>
        <v>45</v>
      </c>
      <c r="H507" s="10">
        <f>'пр.6.1.ведом.22-23 (2)'!H307</f>
        <v>45</v>
      </c>
    </row>
    <row r="508" spans="1:8" ht="47.25" x14ac:dyDescent="0.25">
      <c r="A508" s="45" t="s">
        <v>261</v>
      </c>
      <c r="B508" s="492" t="s">
        <v>1206</v>
      </c>
      <c r="C508" s="499" t="s">
        <v>264</v>
      </c>
      <c r="D508" s="499" t="s">
        <v>215</v>
      </c>
      <c r="E508" s="492" t="s">
        <v>819</v>
      </c>
      <c r="F508" s="2">
        <v>903</v>
      </c>
      <c r="G508" s="10">
        <f>G507</f>
        <v>45</v>
      </c>
      <c r="H508" s="10">
        <f>H507</f>
        <v>45</v>
      </c>
    </row>
    <row r="509" spans="1:8" ht="47.25" x14ac:dyDescent="0.25">
      <c r="A509" s="31" t="s">
        <v>816</v>
      </c>
      <c r="B509" s="492" t="s">
        <v>1207</v>
      </c>
      <c r="C509" s="499" t="s">
        <v>264</v>
      </c>
      <c r="D509" s="499" t="s">
        <v>215</v>
      </c>
      <c r="E509" s="492"/>
      <c r="F509" s="2"/>
      <c r="G509" s="10">
        <f>G510+G513</f>
        <v>1250</v>
      </c>
      <c r="H509" s="10">
        <f>H510+H513</f>
        <v>1250</v>
      </c>
    </row>
    <row r="510" spans="1:8" ht="94.5" x14ac:dyDescent="0.25">
      <c r="A510" s="496" t="s">
        <v>127</v>
      </c>
      <c r="B510" s="492" t="s">
        <v>1207</v>
      </c>
      <c r="C510" s="499" t="s">
        <v>264</v>
      </c>
      <c r="D510" s="499" t="s">
        <v>215</v>
      </c>
      <c r="E510" s="492" t="s">
        <v>128</v>
      </c>
      <c r="F510" s="2"/>
      <c r="G510" s="10">
        <f>G511</f>
        <v>1250</v>
      </c>
      <c r="H510" s="10">
        <f>H511</f>
        <v>1250</v>
      </c>
    </row>
    <row r="511" spans="1:8" ht="31.5" x14ac:dyDescent="0.25">
      <c r="A511" s="46" t="s">
        <v>342</v>
      </c>
      <c r="B511" s="492" t="s">
        <v>1207</v>
      </c>
      <c r="C511" s="499" t="s">
        <v>264</v>
      </c>
      <c r="D511" s="499" t="s">
        <v>215</v>
      </c>
      <c r="E511" s="492" t="s">
        <v>209</v>
      </c>
      <c r="F511" s="2"/>
      <c r="G511" s="10">
        <f>'пр.6.1.ведом.22-23 (2)'!G310</f>
        <v>1250</v>
      </c>
      <c r="H511" s="10">
        <f>'пр.6.1.ведом.22-23 (2)'!H310</f>
        <v>1250</v>
      </c>
    </row>
    <row r="512" spans="1:8" ht="47.25" x14ac:dyDescent="0.25">
      <c r="A512" s="45" t="s">
        <v>261</v>
      </c>
      <c r="B512" s="492" t="s">
        <v>1207</v>
      </c>
      <c r="C512" s="499" t="s">
        <v>264</v>
      </c>
      <c r="D512" s="499" t="s">
        <v>215</v>
      </c>
      <c r="E512" s="492" t="s">
        <v>209</v>
      </c>
      <c r="F512" s="2">
        <v>903</v>
      </c>
      <c r="G512" s="10">
        <f>G511</f>
        <v>1250</v>
      </c>
      <c r="H512" s="10">
        <f>H511</f>
        <v>1250</v>
      </c>
    </row>
    <row r="513" spans="1:8" ht="31.5" hidden="1" x14ac:dyDescent="0.25">
      <c r="A513" s="496" t="s">
        <v>131</v>
      </c>
      <c r="B513" s="492" t="s">
        <v>1207</v>
      </c>
      <c r="C513" s="499" t="s">
        <v>264</v>
      </c>
      <c r="D513" s="499" t="s">
        <v>215</v>
      </c>
      <c r="E513" s="492" t="s">
        <v>132</v>
      </c>
      <c r="F513" s="2"/>
      <c r="G513" s="10">
        <f>G514</f>
        <v>0</v>
      </c>
      <c r="H513" s="10">
        <f>H514</f>
        <v>0</v>
      </c>
    </row>
    <row r="514" spans="1:8" ht="47.25" hidden="1" x14ac:dyDescent="0.25">
      <c r="A514" s="496" t="s">
        <v>133</v>
      </c>
      <c r="B514" s="492" t="s">
        <v>1207</v>
      </c>
      <c r="C514" s="499" t="s">
        <v>264</v>
      </c>
      <c r="D514" s="499" t="s">
        <v>215</v>
      </c>
      <c r="E514" s="492" t="s">
        <v>134</v>
      </c>
      <c r="F514" s="2"/>
      <c r="G514" s="10">
        <f>'пр.6.1.ведом.22-23 (2)'!G312</f>
        <v>0</v>
      </c>
      <c r="H514" s="10">
        <f>'пр.6.1.ведом.22-23 (2)'!H312</f>
        <v>0</v>
      </c>
    </row>
    <row r="515" spans="1:8" ht="47.25" hidden="1" x14ac:dyDescent="0.25">
      <c r="A515" s="45" t="s">
        <v>261</v>
      </c>
      <c r="B515" s="492" t="s">
        <v>1207</v>
      </c>
      <c r="C515" s="499" t="s">
        <v>264</v>
      </c>
      <c r="D515" s="499" t="s">
        <v>215</v>
      </c>
      <c r="E515" s="492" t="s">
        <v>134</v>
      </c>
      <c r="F515" s="2">
        <v>903</v>
      </c>
      <c r="G515" s="10">
        <f>G514</f>
        <v>0</v>
      </c>
      <c r="H515" s="10">
        <f>H514</f>
        <v>0</v>
      </c>
    </row>
    <row r="516" spans="1:8" ht="15.75" x14ac:dyDescent="0.25">
      <c r="A516" s="73" t="s">
        <v>298</v>
      </c>
      <c r="B516" s="492" t="s">
        <v>1205</v>
      </c>
      <c r="C516" s="499" t="s">
        <v>299</v>
      </c>
      <c r="D516" s="73"/>
      <c r="E516" s="73"/>
      <c r="F516" s="2"/>
      <c r="G516" s="10">
        <f>G517</f>
        <v>1380</v>
      </c>
      <c r="H516" s="10">
        <f>H517</f>
        <v>1380</v>
      </c>
    </row>
    <row r="517" spans="1:8" ht="15.75" x14ac:dyDescent="0.25">
      <c r="A517" s="73" t="s">
        <v>300</v>
      </c>
      <c r="B517" s="492" t="s">
        <v>1205</v>
      </c>
      <c r="C517" s="499" t="s">
        <v>299</v>
      </c>
      <c r="D517" s="499" t="s">
        <v>118</v>
      </c>
      <c r="E517" s="73"/>
      <c r="F517" s="2"/>
      <c r="G517" s="10">
        <f>G518</f>
        <v>1380</v>
      </c>
      <c r="H517" s="10">
        <f>H518</f>
        <v>1380</v>
      </c>
    </row>
    <row r="518" spans="1:8" ht="47.65" customHeight="1" x14ac:dyDescent="0.25">
      <c r="A518" s="31" t="s">
        <v>816</v>
      </c>
      <c r="B518" s="492" t="s">
        <v>1207</v>
      </c>
      <c r="C518" s="499" t="s">
        <v>299</v>
      </c>
      <c r="D518" s="499" t="s">
        <v>118</v>
      </c>
      <c r="E518" s="499"/>
      <c r="F518" s="2"/>
      <c r="G518" s="10">
        <f>G519+G522</f>
        <v>1380</v>
      </c>
      <c r="H518" s="10">
        <f>H519+H522</f>
        <v>1380</v>
      </c>
    </row>
    <row r="519" spans="1:8" ht="94.5" hidden="1" x14ac:dyDescent="0.25">
      <c r="A519" s="496" t="s">
        <v>127</v>
      </c>
      <c r="B519" s="492" t="s">
        <v>1207</v>
      </c>
      <c r="C519" s="499" t="s">
        <v>299</v>
      </c>
      <c r="D519" s="499" t="s">
        <v>118</v>
      </c>
      <c r="E519" s="499" t="s">
        <v>128</v>
      </c>
      <c r="F519" s="2"/>
      <c r="G519" s="10">
        <f>G520</f>
        <v>0</v>
      </c>
      <c r="H519" s="10">
        <f>H520</f>
        <v>0</v>
      </c>
    </row>
    <row r="520" spans="1:8" ht="31.5" hidden="1" x14ac:dyDescent="0.25">
      <c r="A520" s="496" t="s">
        <v>208</v>
      </c>
      <c r="B520" s="492" t="s">
        <v>1207</v>
      </c>
      <c r="C520" s="499" t="s">
        <v>299</v>
      </c>
      <c r="D520" s="499" t="s">
        <v>118</v>
      </c>
      <c r="E520" s="499" t="s">
        <v>209</v>
      </c>
      <c r="F520" s="2"/>
      <c r="G520" s="10">
        <f>'пр.6.1.ведом.22-23 (2)'!G371</f>
        <v>0</v>
      </c>
      <c r="H520" s="10">
        <f>'пр.6.1.ведом.22-23 (2)'!H371</f>
        <v>0</v>
      </c>
    </row>
    <row r="521" spans="1:8" ht="47.25" hidden="1" x14ac:dyDescent="0.25">
      <c r="A521" s="45" t="s">
        <v>261</v>
      </c>
      <c r="B521" s="492" t="s">
        <v>1207</v>
      </c>
      <c r="C521" s="499" t="s">
        <v>299</v>
      </c>
      <c r="D521" s="499" t="s">
        <v>118</v>
      </c>
      <c r="E521" s="499" t="s">
        <v>209</v>
      </c>
      <c r="F521" s="2">
        <v>903</v>
      </c>
      <c r="G521" s="10">
        <f>G520</f>
        <v>0</v>
      </c>
      <c r="H521" s="10">
        <f>H520</f>
        <v>0</v>
      </c>
    </row>
    <row r="522" spans="1:8" ht="31.5" x14ac:dyDescent="0.25">
      <c r="A522" s="496" t="s">
        <v>131</v>
      </c>
      <c r="B522" s="492" t="s">
        <v>1207</v>
      </c>
      <c r="C522" s="499" t="s">
        <v>299</v>
      </c>
      <c r="D522" s="499" t="s">
        <v>118</v>
      </c>
      <c r="E522" s="499" t="s">
        <v>132</v>
      </c>
      <c r="F522" s="2"/>
      <c r="G522" s="10">
        <f>G523</f>
        <v>1380</v>
      </c>
      <c r="H522" s="10">
        <f>H523</f>
        <v>1380</v>
      </c>
    </row>
    <row r="523" spans="1:8" ht="47.25" x14ac:dyDescent="0.25">
      <c r="A523" s="496" t="s">
        <v>133</v>
      </c>
      <c r="B523" s="492" t="s">
        <v>1207</v>
      </c>
      <c r="C523" s="499" t="s">
        <v>299</v>
      </c>
      <c r="D523" s="499" t="s">
        <v>118</v>
      </c>
      <c r="E523" s="499" t="s">
        <v>134</v>
      </c>
      <c r="F523" s="2"/>
      <c r="G523" s="10">
        <f>'пр.6.1.ведом.22-23 (2)'!G373</f>
        <v>1380</v>
      </c>
      <c r="H523" s="10">
        <f>'пр.6.1.ведом.22-23 (2)'!H373</f>
        <v>1380</v>
      </c>
    </row>
    <row r="524" spans="1:8" ht="47.25" x14ac:dyDescent="0.25">
      <c r="A524" s="45" t="s">
        <v>261</v>
      </c>
      <c r="B524" s="492" t="s">
        <v>1207</v>
      </c>
      <c r="C524" s="499" t="s">
        <v>299</v>
      </c>
      <c r="D524" s="499" t="s">
        <v>118</v>
      </c>
      <c r="E524" s="499" t="s">
        <v>134</v>
      </c>
      <c r="F524" s="2">
        <v>903</v>
      </c>
      <c r="G524" s="10">
        <f>G523</f>
        <v>1380</v>
      </c>
      <c r="H524" s="10">
        <f>H523</f>
        <v>1380</v>
      </c>
    </row>
    <row r="525" spans="1:8" ht="47.25" x14ac:dyDescent="0.25">
      <c r="A525" s="494" t="s">
        <v>947</v>
      </c>
      <c r="B525" s="495" t="s">
        <v>1208</v>
      </c>
      <c r="C525" s="7"/>
      <c r="D525" s="7"/>
      <c r="E525" s="7"/>
      <c r="F525" s="3"/>
      <c r="G525" s="59">
        <f>G526+G532+G538</f>
        <v>1657</v>
      </c>
      <c r="H525" s="59">
        <f>H526+H532+H538</f>
        <v>1657</v>
      </c>
    </row>
    <row r="526" spans="1:8" ht="15.75" x14ac:dyDescent="0.25">
      <c r="A526" s="496" t="s">
        <v>263</v>
      </c>
      <c r="B526" s="492" t="s">
        <v>1208</v>
      </c>
      <c r="C526" s="499" t="s">
        <v>264</v>
      </c>
      <c r="D526" s="499"/>
      <c r="E526" s="499"/>
      <c r="F526" s="2"/>
      <c r="G526" s="10">
        <f t="shared" ref="G526:H529" si="64">G527</f>
        <v>506</v>
      </c>
      <c r="H526" s="10">
        <f t="shared" si="64"/>
        <v>506</v>
      </c>
    </row>
    <row r="527" spans="1:8" ht="15.75" x14ac:dyDescent="0.25">
      <c r="A527" s="496" t="s">
        <v>265</v>
      </c>
      <c r="B527" s="492" t="s">
        <v>1208</v>
      </c>
      <c r="C527" s="499" t="s">
        <v>264</v>
      </c>
      <c r="D527" s="499" t="s">
        <v>215</v>
      </c>
      <c r="E527" s="499"/>
      <c r="F527" s="2"/>
      <c r="G527" s="10">
        <f t="shared" si="64"/>
        <v>506</v>
      </c>
      <c r="H527" s="10">
        <f t="shared" si="64"/>
        <v>506</v>
      </c>
    </row>
    <row r="528" spans="1:8" ht="47.25" x14ac:dyDescent="0.25">
      <c r="A528" s="496" t="s">
        <v>839</v>
      </c>
      <c r="B528" s="492" t="s">
        <v>1209</v>
      </c>
      <c r="C528" s="499" t="s">
        <v>264</v>
      </c>
      <c r="D528" s="499" t="s">
        <v>215</v>
      </c>
      <c r="E528" s="492"/>
      <c r="F528" s="2"/>
      <c r="G528" s="10">
        <f t="shared" si="64"/>
        <v>506</v>
      </c>
      <c r="H528" s="10">
        <f t="shared" si="64"/>
        <v>506</v>
      </c>
    </row>
    <row r="529" spans="1:8" ht="94.5" x14ac:dyDescent="0.25">
      <c r="A529" s="496" t="s">
        <v>127</v>
      </c>
      <c r="B529" s="492" t="s">
        <v>1209</v>
      </c>
      <c r="C529" s="499" t="s">
        <v>264</v>
      </c>
      <c r="D529" s="499" t="s">
        <v>215</v>
      </c>
      <c r="E529" s="492" t="s">
        <v>128</v>
      </c>
      <c r="F529" s="2"/>
      <c r="G529" s="10">
        <f t="shared" si="64"/>
        <v>506</v>
      </c>
      <c r="H529" s="10">
        <f t="shared" si="64"/>
        <v>506</v>
      </c>
    </row>
    <row r="530" spans="1:8" ht="31.5" x14ac:dyDescent="0.25">
      <c r="A530" s="496" t="s">
        <v>129</v>
      </c>
      <c r="B530" s="492" t="s">
        <v>1209</v>
      </c>
      <c r="C530" s="499" t="s">
        <v>264</v>
      </c>
      <c r="D530" s="499" t="s">
        <v>215</v>
      </c>
      <c r="E530" s="492" t="s">
        <v>209</v>
      </c>
      <c r="F530" s="2"/>
      <c r="G530" s="10">
        <f>'пр.6.1.ведом.22-23 (2)'!G316</f>
        <v>506</v>
      </c>
      <c r="H530" s="10">
        <f>'пр.6.1.ведом.22-23 (2)'!H316</f>
        <v>506</v>
      </c>
    </row>
    <row r="531" spans="1:8" ht="47.25" x14ac:dyDescent="0.25">
      <c r="A531" s="45" t="s">
        <v>261</v>
      </c>
      <c r="B531" s="492" t="s">
        <v>1209</v>
      </c>
      <c r="C531" s="499" t="s">
        <v>264</v>
      </c>
      <c r="D531" s="499" t="s">
        <v>215</v>
      </c>
      <c r="E531" s="492" t="s">
        <v>209</v>
      </c>
      <c r="F531" s="2">
        <v>903</v>
      </c>
      <c r="G531" s="10">
        <f>G530</f>
        <v>506</v>
      </c>
      <c r="H531" s="10">
        <f>H530</f>
        <v>506</v>
      </c>
    </row>
    <row r="532" spans="1:8" ht="15.75" x14ac:dyDescent="0.25">
      <c r="A532" s="73" t="s">
        <v>298</v>
      </c>
      <c r="B532" s="492" t="s">
        <v>1208</v>
      </c>
      <c r="C532" s="499" t="s">
        <v>299</v>
      </c>
      <c r="D532" s="73"/>
      <c r="E532" s="73"/>
      <c r="F532" s="2"/>
      <c r="G532" s="10">
        <f t="shared" ref="G532:H535" si="65">G533</f>
        <v>875</v>
      </c>
      <c r="H532" s="10">
        <f t="shared" si="65"/>
        <v>875</v>
      </c>
    </row>
    <row r="533" spans="1:8" ht="15.75" x14ac:dyDescent="0.25">
      <c r="A533" s="73" t="s">
        <v>300</v>
      </c>
      <c r="B533" s="492" t="s">
        <v>1208</v>
      </c>
      <c r="C533" s="499" t="s">
        <v>299</v>
      </c>
      <c r="D533" s="499" t="s">
        <v>118</v>
      </c>
      <c r="E533" s="73"/>
      <c r="F533" s="2"/>
      <c r="G533" s="10">
        <f t="shared" si="65"/>
        <v>875</v>
      </c>
      <c r="H533" s="10">
        <f t="shared" si="65"/>
        <v>875</v>
      </c>
    </row>
    <row r="534" spans="1:8" ht="47.25" x14ac:dyDescent="0.25">
      <c r="A534" s="496" t="s">
        <v>839</v>
      </c>
      <c r="B534" s="492" t="s">
        <v>1209</v>
      </c>
      <c r="C534" s="499" t="s">
        <v>299</v>
      </c>
      <c r="D534" s="499" t="s">
        <v>118</v>
      </c>
      <c r="E534" s="499"/>
      <c r="F534" s="2"/>
      <c r="G534" s="10">
        <f t="shared" si="65"/>
        <v>875</v>
      </c>
      <c r="H534" s="10">
        <f t="shared" si="65"/>
        <v>875</v>
      </c>
    </row>
    <row r="535" spans="1:8" ht="94.5" x14ac:dyDescent="0.25">
      <c r="A535" s="496" t="s">
        <v>127</v>
      </c>
      <c r="B535" s="492" t="s">
        <v>1209</v>
      </c>
      <c r="C535" s="499" t="s">
        <v>299</v>
      </c>
      <c r="D535" s="499" t="s">
        <v>118</v>
      </c>
      <c r="E535" s="499" t="s">
        <v>128</v>
      </c>
      <c r="F535" s="2"/>
      <c r="G535" s="10">
        <f t="shared" si="65"/>
        <v>875</v>
      </c>
      <c r="H535" s="10">
        <f t="shared" si="65"/>
        <v>875</v>
      </c>
    </row>
    <row r="536" spans="1:8" ht="31.5" x14ac:dyDescent="0.25">
      <c r="A536" s="496" t="s">
        <v>129</v>
      </c>
      <c r="B536" s="492" t="s">
        <v>1209</v>
      </c>
      <c r="C536" s="499" t="s">
        <v>299</v>
      </c>
      <c r="D536" s="499" t="s">
        <v>118</v>
      </c>
      <c r="E536" s="499" t="s">
        <v>209</v>
      </c>
      <c r="F536" s="2"/>
      <c r="G536" s="10">
        <f>'пр.6.1.ведом.22-23 (2)'!G377</f>
        <v>875</v>
      </c>
      <c r="H536" s="10">
        <f>'пр.6.1.ведом.22-23 (2)'!H377</f>
        <v>875</v>
      </c>
    </row>
    <row r="537" spans="1:8" ht="47.25" x14ac:dyDescent="0.25">
      <c r="A537" s="45" t="s">
        <v>261</v>
      </c>
      <c r="B537" s="492" t="s">
        <v>1209</v>
      </c>
      <c r="C537" s="499" t="s">
        <v>299</v>
      </c>
      <c r="D537" s="499" t="s">
        <v>118</v>
      </c>
      <c r="E537" s="499" t="s">
        <v>209</v>
      </c>
      <c r="F537" s="2">
        <v>903</v>
      </c>
      <c r="G537" s="10">
        <f>G536</f>
        <v>875</v>
      </c>
      <c r="H537" s="10">
        <f>H536</f>
        <v>875</v>
      </c>
    </row>
    <row r="538" spans="1:8" ht="15.75" x14ac:dyDescent="0.25">
      <c r="A538" s="68" t="s">
        <v>582</v>
      </c>
      <c r="B538" s="492" t="s">
        <v>1208</v>
      </c>
      <c r="C538" s="499" t="s">
        <v>238</v>
      </c>
      <c r="D538" s="73"/>
      <c r="E538" s="73"/>
      <c r="F538" s="2"/>
      <c r="G538" s="10">
        <f t="shared" ref="G538:H541" si="66">G539</f>
        <v>276</v>
      </c>
      <c r="H538" s="10">
        <f t="shared" si="66"/>
        <v>276</v>
      </c>
    </row>
    <row r="539" spans="1:8" ht="15.75" x14ac:dyDescent="0.25">
      <c r="A539" s="496" t="s">
        <v>583</v>
      </c>
      <c r="B539" s="492" t="s">
        <v>1208</v>
      </c>
      <c r="C539" s="499" t="s">
        <v>238</v>
      </c>
      <c r="D539" s="499" t="s">
        <v>213</v>
      </c>
      <c r="E539" s="73"/>
      <c r="F539" s="2"/>
      <c r="G539" s="10">
        <f t="shared" si="66"/>
        <v>276</v>
      </c>
      <c r="H539" s="10">
        <f t="shared" si="66"/>
        <v>276</v>
      </c>
    </row>
    <row r="540" spans="1:8" ht="47.25" x14ac:dyDescent="0.25">
      <c r="A540" s="496" t="s">
        <v>839</v>
      </c>
      <c r="B540" s="492" t="s">
        <v>1209</v>
      </c>
      <c r="C540" s="499" t="s">
        <v>238</v>
      </c>
      <c r="D540" s="499" t="s">
        <v>213</v>
      </c>
      <c r="E540" s="499"/>
      <c r="F540" s="2"/>
      <c r="G540" s="10">
        <f t="shared" si="66"/>
        <v>276</v>
      </c>
      <c r="H540" s="10">
        <f t="shared" si="66"/>
        <v>276</v>
      </c>
    </row>
    <row r="541" spans="1:8" ht="94.5" x14ac:dyDescent="0.25">
      <c r="A541" s="496" t="s">
        <v>127</v>
      </c>
      <c r="B541" s="492" t="s">
        <v>1209</v>
      </c>
      <c r="C541" s="499" t="s">
        <v>238</v>
      </c>
      <c r="D541" s="499" t="s">
        <v>213</v>
      </c>
      <c r="E541" s="499" t="s">
        <v>128</v>
      </c>
      <c r="F541" s="2"/>
      <c r="G541" s="10">
        <f t="shared" si="66"/>
        <v>276</v>
      </c>
      <c r="H541" s="10">
        <f t="shared" si="66"/>
        <v>276</v>
      </c>
    </row>
    <row r="542" spans="1:8" ht="31.5" x14ac:dyDescent="0.25">
      <c r="A542" s="496" t="s">
        <v>129</v>
      </c>
      <c r="B542" s="492" t="s">
        <v>1209</v>
      </c>
      <c r="C542" s="499" t="s">
        <v>238</v>
      </c>
      <c r="D542" s="499" t="s">
        <v>213</v>
      </c>
      <c r="E542" s="499" t="s">
        <v>209</v>
      </c>
      <c r="F542" s="2"/>
      <c r="G542" s="10">
        <f>'пр.6.1.ведом.22-23 (2)'!G482</f>
        <v>276</v>
      </c>
      <c r="H542" s="10">
        <f>'пр.6.1.ведом.22-23 (2)'!H482</f>
        <v>276</v>
      </c>
    </row>
    <row r="543" spans="1:8" ht="47.25" x14ac:dyDescent="0.25">
      <c r="A543" s="45" t="s">
        <v>261</v>
      </c>
      <c r="B543" s="492" t="s">
        <v>1209</v>
      </c>
      <c r="C543" s="499" t="s">
        <v>238</v>
      </c>
      <c r="D543" s="499" t="s">
        <v>213</v>
      </c>
      <c r="E543" s="499" t="s">
        <v>209</v>
      </c>
      <c r="F543" s="2">
        <v>903</v>
      </c>
      <c r="G543" s="10">
        <f>G542</f>
        <v>276</v>
      </c>
      <c r="H543" s="10">
        <f>H542</f>
        <v>276</v>
      </c>
    </row>
    <row r="544" spans="1:8" ht="47.25" x14ac:dyDescent="0.25">
      <c r="A544" s="218" t="s">
        <v>900</v>
      </c>
      <c r="B544" s="495" t="s">
        <v>1210</v>
      </c>
      <c r="C544" s="7"/>
      <c r="D544" s="7"/>
      <c r="E544" s="7"/>
      <c r="F544" s="3"/>
      <c r="G544" s="59">
        <f>G545+G559</f>
        <v>3517.4</v>
      </c>
      <c r="H544" s="59">
        <f>H545+H559</f>
        <v>3517.4</v>
      </c>
    </row>
    <row r="545" spans="1:8" ht="15.75" x14ac:dyDescent="0.25">
      <c r="A545" s="496" t="s">
        <v>263</v>
      </c>
      <c r="B545" s="492" t="s">
        <v>1210</v>
      </c>
      <c r="C545" s="499" t="s">
        <v>264</v>
      </c>
      <c r="D545" s="499"/>
      <c r="E545" s="499"/>
      <c r="F545" s="2"/>
      <c r="G545" s="10">
        <f>G546</f>
        <v>1075.4000000000001</v>
      </c>
      <c r="H545" s="10">
        <f>H546</f>
        <v>1075.4000000000001</v>
      </c>
    </row>
    <row r="546" spans="1:8" ht="15.75" x14ac:dyDescent="0.25">
      <c r="A546" s="496" t="s">
        <v>265</v>
      </c>
      <c r="B546" s="492" t="s">
        <v>1210</v>
      </c>
      <c r="C546" s="499" t="s">
        <v>264</v>
      </c>
      <c r="D546" s="499" t="s">
        <v>215</v>
      </c>
      <c r="E546" s="499"/>
      <c r="F546" s="2"/>
      <c r="G546" s="10">
        <f>G551+G555+G547</f>
        <v>1075.4000000000001</v>
      </c>
      <c r="H546" s="10">
        <f>H551+H555+H547</f>
        <v>1075.4000000000001</v>
      </c>
    </row>
    <row r="547" spans="1:8" ht="110.25" x14ac:dyDescent="0.25">
      <c r="A547" s="31" t="s">
        <v>293</v>
      </c>
      <c r="B547" s="492" t="s">
        <v>1403</v>
      </c>
      <c r="C547" s="499" t="s">
        <v>264</v>
      </c>
      <c r="D547" s="499" t="s">
        <v>215</v>
      </c>
      <c r="E547" s="492"/>
      <c r="F547" s="2"/>
      <c r="G547" s="10">
        <f>G548</f>
        <v>671</v>
      </c>
      <c r="H547" s="10">
        <f>H548</f>
        <v>671</v>
      </c>
    </row>
    <row r="548" spans="1:8" ht="94.5" x14ac:dyDescent="0.25">
      <c r="A548" s="496" t="s">
        <v>127</v>
      </c>
      <c r="B548" s="492" t="s">
        <v>1403</v>
      </c>
      <c r="C548" s="499" t="s">
        <v>264</v>
      </c>
      <c r="D548" s="499" t="s">
        <v>215</v>
      </c>
      <c r="E548" s="492" t="s">
        <v>128</v>
      </c>
      <c r="F548" s="2"/>
      <c r="G548" s="10">
        <f>G549</f>
        <v>671</v>
      </c>
      <c r="H548" s="10">
        <f>H549</f>
        <v>671</v>
      </c>
    </row>
    <row r="549" spans="1:8" ht="31.5" x14ac:dyDescent="0.25">
      <c r="A549" s="46" t="s">
        <v>342</v>
      </c>
      <c r="B549" s="492" t="s">
        <v>1403</v>
      </c>
      <c r="C549" s="499" t="s">
        <v>264</v>
      </c>
      <c r="D549" s="499" t="s">
        <v>215</v>
      </c>
      <c r="E549" s="492" t="s">
        <v>209</v>
      </c>
      <c r="F549" s="2"/>
      <c r="G549" s="10">
        <f>'пр.6.1.ведом.22-23 (2)'!G320</f>
        <v>671</v>
      </c>
      <c r="H549" s="10">
        <f>'пр.6.1.ведом.22-23 (2)'!H320</f>
        <v>671</v>
      </c>
    </row>
    <row r="550" spans="1:8" ht="47.25" x14ac:dyDescent="0.25">
      <c r="A550" s="45" t="s">
        <v>261</v>
      </c>
      <c r="B550" s="492" t="s">
        <v>1403</v>
      </c>
      <c r="C550" s="499" t="s">
        <v>264</v>
      </c>
      <c r="D550" s="499" t="s">
        <v>215</v>
      </c>
      <c r="E550" s="492" t="s">
        <v>209</v>
      </c>
      <c r="F550" s="2">
        <v>903</v>
      </c>
      <c r="G550" s="10">
        <f>G549</f>
        <v>671</v>
      </c>
      <c r="H550" s="10">
        <f>H549</f>
        <v>671</v>
      </c>
    </row>
    <row r="551" spans="1:8" ht="78.75" x14ac:dyDescent="0.25">
      <c r="A551" s="31" t="s">
        <v>289</v>
      </c>
      <c r="B551" s="492" t="s">
        <v>1211</v>
      </c>
      <c r="C551" s="499" t="s">
        <v>264</v>
      </c>
      <c r="D551" s="499" t="s">
        <v>215</v>
      </c>
      <c r="E551" s="492"/>
      <c r="F551" s="2"/>
      <c r="G551" s="10">
        <f>G552</f>
        <v>106</v>
      </c>
      <c r="H551" s="10">
        <f>H552</f>
        <v>106</v>
      </c>
    </row>
    <row r="552" spans="1:8" ht="94.5" x14ac:dyDescent="0.25">
      <c r="A552" s="496" t="s">
        <v>127</v>
      </c>
      <c r="B552" s="492" t="s">
        <v>1211</v>
      </c>
      <c r="C552" s="499" t="s">
        <v>264</v>
      </c>
      <c r="D552" s="499" t="s">
        <v>215</v>
      </c>
      <c r="E552" s="492" t="s">
        <v>128</v>
      </c>
      <c r="F552" s="2"/>
      <c r="G552" s="10">
        <f>G553</f>
        <v>106</v>
      </c>
      <c r="H552" s="10">
        <f>H553</f>
        <v>106</v>
      </c>
    </row>
    <row r="553" spans="1:8" ht="31.5" x14ac:dyDescent="0.25">
      <c r="A553" s="46" t="s">
        <v>342</v>
      </c>
      <c r="B553" s="492" t="s">
        <v>1211</v>
      </c>
      <c r="C553" s="499" t="s">
        <v>264</v>
      </c>
      <c r="D553" s="499" t="s">
        <v>215</v>
      </c>
      <c r="E553" s="492" t="s">
        <v>209</v>
      </c>
      <c r="F553" s="2"/>
      <c r="G553" s="10">
        <f>'пр.6.1.ведом.22-23 (2)'!G323</f>
        <v>106</v>
      </c>
      <c r="H553" s="10">
        <f>'пр.6.1.ведом.22-23 (2)'!H323</f>
        <v>106</v>
      </c>
    </row>
    <row r="554" spans="1:8" ht="47.25" x14ac:dyDescent="0.25">
      <c r="A554" s="45" t="s">
        <v>261</v>
      </c>
      <c r="B554" s="492" t="s">
        <v>1211</v>
      </c>
      <c r="C554" s="499" t="s">
        <v>264</v>
      </c>
      <c r="D554" s="499" t="s">
        <v>215</v>
      </c>
      <c r="E554" s="492" t="s">
        <v>209</v>
      </c>
      <c r="F554" s="2">
        <v>903</v>
      </c>
      <c r="G554" s="10">
        <f>G553</f>
        <v>106</v>
      </c>
      <c r="H554" s="10">
        <f>H553</f>
        <v>106</v>
      </c>
    </row>
    <row r="555" spans="1:8" ht="94.5" x14ac:dyDescent="0.25">
      <c r="A555" s="31" t="s">
        <v>291</v>
      </c>
      <c r="B555" s="492" t="s">
        <v>1212</v>
      </c>
      <c r="C555" s="499" t="s">
        <v>264</v>
      </c>
      <c r="D555" s="499" t="s">
        <v>215</v>
      </c>
      <c r="E555" s="492"/>
      <c r="F555" s="2"/>
      <c r="G555" s="10">
        <f>G556</f>
        <v>298.39999999999998</v>
      </c>
      <c r="H555" s="10">
        <f>H556</f>
        <v>298.39999999999998</v>
      </c>
    </row>
    <row r="556" spans="1:8" ht="94.5" x14ac:dyDescent="0.25">
      <c r="A556" s="496" t="s">
        <v>127</v>
      </c>
      <c r="B556" s="492" t="s">
        <v>1212</v>
      </c>
      <c r="C556" s="499" t="s">
        <v>264</v>
      </c>
      <c r="D556" s="499" t="s">
        <v>215</v>
      </c>
      <c r="E556" s="492" t="s">
        <v>128</v>
      </c>
      <c r="F556" s="2"/>
      <c r="G556" s="10">
        <f>G557</f>
        <v>298.39999999999998</v>
      </c>
      <c r="H556" s="10">
        <f>H557</f>
        <v>298.39999999999998</v>
      </c>
    </row>
    <row r="557" spans="1:8" ht="31.5" x14ac:dyDescent="0.25">
      <c r="A557" s="46" t="s">
        <v>342</v>
      </c>
      <c r="B557" s="492" t="s">
        <v>1212</v>
      </c>
      <c r="C557" s="499" t="s">
        <v>264</v>
      </c>
      <c r="D557" s="499" t="s">
        <v>215</v>
      </c>
      <c r="E557" s="492" t="s">
        <v>209</v>
      </c>
      <c r="F557" s="2"/>
      <c r="G557" s="10">
        <f>'пр.6.1.ведом.22-23 (2)'!G326</f>
        <v>298.39999999999998</v>
      </c>
      <c r="H557" s="10">
        <f>'пр.6.1.ведом.22-23 (2)'!H326</f>
        <v>298.39999999999998</v>
      </c>
    </row>
    <row r="558" spans="1:8" ht="47.25" x14ac:dyDescent="0.25">
      <c r="A558" s="45" t="s">
        <v>261</v>
      </c>
      <c r="B558" s="492" t="s">
        <v>1212</v>
      </c>
      <c r="C558" s="499" t="s">
        <v>264</v>
      </c>
      <c r="D558" s="499" t="s">
        <v>215</v>
      </c>
      <c r="E558" s="492" t="s">
        <v>209</v>
      </c>
      <c r="F558" s="2">
        <v>903</v>
      </c>
      <c r="G558" s="10">
        <f>G557</f>
        <v>298.39999999999998</v>
      </c>
      <c r="H558" s="10">
        <f>H557</f>
        <v>298.39999999999998</v>
      </c>
    </row>
    <row r="559" spans="1:8" ht="15.75" x14ac:dyDescent="0.25">
      <c r="A559" s="73" t="s">
        <v>298</v>
      </c>
      <c r="B559" s="492" t="s">
        <v>1210</v>
      </c>
      <c r="C559" s="499" t="s">
        <v>299</v>
      </c>
      <c r="D559" s="73"/>
      <c r="E559" s="73"/>
      <c r="F559" s="2"/>
      <c r="G559" s="10">
        <f t="shared" ref="G559:H559" si="67">G560</f>
        <v>2442</v>
      </c>
      <c r="H559" s="10">
        <f t="shared" si="67"/>
        <v>2442</v>
      </c>
    </row>
    <row r="560" spans="1:8" ht="15.75" x14ac:dyDescent="0.25">
      <c r="A560" s="73" t="s">
        <v>300</v>
      </c>
      <c r="B560" s="492" t="s">
        <v>1210</v>
      </c>
      <c r="C560" s="499" t="s">
        <v>299</v>
      </c>
      <c r="D560" s="499" t="s">
        <v>118</v>
      </c>
      <c r="E560" s="73"/>
      <c r="F560" s="2"/>
      <c r="G560" s="10">
        <f>G561+G565</f>
        <v>2442</v>
      </c>
      <c r="H560" s="10">
        <f>H561+H565</f>
        <v>2442</v>
      </c>
    </row>
    <row r="561" spans="1:8" ht="110.25" x14ac:dyDescent="0.25">
      <c r="A561" s="31" t="s">
        <v>293</v>
      </c>
      <c r="B561" s="492" t="s">
        <v>1403</v>
      </c>
      <c r="C561" s="499" t="s">
        <v>299</v>
      </c>
      <c r="D561" s="499" t="s">
        <v>118</v>
      </c>
      <c r="E561" s="499"/>
      <c r="F561" s="2"/>
      <c r="G561" s="10">
        <f>G562</f>
        <v>2100.6</v>
      </c>
      <c r="H561" s="10">
        <f>H562</f>
        <v>2100.6</v>
      </c>
    </row>
    <row r="562" spans="1:8" ht="94.5" x14ac:dyDescent="0.25">
      <c r="A562" s="496" t="s">
        <v>127</v>
      </c>
      <c r="B562" s="492" t="s">
        <v>1403</v>
      </c>
      <c r="C562" s="499" t="s">
        <v>299</v>
      </c>
      <c r="D562" s="499" t="s">
        <v>118</v>
      </c>
      <c r="E562" s="499" t="s">
        <v>128</v>
      </c>
      <c r="F562" s="2"/>
      <c r="G562" s="10">
        <f>G563</f>
        <v>2100.6</v>
      </c>
      <c r="H562" s="10">
        <f>H563</f>
        <v>2100.6</v>
      </c>
    </row>
    <row r="563" spans="1:8" ht="31.5" x14ac:dyDescent="0.25">
      <c r="A563" s="496" t="s">
        <v>208</v>
      </c>
      <c r="B563" s="492" t="s">
        <v>1403</v>
      </c>
      <c r="C563" s="499" t="s">
        <v>299</v>
      </c>
      <c r="D563" s="499" t="s">
        <v>118</v>
      </c>
      <c r="E563" s="499" t="s">
        <v>209</v>
      </c>
      <c r="F563" s="2"/>
      <c r="G563" s="10">
        <f>'пр.6.1.ведом.22-23 (2)'!G381</f>
        <v>2100.6</v>
      </c>
      <c r="H563" s="10">
        <f>'пр.6.1.ведом.22-23 (2)'!H381</f>
        <v>2100.6</v>
      </c>
    </row>
    <row r="564" spans="1:8" ht="47.25" x14ac:dyDescent="0.25">
      <c r="A564" s="45" t="s">
        <v>261</v>
      </c>
      <c r="B564" s="492" t="s">
        <v>1403</v>
      </c>
      <c r="C564" s="499" t="s">
        <v>299</v>
      </c>
      <c r="D564" s="499" t="s">
        <v>118</v>
      </c>
      <c r="E564" s="499" t="s">
        <v>209</v>
      </c>
      <c r="F564" s="2">
        <v>903</v>
      </c>
      <c r="G564" s="10">
        <f>G563</f>
        <v>2100.6</v>
      </c>
      <c r="H564" s="10">
        <f>H563</f>
        <v>2100.6</v>
      </c>
    </row>
    <row r="565" spans="1:8" ht="94.5" x14ac:dyDescent="0.25">
      <c r="A565" s="496" t="s">
        <v>331</v>
      </c>
      <c r="B565" s="492" t="s">
        <v>1291</v>
      </c>
      <c r="C565" s="492" t="s">
        <v>299</v>
      </c>
      <c r="D565" s="492" t="s">
        <v>118</v>
      </c>
      <c r="E565" s="492"/>
      <c r="F565" s="492"/>
      <c r="G565" s="10">
        <f>G566</f>
        <v>341.4</v>
      </c>
      <c r="H565" s="10">
        <f>H566</f>
        <v>341.4</v>
      </c>
    </row>
    <row r="566" spans="1:8" ht="94.5" x14ac:dyDescent="0.25">
      <c r="A566" s="496" t="s">
        <v>127</v>
      </c>
      <c r="B566" s="492" t="s">
        <v>1291</v>
      </c>
      <c r="C566" s="492" t="s">
        <v>299</v>
      </c>
      <c r="D566" s="492" t="s">
        <v>118</v>
      </c>
      <c r="E566" s="492" t="s">
        <v>128</v>
      </c>
      <c r="F566" s="492"/>
      <c r="G566" s="10">
        <f>G567</f>
        <v>341.4</v>
      </c>
      <c r="H566" s="10">
        <f>H567</f>
        <v>341.4</v>
      </c>
    </row>
    <row r="567" spans="1:8" ht="31.5" x14ac:dyDescent="0.25">
      <c r="A567" s="496" t="s">
        <v>208</v>
      </c>
      <c r="B567" s="492" t="s">
        <v>1291</v>
      </c>
      <c r="C567" s="492" t="s">
        <v>299</v>
      </c>
      <c r="D567" s="492" t="s">
        <v>118</v>
      </c>
      <c r="E567" s="492" t="s">
        <v>209</v>
      </c>
      <c r="F567" s="492"/>
      <c r="G567" s="10">
        <f>'пр.6.1.ведом.22-23 (2)'!G384</f>
        <v>341.4</v>
      </c>
      <c r="H567" s="10">
        <f>'пр.6.1.ведом.22-23 (2)'!H384</f>
        <v>341.4</v>
      </c>
    </row>
    <row r="568" spans="1:8" ht="47.25" x14ac:dyDescent="0.25">
      <c r="A568" s="45" t="s">
        <v>261</v>
      </c>
      <c r="B568" s="492" t="s">
        <v>1291</v>
      </c>
      <c r="C568" s="492" t="s">
        <v>299</v>
      </c>
      <c r="D568" s="492" t="s">
        <v>118</v>
      </c>
      <c r="E568" s="492" t="s">
        <v>209</v>
      </c>
      <c r="F568" s="492" t="s">
        <v>627</v>
      </c>
      <c r="G568" s="10">
        <f>G567</f>
        <v>341.4</v>
      </c>
      <c r="H568" s="10">
        <f>H567</f>
        <v>341.4</v>
      </c>
    </row>
    <row r="569" spans="1:8" ht="47.25" x14ac:dyDescent="0.25">
      <c r="A569" s="494" t="s">
        <v>902</v>
      </c>
      <c r="B569" s="495" t="s">
        <v>1215</v>
      </c>
      <c r="C569" s="7"/>
      <c r="D569" s="7"/>
      <c r="E569" s="7"/>
      <c r="F569" s="3"/>
      <c r="G569" s="59">
        <f>G572</f>
        <v>50</v>
      </c>
      <c r="H569" s="59">
        <f>H572</f>
        <v>50</v>
      </c>
    </row>
    <row r="570" spans="1:8" ht="15.75" x14ac:dyDescent="0.25">
      <c r="A570" s="73" t="s">
        <v>298</v>
      </c>
      <c r="B570" s="492" t="s">
        <v>1215</v>
      </c>
      <c r="C570" s="499" t="s">
        <v>299</v>
      </c>
      <c r="D570" s="499"/>
      <c r="E570" s="499"/>
      <c r="F570" s="74"/>
      <c r="G570" s="10">
        <f t="shared" ref="G570:H573" si="68">G571</f>
        <v>50</v>
      </c>
      <c r="H570" s="10">
        <f t="shared" si="68"/>
        <v>50</v>
      </c>
    </row>
    <row r="571" spans="1:8" ht="15.75" x14ac:dyDescent="0.25">
      <c r="A571" s="73" t="s">
        <v>300</v>
      </c>
      <c r="B571" s="492" t="s">
        <v>1215</v>
      </c>
      <c r="C571" s="499" t="s">
        <v>299</v>
      </c>
      <c r="D571" s="499" t="s">
        <v>118</v>
      </c>
      <c r="E571" s="499"/>
      <c r="F571" s="74"/>
      <c r="G571" s="10">
        <f t="shared" si="68"/>
        <v>50</v>
      </c>
      <c r="H571" s="10">
        <f t="shared" si="68"/>
        <v>50</v>
      </c>
    </row>
    <row r="572" spans="1:8" ht="31.5" x14ac:dyDescent="0.25">
      <c r="A572" s="496" t="s">
        <v>821</v>
      </c>
      <c r="B572" s="492" t="s">
        <v>1216</v>
      </c>
      <c r="C572" s="499" t="s">
        <v>299</v>
      </c>
      <c r="D572" s="499" t="s">
        <v>118</v>
      </c>
      <c r="E572" s="499"/>
      <c r="F572" s="2"/>
      <c r="G572" s="10">
        <f t="shared" si="68"/>
        <v>50</v>
      </c>
      <c r="H572" s="10">
        <f t="shared" si="68"/>
        <v>50</v>
      </c>
    </row>
    <row r="573" spans="1:8" ht="31.5" x14ac:dyDescent="0.25">
      <c r="A573" s="496" t="s">
        <v>131</v>
      </c>
      <c r="B573" s="492" t="s">
        <v>1216</v>
      </c>
      <c r="C573" s="499" t="s">
        <v>299</v>
      </c>
      <c r="D573" s="499" t="s">
        <v>118</v>
      </c>
      <c r="E573" s="499" t="s">
        <v>132</v>
      </c>
      <c r="F573" s="2"/>
      <c r="G573" s="10">
        <f t="shared" si="68"/>
        <v>50</v>
      </c>
      <c r="H573" s="10">
        <f t="shared" si="68"/>
        <v>50</v>
      </c>
    </row>
    <row r="574" spans="1:8" ht="47.25" x14ac:dyDescent="0.25">
      <c r="A574" s="496" t="s">
        <v>133</v>
      </c>
      <c r="B574" s="492" t="s">
        <v>1216</v>
      </c>
      <c r="C574" s="499" t="s">
        <v>299</v>
      </c>
      <c r="D574" s="499" t="s">
        <v>118</v>
      </c>
      <c r="E574" s="499" t="s">
        <v>134</v>
      </c>
      <c r="F574" s="2"/>
      <c r="G574" s="10">
        <f>'пр.6.1.ведом.22-23 (2)'!G388</f>
        <v>50</v>
      </c>
      <c r="H574" s="10">
        <f>'пр.6.1.ведом.22-23 (2)'!H388</f>
        <v>50</v>
      </c>
    </row>
    <row r="575" spans="1:8" ht="47.25" x14ac:dyDescent="0.25">
      <c r="A575" s="45" t="s">
        <v>261</v>
      </c>
      <c r="B575" s="492" t="s">
        <v>1216</v>
      </c>
      <c r="C575" s="499" t="s">
        <v>299</v>
      </c>
      <c r="D575" s="499" t="s">
        <v>118</v>
      </c>
      <c r="E575" s="499" t="s">
        <v>134</v>
      </c>
      <c r="F575" s="2">
        <v>903</v>
      </c>
      <c r="G575" s="10">
        <f>G574</f>
        <v>50</v>
      </c>
      <c r="H575" s="10">
        <f>H574</f>
        <v>50</v>
      </c>
    </row>
    <row r="576" spans="1:8" ht="31.5" x14ac:dyDescent="0.25">
      <c r="A576" s="494" t="s">
        <v>1010</v>
      </c>
      <c r="B576" s="495" t="s">
        <v>1217</v>
      </c>
      <c r="C576" s="7"/>
      <c r="D576" s="7"/>
      <c r="E576" s="7"/>
      <c r="F576" s="3"/>
      <c r="G576" s="59">
        <f>G577</f>
        <v>68.7</v>
      </c>
      <c r="H576" s="59">
        <f>H577</f>
        <v>68.7</v>
      </c>
    </row>
    <row r="577" spans="1:8" ht="15.75" x14ac:dyDescent="0.25">
      <c r="A577" s="68" t="s">
        <v>298</v>
      </c>
      <c r="B577" s="492" t="s">
        <v>1217</v>
      </c>
      <c r="C577" s="499" t="s">
        <v>299</v>
      </c>
      <c r="D577" s="499"/>
      <c r="E577" s="499"/>
      <c r="F577" s="74"/>
      <c r="G577" s="10">
        <f t="shared" ref="G577:H580" si="69">G578</f>
        <v>68.7</v>
      </c>
      <c r="H577" s="10">
        <f t="shared" si="69"/>
        <v>68.7</v>
      </c>
    </row>
    <row r="578" spans="1:8" ht="15.75" x14ac:dyDescent="0.25">
      <c r="A578" s="68" t="s">
        <v>300</v>
      </c>
      <c r="B578" s="492" t="s">
        <v>1217</v>
      </c>
      <c r="C578" s="499" t="s">
        <v>299</v>
      </c>
      <c r="D578" s="499" t="s">
        <v>118</v>
      </c>
      <c r="E578" s="499"/>
      <c r="F578" s="74"/>
      <c r="G578" s="10">
        <f t="shared" si="69"/>
        <v>68.7</v>
      </c>
      <c r="H578" s="10">
        <f t="shared" si="69"/>
        <v>68.7</v>
      </c>
    </row>
    <row r="579" spans="1:8" ht="47.25" x14ac:dyDescent="0.25">
      <c r="A579" s="496" t="s">
        <v>1484</v>
      </c>
      <c r="B579" s="492" t="s">
        <v>1218</v>
      </c>
      <c r="C579" s="499" t="s">
        <v>299</v>
      </c>
      <c r="D579" s="499" t="s">
        <v>118</v>
      </c>
      <c r="E579" s="499"/>
      <c r="F579" s="2"/>
      <c r="G579" s="10">
        <f t="shared" si="69"/>
        <v>68.7</v>
      </c>
      <c r="H579" s="10">
        <f t="shared" si="69"/>
        <v>68.7</v>
      </c>
    </row>
    <row r="580" spans="1:8" ht="31.5" x14ac:dyDescent="0.25">
      <c r="A580" s="496" t="s">
        <v>131</v>
      </c>
      <c r="B580" s="492" t="s">
        <v>1218</v>
      </c>
      <c r="C580" s="499" t="s">
        <v>299</v>
      </c>
      <c r="D580" s="499" t="s">
        <v>118</v>
      </c>
      <c r="E580" s="499" t="s">
        <v>132</v>
      </c>
      <c r="F580" s="2"/>
      <c r="G580" s="10">
        <f t="shared" si="69"/>
        <v>68.7</v>
      </c>
      <c r="H580" s="10">
        <f t="shared" si="69"/>
        <v>68.7</v>
      </c>
    </row>
    <row r="581" spans="1:8" ht="47.25" x14ac:dyDescent="0.25">
      <c r="A581" s="496" t="s">
        <v>133</v>
      </c>
      <c r="B581" s="492" t="s">
        <v>1218</v>
      </c>
      <c r="C581" s="499" t="s">
        <v>299</v>
      </c>
      <c r="D581" s="499" t="s">
        <v>118</v>
      </c>
      <c r="E581" s="499" t="s">
        <v>134</v>
      </c>
      <c r="F581" s="2"/>
      <c r="G581" s="10">
        <f>'пр.6.1.ведом.22-23 (2)'!G392</f>
        <v>68.7</v>
      </c>
      <c r="H581" s="10">
        <f>'пр.6.1.ведом.22-23 (2)'!H392</f>
        <v>68.7</v>
      </c>
    </row>
    <row r="582" spans="1:8" ht="47.25" x14ac:dyDescent="0.25">
      <c r="A582" s="45" t="s">
        <v>261</v>
      </c>
      <c r="B582" s="492" t="s">
        <v>1218</v>
      </c>
      <c r="C582" s="499" t="s">
        <v>299</v>
      </c>
      <c r="D582" s="499" t="s">
        <v>118</v>
      </c>
      <c r="E582" s="499" t="s">
        <v>134</v>
      </c>
      <c r="F582" s="2">
        <v>903</v>
      </c>
      <c r="G582" s="10">
        <f>G581</f>
        <v>68.7</v>
      </c>
      <c r="H582" s="10">
        <f>H581</f>
        <v>68.7</v>
      </c>
    </row>
    <row r="583" spans="1:8" ht="36" customHeight="1" x14ac:dyDescent="0.25">
      <c r="A583" s="262" t="s">
        <v>1179</v>
      </c>
      <c r="B583" s="495" t="s">
        <v>1213</v>
      </c>
      <c r="C583" s="499"/>
      <c r="D583" s="73"/>
      <c r="E583" s="73"/>
      <c r="F583" s="2"/>
      <c r="G583" s="59">
        <f t="shared" ref="G583:H587" si="70">G584</f>
        <v>300</v>
      </c>
      <c r="H583" s="59">
        <f t="shared" si="70"/>
        <v>1500</v>
      </c>
    </row>
    <row r="584" spans="1:8" ht="15.75" x14ac:dyDescent="0.25">
      <c r="A584" s="68" t="s">
        <v>298</v>
      </c>
      <c r="B584" s="492" t="s">
        <v>1213</v>
      </c>
      <c r="C584" s="499" t="s">
        <v>299</v>
      </c>
      <c r="D584" s="73"/>
      <c r="E584" s="73"/>
      <c r="F584" s="2"/>
      <c r="G584" s="10">
        <f t="shared" si="70"/>
        <v>300</v>
      </c>
      <c r="H584" s="10">
        <f t="shared" si="70"/>
        <v>1500</v>
      </c>
    </row>
    <row r="585" spans="1:8" ht="15.75" x14ac:dyDescent="0.25">
      <c r="A585" s="68" t="s">
        <v>300</v>
      </c>
      <c r="B585" s="492" t="s">
        <v>1213</v>
      </c>
      <c r="C585" s="499" t="s">
        <v>299</v>
      </c>
      <c r="D585" s="499" t="s">
        <v>118</v>
      </c>
      <c r="E585" s="73"/>
      <c r="F585" s="2"/>
      <c r="G585" s="10">
        <f t="shared" si="70"/>
        <v>300</v>
      </c>
      <c r="H585" s="10">
        <f t="shared" si="70"/>
        <v>1500</v>
      </c>
    </row>
    <row r="586" spans="1:8" ht="31.5" x14ac:dyDescent="0.25">
      <c r="A586" s="98" t="s">
        <v>1186</v>
      </c>
      <c r="B586" s="492" t="s">
        <v>1214</v>
      </c>
      <c r="C586" s="499" t="s">
        <v>299</v>
      </c>
      <c r="D586" s="499" t="s">
        <v>118</v>
      </c>
      <c r="E586" s="499"/>
      <c r="F586" s="2"/>
      <c r="G586" s="10">
        <f t="shared" si="70"/>
        <v>300</v>
      </c>
      <c r="H586" s="10">
        <f t="shared" si="70"/>
        <v>1500</v>
      </c>
    </row>
    <row r="587" spans="1:8" ht="31.5" x14ac:dyDescent="0.25">
      <c r="A587" s="496" t="s">
        <v>131</v>
      </c>
      <c r="B587" s="492" t="s">
        <v>1214</v>
      </c>
      <c r="C587" s="499" t="s">
        <v>299</v>
      </c>
      <c r="D587" s="499" t="s">
        <v>118</v>
      </c>
      <c r="E587" s="499" t="s">
        <v>132</v>
      </c>
      <c r="F587" s="2"/>
      <c r="G587" s="10">
        <f t="shared" si="70"/>
        <v>300</v>
      </c>
      <c r="H587" s="10">
        <f t="shared" si="70"/>
        <v>1500</v>
      </c>
    </row>
    <row r="588" spans="1:8" ht="47.25" x14ac:dyDescent="0.25">
      <c r="A588" s="496" t="s">
        <v>133</v>
      </c>
      <c r="B588" s="492" t="s">
        <v>1214</v>
      </c>
      <c r="C588" s="499" t="s">
        <v>299</v>
      </c>
      <c r="D588" s="499" t="s">
        <v>118</v>
      </c>
      <c r="E588" s="499" t="s">
        <v>134</v>
      </c>
      <c r="F588" s="2"/>
      <c r="G588" s="10">
        <f>'пр.6.1.ведом.22-23 (2)'!G396</f>
        <v>300</v>
      </c>
      <c r="H588" s="10">
        <f>'пр.6.1.ведом.22-23 (2)'!H396</f>
        <v>1500</v>
      </c>
    </row>
    <row r="589" spans="1:8" ht="47.25" x14ac:dyDescent="0.25">
      <c r="A589" s="45" t="s">
        <v>261</v>
      </c>
      <c r="B589" s="492" t="s">
        <v>1214</v>
      </c>
      <c r="C589" s="499" t="s">
        <v>299</v>
      </c>
      <c r="D589" s="499" t="s">
        <v>118</v>
      </c>
      <c r="E589" s="499" t="s">
        <v>134</v>
      </c>
      <c r="F589" s="2">
        <v>903</v>
      </c>
      <c r="G589" s="10">
        <f>G583</f>
        <v>300</v>
      </c>
      <c r="H589" s="10">
        <f>H583</f>
        <v>1500</v>
      </c>
    </row>
    <row r="590" spans="1:8" ht="54" hidden="1" customHeight="1" x14ac:dyDescent="0.25">
      <c r="A590" s="278" t="s">
        <v>1219</v>
      </c>
      <c r="B590" s="279"/>
      <c r="C590" s="492"/>
      <c r="D590" s="492"/>
      <c r="E590" s="499"/>
      <c r="F590" s="2"/>
      <c r="G590" s="59">
        <f t="shared" ref="G590:H594" si="71">G591</f>
        <v>0</v>
      </c>
      <c r="H590" s="59">
        <f t="shared" si="71"/>
        <v>0</v>
      </c>
    </row>
    <row r="591" spans="1:8" ht="15.75" hidden="1" x14ac:dyDescent="0.25">
      <c r="A591" s="68" t="s">
        <v>298</v>
      </c>
      <c r="B591" s="279"/>
      <c r="C591" s="492" t="s">
        <v>299</v>
      </c>
      <c r="D591" s="492"/>
      <c r="E591" s="499"/>
      <c r="F591" s="2"/>
      <c r="G591" s="10">
        <f t="shared" si="71"/>
        <v>0</v>
      </c>
      <c r="H591" s="10">
        <f t="shared" si="71"/>
        <v>0</v>
      </c>
    </row>
    <row r="592" spans="1:8" ht="15.75" hidden="1" x14ac:dyDescent="0.25">
      <c r="A592" s="68" t="s">
        <v>300</v>
      </c>
      <c r="B592" s="279"/>
      <c r="C592" s="492" t="s">
        <v>299</v>
      </c>
      <c r="D592" s="492" t="s">
        <v>118</v>
      </c>
      <c r="E592" s="499"/>
      <c r="F592" s="2"/>
      <c r="G592" s="10">
        <f t="shared" si="71"/>
        <v>0</v>
      </c>
      <c r="H592" s="10">
        <f t="shared" si="71"/>
        <v>0</v>
      </c>
    </row>
    <row r="593" spans="1:8" ht="15.75" hidden="1" x14ac:dyDescent="0.25">
      <c r="A593" s="288"/>
      <c r="B593" s="279"/>
      <c r="C593" s="492" t="s">
        <v>299</v>
      </c>
      <c r="D593" s="492" t="s">
        <v>118</v>
      </c>
      <c r="E593" s="499"/>
      <c r="F593" s="2"/>
      <c r="G593" s="10">
        <f t="shared" si="71"/>
        <v>0</v>
      </c>
      <c r="H593" s="10">
        <f t="shared" si="71"/>
        <v>0</v>
      </c>
    </row>
    <row r="594" spans="1:8" ht="31.5" hidden="1" x14ac:dyDescent="0.25">
      <c r="A594" s="496" t="s">
        <v>131</v>
      </c>
      <c r="B594" s="279"/>
      <c r="C594" s="492" t="s">
        <v>299</v>
      </c>
      <c r="D594" s="492" t="s">
        <v>118</v>
      </c>
      <c r="E594" s="499" t="s">
        <v>132</v>
      </c>
      <c r="F594" s="2"/>
      <c r="G594" s="10">
        <f t="shared" si="71"/>
        <v>0</v>
      </c>
      <c r="H594" s="10">
        <f t="shared" si="71"/>
        <v>0</v>
      </c>
    </row>
    <row r="595" spans="1:8" ht="47.25" hidden="1" x14ac:dyDescent="0.25">
      <c r="A595" s="496" t="s">
        <v>133</v>
      </c>
      <c r="B595" s="279"/>
      <c r="C595" s="492" t="s">
        <v>299</v>
      </c>
      <c r="D595" s="492" t="s">
        <v>118</v>
      </c>
      <c r="E595" s="499" t="s">
        <v>134</v>
      </c>
      <c r="F595" s="2"/>
      <c r="G595" s="10">
        <f>'пр.6.1.ведом.22-23 (2)'!G400</f>
        <v>0</v>
      </c>
      <c r="H595" s="10">
        <f>'пр.6.1.ведом.22-23 (2)'!H400</f>
        <v>0</v>
      </c>
    </row>
    <row r="596" spans="1:8" ht="47.25" hidden="1" x14ac:dyDescent="0.25">
      <c r="A596" s="45" t="s">
        <v>1315</v>
      </c>
      <c r="B596" s="279"/>
      <c r="C596" s="492" t="s">
        <v>299</v>
      </c>
      <c r="D596" s="492" t="s">
        <v>118</v>
      </c>
      <c r="E596" s="499" t="s">
        <v>134</v>
      </c>
      <c r="F596" s="2">
        <v>903</v>
      </c>
      <c r="G596" s="10">
        <f>G595</f>
        <v>0</v>
      </c>
      <c r="H596" s="10">
        <f>H595</f>
        <v>0</v>
      </c>
    </row>
    <row r="597" spans="1:8" ht="63" x14ac:dyDescent="0.25">
      <c r="A597" s="500" t="s">
        <v>1357</v>
      </c>
      <c r="B597" s="7" t="s">
        <v>324</v>
      </c>
      <c r="C597" s="72"/>
      <c r="D597" s="72"/>
      <c r="E597" s="72"/>
      <c r="F597" s="72"/>
      <c r="G597" s="59">
        <f>G598</f>
        <v>168</v>
      </c>
      <c r="H597" s="59">
        <f>H598</f>
        <v>147</v>
      </c>
    </row>
    <row r="598" spans="1:8" ht="63" x14ac:dyDescent="0.25">
      <c r="A598" s="34" t="s">
        <v>1025</v>
      </c>
      <c r="B598" s="7" t="s">
        <v>934</v>
      </c>
      <c r="C598" s="7"/>
      <c r="D598" s="7"/>
      <c r="E598" s="72"/>
      <c r="F598" s="72"/>
      <c r="G598" s="59">
        <f>G605+G611+G627+G638+G599</f>
        <v>168</v>
      </c>
      <c r="H598" s="59">
        <f>H605+H611+H627+H638+H599</f>
        <v>147</v>
      </c>
    </row>
    <row r="599" spans="1:8" ht="15.75" x14ac:dyDescent="0.25">
      <c r="A599" s="31" t="s">
        <v>117</v>
      </c>
      <c r="B599" s="499" t="s">
        <v>934</v>
      </c>
      <c r="C599" s="499" t="s">
        <v>118</v>
      </c>
      <c r="D599" s="499"/>
      <c r="E599" s="72"/>
      <c r="F599" s="72"/>
      <c r="G599" s="10">
        <f t="shared" ref="G599:H602" si="72">G600</f>
        <v>12</v>
      </c>
      <c r="H599" s="10">
        <f t="shared" si="72"/>
        <v>40</v>
      </c>
    </row>
    <row r="600" spans="1:8" ht="15.75" x14ac:dyDescent="0.25">
      <c r="A600" s="31" t="s">
        <v>139</v>
      </c>
      <c r="B600" s="499" t="s">
        <v>934</v>
      </c>
      <c r="C600" s="499" t="s">
        <v>118</v>
      </c>
      <c r="D600" s="499" t="s">
        <v>140</v>
      </c>
      <c r="E600" s="72"/>
      <c r="F600" s="72"/>
      <c r="G600" s="10">
        <f t="shared" si="72"/>
        <v>12</v>
      </c>
      <c r="H600" s="10">
        <f t="shared" si="72"/>
        <v>40</v>
      </c>
    </row>
    <row r="601" spans="1:8" ht="47.25" x14ac:dyDescent="0.25">
      <c r="A601" s="31" t="s">
        <v>1080</v>
      </c>
      <c r="B601" s="492" t="s">
        <v>1026</v>
      </c>
      <c r="C601" s="499" t="s">
        <v>118</v>
      </c>
      <c r="D601" s="499" t="s">
        <v>140</v>
      </c>
      <c r="E601" s="72"/>
      <c r="F601" s="72"/>
      <c r="G601" s="10">
        <f t="shared" si="72"/>
        <v>12</v>
      </c>
      <c r="H601" s="10">
        <f t="shared" si="72"/>
        <v>40</v>
      </c>
    </row>
    <row r="602" spans="1:8" ht="31.5" x14ac:dyDescent="0.25">
      <c r="A602" s="496" t="s">
        <v>131</v>
      </c>
      <c r="B602" s="492" t="s">
        <v>1026</v>
      </c>
      <c r="C602" s="499" t="s">
        <v>118</v>
      </c>
      <c r="D602" s="499" t="s">
        <v>140</v>
      </c>
      <c r="E602" s="2">
        <v>200</v>
      </c>
      <c r="F602" s="72"/>
      <c r="G602" s="10">
        <f t="shared" si="72"/>
        <v>12</v>
      </c>
      <c r="H602" s="10">
        <f t="shared" si="72"/>
        <v>40</v>
      </c>
    </row>
    <row r="603" spans="1:8" ht="47.25" x14ac:dyDescent="0.25">
      <c r="A603" s="496" t="s">
        <v>133</v>
      </c>
      <c r="B603" s="492" t="s">
        <v>1026</v>
      </c>
      <c r="C603" s="499" t="s">
        <v>118</v>
      </c>
      <c r="D603" s="499" t="s">
        <v>140</v>
      </c>
      <c r="E603" s="2">
        <v>240</v>
      </c>
      <c r="F603" s="72"/>
      <c r="G603" s="10">
        <f>'пр.6.1.ведом.22-23 (2)'!G145</f>
        <v>12</v>
      </c>
      <c r="H603" s="10">
        <f>'пр.6.1.ведом.22-23 (2)'!H145</f>
        <v>40</v>
      </c>
    </row>
    <row r="604" spans="1:8" ht="47.25" x14ac:dyDescent="0.25">
      <c r="A604" s="45" t="s">
        <v>623</v>
      </c>
      <c r="B604" s="492" t="s">
        <v>1026</v>
      </c>
      <c r="C604" s="499" t="s">
        <v>118</v>
      </c>
      <c r="D604" s="499" t="s">
        <v>140</v>
      </c>
      <c r="E604" s="2">
        <v>240</v>
      </c>
      <c r="F604" s="2">
        <v>908</v>
      </c>
      <c r="G604" s="10">
        <f>G603</f>
        <v>12</v>
      </c>
      <c r="H604" s="10">
        <f>H603</f>
        <v>40</v>
      </c>
    </row>
    <row r="605" spans="1:8" ht="15.75" hidden="1" x14ac:dyDescent="0.25">
      <c r="A605" s="31" t="s">
        <v>390</v>
      </c>
      <c r="B605" s="499" t="s">
        <v>934</v>
      </c>
      <c r="C605" s="499" t="s">
        <v>234</v>
      </c>
      <c r="D605" s="499"/>
      <c r="E605" s="72"/>
      <c r="F605" s="72"/>
      <c r="G605" s="10">
        <f t="shared" ref="G605:H608" si="73">G606</f>
        <v>0</v>
      </c>
      <c r="H605" s="10">
        <f t="shared" si="73"/>
        <v>0</v>
      </c>
    </row>
    <row r="606" spans="1:8" ht="31.5" hidden="1" x14ac:dyDescent="0.25">
      <c r="A606" s="31" t="s">
        <v>569</v>
      </c>
      <c r="B606" s="499" t="s">
        <v>934</v>
      </c>
      <c r="C606" s="499" t="s">
        <v>234</v>
      </c>
      <c r="D606" s="499" t="s">
        <v>234</v>
      </c>
      <c r="E606" s="72"/>
      <c r="F606" s="72"/>
      <c r="G606" s="10">
        <f t="shared" si="73"/>
        <v>0</v>
      </c>
      <c r="H606" s="10">
        <f t="shared" si="73"/>
        <v>0</v>
      </c>
    </row>
    <row r="607" spans="1:8" ht="47.25" hidden="1" x14ac:dyDescent="0.25">
      <c r="A607" s="31" t="s">
        <v>1080</v>
      </c>
      <c r="B607" s="492" t="s">
        <v>1026</v>
      </c>
      <c r="C607" s="499" t="s">
        <v>234</v>
      </c>
      <c r="D607" s="499" t="s">
        <v>234</v>
      </c>
      <c r="E607" s="72"/>
      <c r="F607" s="72"/>
      <c r="G607" s="10">
        <f t="shared" si="73"/>
        <v>0</v>
      </c>
      <c r="H607" s="10">
        <f t="shared" si="73"/>
        <v>0</v>
      </c>
    </row>
    <row r="608" spans="1:8" ht="31.5" hidden="1" x14ac:dyDescent="0.25">
      <c r="A608" s="496" t="s">
        <v>131</v>
      </c>
      <c r="B608" s="492" t="s">
        <v>1026</v>
      </c>
      <c r="C608" s="499" t="s">
        <v>234</v>
      </c>
      <c r="D608" s="499" t="s">
        <v>234</v>
      </c>
      <c r="E608" s="2">
        <v>200</v>
      </c>
      <c r="F608" s="72"/>
      <c r="G608" s="10">
        <f t="shared" si="73"/>
        <v>0</v>
      </c>
      <c r="H608" s="10">
        <f t="shared" si="73"/>
        <v>0</v>
      </c>
    </row>
    <row r="609" spans="1:8" ht="47.25" hidden="1" x14ac:dyDescent="0.25">
      <c r="A609" s="496" t="s">
        <v>133</v>
      </c>
      <c r="B609" s="492" t="s">
        <v>1026</v>
      </c>
      <c r="C609" s="499" t="s">
        <v>234</v>
      </c>
      <c r="D609" s="499" t="s">
        <v>234</v>
      </c>
      <c r="E609" s="2">
        <v>240</v>
      </c>
      <c r="F609" s="72"/>
      <c r="G609" s="10">
        <f>'пр.6.1.ведом.22-23 (2)'!G1037</f>
        <v>0</v>
      </c>
      <c r="H609" s="10">
        <f>'пр.6.1.ведом.22-23 (2)'!H1037</f>
        <v>0</v>
      </c>
    </row>
    <row r="610" spans="1:8" ht="47.25" hidden="1" x14ac:dyDescent="0.25">
      <c r="A610" s="45" t="s">
        <v>623</v>
      </c>
      <c r="B610" s="492" t="s">
        <v>1026</v>
      </c>
      <c r="C610" s="499" t="s">
        <v>234</v>
      </c>
      <c r="D610" s="499" t="s">
        <v>234</v>
      </c>
      <c r="E610" s="2">
        <v>240</v>
      </c>
      <c r="F610" s="2">
        <v>908</v>
      </c>
      <c r="G610" s="10">
        <f>G609</f>
        <v>0</v>
      </c>
      <c r="H610" s="10">
        <f>H609</f>
        <v>0</v>
      </c>
    </row>
    <row r="611" spans="1:8" ht="15.75" x14ac:dyDescent="0.25">
      <c r="A611" s="496" t="s">
        <v>263</v>
      </c>
      <c r="B611" s="499" t="s">
        <v>934</v>
      </c>
      <c r="C611" s="499" t="s">
        <v>264</v>
      </c>
      <c r="D611" s="73"/>
      <c r="E611" s="73"/>
      <c r="F611" s="73"/>
      <c r="G611" s="10">
        <f>G612+G617+G622</f>
        <v>146</v>
      </c>
      <c r="H611" s="10">
        <f>H612+H617+H622</f>
        <v>95</v>
      </c>
    </row>
    <row r="612" spans="1:8" ht="15.75" x14ac:dyDescent="0.25">
      <c r="A612" s="496" t="s">
        <v>404</v>
      </c>
      <c r="B612" s="499" t="s">
        <v>934</v>
      </c>
      <c r="C612" s="499" t="s">
        <v>264</v>
      </c>
      <c r="D612" s="499" t="s">
        <v>118</v>
      </c>
      <c r="E612" s="73"/>
      <c r="F612" s="73"/>
      <c r="G612" s="10">
        <f t="shared" ref="G612:H614" si="74">G613</f>
        <v>80</v>
      </c>
      <c r="H612" s="10">
        <f t="shared" si="74"/>
        <v>25</v>
      </c>
    </row>
    <row r="613" spans="1:8" ht="47.25" x14ac:dyDescent="0.25">
      <c r="A613" s="31" t="s">
        <v>1081</v>
      </c>
      <c r="B613" s="492" t="s">
        <v>935</v>
      </c>
      <c r="C613" s="499" t="s">
        <v>264</v>
      </c>
      <c r="D613" s="499" t="s">
        <v>118</v>
      </c>
      <c r="E613" s="72"/>
      <c r="F613" s="72"/>
      <c r="G613" s="10">
        <f t="shared" si="74"/>
        <v>80</v>
      </c>
      <c r="H613" s="10">
        <f t="shared" si="74"/>
        <v>25</v>
      </c>
    </row>
    <row r="614" spans="1:8" ht="47.25" x14ac:dyDescent="0.25">
      <c r="A614" s="31" t="s">
        <v>272</v>
      </c>
      <c r="B614" s="492" t="s">
        <v>935</v>
      </c>
      <c r="C614" s="499" t="s">
        <v>264</v>
      </c>
      <c r="D614" s="499" t="s">
        <v>118</v>
      </c>
      <c r="E614" s="499" t="s">
        <v>273</v>
      </c>
      <c r="F614" s="72"/>
      <c r="G614" s="10">
        <f t="shared" si="74"/>
        <v>80</v>
      </c>
      <c r="H614" s="10">
        <f t="shared" si="74"/>
        <v>25</v>
      </c>
    </row>
    <row r="615" spans="1:8" ht="15.75" x14ac:dyDescent="0.25">
      <c r="A615" s="31" t="s">
        <v>274</v>
      </c>
      <c r="B615" s="492" t="s">
        <v>935</v>
      </c>
      <c r="C615" s="499" t="s">
        <v>264</v>
      </c>
      <c r="D615" s="499" t="s">
        <v>118</v>
      </c>
      <c r="E615" s="499" t="s">
        <v>275</v>
      </c>
      <c r="F615" s="72"/>
      <c r="G615" s="10">
        <f>'пр.6.1.ведом.22-23 (2)'!G603</f>
        <v>80</v>
      </c>
      <c r="H615" s="10">
        <f>'пр.6.1.ведом.22-23 (2)'!H603</f>
        <v>25</v>
      </c>
    </row>
    <row r="616" spans="1:8" ht="31.5" x14ac:dyDescent="0.25">
      <c r="A616" s="31" t="s">
        <v>403</v>
      </c>
      <c r="B616" s="492" t="s">
        <v>935</v>
      </c>
      <c r="C616" s="499" t="s">
        <v>264</v>
      </c>
      <c r="D616" s="499" t="s">
        <v>118</v>
      </c>
      <c r="E616" s="499" t="s">
        <v>275</v>
      </c>
      <c r="F616" s="2">
        <v>906</v>
      </c>
      <c r="G616" s="10">
        <f>G615</f>
        <v>80</v>
      </c>
      <c r="H616" s="10">
        <f>H615</f>
        <v>25</v>
      </c>
    </row>
    <row r="617" spans="1:8" ht="15.75" x14ac:dyDescent="0.25">
      <c r="A617" s="29" t="s">
        <v>425</v>
      </c>
      <c r="B617" s="499" t="s">
        <v>934</v>
      </c>
      <c r="C617" s="499" t="s">
        <v>264</v>
      </c>
      <c r="D617" s="499" t="s">
        <v>213</v>
      </c>
      <c r="E617" s="499"/>
      <c r="F617" s="73"/>
      <c r="G617" s="10">
        <f t="shared" ref="G617:H619" si="75">G618</f>
        <v>60</v>
      </c>
      <c r="H617" s="10">
        <f t="shared" si="75"/>
        <v>70</v>
      </c>
    </row>
    <row r="618" spans="1:8" ht="47.25" x14ac:dyDescent="0.25">
      <c r="A618" s="31" t="s">
        <v>1081</v>
      </c>
      <c r="B618" s="492" t="s">
        <v>935</v>
      </c>
      <c r="C618" s="499" t="s">
        <v>264</v>
      </c>
      <c r="D618" s="499" t="s">
        <v>213</v>
      </c>
      <c r="E618" s="499"/>
      <c r="F618" s="72"/>
      <c r="G618" s="10">
        <f t="shared" si="75"/>
        <v>60</v>
      </c>
      <c r="H618" s="10">
        <f t="shared" si="75"/>
        <v>70</v>
      </c>
    </row>
    <row r="619" spans="1:8" ht="47.25" x14ac:dyDescent="0.25">
      <c r="A619" s="31" t="s">
        <v>272</v>
      </c>
      <c r="B619" s="492" t="s">
        <v>935</v>
      </c>
      <c r="C619" s="499" t="s">
        <v>264</v>
      </c>
      <c r="D619" s="499" t="s">
        <v>213</v>
      </c>
      <c r="E619" s="499" t="s">
        <v>273</v>
      </c>
      <c r="F619" s="72"/>
      <c r="G619" s="10">
        <f t="shared" si="75"/>
        <v>60</v>
      </c>
      <c r="H619" s="10">
        <f t="shared" si="75"/>
        <v>70</v>
      </c>
    </row>
    <row r="620" spans="1:8" ht="15.75" x14ac:dyDescent="0.25">
      <c r="A620" s="31" t="s">
        <v>274</v>
      </c>
      <c r="B620" s="492" t="s">
        <v>935</v>
      </c>
      <c r="C620" s="499" t="s">
        <v>264</v>
      </c>
      <c r="D620" s="499" t="s">
        <v>213</v>
      </c>
      <c r="E620" s="499" t="s">
        <v>275</v>
      </c>
      <c r="F620" s="72"/>
      <c r="G620" s="10">
        <f>'пр.6.1.ведом.22-23 (2)'!G685</f>
        <v>60</v>
      </c>
      <c r="H620" s="10">
        <f>'пр.6.1.ведом.22-23 (2)'!H685</f>
        <v>70</v>
      </c>
    </row>
    <row r="621" spans="1:8" ht="31.5" x14ac:dyDescent="0.25">
      <c r="A621" s="31" t="s">
        <v>403</v>
      </c>
      <c r="B621" s="492" t="s">
        <v>935</v>
      </c>
      <c r="C621" s="499" t="s">
        <v>264</v>
      </c>
      <c r="D621" s="499" t="s">
        <v>213</v>
      </c>
      <c r="E621" s="499" t="s">
        <v>275</v>
      </c>
      <c r="F621" s="2">
        <v>906</v>
      </c>
      <c r="G621" s="10">
        <f>G620</f>
        <v>60</v>
      </c>
      <c r="H621" s="10">
        <f>H620</f>
        <v>70</v>
      </c>
    </row>
    <row r="622" spans="1:8" ht="15.75" x14ac:dyDescent="0.25">
      <c r="A622" s="29" t="s">
        <v>265</v>
      </c>
      <c r="B622" s="499" t="s">
        <v>934</v>
      </c>
      <c r="C622" s="499" t="s">
        <v>264</v>
      </c>
      <c r="D622" s="499" t="s">
        <v>215</v>
      </c>
      <c r="E622" s="499"/>
      <c r="F622" s="73"/>
      <c r="G622" s="10">
        <f t="shared" ref="G622:H624" si="76">G623</f>
        <v>6</v>
      </c>
      <c r="H622" s="10">
        <f t="shared" si="76"/>
        <v>0</v>
      </c>
    </row>
    <row r="623" spans="1:8" ht="47.25" x14ac:dyDescent="0.25">
      <c r="A623" s="31" t="s">
        <v>1080</v>
      </c>
      <c r="B623" s="492" t="s">
        <v>1026</v>
      </c>
      <c r="C623" s="499" t="s">
        <v>264</v>
      </c>
      <c r="D623" s="499" t="s">
        <v>215</v>
      </c>
      <c r="E623" s="499"/>
      <c r="F623" s="72"/>
      <c r="G623" s="10">
        <f t="shared" si="76"/>
        <v>6</v>
      </c>
      <c r="H623" s="10">
        <f t="shared" si="76"/>
        <v>0</v>
      </c>
    </row>
    <row r="624" spans="1:8" ht="47.25" x14ac:dyDescent="0.25">
      <c r="A624" s="31" t="s">
        <v>272</v>
      </c>
      <c r="B624" s="492" t="s">
        <v>1026</v>
      </c>
      <c r="C624" s="499" t="s">
        <v>264</v>
      </c>
      <c r="D624" s="499" t="s">
        <v>215</v>
      </c>
      <c r="E624" s="499" t="s">
        <v>132</v>
      </c>
      <c r="F624" s="72"/>
      <c r="G624" s="10">
        <f t="shared" si="76"/>
        <v>6</v>
      </c>
      <c r="H624" s="10">
        <f t="shared" si="76"/>
        <v>0</v>
      </c>
    </row>
    <row r="625" spans="1:8" ht="15.75" x14ac:dyDescent="0.25">
      <c r="A625" s="31" t="s">
        <v>274</v>
      </c>
      <c r="B625" s="492" t="s">
        <v>1026</v>
      </c>
      <c r="C625" s="499" t="s">
        <v>264</v>
      </c>
      <c r="D625" s="499" t="s">
        <v>215</v>
      </c>
      <c r="E625" s="499" t="s">
        <v>134</v>
      </c>
      <c r="F625" s="72"/>
      <c r="G625" s="10">
        <f>'пр.6.1.ведом.22-23 (2)'!G331</f>
        <v>6</v>
      </c>
      <c r="H625" s="10">
        <f>'пр.6.1.ведом.22-23 (2)'!H331</f>
        <v>0</v>
      </c>
    </row>
    <row r="626" spans="1:8" ht="47.25" x14ac:dyDescent="0.25">
      <c r="A626" s="45" t="s">
        <v>261</v>
      </c>
      <c r="B626" s="492" t="s">
        <v>1026</v>
      </c>
      <c r="C626" s="499" t="s">
        <v>264</v>
      </c>
      <c r="D626" s="499" t="s">
        <v>215</v>
      </c>
      <c r="E626" s="499" t="s">
        <v>134</v>
      </c>
      <c r="F626" s="2">
        <v>903</v>
      </c>
      <c r="G626" s="10">
        <f>G625</f>
        <v>6</v>
      </c>
      <c r="H626" s="10">
        <f>H623</f>
        <v>0</v>
      </c>
    </row>
    <row r="627" spans="1:8" ht="15.75" x14ac:dyDescent="0.25">
      <c r="A627" s="31" t="s">
        <v>298</v>
      </c>
      <c r="B627" s="492" t="s">
        <v>934</v>
      </c>
      <c r="C627" s="499" t="s">
        <v>299</v>
      </c>
      <c r="D627" s="499"/>
      <c r="E627" s="499"/>
      <c r="F627" s="2"/>
      <c r="G627" s="10">
        <f>G628+G633</f>
        <v>10</v>
      </c>
      <c r="H627" s="10">
        <f>H628+H633</f>
        <v>4</v>
      </c>
    </row>
    <row r="628" spans="1:8" ht="15.75" x14ac:dyDescent="0.25">
      <c r="A628" s="31" t="s">
        <v>300</v>
      </c>
      <c r="B628" s="492" t="s">
        <v>934</v>
      </c>
      <c r="C628" s="499" t="s">
        <v>299</v>
      </c>
      <c r="D628" s="499" t="s">
        <v>118</v>
      </c>
      <c r="E628" s="499"/>
      <c r="F628" s="2"/>
      <c r="G628" s="10">
        <f t="shared" ref="G628:H630" si="77">G629</f>
        <v>10</v>
      </c>
      <c r="H628" s="10">
        <f t="shared" si="77"/>
        <v>0</v>
      </c>
    </row>
    <row r="629" spans="1:8" ht="48.95" customHeight="1" x14ac:dyDescent="0.25">
      <c r="A629" s="31" t="s">
        <v>1080</v>
      </c>
      <c r="B629" s="492" t="s">
        <v>1026</v>
      </c>
      <c r="C629" s="499" t="s">
        <v>299</v>
      </c>
      <c r="D629" s="499" t="s">
        <v>118</v>
      </c>
      <c r="E629" s="499"/>
      <c r="F629" s="2"/>
      <c r="G629" s="10">
        <f t="shared" si="77"/>
        <v>10</v>
      </c>
      <c r="H629" s="10">
        <f t="shared" si="77"/>
        <v>0</v>
      </c>
    </row>
    <row r="630" spans="1:8" ht="31.5" x14ac:dyDescent="0.25">
      <c r="A630" s="496" t="s">
        <v>131</v>
      </c>
      <c r="B630" s="492" t="s">
        <v>1026</v>
      </c>
      <c r="C630" s="499" t="s">
        <v>299</v>
      </c>
      <c r="D630" s="499" t="s">
        <v>118</v>
      </c>
      <c r="E630" s="499" t="s">
        <v>132</v>
      </c>
      <c r="F630" s="2"/>
      <c r="G630" s="10">
        <f t="shared" si="77"/>
        <v>10</v>
      </c>
      <c r="H630" s="10">
        <f t="shared" si="77"/>
        <v>0</v>
      </c>
    </row>
    <row r="631" spans="1:8" ht="47.25" x14ac:dyDescent="0.25">
      <c r="A631" s="496" t="s">
        <v>133</v>
      </c>
      <c r="B631" s="492" t="s">
        <v>1026</v>
      </c>
      <c r="C631" s="499" t="s">
        <v>299</v>
      </c>
      <c r="D631" s="499" t="s">
        <v>118</v>
      </c>
      <c r="E631" s="499" t="s">
        <v>134</v>
      </c>
      <c r="F631" s="2"/>
      <c r="G631" s="10">
        <f>'пр.6.1.ведом.22-23 (2)'!G405</f>
        <v>10</v>
      </c>
      <c r="H631" s="10">
        <f>'пр.6.1.ведом.22-23 (2)'!H405</f>
        <v>0</v>
      </c>
    </row>
    <row r="632" spans="1:8" ht="47.25" x14ac:dyDescent="0.25">
      <c r="A632" s="45" t="s">
        <v>261</v>
      </c>
      <c r="B632" s="492" t="s">
        <v>1026</v>
      </c>
      <c r="C632" s="499" t="s">
        <v>299</v>
      </c>
      <c r="D632" s="499" t="s">
        <v>118</v>
      </c>
      <c r="E632" s="499" t="s">
        <v>134</v>
      </c>
      <c r="F632" s="2">
        <v>903</v>
      </c>
      <c r="G632" s="10">
        <f>G631</f>
        <v>10</v>
      </c>
      <c r="H632" s="10">
        <f>H631</f>
        <v>0</v>
      </c>
    </row>
    <row r="633" spans="1:8" ht="31.5" x14ac:dyDescent="0.25">
      <c r="A633" s="31" t="s">
        <v>333</v>
      </c>
      <c r="B633" s="492" t="s">
        <v>934</v>
      </c>
      <c r="C633" s="499" t="s">
        <v>299</v>
      </c>
      <c r="D633" s="499" t="s">
        <v>150</v>
      </c>
      <c r="E633" s="499"/>
      <c r="F633" s="2"/>
      <c r="G633" s="10">
        <f t="shared" ref="G633:H635" si="78">G634</f>
        <v>0</v>
      </c>
      <c r="H633" s="10">
        <f t="shared" si="78"/>
        <v>4</v>
      </c>
    </row>
    <row r="634" spans="1:8" ht="52.35" customHeight="1" x14ac:dyDescent="0.25">
      <c r="A634" s="31" t="s">
        <v>1080</v>
      </c>
      <c r="B634" s="492" t="s">
        <v>1026</v>
      </c>
      <c r="C634" s="499" t="s">
        <v>299</v>
      </c>
      <c r="D634" s="499" t="s">
        <v>150</v>
      </c>
      <c r="E634" s="499"/>
      <c r="F634" s="2"/>
      <c r="G634" s="10">
        <f t="shared" si="78"/>
        <v>0</v>
      </c>
      <c r="H634" s="10">
        <f t="shared" si="78"/>
        <v>4</v>
      </c>
    </row>
    <row r="635" spans="1:8" ht="31.5" x14ac:dyDescent="0.25">
      <c r="A635" s="496" t="s">
        <v>131</v>
      </c>
      <c r="B635" s="492" t="s">
        <v>1026</v>
      </c>
      <c r="C635" s="499" t="s">
        <v>299</v>
      </c>
      <c r="D635" s="499" t="s">
        <v>150</v>
      </c>
      <c r="E635" s="499" t="s">
        <v>132</v>
      </c>
      <c r="F635" s="2"/>
      <c r="G635" s="10">
        <f t="shared" si="78"/>
        <v>0</v>
      </c>
      <c r="H635" s="10">
        <f t="shared" si="78"/>
        <v>4</v>
      </c>
    </row>
    <row r="636" spans="1:8" ht="47.25" x14ac:dyDescent="0.25">
      <c r="A636" s="496" t="s">
        <v>133</v>
      </c>
      <c r="B636" s="492" t="s">
        <v>1026</v>
      </c>
      <c r="C636" s="499" t="s">
        <v>299</v>
      </c>
      <c r="D636" s="499" t="s">
        <v>150</v>
      </c>
      <c r="E636" s="499" t="s">
        <v>134</v>
      </c>
      <c r="F636" s="2"/>
      <c r="G636" s="10">
        <f>'пр.6.1.ведом.22-23 (2)'!G444</f>
        <v>0</v>
      </c>
      <c r="H636" s="10">
        <f>'пр.6.1.ведом.22-23 (2)'!H444</f>
        <v>4</v>
      </c>
    </row>
    <row r="637" spans="1:8" ht="47.25" x14ac:dyDescent="0.25">
      <c r="A637" s="45" t="s">
        <v>261</v>
      </c>
      <c r="B637" s="492" t="s">
        <v>1026</v>
      </c>
      <c r="C637" s="499" t="s">
        <v>299</v>
      </c>
      <c r="D637" s="499" t="s">
        <v>150</v>
      </c>
      <c r="E637" s="499" t="s">
        <v>134</v>
      </c>
      <c r="F637" s="2">
        <v>903</v>
      </c>
      <c r="G637" s="10">
        <f>G634</f>
        <v>0</v>
      </c>
      <c r="H637" s="10">
        <f>H634</f>
        <v>4</v>
      </c>
    </row>
    <row r="638" spans="1:8" ht="15.75" x14ac:dyDescent="0.25">
      <c r="A638" s="73" t="s">
        <v>490</v>
      </c>
      <c r="B638" s="499" t="s">
        <v>934</v>
      </c>
      <c r="C638" s="499" t="s">
        <v>491</v>
      </c>
      <c r="D638" s="73"/>
      <c r="E638" s="73"/>
      <c r="F638" s="73"/>
      <c r="G638" s="10">
        <f t="shared" ref="G638:H639" si="79">G639</f>
        <v>0</v>
      </c>
      <c r="H638" s="10">
        <f t="shared" si="79"/>
        <v>8</v>
      </c>
    </row>
    <row r="639" spans="1:8" ht="15.75" x14ac:dyDescent="0.25">
      <c r="A639" s="73" t="s">
        <v>492</v>
      </c>
      <c r="B639" s="499" t="s">
        <v>934</v>
      </c>
      <c r="C639" s="499" t="s">
        <v>491</v>
      </c>
      <c r="D639" s="499" t="s">
        <v>118</v>
      </c>
      <c r="E639" s="73"/>
      <c r="F639" s="73"/>
      <c r="G639" s="10">
        <f t="shared" si="79"/>
        <v>0</v>
      </c>
      <c r="H639" s="10">
        <f t="shared" si="79"/>
        <v>8</v>
      </c>
    </row>
    <row r="640" spans="1:8" ht="47.25" x14ac:dyDescent="0.25">
      <c r="A640" s="31" t="s">
        <v>1081</v>
      </c>
      <c r="B640" s="499" t="s">
        <v>935</v>
      </c>
      <c r="C640" s="499" t="s">
        <v>491</v>
      </c>
      <c r="D640" s="499" t="s">
        <v>118</v>
      </c>
      <c r="E640" s="73"/>
      <c r="F640" s="73"/>
      <c r="G640" s="10">
        <f>G641</f>
        <v>0</v>
      </c>
      <c r="H640" s="10">
        <f>H641</f>
        <v>8</v>
      </c>
    </row>
    <row r="641" spans="1:8" ht="47.25" x14ac:dyDescent="0.25">
      <c r="A641" s="496" t="s">
        <v>272</v>
      </c>
      <c r="B641" s="499" t="s">
        <v>935</v>
      </c>
      <c r="C641" s="499" t="s">
        <v>491</v>
      </c>
      <c r="D641" s="499" t="s">
        <v>118</v>
      </c>
      <c r="E641" s="499" t="s">
        <v>273</v>
      </c>
      <c r="F641" s="73"/>
      <c r="G641" s="10">
        <f>G642</f>
        <v>0</v>
      </c>
      <c r="H641" s="10">
        <f>H642</f>
        <v>8</v>
      </c>
    </row>
    <row r="642" spans="1:8" ht="15.75" x14ac:dyDescent="0.25">
      <c r="A642" s="496" t="s">
        <v>274</v>
      </c>
      <c r="B642" s="499" t="s">
        <v>935</v>
      </c>
      <c r="C642" s="499" t="s">
        <v>491</v>
      </c>
      <c r="D642" s="499" t="s">
        <v>118</v>
      </c>
      <c r="E642" s="499" t="s">
        <v>275</v>
      </c>
      <c r="F642" s="73"/>
      <c r="G642" s="10">
        <f>'пр.6.1.ведом.22-23 (2)'!G797</f>
        <v>0</v>
      </c>
      <c r="H642" s="10">
        <f>'пр.6.1.ведом.22-23 (2)'!H797</f>
        <v>8</v>
      </c>
    </row>
    <row r="643" spans="1:8" ht="47.25" x14ac:dyDescent="0.25">
      <c r="A643" s="45" t="s">
        <v>480</v>
      </c>
      <c r="B643" s="499" t="s">
        <v>935</v>
      </c>
      <c r="C643" s="499" t="s">
        <v>491</v>
      </c>
      <c r="D643" s="499" t="s">
        <v>118</v>
      </c>
      <c r="E643" s="499" t="s">
        <v>275</v>
      </c>
      <c r="F643" s="2">
        <v>907</v>
      </c>
      <c r="G643" s="10">
        <f>G642</f>
        <v>0</v>
      </c>
      <c r="H643" s="10">
        <f>H642</f>
        <v>8</v>
      </c>
    </row>
    <row r="644" spans="1:8" ht="47.25" x14ac:dyDescent="0.25">
      <c r="A644" s="500" t="s">
        <v>1362</v>
      </c>
      <c r="B644" s="7" t="s">
        <v>543</v>
      </c>
      <c r="C644" s="2"/>
      <c r="D644" s="2"/>
      <c r="E644" s="2"/>
      <c r="F644" s="2"/>
      <c r="G644" s="59">
        <f>G645+G685</f>
        <v>1920</v>
      </c>
      <c r="H644" s="59">
        <f>H645+H685</f>
        <v>2173</v>
      </c>
    </row>
    <row r="645" spans="1:8" ht="49.7" customHeight="1" x14ac:dyDescent="0.25">
      <c r="A645" s="494" t="s">
        <v>1433</v>
      </c>
      <c r="B645" s="7" t="s">
        <v>1274</v>
      </c>
      <c r="C645" s="7"/>
      <c r="D645" s="7"/>
      <c r="E645" s="3"/>
      <c r="F645" s="3"/>
      <c r="G645" s="59">
        <f>G646</f>
        <v>1920</v>
      </c>
      <c r="H645" s="59">
        <f>H646</f>
        <v>2173</v>
      </c>
    </row>
    <row r="646" spans="1:8" ht="15.75" x14ac:dyDescent="0.25">
      <c r="A646" s="73" t="s">
        <v>390</v>
      </c>
      <c r="B646" s="499" t="s">
        <v>1274</v>
      </c>
      <c r="C646" s="499" t="s">
        <v>234</v>
      </c>
      <c r="D646" s="499"/>
      <c r="E646" s="2"/>
      <c r="F646" s="2"/>
      <c r="G646" s="10">
        <f t="shared" ref="G646:H646" si="80">G647</f>
        <v>1920</v>
      </c>
      <c r="H646" s="10">
        <f t="shared" si="80"/>
        <v>2173</v>
      </c>
    </row>
    <row r="647" spans="1:8" ht="15.75" x14ac:dyDescent="0.25">
      <c r="A647" s="73" t="s">
        <v>541</v>
      </c>
      <c r="B647" s="499" t="s">
        <v>1274</v>
      </c>
      <c r="C647" s="499" t="s">
        <v>234</v>
      </c>
      <c r="D647" s="499" t="s">
        <v>215</v>
      </c>
      <c r="E647" s="2"/>
      <c r="F647" s="2"/>
      <c r="G647" s="10">
        <f>G648+G652+G662+G666+G670+G677+G681</f>
        <v>1920</v>
      </c>
      <c r="H647" s="10">
        <f>H648+H652+H662+H666+H670+H677+H681</f>
        <v>2173</v>
      </c>
    </row>
    <row r="648" spans="1:8" ht="31.5" x14ac:dyDescent="0.25">
      <c r="A648" s="496" t="s">
        <v>546</v>
      </c>
      <c r="B648" s="492" t="s">
        <v>1429</v>
      </c>
      <c r="C648" s="499" t="s">
        <v>234</v>
      </c>
      <c r="D648" s="499" t="s">
        <v>215</v>
      </c>
      <c r="E648" s="2"/>
      <c r="F648" s="2"/>
      <c r="G648" s="10">
        <f t="shared" ref="G648:H649" si="81">G649</f>
        <v>365</v>
      </c>
      <c r="H648" s="10">
        <f t="shared" si="81"/>
        <v>365</v>
      </c>
    </row>
    <row r="649" spans="1:8" ht="31.5" x14ac:dyDescent="0.25">
      <c r="A649" s="496" t="s">
        <v>131</v>
      </c>
      <c r="B649" s="492" t="s">
        <v>1429</v>
      </c>
      <c r="C649" s="499" t="s">
        <v>234</v>
      </c>
      <c r="D649" s="499" t="s">
        <v>215</v>
      </c>
      <c r="E649" s="2">
        <v>200</v>
      </c>
      <c r="F649" s="2"/>
      <c r="G649" s="10">
        <f t="shared" si="81"/>
        <v>365</v>
      </c>
      <c r="H649" s="10">
        <f t="shared" si="81"/>
        <v>365</v>
      </c>
    </row>
    <row r="650" spans="1:8" ht="47.25" x14ac:dyDescent="0.25">
      <c r="A650" s="496" t="s">
        <v>133</v>
      </c>
      <c r="B650" s="492" t="s">
        <v>1429</v>
      </c>
      <c r="C650" s="499" t="s">
        <v>234</v>
      </c>
      <c r="D650" s="499" t="s">
        <v>215</v>
      </c>
      <c r="E650" s="2">
        <v>240</v>
      </c>
      <c r="F650" s="2"/>
      <c r="G650" s="10">
        <f>'пр.6.1.ведом.22-23 (2)'!G967</f>
        <v>365</v>
      </c>
      <c r="H650" s="10">
        <f>'пр.6.1.ведом.22-23 (2)'!H967</f>
        <v>365</v>
      </c>
    </row>
    <row r="651" spans="1:8" ht="47.25" x14ac:dyDescent="0.25">
      <c r="A651" s="45" t="s">
        <v>623</v>
      </c>
      <c r="B651" s="492" t="s">
        <v>1429</v>
      </c>
      <c r="C651" s="499" t="s">
        <v>234</v>
      </c>
      <c r="D651" s="499" t="s">
        <v>215</v>
      </c>
      <c r="E651" s="2">
        <v>240</v>
      </c>
      <c r="F651" s="2">
        <v>908</v>
      </c>
      <c r="G651" s="10">
        <f>G650</f>
        <v>365</v>
      </c>
      <c r="H651" s="10">
        <f>H650</f>
        <v>365</v>
      </c>
    </row>
    <row r="652" spans="1:8" ht="15.75" x14ac:dyDescent="0.25">
      <c r="A652" s="496" t="s">
        <v>548</v>
      </c>
      <c r="B652" s="492" t="s">
        <v>1418</v>
      </c>
      <c r="C652" s="499" t="s">
        <v>234</v>
      </c>
      <c r="D652" s="499" t="s">
        <v>215</v>
      </c>
      <c r="E652" s="2"/>
      <c r="F652" s="2"/>
      <c r="G652" s="10">
        <f>G653+G656+G659</f>
        <v>1080</v>
      </c>
      <c r="H652" s="10">
        <f>H653+H656+H659</f>
        <v>1188</v>
      </c>
    </row>
    <row r="653" spans="1:8" ht="31.5" x14ac:dyDescent="0.25">
      <c r="A653" s="496" t="s">
        <v>131</v>
      </c>
      <c r="B653" s="492" t="s">
        <v>1418</v>
      </c>
      <c r="C653" s="499" t="s">
        <v>234</v>
      </c>
      <c r="D653" s="499" t="s">
        <v>215</v>
      </c>
      <c r="E653" s="2">
        <v>200</v>
      </c>
      <c r="F653" s="2"/>
      <c r="G653" s="10">
        <f t="shared" ref="G653:H653" si="82">G654</f>
        <v>1080</v>
      </c>
      <c r="H653" s="10">
        <f t="shared" si="82"/>
        <v>1188</v>
      </c>
    </row>
    <row r="654" spans="1:8" ht="47.25" x14ac:dyDescent="0.25">
      <c r="A654" s="496" t="s">
        <v>133</v>
      </c>
      <c r="B654" s="492" t="s">
        <v>1418</v>
      </c>
      <c r="C654" s="499" t="s">
        <v>234</v>
      </c>
      <c r="D654" s="499" t="s">
        <v>215</v>
      </c>
      <c r="E654" s="2">
        <v>240</v>
      </c>
      <c r="F654" s="2"/>
      <c r="G654" s="10">
        <f>'пр.6.1.ведом.22-23 (2)'!G970</f>
        <v>1080</v>
      </c>
      <c r="H654" s="10">
        <f>'пр.6.1.ведом.22-23 (2)'!H970</f>
        <v>1188</v>
      </c>
    </row>
    <row r="655" spans="1:8" ht="47.25" x14ac:dyDescent="0.25">
      <c r="A655" s="45" t="s">
        <v>623</v>
      </c>
      <c r="B655" s="492" t="s">
        <v>1418</v>
      </c>
      <c r="C655" s="499" t="s">
        <v>234</v>
      </c>
      <c r="D655" s="499" t="s">
        <v>215</v>
      </c>
      <c r="E655" s="2">
        <v>240</v>
      </c>
      <c r="F655" s="2">
        <v>908</v>
      </c>
      <c r="G655" s="10">
        <f>G654</f>
        <v>1080</v>
      </c>
      <c r="H655" s="10">
        <f>H654</f>
        <v>1188</v>
      </c>
    </row>
    <row r="656" spans="1:8" ht="15.75" hidden="1" x14ac:dyDescent="0.25">
      <c r="A656" s="496" t="s">
        <v>135</v>
      </c>
      <c r="B656" s="492" t="s">
        <v>1418</v>
      </c>
      <c r="C656" s="499" t="s">
        <v>234</v>
      </c>
      <c r="D656" s="499" t="s">
        <v>215</v>
      </c>
      <c r="E656" s="2">
        <v>800</v>
      </c>
      <c r="F656" s="2"/>
      <c r="G656" s="10">
        <f>G657</f>
        <v>0</v>
      </c>
      <c r="H656" s="10">
        <f>H657</f>
        <v>0</v>
      </c>
    </row>
    <row r="657" spans="1:8" ht="47.25" hidden="1" x14ac:dyDescent="0.25">
      <c r="A657" s="496" t="s">
        <v>836</v>
      </c>
      <c r="B657" s="492" t="s">
        <v>1418</v>
      </c>
      <c r="C657" s="499" t="s">
        <v>234</v>
      </c>
      <c r="D657" s="499" t="s">
        <v>215</v>
      </c>
      <c r="E657" s="2">
        <v>830</v>
      </c>
      <c r="F657" s="2"/>
      <c r="G657" s="10">
        <f>'пр.6.1.ведом.22-23 (2)'!G972</f>
        <v>0</v>
      </c>
      <c r="H657" s="10">
        <f>'пр.6.1.ведом.22-23 (2)'!H972</f>
        <v>0</v>
      </c>
    </row>
    <row r="658" spans="1:8" ht="47.25" hidden="1" x14ac:dyDescent="0.25">
      <c r="A658" s="45" t="s">
        <v>623</v>
      </c>
      <c r="B658" s="492" t="s">
        <v>1418</v>
      </c>
      <c r="C658" s="499" t="s">
        <v>234</v>
      </c>
      <c r="D658" s="499" t="s">
        <v>215</v>
      </c>
      <c r="E658" s="2">
        <v>830</v>
      </c>
      <c r="F658" s="2">
        <v>908</v>
      </c>
      <c r="G658" s="10">
        <f>G657</f>
        <v>0</v>
      </c>
      <c r="H658" s="10">
        <f>H657</f>
        <v>0</v>
      </c>
    </row>
    <row r="659" spans="1:8" ht="15.75" hidden="1" x14ac:dyDescent="0.25">
      <c r="A659" s="496" t="s">
        <v>135</v>
      </c>
      <c r="B659" s="492" t="s">
        <v>1418</v>
      </c>
      <c r="C659" s="499" t="s">
        <v>234</v>
      </c>
      <c r="D659" s="499" t="s">
        <v>215</v>
      </c>
      <c r="E659" s="2">
        <v>800</v>
      </c>
      <c r="F659" s="2"/>
      <c r="G659" s="10">
        <f>G660</f>
        <v>0</v>
      </c>
      <c r="H659" s="10">
        <f>H660</f>
        <v>0</v>
      </c>
    </row>
    <row r="660" spans="1:8" ht="15.75" hidden="1" x14ac:dyDescent="0.25">
      <c r="A660" s="496" t="s">
        <v>1077</v>
      </c>
      <c r="B660" s="492" t="s">
        <v>1418</v>
      </c>
      <c r="C660" s="499" t="s">
        <v>234</v>
      </c>
      <c r="D660" s="499" t="s">
        <v>215</v>
      </c>
      <c r="E660" s="2">
        <v>850</v>
      </c>
      <c r="F660" s="2"/>
      <c r="G660" s="10">
        <f>'пр.6.1.ведом.22-23 (2)'!G973</f>
        <v>0</v>
      </c>
      <c r="H660" s="10">
        <f>'пр.6.1.ведом.22-23 (2)'!H973</f>
        <v>0</v>
      </c>
    </row>
    <row r="661" spans="1:8" ht="47.25" hidden="1" x14ac:dyDescent="0.25">
      <c r="A661" s="45" t="s">
        <v>623</v>
      </c>
      <c r="B661" s="492" t="s">
        <v>1418</v>
      </c>
      <c r="C661" s="499" t="s">
        <v>234</v>
      </c>
      <c r="D661" s="499" t="s">
        <v>215</v>
      </c>
      <c r="E661" s="2">
        <v>850</v>
      </c>
      <c r="F661" s="2">
        <v>908</v>
      </c>
      <c r="G661" s="10">
        <f>G660</f>
        <v>0</v>
      </c>
      <c r="H661" s="10">
        <f>H660</f>
        <v>0</v>
      </c>
    </row>
    <row r="662" spans="1:8" ht="15.75" hidden="1" x14ac:dyDescent="0.25">
      <c r="A662" s="496" t="s">
        <v>550</v>
      </c>
      <c r="B662" s="492" t="s">
        <v>1298</v>
      </c>
      <c r="C662" s="499" t="s">
        <v>234</v>
      </c>
      <c r="D662" s="499" t="s">
        <v>215</v>
      </c>
      <c r="E662" s="2"/>
      <c r="F662" s="2"/>
      <c r="G662" s="10">
        <f t="shared" ref="G662:H662" si="83">G663</f>
        <v>0</v>
      </c>
      <c r="H662" s="10">
        <f t="shared" si="83"/>
        <v>0</v>
      </c>
    </row>
    <row r="663" spans="1:8" ht="31.5" hidden="1" x14ac:dyDescent="0.25">
      <c r="A663" s="496" t="s">
        <v>131</v>
      </c>
      <c r="B663" s="492" t="s">
        <v>1298</v>
      </c>
      <c r="C663" s="499" t="s">
        <v>234</v>
      </c>
      <c r="D663" s="499" t="s">
        <v>215</v>
      </c>
      <c r="E663" s="2">
        <v>200</v>
      </c>
      <c r="F663" s="2"/>
      <c r="G663" s="10">
        <f>G664</f>
        <v>0</v>
      </c>
      <c r="H663" s="10">
        <f>H664</f>
        <v>0</v>
      </c>
    </row>
    <row r="664" spans="1:8" ht="47.25" hidden="1" x14ac:dyDescent="0.25">
      <c r="A664" s="496" t="s">
        <v>133</v>
      </c>
      <c r="B664" s="492" t="s">
        <v>1298</v>
      </c>
      <c r="C664" s="499" t="s">
        <v>234</v>
      </c>
      <c r="D664" s="499" t="s">
        <v>215</v>
      </c>
      <c r="E664" s="2">
        <v>240</v>
      </c>
      <c r="F664" s="2"/>
      <c r="G664" s="10">
        <f>'пр.6.1.ведом.22-23 (2)'!G976</f>
        <v>0</v>
      </c>
      <c r="H664" s="10">
        <f>'пр.6.1.ведом.22-23 (2)'!H976</f>
        <v>0</v>
      </c>
    </row>
    <row r="665" spans="1:8" ht="47.25" hidden="1" x14ac:dyDescent="0.25">
      <c r="A665" s="45" t="s">
        <v>623</v>
      </c>
      <c r="B665" s="492" t="s">
        <v>1298</v>
      </c>
      <c r="C665" s="499" t="s">
        <v>234</v>
      </c>
      <c r="D665" s="499" t="s">
        <v>215</v>
      </c>
      <c r="E665" s="2">
        <v>240</v>
      </c>
      <c r="F665" s="2">
        <v>908</v>
      </c>
      <c r="G665" s="10">
        <f>G664</f>
        <v>0</v>
      </c>
      <c r="H665" s="10">
        <f>H664</f>
        <v>0</v>
      </c>
    </row>
    <row r="666" spans="1:8" ht="15.75" x14ac:dyDescent="0.25">
      <c r="A666" s="496" t="s">
        <v>555</v>
      </c>
      <c r="B666" s="492" t="s">
        <v>1275</v>
      </c>
      <c r="C666" s="499" t="s">
        <v>234</v>
      </c>
      <c r="D666" s="499" t="s">
        <v>215</v>
      </c>
      <c r="E666" s="2"/>
      <c r="F666" s="2"/>
      <c r="G666" s="10">
        <f t="shared" ref="G666:H667" si="84">G667</f>
        <v>50</v>
      </c>
      <c r="H666" s="10">
        <f t="shared" si="84"/>
        <v>55</v>
      </c>
    </row>
    <row r="667" spans="1:8" ht="31.5" x14ac:dyDescent="0.25">
      <c r="A667" s="496" t="s">
        <v>131</v>
      </c>
      <c r="B667" s="492" t="s">
        <v>1275</v>
      </c>
      <c r="C667" s="499" t="s">
        <v>234</v>
      </c>
      <c r="D667" s="499" t="s">
        <v>215</v>
      </c>
      <c r="E667" s="2">
        <v>200</v>
      </c>
      <c r="F667" s="2"/>
      <c r="G667" s="10">
        <f t="shared" si="84"/>
        <v>50</v>
      </c>
      <c r="H667" s="10">
        <f t="shared" si="84"/>
        <v>55</v>
      </c>
    </row>
    <row r="668" spans="1:8" ht="47.25" x14ac:dyDescent="0.25">
      <c r="A668" s="496" t="s">
        <v>133</v>
      </c>
      <c r="B668" s="492" t="s">
        <v>1275</v>
      </c>
      <c r="C668" s="499" t="s">
        <v>234</v>
      </c>
      <c r="D668" s="499" t="s">
        <v>215</v>
      </c>
      <c r="E668" s="2">
        <v>240</v>
      </c>
      <c r="F668" s="2"/>
      <c r="G668" s="10">
        <f>'пр.6.1.ведом.22-23 (2)'!G979</f>
        <v>50</v>
      </c>
      <c r="H668" s="10">
        <f>'пр.6.1.ведом.22-23 (2)'!H979</f>
        <v>55</v>
      </c>
    </row>
    <row r="669" spans="1:8" ht="47.25" x14ac:dyDescent="0.25">
      <c r="A669" s="45" t="s">
        <v>623</v>
      </c>
      <c r="B669" s="492" t="s">
        <v>1275</v>
      </c>
      <c r="C669" s="499" t="s">
        <v>234</v>
      </c>
      <c r="D669" s="499" t="s">
        <v>215</v>
      </c>
      <c r="E669" s="2">
        <v>240</v>
      </c>
      <c r="F669" s="2">
        <v>908</v>
      </c>
      <c r="G669" s="10">
        <f>G668</f>
        <v>50</v>
      </c>
      <c r="H669" s="10">
        <f>H668</f>
        <v>55</v>
      </c>
    </row>
    <row r="670" spans="1:8" ht="31.5" x14ac:dyDescent="0.25">
      <c r="A670" s="306" t="s">
        <v>1279</v>
      </c>
      <c r="B670" s="492" t="s">
        <v>1276</v>
      </c>
      <c r="C670" s="499" t="s">
        <v>234</v>
      </c>
      <c r="D670" s="499" t="s">
        <v>215</v>
      </c>
      <c r="E670" s="2"/>
      <c r="F670" s="2"/>
      <c r="G670" s="10">
        <f>G671+G674</f>
        <v>375</v>
      </c>
      <c r="H670" s="10">
        <f>H671+H674</f>
        <v>375</v>
      </c>
    </row>
    <row r="671" spans="1:8" ht="31.5" x14ac:dyDescent="0.25">
      <c r="A671" s="496" t="s">
        <v>131</v>
      </c>
      <c r="B671" s="492" t="s">
        <v>1276</v>
      </c>
      <c r="C671" s="499" t="s">
        <v>234</v>
      </c>
      <c r="D671" s="499" t="s">
        <v>215</v>
      </c>
      <c r="E671" s="2">
        <v>200</v>
      </c>
      <c r="F671" s="2"/>
      <c r="G671" s="10">
        <f t="shared" ref="G671:H671" si="85">G672</f>
        <v>300</v>
      </c>
      <c r="H671" s="10">
        <f t="shared" si="85"/>
        <v>300</v>
      </c>
    </row>
    <row r="672" spans="1:8" ht="47.25" x14ac:dyDescent="0.25">
      <c r="A672" s="496" t="s">
        <v>133</v>
      </c>
      <c r="B672" s="492" t="s">
        <v>1276</v>
      </c>
      <c r="C672" s="499" t="s">
        <v>234</v>
      </c>
      <c r="D672" s="499" t="s">
        <v>215</v>
      </c>
      <c r="E672" s="2">
        <v>240</v>
      </c>
      <c r="F672" s="2"/>
      <c r="G672" s="10">
        <f>'пр.6.1.ведом.22-23 (2)'!G982</f>
        <v>300</v>
      </c>
      <c r="H672" s="10">
        <f>'пр.6.1.ведом.22-23 (2)'!H982</f>
        <v>300</v>
      </c>
    </row>
    <row r="673" spans="1:8" ht="47.25" x14ac:dyDescent="0.25">
      <c r="A673" s="45" t="s">
        <v>623</v>
      </c>
      <c r="B673" s="492" t="s">
        <v>1276</v>
      </c>
      <c r="C673" s="499" t="s">
        <v>234</v>
      </c>
      <c r="D673" s="499" t="s">
        <v>215</v>
      </c>
      <c r="E673" s="2">
        <v>240</v>
      </c>
      <c r="F673" s="2">
        <v>908</v>
      </c>
      <c r="G673" s="10">
        <f>G672</f>
        <v>300</v>
      </c>
      <c r="H673" s="10">
        <f>H672</f>
        <v>300</v>
      </c>
    </row>
    <row r="674" spans="1:8" ht="15.75" x14ac:dyDescent="0.25">
      <c r="A674" s="29" t="s">
        <v>135</v>
      </c>
      <c r="B674" s="492" t="s">
        <v>1276</v>
      </c>
      <c r="C674" s="499" t="s">
        <v>234</v>
      </c>
      <c r="D674" s="499" t="s">
        <v>215</v>
      </c>
      <c r="E674" s="2">
        <v>800</v>
      </c>
      <c r="F674" s="2"/>
      <c r="G674" s="10">
        <f>G675</f>
        <v>75</v>
      </c>
      <c r="H674" s="10">
        <f>H675</f>
        <v>75</v>
      </c>
    </row>
    <row r="675" spans="1:8" ht="15.75" x14ac:dyDescent="0.25">
      <c r="A675" s="496" t="s">
        <v>704</v>
      </c>
      <c r="B675" s="492" t="s">
        <v>1276</v>
      </c>
      <c r="C675" s="499" t="s">
        <v>234</v>
      </c>
      <c r="D675" s="499" t="s">
        <v>215</v>
      </c>
      <c r="E675" s="2">
        <v>850</v>
      </c>
      <c r="F675" s="2"/>
      <c r="G675" s="10">
        <f>'пр.6.1.ведом.22-23 (2)'!G984</f>
        <v>75</v>
      </c>
      <c r="H675" s="10">
        <f>'пр.6.1.ведом.22-23 (2)'!H984</f>
        <v>75</v>
      </c>
    </row>
    <row r="676" spans="1:8" ht="47.25" x14ac:dyDescent="0.25">
      <c r="A676" s="45" t="s">
        <v>623</v>
      </c>
      <c r="B676" s="492" t="s">
        <v>1276</v>
      </c>
      <c r="C676" s="499" t="s">
        <v>234</v>
      </c>
      <c r="D676" s="499" t="s">
        <v>215</v>
      </c>
      <c r="E676" s="2">
        <v>850</v>
      </c>
      <c r="F676" s="2">
        <v>908</v>
      </c>
      <c r="G676" s="10">
        <f>G675</f>
        <v>75</v>
      </c>
      <c r="H676" s="10">
        <f>H675</f>
        <v>75</v>
      </c>
    </row>
    <row r="677" spans="1:8" ht="31.5" x14ac:dyDescent="0.25">
      <c r="A677" s="45" t="s">
        <v>559</v>
      </c>
      <c r="B677" s="492" t="s">
        <v>1277</v>
      </c>
      <c r="C677" s="499" t="s">
        <v>234</v>
      </c>
      <c r="D677" s="499" t="s">
        <v>215</v>
      </c>
      <c r="E677" s="2"/>
      <c r="F677" s="2"/>
      <c r="G677" s="10">
        <f t="shared" ref="G677:H678" si="86">G678</f>
        <v>0</v>
      </c>
      <c r="H677" s="10">
        <f t="shared" si="86"/>
        <v>130</v>
      </c>
    </row>
    <row r="678" spans="1:8" ht="31.5" x14ac:dyDescent="0.25">
      <c r="A678" s="496" t="s">
        <v>131</v>
      </c>
      <c r="B678" s="492" t="s">
        <v>1277</v>
      </c>
      <c r="C678" s="499" t="s">
        <v>234</v>
      </c>
      <c r="D678" s="499" t="s">
        <v>215</v>
      </c>
      <c r="E678" s="2">
        <v>200</v>
      </c>
      <c r="F678" s="2"/>
      <c r="G678" s="10">
        <f t="shared" si="86"/>
        <v>0</v>
      </c>
      <c r="H678" s="10">
        <f t="shared" si="86"/>
        <v>130</v>
      </c>
    </row>
    <row r="679" spans="1:8" ht="47.25" x14ac:dyDescent="0.25">
      <c r="A679" s="496" t="s">
        <v>133</v>
      </c>
      <c r="B679" s="492" t="s">
        <v>1277</v>
      </c>
      <c r="C679" s="499" t="s">
        <v>234</v>
      </c>
      <c r="D679" s="499" t="s">
        <v>215</v>
      </c>
      <c r="E679" s="2">
        <v>240</v>
      </c>
      <c r="F679" s="2"/>
      <c r="G679" s="10">
        <f>'пр.6.1.ведом.22-23 (2)'!G987</f>
        <v>0</v>
      </c>
      <c r="H679" s="10">
        <f>'пр.6.1.ведом.22-23 (2)'!H987</f>
        <v>130</v>
      </c>
    </row>
    <row r="680" spans="1:8" ht="47.25" x14ac:dyDescent="0.25">
      <c r="A680" s="45" t="s">
        <v>623</v>
      </c>
      <c r="B680" s="492" t="s">
        <v>1277</v>
      </c>
      <c r="C680" s="499" t="s">
        <v>234</v>
      </c>
      <c r="D680" s="499" t="s">
        <v>215</v>
      </c>
      <c r="E680" s="2">
        <v>850</v>
      </c>
      <c r="F680" s="2">
        <v>908</v>
      </c>
      <c r="G680" s="10">
        <f>G679</f>
        <v>0</v>
      </c>
      <c r="H680" s="10">
        <f>H679</f>
        <v>130</v>
      </c>
    </row>
    <row r="681" spans="1:8" ht="31.5" x14ac:dyDescent="0.25">
      <c r="A681" s="229" t="s">
        <v>1088</v>
      </c>
      <c r="B681" s="492" t="s">
        <v>1278</v>
      </c>
      <c r="C681" s="499" t="s">
        <v>234</v>
      </c>
      <c r="D681" s="499" t="s">
        <v>215</v>
      </c>
      <c r="E681" s="2"/>
      <c r="F681" s="2"/>
      <c r="G681" s="10">
        <f>G682</f>
        <v>50</v>
      </c>
      <c r="H681" s="10">
        <f>H682</f>
        <v>60</v>
      </c>
    </row>
    <row r="682" spans="1:8" ht="31.5" x14ac:dyDescent="0.25">
      <c r="A682" s="496" t="s">
        <v>131</v>
      </c>
      <c r="B682" s="492" t="s">
        <v>1278</v>
      </c>
      <c r="C682" s="499" t="s">
        <v>234</v>
      </c>
      <c r="D682" s="499" t="s">
        <v>215</v>
      </c>
      <c r="E682" s="2">
        <v>200</v>
      </c>
      <c r="F682" s="2"/>
      <c r="G682" s="10">
        <f>G683</f>
        <v>50</v>
      </c>
      <c r="H682" s="10">
        <f>H683</f>
        <v>60</v>
      </c>
    </row>
    <row r="683" spans="1:8" ht="47.25" x14ac:dyDescent="0.25">
      <c r="A683" s="496" t="s">
        <v>133</v>
      </c>
      <c r="B683" s="492" t="s">
        <v>1278</v>
      </c>
      <c r="C683" s="499" t="s">
        <v>234</v>
      </c>
      <c r="D683" s="499" t="s">
        <v>215</v>
      </c>
      <c r="E683" s="2">
        <v>240</v>
      </c>
      <c r="F683" s="2"/>
      <c r="G683" s="10">
        <f>'пр.6.1.ведом.22-23 (2)'!G990</f>
        <v>50</v>
      </c>
      <c r="H683" s="10">
        <f>'пр.6.1.ведом.22-23 (2)'!H990</f>
        <v>60</v>
      </c>
    </row>
    <row r="684" spans="1:8" ht="47.25" x14ac:dyDescent="0.25">
      <c r="A684" s="45" t="s">
        <v>623</v>
      </c>
      <c r="B684" s="492" t="s">
        <v>1278</v>
      </c>
      <c r="C684" s="499" t="s">
        <v>234</v>
      </c>
      <c r="D684" s="499" t="s">
        <v>215</v>
      </c>
      <c r="E684" s="2">
        <v>240</v>
      </c>
      <c r="F684" s="2">
        <v>908</v>
      </c>
      <c r="G684" s="10">
        <f>G683</f>
        <v>50</v>
      </c>
      <c r="H684" s="10">
        <f>H683</f>
        <v>60</v>
      </c>
    </row>
    <row r="685" spans="1:8" ht="31.5" hidden="1" x14ac:dyDescent="0.25">
      <c r="A685" s="494" t="s">
        <v>891</v>
      </c>
      <c r="B685" s="495" t="s">
        <v>1296</v>
      </c>
      <c r="C685" s="7"/>
      <c r="D685" s="7"/>
      <c r="E685" s="3"/>
      <c r="F685" s="3"/>
      <c r="G685" s="59">
        <f>G686</f>
        <v>0</v>
      </c>
      <c r="H685" s="59">
        <f>H686</f>
        <v>0</v>
      </c>
    </row>
    <row r="686" spans="1:8" ht="15.75" hidden="1" x14ac:dyDescent="0.25">
      <c r="A686" s="73" t="s">
        <v>390</v>
      </c>
      <c r="B686" s="492" t="s">
        <v>1296</v>
      </c>
      <c r="C686" s="499" t="s">
        <v>234</v>
      </c>
      <c r="D686" s="499"/>
      <c r="E686" s="2"/>
      <c r="F686" s="2"/>
      <c r="G686" s="10">
        <f t="shared" ref="G686:H686" si="87">G687</f>
        <v>0</v>
      </c>
      <c r="H686" s="10">
        <f t="shared" si="87"/>
        <v>0</v>
      </c>
    </row>
    <row r="687" spans="1:8" ht="15.75" hidden="1" x14ac:dyDescent="0.25">
      <c r="A687" s="73" t="s">
        <v>541</v>
      </c>
      <c r="B687" s="492" t="s">
        <v>1296</v>
      </c>
      <c r="C687" s="499" t="s">
        <v>234</v>
      </c>
      <c r="D687" s="499" t="s">
        <v>215</v>
      </c>
      <c r="E687" s="2"/>
      <c r="F687" s="2"/>
      <c r="G687" s="10">
        <f>G688+G692</f>
        <v>0</v>
      </c>
      <c r="H687" s="10">
        <f>H688+H692</f>
        <v>0</v>
      </c>
    </row>
    <row r="688" spans="1:8" ht="47.25" hidden="1" x14ac:dyDescent="0.25">
      <c r="A688" s="496" t="s">
        <v>690</v>
      </c>
      <c r="B688" s="492" t="s">
        <v>1327</v>
      </c>
      <c r="C688" s="499" t="s">
        <v>234</v>
      </c>
      <c r="D688" s="499" t="s">
        <v>215</v>
      </c>
      <c r="E688" s="2"/>
      <c r="F688" s="2"/>
      <c r="G688" s="10">
        <f>G689</f>
        <v>0</v>
      </c>
      <c r="H688" s="10">
        <f>H689</f>
        <v>0</v>
      </c>
    </row>
    <row r="689" spans="1:8" ht="31.5" hidden="1" x14ac:dyDescent="0.25">
      <c r="A689" s="496" t="s">
        <v>131</v>
      </c>
      <c r="B689" s="492" t="s">
        <v>1327</v>
      </c>
      <c r="C689" s="499" t="s">
        <v>234</v>
      </c>
      <c r="D689" s="499" t="s">
        <v>215</v>
      </c>
      <c r="E689" s="492" t="s">
        <v>132</v>
      </c>
      <c r="F689" s="2"/>
      <c r="G689" s="10">
        <f>G690</f>
        <v>0</v>
      </c>
      <c r="H689" s="10">
        <f>H690</f>
        <v>0</v>
      </c>
    </row>
    <row r="690" spans="1:8" ht="47.25" hidden="1" x14ac:dyDescent="0.25">
      <c r="A690" s="496" t="s">
        <v>133</v>
      </c>
      <c r="B690" s="492" t="s">
        <v>1327</v>
      </c>
      <c r="C690" s="499" t="s">
        <v>234</v>
      </c>
      <c r="D690" s="499" t="s">
        <v>215</v>
      </c>
      <c r="E690" s="492" t="s">
        <v>134</v>
      </c>
      <c r="F690" s="2"/>
      <c r="G690" s="10">
        <f>'пр.6.1.ведом.22-23 (2)'!G994</f>
        <v>0</v>
      </c>
      <c r="H690" s="10">
        <f>'пр.6.1.ведом.22-23 (2)'!H994</f>
        <v>0</v>
      </c>
    </row>
    <row r="691" spans="1:8" ht="47.25" hidden="1" x14ac:dyDescent="0.25">
      <c r="A691" s="45" t="s">
        <v>623</v>
      </c>
      <c r="B691" s="492" t="s">
        <v>1327</v>
      </c>
      <c r="C691" s="499" t="s">
        <v>234</v>
      </c>
      <c r="D691" s="499" t="s">
        <v>215</v>
      </c>
      <c r="E691" s="492" t="s">
        <v>134</v>
      </c>
      <c r="F691" s="2">
        <v>908</v>
      </c>
      <c r="G691" s="10">
        <f>G690</f>
        <v>0</v>
      </c>
      <c r="H691" s="10">
        <f>H690</f>
        <v>0</v>
      </c>
    </row>
    <row r="692" spans="1:8" ht="63" hidden="1" x14ac:dyDescent="0.25">
      <c r="A692" s="496" t="s">
        <v>1070</v>
      </c>
      <c r="B692" s="492" t="s">
        <v>1295</v>
      </c>
      <c r="C692" s="499" t="s">
        <v>234</v>
      </c>
      <c r="D692" s="499" t="s">
        <v>215</v>
      </c>
      <c r="E692" s="492"/>
      <c r="F692" s="2"/>
      <c r="G692" s="10">
        <f>G693</f>
        <v>0</v>
      </c>
      <c r="H692" s="10">
        <f>H693</f>
        <v>0</v>
      </c>
    </row>
    <row r="693" spans="1:8" ht="31.5" hidden="1" x14ac:dyDescent="0.25">
      <c r="A693" s="496" t="s">
        <v>131</v>
      </c>
      <c r="B693" s="492" t="s">
        <v>1295</v>
      </c>
      <c r="C693" s="499" t="s">
        <v>234</v>
      </c>
      <c r="D693" s="499" t="s">
        <v>215</v>
      </c>
      <c r="E693" s="492" t="s">
        <v>132</v>
      </c>
      <c r="F693" s="2"/>
      <c r="G693" s="10">
        <f>G694</f>
        <v>0</v>
      </c>
      <c r="H693" s="10">
        <f>H694</f>
        <v>0</v>
      </c>
    </row>
    <row r="694" spans="1:8" ht="47.25" hidden="1" x14ac:dyDescent="0.25">
      <c r="A694" s="496" t="s">
        <v>133</v>
      </c>
      <c r="B694" s="492" t="s">
        <v>1295</v>
      </c>
      <c r="C694" s="499" t="s">
        <v>234</v>
      </c>
      <c r="D694" s="499" t="s">
        <v>215</v>
      </c>
      <c r="E694" s="492" t="s">
        <v>134</v>
      </c>
      <c r="F694" s="2"/>
      <c r="G694" s="10">
        <f>'пр.6.1.ведом.22-23 (2)'!G997</f>
        <v>0</v>
      </c>
      <c r="H694" s="10">
        <f>'пр.6.1.ведом.22-23 (2)'!H997</f>
        <v>0</v>
      </c>
    </row>
    <row r="695" spans="1:8" ht="47.25" hidden="1" x14ac:dyDescent="0.25">
      <c r="A695" s="45" t="s">
        <v>623</v>
      </c>
      <c r="B695" s="492" t="s">
        <v>1295</v>
      </c>
      <c r="C695" s="499" t="s">
        <v>234</v>
      </c>
      <c r="D695" s="499" t="s">
        <v>215</v>
      </c>
      <c r="E695" s="492" t="s">
        <v>134</v>
      </c>
      <c r="F695" s="2">
        <v>908</v>
      </c>
      <c r="G695" s="10">
        <f>G694</f>
        <v>0</v>
      </c>
      <c r="H695" s="10">
        <f>H694</f>
        <v>0</v>
      </c>
    </row>
    <row r="696" spans="1:8" ht="47.25" x14ac:dyDescent="0.25">
      <c r="A696" s="34" t="s">
        <v>1344</v>
      </c>
      <c r="B696" s="194" t="s">
        <v>182</v>
      </c>
      <c r="C696" s="7"/>
      <c r="D696" s="7"/>
      <c r="E696" s="7"/>
      <c r="F696" s="3"/>
      <c r="G696" s="59">
        <f>G697+G704</f>
        <v>274</v>
      </c>
      <c r="H696" s="59">
        <f>H697+H704</f>
        <v>274</v>
      </c>
    </row>
    <row r="697" spans="1:8" ht="47.25" x14ac:dyDescent="0.25">
      <c r="A697" s="34" t="s">
        <v>1006</v>
      </c>
      <c r="B697" s="194" t="s">
        <v>877</v>
      </c>
      <c r="C697" s="7"/>
      <c r="D697" s="7"/>
      <c r="E697" s="7"/>
      <c r="F697" s="3"/>
      <c r="G697" s="59">
        <f>G698</f>
        <v>274</v>
      </c>
      <c r="H697" s="59">
        <f>H698</f>
        <v>274</v>
      </c>
    </row>
    <row r="698" spans="1:8" ht="15.75" x14ac:dyDescent="0.25">
      <c r="A698" s="29" t="s">
        <v>232</v>
      </c>
      <c r="B698" s="5" t="s">
        <v>877</v>
      </c>
      <c r="C698" s="499" t="s">
        <v>150</v>
      </c>
      <c r="D698" s="499"/>
      <c r="E698" s="499"/>
      <c r="F698" s="2"/>
      <c r="G698" s="10">
        <f t="shared" ref="G698:H701" si="88">G699</f>
        <v>274</v>
      </c>
      <c r="H698" s="10">
        <f t="shared" si="88"/>
        <v>274</v>
      </c>
    </row>
    <row r="699" spans="1:8" ht="15.75" x14ac:dyDescent="0.25">
      <c r="A699" s="29" t="s">
        <v>233</v>
      </c>
      <c r="B699" s="30" t="s">
        <v>877</v>
      </c>
      <c r="C699" s="499" t="s">
        <v>150</v>
      </c>
      <c r="D699" s="499" t="s">
        <v>234</v>
      </c>
      <c r="E699" s="499"/>
      <c r="F699" s="2"/>
      <c r="G699" s="10">
        <f>G700</f>
        <v>274</v>
      </c>
      <c r="H699" s="10">
        <f>H700</f>
        <v>274</v>
      </c>
    </row>
    <row r="700" spans="1:8" ht="31.5" x14ac:dyDescent="0.25">
      <c r="A700" s="496" t="s">
        <v>235</v>
      </c>
      <c r="B700" s="492" t="s">
        <v>898</v>
      </c>
      <c r="C700" s="499" t="s">
        <v>150</v>
      </c>
      <c r="D700" s="499" t="s">
        <v>234</v>
      </c>
      <c r="E700" s="499"/>
      <c r="F700" s="2"/>
      <c r="G700" s="10">
        <f t="shared" si="88"/>
        <v>274</v>
      </c>
      <c r="H700" s="10">
        <f t="shared" si="88"/>
        <v>274</v>
      </c>
    </row>
    <row r="701" spans="1:8" ht="15.75" x14ac:dyDescent="0.25">
      <c r="A701" s="29" t="s">
        <v>135</v>
      </c>
      <c r="B701" s="492" t="s">
        <v>898</v>
      </c>
      <c r="C701" s="499" t="s">
        <v>150</v>
      </c>
      <c r="D701" s="499" t="s">
        <v>234</v>
      </c>
      <c r="E701" s="499" t="s">
        <v>145</v>
      </c>
      <c r="F701" s="2"/>
      <c r="G701" s="10">
        <f t="shared" si="88"/>
        <v>274</v>
      </c>
      <c r="H701" s="10">
        <f t="shared" si="88"/>
        <v>274</v>
      </c>
    </row>
    <row r="702" spans="1:8" ht="63" x14ac:dyDescent="0.25">
      <c r="A702" s="29" t="s">
        <v>184</v>
      </c>
      <c r="B702" s="492" t="s">
        <v>898</v>
      </c>
      <c r="C702" s="499" t="s">
        <v>150</v>
      </c>
      <c r="D702" s="499" t="s">
        <v>234</v>
      </c>
      <c r="E702" s="499" t="s">
        <v>160</v>
      </c>
      <c r="F702" s="2"/>
      <c r="G702" s="10">
        <f>'пр.6.1.ведом.22-23 (2)'!G197</f>
        <v>274</v>
      </c>
      <c r="H702" s="10">
        <f>'пр.6.1.ведом.22-23 (2)'!H197</f>
        <v>274</v>
      </c>
    </row>
    <row r="703" spans="1:8" ht="31.5" x14ac:dyDescent="0.25">
      <c r="A703" s="29" t="s">
        <v>148</v>
      </c>
      <c r="B703" s="492" t="s">
        <v>898</v>
      </c>
      <c r="C703" s="499" t="s">
        <v>150</v>
      </c>
      <c r="D703" s="499" t="s">
        <v>234</v>
      </c>
      <c r="E703" s="499" t="s">
        <v>160</v>
      </c>
      <c r="F703" s="2">
        <v>902</v>
      </c>
      <c r="G703" s="10">
        <f>G702</f>
        <v>274</v>
      </c>
      <c r="H703" s="10">
        <f>H702</f>
        <v>274</v>
      </c>
    </row>
    <row r="704" spans="1:8" ht="47.25" hidden="1" x14ac:dyDescent="0.25">
      <c r="A704" s="214" t="s">
        <v>1007</v>
      </c>
      <c r="B704" s="495" t="s">
        <v>879</v>
      </c>
      <c r="C704" s="499"/>
      <c r="D704" s="499"/>
      <c r="E704" s="499"/>
      <c r="F704" s="2"/>
      <c r="G704" s="10">
        <f t="shared" ref="G704:H708" si="89">G705</f>
        <v>0</v>
      </c>
      <c r="H704" s="10">
        <f t="shared" si="89"/>
        <v>0</v>
      </c>
    </row>
    <row r="705" spans="1:8" ht="15.75" hidden="1" x14ac:dyDescent="0.25">
      <c r="A705" s="29" t="s">
        <v>232</v>
      </c>
      <c r="B705" s="5" t="s">
        <v>877</v>
      </c>
      <c r="C705" s="499" t="s">
        <v>150</v>
      </c>
      <c r="D705" s="499"/>
      <c r="E705" s="499"/>
      <c r="F705" s="2"/>
      <c r="G705" s="10">
        <f t="shared" si="89"/>
        <v>0</v>
      </c>
      <c r="H705" s="10">
        <f t="shared" si="89"/>
        <v>0</v>
      </c>
    </row>
    <row r="706" spans="1:8" ht="15.75" hidden="1" x14ac:dyDescent="0.25">
      <c r="A706" s="29" t="s">
        <v>233</v>
      </c>
      <c r="B706" s="30" t="s">
        <v>877</v>
      </c>
      <c r="C706" s="499" t="s">
        <v>150</v>
      </c>
      <c r="D706" s="499" t="s">
        <v>234</v>
      </c>
      <c r="E706" s="499"/>
      <c r="F706" s="2"/>
      <c r="G706" s="10">
        <f t="shared" si="89"/>
        <v>0</v>
      </c>
      <c r="H706" s="10">
        <f t="shared" si="89"/>
        <v>0</v>
      </c>
    </row>
    <row r="707" spans="1:8" ht="15.75" hidden="1" x14ac:dyDescent="0.25">
      <c r="A707" s="496" t="s">
        <v>878</v>
      </c>
      <c r="B707" s="5" t="s">
        <v>899</v>
      </c>
      <c r="C707" s="499" t="s">
        <v>150</v>
      </c>
      <c r="D707" s="499" t="s">
        <v>234</v>
      </c>
      <c r="E707" s="499"/>
      <c r="F707" s="2"/>
      <c r="G707" s="10">
        <f t="shared" si="89"/>
        <v>0</v>
      </c>
      <c r="H707" s="10">
        <f t="shared" si="89"/>
        <v>0</v>
      </c>
    </row>
    <row r="708" spans="1:8" ht="15.75" hidden="1" x14ac:dyDescent="0.25">
      <c r="A708" s="29" t="s">
        <v>135</v>
      </c>
      <c r="B708" s="5" t="s">
        <v>899</v>
      </c>
      <c r="C708" s="499" t="s">
        <v>150</v>
      </c>
      <c r="D708" s="499" t="s">
        <v>234</v>
      </c>
      <c r="E708" s="499" t="s">
        <v>145</v>
      </c>
      <c r="F708" s="2"/>
      <c r="G708" s="10">
        <f t="shared" si="89"/>
        <v>0</v>
      </c>
      <c r="H708" s="10">
        <f t="shared" si="89"/>
        <v>0</v>
      </c>
    </row>
    <row r="709" spans="1:8" ht="63" hidden="1" x14ac:dyDescent="0.25">
      <c r="A709" s="29" t="s">
        <v>184</v>
      </c>
      <c r="B709" s="5" t="s">
        <v>899</v>
      </c>
      <c r="C709" s="499" t="s">
        <v>150</v>
      </c>
      <c r="D709" s="499" t="s">
        <v>234</v>
      </c>
      <c r="E709" s="499" t="s">
        <v>160</v>
      </c>
      <c r="F709" s="2"/>
      <c r="G709" s="10">
        <f>'пр.6.1.ведом.22-23 (2)'!G204</f>
        <v>0</v>
      </c>
      <c r="H709" s="10">
        <f>'пр.6.1.ведом.22-23 (2)'!H204</f>
        <v>0</v>
      </c>
    </row>
    <row r="710" spans="1:8" ht="31.5" hidden="1" x14ac:dyDescent="0.25">
      <c r="A710" s="29" t="s">
        <v>148</v>
      </c>
      <c r="B710" s="5" t="s">
        <v>899</v>
      </c>
      <c r="C710" s="499" t="s">
        <v>150</v>
      </c>
      <c r="D710" s="499" t="s">
        <v>234</v>
      </c>
      <c r="E710" s="499" t="s">
        <v>160</v>
      </c>
      <c r="F710" s="2">
        <v>902</v>
      </c>
      <c r="G710" s="10">
        <f>G709</f>
        <v>0</v>
      </c>
      <c r="H710" s="10">
        <f>H709</f>
        <v>0</v>
      </c>
    </row>
    <row r="711" spans="1:8" ht="78.75" x14ac:dyDescent="0.25">
      <c r="A711" s="500" t="s">
        <v>1526</v>
      </c>
      <c r="B711" s="7" t="s">
        <v>518</v>
      </c>
      <c r="C711" s="7"/>
      <c r="D711" s="7"/>
      <c r="E711" s="72"/>
      <c r="F711" s="3"/>
      <c r="G711" s="59">
        <f>G712+G719+G726+G733+G740+G747+G754</f>
        <v>700</v>
      </c>
      <c r="H711" s="59">
        <f>H712+H719+H726+H733+H740+H747+H754</f>
        <v>700</v>
      </c>
    </row>
    <row r="712" spans="1:8" ht="31.5" x14ac:dyDescent="0.25">
      <c r="A712" s="494" t="s">
        <v>963</v>
      </c>
      <c r="B712" s="495" t="s">
        <v>965</v>
      </c>
      <c r="C712" s="499"/>
      <c r="D712" s="499"/>
      <c r="E712" s="499"/>
      <c r="F712" s="2"/>
      <c r="G712" s="59">
        <f>G713</f>
        <v>700</v>
      </c>
      <c r="H712" s="59">
        <f>H713</f>
        <v>700</v>
      </c>
    </row>
    <row r="713" spans="1:8" ht="15.75" x14ac:dyDescent="0.25">
      <c r="A713" s="29" t="s">
        <v>390</v>
      </c>
      <c r="B713" s="499" t="s">
        <v>965</v>
      </c>
      <c r="C713" s="499" t="s">
        <v>234</v>
      </c>
      <c r="D713" s="499"/>
      <c r="E713" s="73"/>
      <c r="F713" s="2"/>
      <c r="G713" s="10">
        <f t="shared" ref="G713:H713" si="90">G714</f>
        <v>700</v>
      </c>
      <c r="H713" s="10">
        <f t="shared" si="90"/>
        <v>700</v>
      </c>
    </row>
    <row r="714" spans="1:8" ht="15.75" x14ac:dyDescent="0.25">
      <c r="A714" s="29" t="s">
        <v>517</v>
      </c>
      <c r="B714" s="499" t="s">
        <v>965</v>
      </c>
      <c r="C714" s="499" t="s">
        <v>234</v>
      </c>
      <c r="D714" s="499" t="s">
        <v>213</v>
      </c>
      <c r="E714" s="73"/>
      <c r="F714" s="2"/>
      <c r="G714" s="10">
        <f>G715</f>
        <v>700</v>
      </c>
      <c r="H714" s="10">
        <f>H715</f>
        <v>700</v>
      </c>
    </row>
    <row r="715" spans="1:8" ht="15.75" x14ac:dyDescent="0.25">
      <c r="A715" s="45" t="s">
        <v>521</v>
      </c>
      <c r="B715" s="492" t="s">
        <v>966</v>
      </c>
      <c r="C715" s="499" t="s">
        <v>234</v>
      </c>
      <c r="D715" s="499" t="s">
        <v>213</v>
      </c>
      <c r="E715" s="499"/>
      <c r="F715" s="2"/>
      <c r="G715" s="10">
        <f t="shared" ref="G715:H716" si="91">G716</f>
        <v>700</v>
      </c>
      <c r="H715" s="10">
        <f t="shared" si="91"/>
        <v>700</v>
      </c>
    </row>
    <row r="716" spans="1:8" ht="31.5" x14ac:dyDescent="0.25">
      <c r="A716" s="31" t="s">
        <v>131</v>
      </c>
      <c r="B716" s="492" t="s">
        <v>966</v>
      </c>
      <c r="C716" s="499" t="s">
        <v>234</v>
      </c>
      <c r="D716" s="499" t="s">
        <v>213</v>
      </c>
      <c r="E716" s="499" t="s">
        <v>132</v>
      </c>
      <c r="F716" s="2"/>
      <c r="G716" s="10">
        <f t="shared" si="91"/>
        <v>700</v>
      </c>
      <c r="H716" s="10">
        <f t="shared" si="91"/>
        <v>700</v>
      </c>
    </row>
    <row r="717" spans="1:8" ht="47.25" x14ac:dyDescent="0.25">
      <c r="A717" s="31" t="s">
        <v>133</v>
      </c>
      <c r="B717" s="492" t="s">
        <v>966</v>
      </c>
      <c r="C717" s="499" t="s">
        <v>234</v>
      </c>
      <c r="D717" s="499" t="s">
        <v>213</v>
      </c>
      <c r="E717" s="499" t="s">
        <v>134</v>
      </c>
      <c r="F717" s="2"/>
      <c r="G717" s="10">
        <f>'пр.6.1.ведом.22-23 (2)'!G923</f>
        <v>700</v>
      </c>
      <c r="H717" s="10">
        <f>'пр.6.1.ведом.22-23 (2)'!H923</f>
        <v>700</v>
      </c>
    </row>
    <row r="718" spans="1:8" ht="47.25" x14ac:dyDescent="0.25">
      <c r="A718" s="45" t="s">
        <v>623</v>
      </c>
      <c r="B718" s="492" t="s">
        <v>966</v>
      </c>
      <c r="C718" s="499" t="s">
        <v>234</v>
      </c>
      <c r="D718" s="499" t="s">
        <v>213</v>
      </c>
      <c r="E718" s="499" t="s">
        <v>134</v>
      </c>
      <c r="F718" s="2">
        <v>908</v>
      </c>
      <c r="G718" s="489">
        <f>G717</f>
        <v>700</v>
      </c>
      <c r="H718" s="489">
        <f>H717</f>
        <v>700</v>
      </c>
    </row>
    <row r="719" spans="1:8" ht="31.5" hidden="1" x14ac:dyDescent="0.25">
      <c r="A719" s="34" t="s">
        <v>967</v>
      </c>
      <c r="B719" s="495" t="s">
        <v>968</v>
      </c>
      <c r="C719" s="499"/>
      <c r="D719" s="499"/>
      <c r="E719" s="499"/>
      <c r="F719" s="2"/>
      <c r="G719" s="59">
        <f>G720</f>
        <v>0</v>
      </c>
      <c r="H719" s="59">
        <f>H720</f>
        <v>0</v>
      </c>
    </row>
    <row r="720" spans="1:8" ht="15.75" hidden="1" x14ac:dyDescent="0.25">
      <c r="A720" s="29" t="s">
        <v>390</v>
      </c>
      <c r="B720" s="499" t="s">
        <v>968</v>
      </c>
      <c r="C720" s="499" t="s">
        <v>234</v>
      </c>
      <c r="D720" s="499"/>
      <c r="E720" s="73"/>
      <c r="F720" s="2"/>
      <c r="G720" s="10">
        <f t="shared" ref="G720:H720" si="92">G721</f>
        <v>0</v>
      </c>
      <c r="H720" s="10">
        <f t="shared" si="92"/>
        <v>0</v>
      </c>
    </row>
    <row r="721" spans="1:8" ht="15.75" hidden="1" x14ac:dyDescent="0.25">
      <c r="A721" s="29" t="s">
        <v>517</v>
      </c>
      <c r="B721" s="499" t="s">
        <v>968</v>
      </c>
      <c r="C721" s="499" t="s">
        <v>234</v>
      </c>
      <c r="D721" s="499" t="s">
        <v>213</v>
      </c>
      <c r="E721" s="73"/>
      <c r="F721" s="2"/>
      <c r="G721" s="10">
        <f>G722</f>
        <v>0</v>
      </c>
      <c r="H721" s="10">
        <f>H722</f>
        <v>0</v>
      </c>
    </row>
    <row r="722" spans="1:8" ht="15.75" hidden="1" x14ac:dyDescent="0.25">
      <c r="A722" s="45" t="s">
        <v>523</v>
      </c>
      <c r="B722" s="492" t="s">
        <v>971</v>
      </c>
      <c r="C722" s="499" t="s">
        <v>234</v>
      </c>
      <c r="D722" s="499" t="s">
        <v>213</v>
      </c>
      <c r="E722" s="499"/>
      <c r="F722" s="2"/>
      <c r="G722" s="10">
        <f>G723</f>
        <v>0</v>
      </c>
      <c r="H722" s="10">
        <f>H723</f>
        <v>0</v>
      </c>
    </row>
    <row r="723" spans="1:8" ht="31.5" hidden="1" x14ac:dyDescent="0.25">
      <c r="A723" s="31" t="s">
        <v>131</v>
      </c>
      <c r="B723" s="492" t="s">
        <v>971</v>
      </c>
      <c r="C723" s="499" t="s">
        <v>234</v>
      </c>
      <c r="D723" s="499" t="s">
        <v>213</v>
      </c>
      <c r="E723" s="499" t="s">
        <v>132</v>
      </c>
      <c r="F723" s="2"/>
      <c r="G723" s="10">
        <f t="shared" ref="G723:H723" si="93">G724</f>
        <v>0</v>
      </c>
      <c r="H723" s="10">
        <f t="shared" si="93"/>
        <v>0</v>
      </c>
    </row>
    <row r="724" spans="1:8" ht="47.25" hidden="1" x14ac:dyDescent="0.25">
      <c r="A724" s="31" t="s">
        <v>133</v>
      </c>
      <c r="B724" s="492" t="s">
        <v>971</v>
      </c>
      <c r="C724" s="499" t="s">
        <v>234</v>
      </c>
      <c r="D724" s="499" t="s">
        <v>213</v>
      </c>
      <c r="E724" s="499" t="s">
        <v>134</v>
      </c>
      <c r="F724" s="2"/>
      <c r="G724" s="10">
        <f>'пр.6.1.ведом.22-23 (2)'!G927</f>
        <v>0</v>
      </c>
      <c r="H724" s="10">
        <f>'пр.6.1.ведом.22-23 (2)'!H927</f>
        <v>0</v>
      </c>
    </row>
    <row r="725" spans="1:8" ht="47.25" hidden="1" x14ac:dyDescent="0.25">
      <c r="A725" s="45" t="s">
        <v>623</v>
      </c>
      <c r="B725" s="492" t="s">
        <v>971</v>
      </c>
      <c r="C725" s="499" t="s">
        <v>234</v>
      </c>
      <c r="D725" s="499" t="s">
        <v>213</v>
      </c>
      <c r="E725" s="499" t="s">
        <v>134</v>
      </c>
      <c r="F725" s="2">
        <v>908</v>
      </c>
      <c r="G725" s="489">
        <f>G724</f>
        <v>0</v>
      </c>
      <c r="H725" s="489">
        <f>H724</f>
        <v>0</v>
      </c>
    </row>
    <row r="726" spans="1:8" ht="31.5" hidden="1" x14ac:dyDescent="0.25">
      <c r="A726" s="58" t="s">
        <v>969</v>
      </c>
      <c r="B726" s="495" t="s">
        <v>970</v>
      </c>
      <c r="C726" s="499"/>
      <c r="D726" s="499"/>
      <c r="E726" s="499"/>
      <c r="F726" s="2"/>
      <c r="G726" s="59">
        <f>G727</f>
        <v>0</v>
      </c>
      <c r="H726" s="59">
        <f>H727</f>
        <v>0</v>
      </c>
    </row>
    <row r="727" spans="1:8" ht="15.75" hidden="1" x14ac:dyDescent="0.25">
      <c r="A727" s="29" t="s">
        <v>390</v>
      </c>
      <c r="B727" s="499" t="s">
        <v>970</v>
      </c>
      <c r="C727" s="499" t="s">
        <v>234</v>
      </c>
      <c r="D727" s="499"/>
      <c r="E727" s="73"/>
      <c r="F727" s="2"/>
      <c r="G727" s="10">
        <f t="shared" ref="G727:H727" si="94">G728</f>
        <v>0</v>
      </c>
      <c r="H727" s="10">
        <f t="shared" si="94"/>
        <v>0</v>
      </c>
    </row>
    <row r="728" spans="1:8" ht="15.75" hidden="1" x14ac:dyDescent="0.25">
      <c r="A728" s="29" t="s">
        <v>517</v>
      </c>
      <c r="B728" s="499" t="s">
        <v>970</v>
      </c>
      <c r="C728" s="499" t="s">
        <v>234</v>
      </c>
      <c r="D728" s="499" t="s">
        <v>213</v>
      </c>
      <c r="E728" s="73"/>
      <c r="F728" s="2"/>
      <c r="G728" s="10">
        <f>G729</f>
        <v>0</v>
      </c>
      <c r="H728" s="10">
        <f>H729</f>
        <v>0</v>
      </c>
    </row>
    <row r="729" spans="1:8" ht="15.75" hidden="1" x14ac:dyDescent="0.25">
      <c r="A729" s="45" t="s">
        <v>525</v>
      </c>
      <c r="B729" s="492" t="s">
        <v>972</v>
      </c>
      <c r="C729" s="499" t="s">
        <v>234</v>
      </c>
      <c r="D729" s="499" t="s">
        <v>213</v>
      </c>
      <c r="E729" s="499"/>
      <c r="F729" s="2"/>
      <c r="G729" s="10">
        <f>G730</f>
        <v>0</v>
      </c>
      <c r="H729" s="10">
        <f>H730</f>
        <v>0</v>
      </c>
    </row>
    <row r="730" spans="1:8" ht="31.5" hidden="1" x14ac:dyDescent="0.25">
      <c r="A730" s="31" t="s">
        <v>131</v>
      </c>
      <c r="B730" s="492" t="s">
        <v>972</v>
      </c>
      <c r="C730" s="499" t="s">
        <v>234</v>
      </c>
      <c r="D730" s="499" t="s">
        <v>213</v>
      </c>
      <c r="E730" s="499" t="s">
        <v>132</v>
      </c>
      <c r="F730" s="2"/>
      <c r="G730" s="10">
        <f t="shared" ref="G730:H730" si="95">G731</f>
        <v>0</v>
      </c>
      <c r="H730" s="10">
        <f t="shared" si="95"/>
        <v>0</v>
      </c>
    </row>
    <row r="731" spans="1:8" ht="47.25" hidden="1" x14ac:dyDescent="0.25">
      <c r="A731" s="31" t="s">
        <v>133</v>
      </c>
      <c r="B731" s="492" t="s">
        <v>972</v>
      </c>
      <c r="C731" s="499" t="s">
        <v>234</v>
      </c>
      <c r="D731" s="499" t="s">
        <v>213</v>
      </c>
      <c r="E731" s="499" t="s">
        <v>134</v>
      </c>
      <c r="F731" s="2"/>
      <c r="G731" s="10">
        <f>'пр.6.1.ведом.22-23 (2)'!G931</f>
        <v>0</v>
      </c>
      <c r="H731" s="10">
        <f>'пр.6.1.ведом.22-23 (2)'!H931</f>
        <v>0</v>
      </c>
    </row>
    <row r="732" spans="1:8" ht="47.25" hidden="1" x14ac:dyDescent="0.25">
      <c r="A732" s="45" t="s">
        <v>623</v>
      </c>
      <c r="B732" s="492" t="s">
        <v>972</v>
      </c>
      <c r="C732" s="499" t="s">
        <v>234</v>
      </c>
      <c r="D732" s="499" t="s">
        <v>213</v>
      </c>
      <c r="E732" s="499" t="s">
        <v>134</v>
      </c>
      <c r="F732" s="2">
        <v>908</v>
      </c>
      <c r="G732" s="489">
        <f>G731</f>
        <v>0</v>
      </c>
      <c r="H732" s="489">
        <f>H731</f>
        <v>0</v>
      </c>
    </row>
    <row r="733" spans="1:8" ht="31.5" hidden="1" x14ac:dyDescent="0.25">
      <c r="A733" s="58" t="s">
        <v>973</v>
      </c>
      <c r="B733" s="495" t="s">
        <v>974</v>
      </c>
      <c r="C733" s="499"/>
      <c r="D733" s="499"/>
      <c r="E733" s="499"/>
      <c r="F733" s="2"/>
      <c r="G733" s="59">
        <f t="shared" ref="G733:H737" si="96">G734</f>
        <v>0</v>
      </c>
      <c r="H733" s="59">
        <f t="shared" si="96"/>
        <v>0</v>
      </c>
    </row>
    <row r="734" spans="1:8" ht="15.75" hidden="1" x14ac:dyDescent="0.25">
      <c r="A734" s="29" t="s">
        <v>390</v>
      </c>
      <c r="B734" s="499" t="s">
        <v>974</v>
      </c>
      <c r="C734" s="499" t="s">
        <v>234</v>
      </c>
      <c r="D734" s="499"/>
      <c r="E734" s="73"/>
      <c r="F734" s="2"/>
      <c r="G734" s="10">
        <f t="shared" si="96"/>
        <v>0</v>
      </c>
      <c r="H734" s="10">
        <f t="shared" si="96"/>
        <v>0</v>
      </c>
    </row>
    <row r="735" spans="1:8" ht="15.75" hidden="1" x14ac:dyDescent="0.25">
      <c r="A735" s="29" t="s">
        <v>517</v>
      </c>
      <c r="B735" s="499" t="s">
        <v>974</v>
      </c>
      <c r="C735" s="499" t="s">
        <v>234</v>
      </c>
      <c r="D735" s="499" t="s">
        <v>213</v>
      </c>
      <c r="E735" s="73"/>
      <c r="F735" s="2"/>
      <c r="G735" s="10">
        <f t="shared" si="96"/>
        <v>0</v>
      </c>
      <c r="H735" s="10">
        <f t="shared" si="96"/>
        <v>0</v>
      </c>
    </row>
    <row r="736" spans="1:8" ht="31.5" hidden="1" x14ac:dyDescent="0.25">
      <c r="A736" s="45" t="s">
        <v>527</v>
      </c>
      <c r="B736" s="492" t="s">
        <v>975</v>
      </c>
      <c r="C736" s="499" t="s">
        <v>234</v>
      </c>
      <c r="D736" s="499" t="s">
        <v>213</v>
      </c>
      <c r="E736" s="499"/>
      <c r="F736" s="2"/>
      <c r="G736" s="10">
        <f t="shared" si="96"/>
        <v>0</v>
      </c>
      <c r="H736" s="10">
        <f t="shared" si="96"/>
        <v>0</v>
      </c>
    </row>
    <row r="737" spans="1:8" ht="31.5" hidden="1" x14ac:dyDescent="0.25">
      <c r="A737" s="31" t="s">
        <v>131</v>
      </c>
      <c r="B737" s="492" t="s">
        <v>975</v>
      </c>
      <c r="C737" s="499" t="s">
        <v>234</v>
      </c>
      <c r="D737" s="499" t="s">
        <v>213</v>
      </c>
      <c r="E737" s="499" t="s">
        <v>132</v>
      </c>
      <c r="F737" s="2"/>
      <c r="G737" s="10">
        <f t="shared" si="96"/>
        <v>0</v>
      </c>
      <c r="H737" s="10">
        <f t="shared" si="96"/>
        <v>0</v>
      </c>
    </row>
    <row r="738" spans="1:8" ht="47.25" hidden="1" x14ac:dyDescent="0.25">
      <c r="A738" s="31" t="s">
        <v>133</v>
      </c>
      <c r="B738" s="492" t="s">
        <v>975</v>
      </c>
      <c r="C738" s="499" t="s">
        <v>234</v>
      </c>
      <c r="D738" s="499" t="s">
        <v>213</v>
      </c>
      <c r="E738" s="499" t="s">
        <v>134</v>
      </c>
      <c r="F738" s="2"/>
      <c r="G738" s="10">
        <f>'пр.6.1.ведом.22-23 (2)'!G935</f>
        <v>0</v>
      </c>
      <c r="H738" s="10">
        <f>'пр.6.1.ведом.22-23 (2)'!H935</f>
        <v>0</v>
      </c>
    </row>
    <row r="739" spans="1:8" ht="47.25" hidden="1" x14ac:dyDescent="0.25">
      <c r="A739" s="45" t="s">
        <v>623</v>
      </c>
      <c r="B739" s="492" t="s">
        <v>975</v>
      </c>
      <c r="C739" s="499" t="s">
        <v>234</v>
      </c>
      <c r="D739" s="499" t="s">
        <v>213</v>
      </c>
      <c r="E739" s="499" t="s">
        <v>134</v>
      </c>
      <c r="F739" s="2">
        <v>908</v>
      </c>
      <c r="G739" s="489">
        <f>G738</f>
        <v>0</v>
      </c>
      <c r="H739" s="489">
        <f>H738</f>
        <v>0</v>
      </c>
    </row>
    <row r="740" spans="1:8" ht="31.5" hidden="1" x14ac:dyDescent="0.25">
      <c r="A740" s="34" t="s">
        <v>1014</v>
      </c>
      <c r="B740" s="495" t="s">
        <v>1015</v>
      </c>
      <c r="C740" s="499"/>
      <c r="D740" s="499"/>
      <c r="E740" s="499"/>
      <c r="F740" s="2"/>
      <c r="G740" s="59">
        <f>G741</f>
        <v>0</v>
      </c>
      <c r="H740" s="59">
        <f>H741</f>
        <v>0</v>
      </c>
    </row>
    <row r="741" spans="1:8" ht="15.75" hidden="1" x14ac:dyDescent="0.25">
      <c r="A741" s="29" t="s">
        <v>390</v>
      </c>
      <c r="B741" s="499" t="s">
        <v>518</v>
      </c>
      <c r="C741" s="499" t="s">
        <v>234</v>
      </c>
      <c r="D741" s="499"/>
      <c r="E741" s="73"/>
      <c r="F741" s="2"/>
      <c r="G741" s="10">
        <f t="shared" ref="G741:H741" si="97">G742</f>
        <v>0</v>
      </c>
      <c r="H741" s="10">
        <f t="shared" si="97"/>
        <v>0</v>
      </c>
    </row>
    <row r="742" spans="1:8" ht="15.75" hidden="1" x14ac:dyDescent="0.25">
      <c r="A742" s="29" t="s">
        <v>517</v>
      </c>
      <c r="B742" s="499" t="s">
        <v>518</v>
      </c>
      <c r="C742" s="499" t="s">
        <v>234</v>
      </c>
      <c r="D742" s="499" t="s">
        <v>213</v>
      </c>
      <c r="E742" s="73"/>
      <c r="F742" s="2"/>
      <c r="G742" s="10">
        <f>G743</f>
        <v>0</v>
      </c>
      <c r="H742" s="10">
        <f>H743</f>
        <v>0</v>
      </c>
    </row>
    <row r="743" spans="1:8" ht="15.75" hidden="1" x14ac:dyDescent="0.25">
      <c r="A743" s="45" t="s">
        <v>529</v>
      </c>
      <c r="B743" s="492" t="s">
        <v>1018</v>
      </c>
      <c r="C743" s="499" t="s">
        <v>234</v>
      </c>
      <c r="D743" s="499" t="s">
        <v>213</v>
      </c>
      <c r="E743" s="499"/>
      <c r="F743" s="2"/>
      <c r="G743" s="10">
        <f t="shared" ref="G743:H744" si="98">G744</f>
        <v>0</v>
      </c>
      <c r="H743" s="10">
        <f t="shared" si="98"/>
        <v>0</v>
      </c>
    </row>
    <row r="744" spans="1:8" ht="31.5" hidden="1" x14ac:dyDescent="0.25">
      <c r="A744" s="31" t="s">
        <v>131</v>
      </c>
      <c r="B744" s="492" t="s">
        <v>1018</v>
      </c>
      <c r="C744" s="499" t="s">
        <v>234</v>
      </c>
      <c r="D744" s="499" t="s">
        <v>213</v>
      </c>
      <c r="E744" s="499" t="s">
        <v>132</v>
      </c>
      <c r="F744" s="2"/>
      <c r="G744" s="10">
        <f t="shared" si="98"/>
        <v>0</v>
      </c>
      <c r="H744" s="10">
        <f t="shared" si="98"/>
        <v>0</v>
      </c>
    </row>
    <row r="745" spans="1:8" ht="47.25" hidden="1" x14ac:dyDescent="0.25">
      <c r="A745" s="31" t="s">
        <v>133</v>
      </c>
      <c r="B745" s="492" t="s">
        <v>1018</v>
      </c>
      <c r="C745" s="499" t="s">
        <v>234</v>
      </c>
      <c r="D745" s="499" t="s">
        <v>213</v>
      </c>
      <c r="E745" s="499" t="s">
        <v>134</v>
      </c>
      <c r="F745" s="2"/>
      <c r="G745" s="10">
        <f>'пр.6.1.ведом.22-23 (2)'!G939</f>
        <v>0</v>
      </c>
      <c r="H745" s="10">
        <f>'пр.6.1.ведом.22-23 (2)'!H939</f>
        <v>0</v>
      </c>
    </row>
    <row r="746" spans="1:8" ht="47.25" hidden="1" x14ac:dyDescent="0.25">
      <c r="A746" s="45" t="s">
        <v>623</v>
      </c>
      <c r="B746" s="492" t="s">
        <v>1018</v>
      </c>
      <c r="C746" s="499" t="s">
        <v>234</v>
      </c>
      <c r="D746" s="499" t="s">
        <v>213</v>
      </c>
      <c r="E746" s="499" t="s">
        <v>134</v>
      </c>
      <c r="F746" s="2">
        <v>908</v>
      </c>
      <c r="G746" s="489">
        <f>G745</f>
        <v>0</v>
      </c>
      <c r="H746" s="489">
        <f>H745</f>
        <v>0</v>
      </c>
    </row>
    <row r="747" spans="1:8" ht="47.25" hidden="1" x14ac:dyDescent="0.25">
      <c r="A747" s="220" t="s">
        <v>1016</v>
      </c>
      <c r="B747" s="495" t="s">
        <v>1017</v>
      </c>
      <c r="C747" s="499"/>
      <c r="D747" s="499"/>
      <c r="E747" s="499"/>
      <c r="F747" s="2"/>
      <c r="G747" s="59">
        <f>G748</f>
        <v>0</v>
      </c>
      <c r="H747" s="59">
        <f>H748</f>
        <v>0</v>
      </c>
    </row>
    <row r="748" spans="1:8" ht="15.75" hidden="1" x14ac:dyDescent="0.25">
      <c r="A748" s="29" t="s">
        <v>390</v>
      </c>
      <c r="B748" s="499" t="s">
        <v>518</v>
      </c>
      <c r="C748" s="499" t="s">
        <v>234</v>
      </c>
      <c r="D748" s="499"/>
      <c r="E748" s="73"/>
      <c r="F748" s="2"/>
      <c r="G748" s="10">
        <f t="shared" ref="G748:H748" si="99">G749</f>
        <v>0</v>
      </c>
      <c r="H748" s="10">
        <f t="shared" si="99"/>
        <v>0</v>
      </c>
    </row>
    <row r="749" spans="1:8" ht="15.75" hidden="1" x14ac:dyDescent="0.25">
      <c r="A749" s="29" t="s">
        <v>517</v>
      </c>
      <c r="B749" s="499" t="s">
        <v>518</v>
      </c>
      <c r="C749" s="499" t="s">
        <v>234</v>
      </c>
      <c r="D749" s="499" t="s">
        <v>213</v>
      </c>
      <c r="E749" s="73"/>
      <c r="F749" s="2"/>
      <c r="G749" s="10">
        <f>G750</f>
        <v>0</v>
      </c>
      <c r="H749" s="10">
        <f>H750</f>
        <v>0</v>
      </c>
    </row>
    <row r="750" spans="1:8" ht="31.5" hidden="1" x14ac:dyDescent="0.25">
      <c r="A750" s="174" t="s">
        <v>531</v>
      </c>
      <c r="B750" s="492" t="s">
        <v>1019</v>
      </c>
      <c r="C750" s="499" t="s">
        <v>234</v>
      </c>
      <c r="D750" s="499" t="s">
        <v>213</v>
      </c>
      <c r="E750" s="499"/>
      <c r="F750" s="2"/>
      <c r="G750" s="10">
        <f t="shared" ref="G750:H751" si="100">G751</f>
        <v>0</v>
      </c>
      <c r="H750" s="10">
        <f t="shared" si="100"/>
        <v>0</v>
      </c>
    </row>
    <row r="751" spans="1:8" ht="31.5" hidden="1" x14ac:dyDescent="0.25">
      <c r="A751" s="31" t="s">
        <v>131</v>
      </c>
      <c r="B751" s="492" t="s">
        <v>1019</v>
      </c>
      <c r="C751" s="499" t="s">
        <v>234</v>
      </c>
      <c r="D751" s="499" t="s">
        <v>213</v>
      </c>
      <c r="E751" s="499" t="s">
        <v>132</v>
      </c>
      <c r="F751" s="2"/>
      <c r="G751" s="10">
        <f t="shared" si="100"/>
        <v>0</v>
      </c>
      <c r="H751" s="10">
        <f t="shared" si="100"/>
        <v>0</v>
      </c>
    </row>
    <row r="752" spans="1:8" ht="47.25" hidden="1" x14ac:dyDescent="0.25">
      <c r="A752" s="31" t="s">
        <v>133</v>
      </c>
      <c r="B752" s="492" t="s">
        <v>1019</v>
      </c>
      <c r="C752" s="499" t="s">
        <v>234</v>
      </c>
      <c r="D752" s="499" t="s">
        <v>213</v>
      </c>
      <c r="E752" s="499" t="s">
        <v>134</v>
      </c>
      <c r="F752" s="2"/>
      <c r="G752" s="10">
        <f>'пр.6.1.ведом.22-23 (2)'!G943</f>
        <v>0</v>
      </c>
      <c r="H752" s="10">
        <f>'пр.6.1.ведом.22-23 (2)'!H943</f>
        <v>0</v>
      </c>
    </row>
    <row r="753" spans="1:8" ht="47.25" hidden="1" x14ac:dyDescent="0.25">
      <c r="A753" s="45" t="s">
        <v>623</v>
      </c>
      <c r="B753" s="492" t="s">
        <v>1019</v>
      </c>
      <c r="C753" s="499" t="s">
        <v>234</v>
      </c>
      <c r="D753" s="499" t="s">
        <v>213</v>
      </c>
      <c r="E753" s="499" t="s">
        <v>134</v>
      </c>
      <c r="F753" s="2">
        <v>908</v>
      </c>
      <c r="G753" s="489">
        <f>G752</f>
        <v>0</v>
      </c>
      <c r="H753" s="489">
        <f>H752</f>
        <v>0</v>
      </c>
    </row>
    <row r="754" spans="1:8" ht="31.5" hidden="1" x14ac:dyDescent="0.25">
      <c r="A754" s="220" t="s">
        <v>977</v>
      </c>
      <c r="B754" s="495" t="s">
        <v>978</v>
      </c>
      <c r="C754" s="499"/>
      <c r="D754" s="499"/>
      <c r="E754" s="499"/>
      <c r="F754" s="2"/>
      <c r="G754" s="59">
        <f t="shared" ref="G754:H758" si="101">G755</f>
        <v>0</v>
      </c>
      <c r="H754" s="59">
        <f t="shared" si="101"/>
        <v>0</v>
      </c>
    </row>
    <row r="755" spans="1:8" ht="15.75" hidden="1" x14ac:dyDescent="0.25">
      <c r="A755" s="29" t="s">
        <v>390</v>
      </c>
      <c r="B755" s="499" t="s">
        <v>518</v>
      </c>
      <c r="C755" s="499" t="s">
        <v>234</v>
      </c>
      <c r="D755" s="499"/>
      <c r="E755" s="73"/>
      <c r="F755" s="2"/>
      <c r="G755" s="10">
        <f t="shared" si="101"/>
        <v>0</v>
      </c>
      <c r="H755" s="10">
        <f t="shared" si="101"/>
        <v>0</v>
      </c>
    </row>
    <row r="756" spans="1:8" ht="15.75" hidden="1" x14ac:dyDescent="0.25">
      <c r="A756" s="29" t="s">
        <v>517</v>
      </c>
      <c r="B756" s="499" t="s">
        <v>518</v>
      </c>
      <c r="C756" s="499" t="s">
        <v>234</v>
      </c>
      <c r="D756" s="499" t="s">
        <v>213</v>
      </c>
      <c r="E756" s="73"/>
      <c r="F756" s="2"/>
      <c r="G756" s="10">
        <f t="shared" si="101"/>
        <v>0</v>
      </c>
      <c r="H756" s="10">
        <f t="shared" si="101"/>
        <v>0</v>
      </c>
    </row>
    <row r="757" spans="1:8" ht="15.75" hidden="1" x14ac:dyDescent="0.25">
      <c r="A757" s="174" t="s">
        <v>533</v>
      </c>
      <c r="B757" s="492" t="s">
        <v>976</v>
      </c>
      <c r="C757" s="499" t="s">
        <v>234</v>
      </c>
      <c r="D757" s="499" t="s">
        <v>213</v>
      </c>
      <c r="E757" s="499"/>
      <c r="F757" s="2"/>
      <c r="G757" s="10">
        <f t="shared" si="101"/>
        <v>0</v>
      </c>
      <c r="H757" s="10">
        <f t="shared" si="101"/>
        <v>0</v>
      </c>
    </row>
    <row r="758" spans="1:8" ht="31.5" hidden="1" x14ac:dyDescent="0.3">
      <c r="A758" s="496" t="s">
        <v>131</v>
      </c>
      <c r="B758" s="492" t="s">
        <v>976</v>
      </c>
      <c r="C758" s="499" t="s">
        <v>234</v>
      </c>
      <c r="D758" s="499" t="s">
        <v>213</v>
      </c>
      <c r="E758" s="2">
        <v>200</v>
      </c>
      <c r="F758" s="77"/>
      <c r="G758" s="489">
        <f t="shared" si="101"/>
        <v>0</v>
      </c>
      <c r="H758" s="489">
        <f t="shared" si="101"/>
        <v>0</v>
      </c>
    </row>
    <row r="759" spans="1:8" ht="47.25" hidden="1" x14ac:dyDescent="0.3">
      <c r="A759" s="496" t="s">
        <v>133</v>
      </c>
      <c r="B759" s="492" t="s">
        <v>976</v>
      </c>
      <c r="C759" s="499" t="s">
        <v>234</v>
      </c>
      <c r="D759" s="499" t="s">
        <v>213</v>
      </c>
      <c r="E759" s="2">
        <v>240</v>
      </c>
      <c r="F759" s="77"/>
      <c r="G759" s="489">
        <f>'пр.6.1.ведом.22-23 (2)'!G947</f>
        <v>0</v>
      </c>
      <c r="H759" s="489">
        <f>'пр.6.1.ведом.22-23 (2)'!H947</f>
        <v>0</v>
      </c>
    </row>
    <row r="760" spans="1:8" ht="47.25" hidden="1" x14ac:dyDescent="0.25">
      <c r="A760" s="45" t="s">
        <v>623</v>
      </c>
      <c r="B760" s="492" t="s">
        <v>976</v>
      </c>
      <c r="C760" s="499" t="s">
        <v>234</v>
      </c>
      <c r="D760" s="499" t="s">
        <v>213</v>
      </c>
      <c r="E760" s="2">
        <v>240</v>
      </c>
      <c r="F760" s="2">
        <v>908</v>
      </c>
      <c r="G760" s="489">
        <f>G759</f>
        <v>0</v>
      </c>
      <c r="H760" s="489">
        <f>H759</f>
        <v>0</v>
      </c>
    </row>
    <row r="761" spans="1:8" ht="47.25" x14ac:dyDescent="0.25">
      <c r="A761" s="494" t="s">
        <v>1349</v>
      </c>
      <c r="B761" s="495" t="s">
        <v>335</v>
      </c>
      <c r="C761" s="7"/>
      <c r="D761" s="7"/>
      <c r="E761" s="3"/>
      <c r="F761" s="3"/>
      <c r="G761" s="488">
        <f t="shared" ref="G761:H763" si="102">G762</f>
        <v>120</v>
      </c>
      <c r="H761" s="488">
        <f t="shared" si="102"/>
        <v>120</v>
      </c>
    </row>
    <row r="762" spans="1:8" ht="31.5" x14ac:dyDescent="0.25">
      <c r="A762" s="494" t="s">
        <v>1049</v>
      </c>
      <c r="B762" s="495" t="s">
        <v>1050</v>
      </c>
      <c r="C762" s="7"/>
      <c r="D762" s="7"/>
      <c r="E762" s="3"/>
      <c r="F762" s="3"/>
      <c r="G762" s="488">
        <f t="shared" si="102"/>
        <v>120</v>
      </c>
      <c r="H762" s="488">
        <f t="shared" si="102"/>
        <v>120</v>
      </c>
    </row>
    <row r="763" spans="1:8" ht="15.75" x14ac:dyDescent="0.25">
      <c r="A763" s="29" t="s">
        <v>117</v>
      </c>
      <c r="B763" s="492" t="s">
        <v>1050</v>
      </c>
      <c r="C763" s="499" t="s">
        <v>118</v>
      </c>
      <c r="D763" s="499"/>
      <c r="E763" s="2"/>
      <c r="F763" s="2"/>
      <c r="G763" s="489">
        <f t="shared" si="102"/>
        <v>120</v>
      </c>
      <c r="H763" s="489">
        <f t="shared" si="102"/>
        <v>120</v>
      </c>
    </row>
    <row r="764" spans="1:8" ht="15.75" x14ac:dyDescent="0.25">
      <c r="A764" s="29" t="s">
        <v>139</v>
      </c>
      <c r="B764" s="492" t="s">
        <v>1050</v>
      </c>
      <c r="C764" s="499" t="s">
        <v>118</v>
      </c>
      <c r="D764" s="499" t="s">
        <v>140</v>
      </c>
      <c r="E764" s="2"/>
      <c r="F764" s="2"/>
      <c r="G764" s="489">
        <f>G765+G775+G779+G783+G787+G791</f>
        <v>120</v>
      </c>
      <c r="H764" s="489">
        <f>H765+H775+H779+H783+H787+H791</f>
        <v>120</v>
      </c>
    </row>
    <row r="765" spans="1:8" ht="31.5" x14ac:dyDescent="0.25">
      <c r="A765" s="496" t="s">
        <v>336</v>
      </c>
      <c r="B765" s="492" t="s">
        <v>1051</v>
      </c>
      <c r="C765" s="499" t="s">
        <v>118</v>
      </c>
      <c r="D765" s="499" t="s">
        <v>140</v>
      </c>
      <c r="E765" s="2"/>
      <c r="F765" s="2"/>
      <c r="G765" s="489">
        <f>G766+G769+G772</f>
        <v>100</v>
      </c>
      <c r="H765" s="489">
        <f>H766+H769+H772</f>
        <v>100</v>
      </c>
    </row>
    <row r="766" spans="1:8" ht="31.5" hidden="1" x14ac:dyDescent="0.25">
      <c r="A766" s="496" t="s">
        <v>131</v>
      </c>
      <c r="B766" s="492" t="s">
        <v>1051</v>
      </c>
      <c r="C766" s="499" t="s">
        <v>118</v>
      </c>
      <c r="D766" s="499" t="s">
        <v>140</v>
      </c>
      <c r="E766" s="2">
        <v>200</v>
      </c>
      <c r="F766" s="2"/>
      <c r="G766" s="489">
        <f t="shared" ref="G766:H766" si="103">G767</f>
        <v>0</v>
      </c>
      <c r="H766" s="489">
        <f t="shared" si="103"/>
        <v>100</v>
      </c>
    </row>
    <row r="767" spans="1:8" ht="47.25" hidden="1" x14ac:dyDescent="0.25">
      <c r="A767" s="496" t="s">
        <v>133</v>
      </c>
      <c r="B767" s="492" t="s">
        <v>1051</v>
      </c>
      <c r="C767" s="499" t="s">
        <v>118</v>
      </c>
      <c r="D767" s="499" t="s">
        <v>140</v>
      </c>
      <c r="E767" s="2">
        <v>240</v>
      </c>
      <c r="F767" s="2"/>
      <c r="G767" s="489">
        <f>'пр.6.1.ведом.22-23 (2)'!G255</f>
        <v>0</v>
      </c>
      <c r="H767" s="489">
        <f>'пр.6.1.ведом.22-23 (2)'!H255</f>
        <v>100</v>
      </c>
    </row>
    <row r="768" spans="1:8" ht="31.5" hidden="1" x14ac:dyDescent="0.25">
      <c r="A768" s="45" t="s">
        <v>403</v>
      </c>
      <c r="B768" s="492" t="s">
        <v>1051</v>
      </c>
      <c r="C768" s="499" t="s">
        <v>118</v>
      </c>
      <c r="D768" s="499" t="s">
        <v>140</v>
      </c>
      <c r="E768" s="2">
        <v>240</v>
      </c>
      <c r="F768" s="2">
        <v>903</v>
      </c>
      <c r="G768" s="489">
        <f>G767</f>
        <v>0</v>
      </c>
      <c r="H768" s="489">
        <f>H767</f>
        <v>100</v>
      </c>
    </row>
    <row r="769" spans="1:8" ht="31.5" hidden="1" x14ac:dyDescent="0.25">
      <c r="A769" s="496" t="s">
        <v>131</v>
      </c>
      <c r="B769" s="492" t="s">
        <v>1051</v>
      </c>
      <c r="C769" s="499" t="s">
        <v>118</v>
      </c>
      <c r="D769" s="499" t="s">
        <v>140</v>
      </c>
      <c r="E769" s="2">
        <v>200</v>
      </c>
      <c r="F769" s="2"/>
      <c r="G769" s="489">
        <f t="shared" ref="G769:H769" si="104">G770</f>
        <v>0</v>
      </c>
      <c r="H769" s="489">
        <f t="shared" si="104"/>
        <v>0</v>
      </c>
    </row>
    <row r="770" spans="1:8" ht="47.25" hidden="1" x14ac:dyDescent="0.25">
      <c r="A770" s="496" t="s">
        <v>133</v>
      </c>
      <c r="B770" s="492" t="s">
        <v>1051</v>
      </c>
      <c r="C770" s="499" t="s">
        <v>118</v>
      </c>
      <c r="D770" s="499" t="s">
        <v>140</v>
      </c>
      <c r="E770" s="2">
        <v>240</v>
      </c>
      <c r="F770" s="2"/>
      <c r="G770" s="489">
        <f>'пр.6.1.ведом.22-23 (2)'!G544</f>
        <v>0</v>
      </c>
      <c r="H770" s="489">
        <f>'пр.6.1.ведом.22-23 (2)'!H544</f>
        <v>0</v>
      </c>
    </row>
    <row r="771" spans="1:8" ht="31.5" hidden="1" x14ac:dyDescent="0.25">
      <c r="A771" s="45" t="s">
        <v>403</v>
      </c>
      <c r="B771" s="492" t="s">
        <v>1051</v>
      </c>
      <c r="C771" s="499" t="s">
        <v>118</v>
      </c>
      <c r="D771" s="499" t="s">
        <v>140</v>
      </c>
      <c r="E771" s="2">
        <v>240</v>
      </c>
      <c r="F771" s="2">
        <v>906</v>
      </c>
      <c r="G771" s="489">
        <f>G770</f>
        <v>0</v>
      </c>
      <c r="H771" s="489">
        <f>H770</f>
        <v>0</v>
      </c>
    </row>
    <row r="772" spans="1:8" ht="31.5" x14ac:dyDescent="0.25">
      <c r="A772" s="496" t="s">
        <v>131</v>
      </c>
      <c r="B772" s="492" t="s">
        <v>1051</v>
      </c>
      <c r="C772" s="499" t="s">
        <v>118</v>
      </c>
      <c r="D772" s="499" t="s">
        <v>140</v>
      </c>
      <c r="E772" s="2">
        <v>200</v>
      </c>
      <c r="F772" s="2"/>
      <c r="G772" s="489">
        <f t="shared" ref="G772:H772" si="105">G773</f>
        <v>100</v>
      </c>
      <c r="H772" s="489">
        <f t="shared" si="105"/>
        <v>0</v>
      </c>
    </row>
    <row r="773" spans="1:8" ht="47.25" x14ac:dyDescent="0.25">
      <c r="A773" s="496" t="s">
        <v>133</v>
      </c>
      <c r="B773" s="492" t="s">
        <v>1051</v>
      </c>
      <c r="C773" s="499" t="s">
        <v>118</v>
      </c>
      <c r="D773" s="499" t="s">
        <v>140</v>
      </c>
      <c r="E773" s="2">
        <v>240</v>
      </c>
      <c r="F773" s="2"/>
      <c r="G773" s="489">
        <f>'пр.6.1.ведом.22-23 (2)'!G763</f>
        <v>100</v>
      </c>
      <c r="H773" s="489">
        <f>'пр.6.1.ведом.22-23 (2)'!H763</f>
        <v>0</v>
      </c>
    </row>
    <row r="774" spans="1:8" ht="47.25" x14ac:dyDescent="0.25">
      <c r="A774" s="45" t="s">
        <v>480</v>
      </c>
      <c r="B774" s="492" t="s">
        <v>1051</v>
      </c>
      <c r="C774" s="499" t="s">
        <v>118</v>
      </c>
      <c r="D774" s="499" t="s">
        <v>140</v>
      </c>
      <c r="E774" s="2">
        <v>240</v>
      </c>
      <c r="F774" s="2">
        <v>907</v>
      </c>
      <c r="G774" s="489">
        <f>G773</f>
        <v>100</v>
      </c>
      <c r="H774" s="489">
        <f>H773</f>
        <v>0</v>
      </c>
    </row>
    <row r="775" spans="1:8" ht="31.5" hidden="1" x14ac:dyDescent="0.25">
      <c r="A775" s="496" t="s">
        <v>336</v>
      </c>
      <c r="B775" s="492" t="s">
        <v>1056</v>
      </c>
      <c r="C775" s="499" t="s">
        <v>118</v>
      </c>
      <c r="D775" s="499" t="s">
        <v>140</v>
      </c>
      <c r="E775" s="2"/>
      <c r="F775" s="2"/>
      <c r="G775" s="489">
        <f>G776</f>
        <v>0</v>
      </c>
      <c r="H775" s="489">
        <f>H776</f>
        <v>0</v>
      </c>
    </row>
    <row r="776" spans="1:8" ht="31.5" hidden="1" x14ac:dyDescent="0.25">
      <c r="A776" s="496" t="s">
        <v>131</v>
      </c>
      <c r="B776" s="492" t="s">
        <v>1056</v>
      </c>
      <c r="C776" s="499" t="s">
        <v>118</v>
      </c>
      <c r="D776" s="499" t="s">
        <v>140</v>
      </c>
      <c r="E776" s="2">
        <v>200</v>
      </c>
      <c r="F776" s="2"/>
      <c r="G776" s="489">
        <f t="shared" ref="G776:H776" si="106">G777</f>
        <v>0</v>
      </c>
      <c r="H776" s="489">
        <f t="shared" si="106"/>
        <v>0</v>
      </c>
    </row>
    <row r="777" spans="1:8" ht="47.25" hidden="1" x14ac:dyDescent="0.25">
      <c r="A777" s="496" t="s">
        <v>133</v>
      </c>
      <c r="B777" s="492" t="s">
        <v>1056</v>
      </c>
      <c r="C777" s="499" t="s">
        <v>118</v>
      </c>
      <c r="D777" s="499" t="s">
        <v>140</v>
      </c>
      <c r="E777" s="2">
        <v>240</v>
      </c>
      <c r="F777" s="2"/>
      <c r="G777" s="489">
        <v>0</v>
      </c>
      <c r="H777" s="489">
        <v>0</v>
      </c>
    </row>
    <row r="778" spans="1:8" ht="31.5" hidden="1" x14ac:dyDescent="0.25">
      <c r="A778" s="45" t="s">
        <v>403</v>
      </c>
      <c r="B778" s="492" t="s">
        <v>1056</v>
      </c>
      <c r="C778" s="499" t="s">
        <v>118</v>
      </c>
      <c r="D778" s="499" t="s">
        <v>140</v>
      </c>
      <c r="E778" s="2">
        <v>240</v>
      </c>
      <c r="F778" s="2">
        <v>906</v>
      </c>
      <c r="G778" s="489">
        <f>G777</f>
        <v>0</v>
      </c>
      <c r="H778" s="489">
        <f>H777</f>
        <v>0</v>
      </c>
    </row>
    <row r="779" spans="1:8" ht="31.5" x14ac:dyDescent="0.25">
      <c r="A779" s="496" t="s">
        <v>338</v>
      </c>
      <c r="B779" s="492" t="s">
        <v>1052</v>
      </c>
      <c r="C779" s="499" t="s">
        <v>118</v>
      </c>
      <c r="D779" s="499" t="s">
        <v>140</v>
      </c>
      <c r="E779" s="2"/>
      <c r="F779" s="2"/>
      <c r="G779" s="489">
        <f t="shared" ref="G779:H780" si="107">G780</f>
        <v>20</v>
      </c>
      <c r="H779" s="489">
        <f t="shared" si="107"/>
        <v>20</v>
      </c>
    </row>
    <row r="780" spans="1:8" ht="31.5" x14ac:dyDescent="0.25">
      <c r="A780" s="496" t="s">
        <v>131</v>
      </c>
      <c r="B780" s="492" t="s">
        <v>1052</v>
      </c>
      <c r="C780" s="499" t="s">
        <v>118</v>
      </c>
      <c r="D780" s="499" t="s">
        <v>140</v>
      </c>
      <c r="E780" s="2">
        <v>200</v>
      </c>
      <c r="F780" s="2"/>
      <c r="G780" s="489">
        <f t="shared" si="107"/>
        <v>20</v>
      </c>
      <c r="H780" s="489">
        <f t="shared" si="107"/>
        <v>20</v>
      </c>
    </row>
    <row r="781" spans="1:8" ht="47.25" x14ac:dyDescent="0.25">
      <c r="A781" s="496" t="s">
        <v>133</v>
      </c>
      <c r="B781" s="492" t="s">
        <v>1052</v>
      </c>
      <c r="C781" s="499" t="s">
        <v>118</v>
      </c>
      <c r="D781" s="499" t="s">
        <v>140</v>
      </c>
      <c r="E781" s="2">
        <v>240</v>
      </c>
      <c r="F781" s="2"/>
      <c r="G781" s="489">
        <f>'пр.6.1.ведом.22-23 (2)'!G264</f>
        <v>20</v>
      </c>
      <c r="H781" s="489">
        <f>'пр.6.1.ведом.22-23 (2)'!H264</f>
        <v>20</v>
      </c>
    </row>
    <row r="782" spans="1:8" ht="47.25" x14ac:dyDescent="0.25">
      <c r="A782" s="496" t="s">
        <v>1076</v>
      </c>
      <c r="B782" s="492" t="s">
        <v>1052</v>
      </c>
      <c r="C782" s="499" t="s">
        <v>118</v>
      </c>
      <c r="D782" s="499" t="s">
        <v>140</v>
      </c>
      <c r="E782" s="2">
        <v>240</v>
      </c>
      <c r="F782" s="2">
        <v>903</v>
      </c>
      <c r="G782" s="489">
        <f>G781</f>
        <v>20</v>
      </c>
      <c r="H782" s="489">
        <f>H781</f>
        <v>20</v>
      </c>
    </row>
    <row r="783" spans="1:8" ht="63" hidden="1" x14ac:dyDescent="0.25">
      <c r="A783" s="31" t="s">
        <v>771</v>
      </c>
      <c r="B783" s="492" t="s">
        <v>1053</v>
      </c>
      <c r="C783" s="499" t="s">
        <v>118</v>
      </c>
      <c r="D783" s="499" t="s">
        <v>140</v>
      </c>
      <c r="E783" s="2"/>
      <c r="F783" s="2"/>
      <c r="G783" s="489">
        <f t="shared" ref="G783:H784" si="108">G784</f>
        <v>0</v>
      </c>
      <c r="H783" s="489">
        <f t="shared" si="108"/>
        <v>0</v>
      </c>
    </row>
    <row r="784" spans="1:8" ht="31.5" hidden="1" x14ac:dyDescent="0.25">
      <c r="A784" s="496" t="s">
        <v>131</v>
      </c>
      <c r="B784" s="492" t="s">
        <v>1053</v>
      </c>
      <c r="C784" s="492" t="s">
        <v>118</v>
      </c>
      <c r="D784" s="492" t="s">
        <v>140</v>
      </c>
      <c r="E784" s="492" t="s">
        <v>132</v>
      </c>
      <c r="F784" s="177"/>
      <c r="G784" s="489">
        <f t="shared" si="108"/>
        <v>0</v>
      </c>
      <c r="H784" s="489">
        <f t="shared" si="108"/>
        <v>0</v>
      </c>
    </row>
    <row r="785" spans="1:8" ht="47.25" hidden="1" x14ac:dyDescent="0.25">
      <c r="A785" s="496" t="s">
        <v>133</v>
      </c>
      <c r="B785" s="492" t="s">
        <v>1053</v>
      </c>
      <c r="C785" s="492" t="s">
        <v>118</v>
      </c>
      <c r="D785" s="492" t="s">
        <v>140</v>
      </c>
      <c r="E785" s="492" t="s">
        <v>134</v>
      </c>
      <c r="F785" s="177"/>
      <c r="G785" s="489">
        <f>'пр.6.1.ведом.22-23 (2)'!G258</f>
        <v>0</v>
      </c>
      <c r="H785" s="489">
        <f>'пр.6.1.ведом.22-23 (2)'!H258</f>
        <v>0</v>
      </c>
    </row>
    <row r="786" spans="1:8" ht="31.5" hidden="1" x14ac:dyDescent="0.25">
      <c r="A786" s="496" t="s">
        <v>403</v>
      </c>
      <c r="B786" s="492" t="s">
        <v>1053</v>
      </c>
      <c r="C786" s="499" t="s">
        <v>118</v>
      </c>
      <c r="D786" s="499" t="s">
        <v>140</v>
      </c>
      <c r="E786" s="2">
        <v>240</v>
      </c>
      <c r="F786" s="2">
        <v>906</v>
      </c>
      <c r="G786" s="489">
        <f>G785</f>
        <v>0</v>
      </c>
      <c r="H786" s="489">
        <f>H785</f>
        <v>0</v>
      </c>
    </row>
    <row r="787" spans="1:8" ht="47.25" hidden="1" x14ac:dyDescent="0.25">
      <c r="A787" s="496" t="s">
        <v>679</v>
      </c>
      <c r="B787" s="492" t="s">
        <v>1054</v>
      </c>
      <c r="C787" s="499" t="s">
        <v>118</v>
      </c>
      <c r="D787" s="499" t="s">
        <v>140</v>
      </c>
      <c r="E787" s="2"/>
      <c r="F787" s="177"/>
      <c r="G787" s="489">
        <f t="shared" ref="G787:H788" si="109">G788</f>
        <v>0</v>
      </c>
      <c r="H787" s="489">
        <f t="shared" si="109"/>
        <v>0</v>
      </c>
    </row>
    <row r="788" spans="1:8" ht="31.5" hidden="1" x14ac:dyDescent="0.25">
      <c r="A788" s="496" t="s">
        <v>131</v>
      </c>
      <c r="B788" s="492" t="s">
        <v>1054</v>
      </c>
      <c r="C788" s="499" t="s">
        <v>118</v>
      </c>
      <c r="D788" s="499" t="s">
        <v>140</v>
      </c>
      <c r="E788" s="2">
        <v>200</v>
      </c>
      <c r="F788" s="177"/>
      <c r="G788" s="489">
        <f t="shared" si="109"/>
        <v>0</v>
      </c>
      <c r="H788" s="489">
        <f t="shared" si="109"/>
        <v>0</v>
      </c>
    </row>
    <row r="789" spans="1:8" ht="47.25" hidden="1" x14ac:dyDescent="0.25">
      <c r="A789" s="496" t="s">
        <v>133</v>
      </c>
      <c r="B789" s="492" t="s">
        <v>1054</v>
      </c>
      <c r="C789" s="499" t="s">
        <v>118</v>
      </c>
      <c r="D789" s="499" t="s">
        <v>140</v>
      </c>
      <c r="E789" s="2">
        <v>240</v>
      </c>
      <c r="F789" s="177"/>
      <c r="G789" s="489">
        <f>'пр.6.1.ведом.22-23 (2)'!G261</f>
        <v>0</v>
      </c>
      <c r="H789" s="489">
        <f>'пр.6.1.ведом.22-23 (2)'!H261</f>
        <v>0</v>
      </c>
    </row>
    <row r="790" spans="1:8" ht="47.25" hidden="1" x14ac:dyDescent="0.25">
      <c r="A790" s="45" t="s">
        <v>261</v>
      </c>
      <c r="B790" s="492" t="s">
        <v>1054</v>
      </c>
      <c r="C790" s="499" t="s">
        <v>118</v>
      </c>
      <c r="D790" s="499" t="s">
        <v>140</v>
      </c>
      <c r="E790" s="2">
        <v>240</v>
      </c>
      <c r="F790" s="2">
        <v>903</v>
      </c>
      <c r="G790" s="489">
        <f>G789</f>
        <v>0</v>
      </c>
      <c r="H790" s="489">
        <f>H789</f>
        <v>0</v>
      </c>
    </row>
    <row r="791" spans="1:8" ht="31.5" hidden="1" x14ac:dyDescent="0.25">
      <c r="A791" s="31" t="s">
        <v>772</v>
      </c>
      <c r="B791" s="492" t="s">
        <v>1055</v>
      </c>
      <c r="C791" s="492" t="s">
        <v>118</v>
      </c>
      <c r="D791" s="492" t="s">
        <v>140</v>
      </c>
      <c r="E791" s="492"/>
      <c r="F791" s="177"/>
      <c r="G791" s="489">
        <f t="shared" ref="G791:H792" si="110">G792</f>
        <v>0</v>
      </c>
      <c r="H791" s="489">
        <f t="shared" si="110"/>
        <v>0</v>
      </c>
    </row>
    <row r="792" spans="1:8" ht="31.5" hidden="1" x14ac:dyDescent="0.25">
      <c r="A792" s="496" t="s">
        <v>131</v>
      </c>
      <c r="B792" s="492" t="s">
        <v>1055</v>
      </c>
      <c r="C792" s="492" t="s">
        <v>118</v>
      </c>
      <c r="D792" s="492" t="s">
        <v>140</v>
      </c>
      <c r="E792" s="492" t="s">
        <v>132</v>
      </c>
      <c r="F792" s="177"/>
      <c r="G792" s="489">
        <f t="shared" si="110"/>
        <v>0</v>
      </c>
      <c r="H792" s="489">
        <f t="shared" si="110"/>
        <v>0</v>
      </c>
    </row>
    <row r="793" spans="1:8" ht="47.25" hidden="1" x14ac:dyDescent="0.25">
      <c r="A793" s="496" t="s">
        <v>133</v>
      </c>
      <c r="B793" s="492" t="s">
        <v>1055</v>
      </c>
      <c r="C793" s="492" t="s">
        <v>118</v>
      </c>
      <c r="D793" s="492" t="s">
        <v>140</v>
      </c>
      <c r="E793" s="492" t="s">
        <v>134</v>
      </c>
      <c r="F793" s="177"/>
      <c r="G793" s="489">
        <f>'пр.6.1.ведом.22-23 (2)'!G267</f>
        <v>0</v>
      </c>
      <c r="H793" s="489">
        <f>'пр.6.1.ведом.22-23 (2)'!H267</f>
        <v>0</v>
      </c>
    </row>
    <row r="794" spans="1:8" ht="47.25" hidden="1" x14ac:dyDescent="0.25">
      <c r="A794" s="496" t="s">
        <v>1076</v>
      </c>
      <c r="B794" s="492" t="s">
        <v>1055</v>
      </c>
      <c r="C794" s="492" t="s">
        <v>118</v>
      </c>
      <c r="D794" s="492" t="s">
        <v>140</v>
      </c>
      <c r="E794" s="492" t="s">
        <v>134</v>
      </c>
      <c r="F794" s="2">
        <v>903</v>
      </c>
      <c r="G794" s="489">
        <f>G793</f>
        <v>0</v>
      </c>
      <c r="H794" s="489">
        <f>H793</f>
        <v>0</v>
      </c>
    </row>
    <row r="795" spans="1:8" ht="63" x14ac:dyDescent="0.25">
      <c r="A795" s="500" t="s">
        <v>1352</v>
      </c>
      <c r="B795" s="495" t="s">
        <v>705</v>
      </c>
      <c r="C795" s="7"/>
      <c r="D795" s="7"/>
      <c r="E795" s="3"/>
      <c r="F795" s="3"/>
      <c r="G795" s="488">
        <f>G796+G807+G846</f>
        <v>3815</v>
      </c>
      <c r="H795" s="488">
        <f>H796+H807+H846</f>
        <v>3965.9</v>
      </c>
    </row>
    <row r="796" spans="1:8" ht="63" x14ac:dyDescent="0.25">
      <c r="A796" s="211" t="s">
        <v>846</v>
      </c>
      <c r="B796" s="495" t="s">
        <v>852</v>
      </c>
      <c r="C796" s="7"/>
      <c r="D796" s="7"/>
      <c r="E796" s="3"/>
      <c r="F796" s="3"/>
      <c r="G796" s="488">
        <f>G797</f>
        <v>33</v>
      </c>
      <c r="H796" s="488">
        <f>H797</f>
        <v>33</v>
      </c>
    </row>
    <row r="797" spans="1:8" ht="15.75" x14ac:dyDescent="0.25">
      <c r="A797" s="29" t="s">
        <v>117</v>
      </c>
      <c r="B797" s="492" t="s">
        <v>852</v>
      </c>
      <c r="C797" s="499" t="s">
        <v>118</v>
      </c>
      <c r="D797" s="499"/>
      <c r="E797" s="2"/>
      <c r="F797" s="2"/>
      <c r="G797" s="489">
        <f t="shared" ref="G797:H797" si="111">G798</f>
        <v>33</v>
      </c>
      <c r="H797" s="489">
        <f t="shared" si="111"/>
        <v>33</v>
      </c>
    </row>
    <row r="798" spans="1:8" ht="15.75" x14ac:dyDescent="0.25">
      <c r="A798" s="29" t="s">
        <v>139</v>
      </c>
      <c r="B798" s="492" t="s">
        <v>852</v>
      </c>
      <c r="C798" s="499" t="s">
        <v>118</v>
      </c>
      <c r="D798" s="499" t="s">
        <v>140</v>
      </c>
      <c r="E798" s="2"/>
      <c r="F798" s="2"/>
      <c r="G798" s="489">
        <f>G799+G803</f>
        <v>33</v>
      </c>
      <c r="H798" s="489">
        <f>H799+H803</f>
        <v>33</v>
      </c>
    </row>
    <row r="799" spans="1:8" ht="47.25" x14ac:dyDescent="0.25">
      <c r="A799" s="98" t="s">
        <v>776</v>
      </c>
      <c r="B799" s="492" t="s">
        <v>847</v>
      </c>
      <c r="C799" s="499" t="s">
        <v>118</v>
      </c>
      <c r="D799" s="499" t="s">
        <v>140</v>
      </c>
      <c r="E799" s="2"/>
      <c r="F799" s="2"/>
      <c r="G799" s="489">
        <f t="shared" ref="G799:H800" si="112">G800</f>
        <v>28</v>
      </c>
      <c r="H799" s="489">
        <f t="shared" si="112"/>
        <v>28</v>
      </c>
    </row>
    <row r="800" spans="1:8" ht="31.5" x14ac:dyDescent="0.25">
      <c r="A800" s="496" t="s">
        <v>131</v>
      </c>
      <c r="B800" s="492" t="s">
        <v>847</v>
      </c>
      <c r="C800" s="499" t="s">
        <v>118</v>
      </c>
      <c r="D800" s="499" t="s">
        <v>140</v>
      </c>
      <c r="E800" s="2">
        <v>200</v>
      </c>
      <c r="F800" s="2"/>
      <c r="G800" s="489">
        <f t="shared" si="112"/>
        <v>28</v>
      </c>
      <c r="H800" s="489">
        <f t="shared" si="112"/>
        <v>28</v>
      </c>
    </row>
    <row r="801" spans="1:8" ht="47.25" x14ac:dyDescent="0.25">
      <c r="A801" s="496" t="s">
        <v>133</v>
      </c>
      <c r="B801" s="492" t="s">
        <v>847</v>
      </c>
      <c r="C801" s="499" t="s">
        <v>118</v>
      </c>
      <c r="D801" s="499" t="s">
        <v>140</v>
      </c>
      <c r="E801" s="2">
        <v>240</v>
      </c>
      <c r="F801" s="2"/>
      <c r="G801" s="489">
        <f>'пр.6.1.ведом.22-23 (2)'!G150</f>
        <v>28</v>
      </c>
      <c r="H801" s="489">
        <f>'пр.6.1.ведом.22-23 (2)'!H150</f>
        <v>28</v>
      </c>
    </row>
    <row r="802" spans="1:8" ht="31.5" x14ac:dyDescent="0.25">
      <c r="A802" s="29" t="s">
        <v>148</v>
      </c>
      <c r="B802" s="492" t="s">
        <v>847</v>
      </c>
      <c r="C802" s="499" t="s">
        <v>118</v>
      </c>
      <c r="D802" s="499" t="s">
        <v>140</v>
      </c>
      <c r="E802" s="2">
        <v>240</v>
      </c>
      <c r="F802" s="2">
        <v>902</v>
      </c>
      <c r="G802" s="489">
        <f>G801</f>
        <v>28</v>
      </c>
      <c r="H802" s="489">
        <f>H801</f>
        <v>28</v>
      </c>
    </row>
    <row r="803" spans="1:8" ht="47.25" x14ac:dyDescent="0.25">
      <c r="A803" s="98" t="s">
        <v>776</v>
      </c>
      <c r="B803" s="492" t="s">
        <v>847</v>
      </c>
      <c r="C803" s="499" t="s">
        <v>118</v>
      </c>
      <c r="D803" s="499" t="s">
        <v>140</v>
      </c>
      <c r="E803" s="2"/>
      <c r="F803" s="2"/>
      <c r="G803" s="489">
        <f>G804</f>
        <v>5</v>
      </c>
      <c r="H803" s="489">
        <f>H804</f>
        <v>5</v>
      </c>
    </row>
    <row r="804" spans="1:8" ht="31.5" x14ac:dyDescent="0.25">
      <c r="A804" s="496" t="s">
        <v>131</v>
      </c>
      <c r="B804" s="492" t="s">
        <v>847</v>
      </c>
      <c r="C804" s="499" t="s">
        <v>118</v>
      </c>
      <c r="D804" s="499" t="s">
        <v>140</v>
      </c>
      <c r="E804" s="2">
        <v>200</v>
      </c>
      <c r="F804" s="2"/>
      <c r="G804" s="489">
        <f>G805</f>
        <v>5</v>
      </c>
      <c r="H804" s="489">
        <f>H805</f>
        <v>5</v>
      </c>
    </row>
    <row r="805" spans="1:8" ht="47.25" x14ac:dyDescent="0.25">
      <c r="A805" s="496" t="s">
        <v>133</v>
      </c>
      <c r="B805" s="492" t="s">
        <v>847</v>
      </c>
      <c r="C805" s="499" t="s">
        <v>118</v>
      </c>
      <c r="D805" s="499" t="s">
        <v>140</v>
      </c>
      <c r="E805" s="2">
        <v>240</v>
      </c>
      <c r="F805" s="2"/>
      <c r="G805" s="489">
        <f>'пр.6.1.ведом.22-23 (2)'!G272</f>
        <v>5</v>
      </c>
      <c r="H805" s="489">
        <f>'пр.6.1.ведом.22-23 (2)'!H272</f>
        <v>5</v>
      </c>
    </row>
    <row r="806" spans="1:8" ht="47.25" x14ac:dyDescent="0.25">
      <c r="A806" s="45" t="s">
        <v>261</v>
      </c>
      <c r="B806" s="492" t="s">
        <v>847</v>
      </c>
      <c r="C806" s="499" t="s">
        <v>118</v>
      </c>
      <c r="D806" s="499" t="s">
        <v>140</v>
      </c>
      <c r="E806" s="2">
        <v>240</v>
      </c>
      <c r="F806" s="2">
        <v>903</v>
      </c>
      <c r="G806" s="489">
        <f>G805</f>
        <v>5</v>
      </c>
      <c r="H806" s="489">
        <f>H805</f>
        <v>5</v>
      </c>
    </row>
    <row r="807" spans="1:8" ht="63" x14ac:dyDescent="0.25">
      <c r="A807" s="500" t="s">
        <v>890</v>
      </c>
      <c r="B807" s="495" t="s">
        <v>888</v>
      </c>
      <c r="C807" s="499"/>
      <c r="D807" s="499"/>
      <c r="E807" s="2"/>
      <c r="F807" s="2"/>
      <c r="G807" s="488">
        <f>G808+G828+G834+G840</f>
        <v>3767</v>
      </c>
      <c r="H807" s="488">
        <f>H808+H828+H834+H840</f>
        <v>3917.9</v>
      </c>
    </row>
    <row r="808" spans="1:8" ht="15.75" x14ac:dyDescent="0.25">
      <c r="A808" s="29" t="s">
        <v>263</v>
      </c>
      <c r="B808" s="492" t="s">
        <v>888</v>
      </c>
      <c r="C808" s="499" t="s">
        <v>264</v>
      </c>
      <c r="D808" s="499"/>
      <c r="E808" s="2"/>
      <c r="F808" s="2"/>
      <c r="G808" s="489">
        <f>G809+G815+G819</f>
        <v>2234.3000000000002</v>
      </c>
      <c r="H808" s="489">
        <f>H809+H815+H819</f>
        <v>2323.8000000000002</v>
      </c>
    </row>
    <row r="809" spans="1:8" ht="15.75" x14ac:dyDescent="0.25">
      <c r="A809" s="29" t="s">
        <v>404</v>
      </c>
      <c r="B809" s="492" t="s">
        <v>888</v>
      </c>
      <c r="C809" s="499" t="s">
        <v>264</v>
      </c>
      <c r="D809" s="499" t="s">
        <v>118</v>
      </c>
      <c r="E809" s="2"/>
      <c r="F809" s="2"/>
      <c r="G809" s="489">
        <f t="shared" ref="G809:H811" si="113">G810</f>
        <v>570.9</v>
      </c>
      <c r="H809" s="489">
        <f t="shared" si="113"/>
        <v>593.79999999999995</v>
      </c>
    </row>
    <row r="810" spans="1:8" ht="47.25" x14ac:dyDescent="0.25">
      <c r="A810" s="45" t="s">
        <v>780</v>
      </c>
      <c r="B810" s="492" t="s">
        <v>936</v>
      </c>
      <c r="C810" s="499" t="s">
        <v>264</v>
      </c>
      <c r="D810" s="499" t="s">
        <v>118</v>
      </c>
      <c r="E810" s="2"/>
      <c r="F810" s="2"/>
      <c r="G810" s="489">
        <f t="shared" si="113"/>
        <v>570.9</v>
      </c>
      <c r="H810" s="489">
        <f t="shared" si="113"/>
        <v>593.79999999999995</v>
      </c>
    </row>
    <row r="811" spans="1:8" ht="47.25" x14ac:dyDescent="0.25">
      <c r="A811" s="29" t="s">
        <v>272</v>
      </c>
      <c r="B811" s="492" t="s">
        <v>936</v>
      </c>
      <c r="C811" s="499" t="s">
        <v>264</v>
      </c>
      <c r="D811" s="499" t="s">
        <v>118</v>
      </c>
      <c r="E811" s="2">
        <v>600</v>
      </c>
      <c r="F811" s="2"/>
      <c r="G811" s="489">
        <f t="shared" si="113"/>
        <v>570.9</v>
      </c>
      <c r="H811" s="489">
        <f t="shared" si="113"/>
        <v>593.79999999999995</v>
      </c>
    </row>
    <row r="812" spans="1:8" ht="15.75" x14ac:dyDescent="0.25">
      <c r="A812" s="182" t="s">
        <v>274</v>
      </c>
      <c r="B812" s="492" t="s">
        <v>936</v>
      </c>
      <c r="C812" s="499" t="s">
        <v>264</v>
      </c>
      <c r="D812" s="499" t="s">
        <v>118</v>
      </c>
      <c r="E812" s="2">
        <v>610</v>
      </c>
      <c r="F812" s="2"/>
      <c r="G812" s="489">
        <f>'пр.6.1.ведом.22-23 (2)'!G608</f>
        <v>570.9</v>
      </c>
      <c r="H812" s="489">
        <f>'пр.6.1.ведом.22-23 (2)'!H608</f>
        <v>593.79999999999995</v>
      </c>
    </row>
    <row r="813" spans="1:8" ht="31.5" x14ac:dyDescent="0.25">
      <c r="A813" s="29" t="s">
        <v>403</v>
      </c>
      <c r="B813" s="492" t="s">
        <v>936</v>
      </c>
      <c r="C813" s="499" t="s">
        <v>264</v>
      </c>
      <c r="D813" s="499" t="s">
        <v>118</v>
      </c>
      <c r="E813" s="2">
        <v>610</v>
      </c>
      <c r="F813" s="2">
        <v>906</v>
      </c>
      <c r="G813" s="489">
        <f>G812</f>
        <v>570.9</v>
      </c>
      <c r="H813" s="489">
        <f>H812</f>
        <v>593.79999999999995</v>
      </c>
    </row>
    <row r="814" spans="1:8" ht="15.75" x14ac:dyDescent="0.25">
      <c r="A814" s="45" t="s">
        <v>425</v>
      </c>
      <c r="B814" s="492" t="s">
        <v>888</v>
      </c>
      <c r="C814" s="499" t="s">
        <v>264</v>
      </c>
      <c r="D814" s="499" t="s">
        <v>213</v>
      </c>
      <c r="E814" s="2"/>
      <c r="F814" s="2"/>
      <c r="G814" s="489">
        <f t="shared" ref="G814:H816" si="114">G815</f>
        <v>870.5</v>
      </c>
      <c r="H814" s="489">
        <f t="shared" si="114"/>
        <v>905.3</v>
      </c>
    </row>
    <row r="815" spans="1:8" ht="47.25" x14ac:dyDescent="0.25">
      <c r="A815" s="45" t="s">
        <v>780</v>
      </c>
      <c r="B815" s="492" t="s">
        <v>936</v>
      </c>
      <c r="C815" s="499" t="s">
        <v>264</v>
      </c>
      <c r="D815" s="499" t="s">
        <v>213</v>
      </c>
      <c r="E815" s="2"/>
      <c r="F815" s="2"/>
      <c r="G815" s="489">
        <f t="shared" si="114"/>
        <v>870.5</v>
      </c>
      <c r="H815" s="489">
        <f t="shared" si="114"/>
        <v>905.3</v>
      </c>
    </row>
    <row r="816" spans="1:8" ht="47.25" x14ac:dyDescent="0.25">
      <c r="A816" s="29" t="s">
        <v>272</v>
      </c>
      <c r="B816" s="492" t="s">
        <v>936</v>
      </c>
      <c r="C816" s="499" t="s">
        <v>264</v>
      </c>
      <c r="D816" s="499" t="s">
        <v>213</v>
      </c>
      <c r="E816" s="2">
        <v>600</v>
      </c>
      <c r="F816" s="2"/>
      <c r="G816" s="489">
        <f t="shared" si="114"/>
        <v>870.5</v>
      </c>
      <c r="H816" s="489">
        <f t="shared" si="114"/>
        <v>905.3</v>
      </c>
    </row>
    <row r="817" spans="1:8" ht="15.75" x14ac:dyDescent="0.25">
      <c r="A817" s="182" t="s">
        <v>274</v>
      </c>
      <c r="B817" s="492" t="s">
        <v>936</v>
      </c>
      <c r="C817" s="499" t="s">
        <v>264</v>
      </c>
      <c r="D817" s="499" t="s">
        <v>213</v>
      </c>
      <c r="E817" s="2">
        <v>610</v>
      </c>
      <c r="F817" s="2"/>
      <c r="G817" s="489">
        <f>'пр.6.1.ведом.22-23 (2)'!G690</f>
        <v>870.5</v>
      </c>
      <c r="H817" s="489">
        <f>'пр.6.1.ведом.22-23 (2)'!H690</f>
        <v>905.3</v>
      </c>
    </row>
    <row r="818" spans="1:8" ht="31.5" x14ac:dyDescent="0.25">
      <c r="A818" s="29" t="s">
        <v>403</v>
      </c>
      <c r="B818" s="492" t="s">
        <v>936</v>
      </c>
      <c r="C818" s="499" t="s">
        <v>264</v>
      </c>
      <c r="D818" s="499" t="s">
        <v>213</v>
      </c>
      <c r="E818" s="2">
        <v>610</v>
      </c>
      <c r="F818" s="2">
        <v>906</v>
      </c>
      <c r="G818" s="489">
        <f>G817</f>
        <v>870.5</v>
      </c>
      <c r="H818" s="489">
        <f>H817</f>
        <v>905.3</v>
      </c>
    </row>
    <row r="819" spans="1:8" ht="15.75" x14ac:dyDescent="0.25">
      <c r="A819" s="45" t="s">
        <v>265</v>
      </c>
      <c r="B819" s="492" t="s">
        <v>888</v>
      </c>
      <c r="C819" s="499" t="s">
        <v>264</v>
      </c>
      <c r="D819" s="499" t="s">
        <v>215</v>
      </c>
      <c r="E819" s="2"/>
      <c r="F819" s="2"/>
      <c r="G819" s="489">
        <f>G824+G820</f>
        <v>792.9</v>
      </c>
      <c r="H819" s="489">
        <f>H824+H820</f>
        <v>824.7</v>
      </c>
    </row>
    <row r="820" spans="1:8" ht="47.25" x14ac:dyDescent="0.25">
      <c r="A820" s="98" t="s">
        <v>1004</v>
      </c>
      <c r="B820" s="492" t="s">
        <v>889</v>
      </c>
      <c r="C820" s="499" t="s">
        <v>264</v>
      </c>
      <c r="D820" s="499" t="s">
        <v>215</v>
      </c>
      <c r="E820" s="2"/>
      <c r="F820" s="2"/>
      <c r="G820" s="489">
        <f>G821</f>
        <v>490.2</v>
      </c>
      <c r="H820" s="489">
        <f>H821</f>
        <v>509.8</v>
      </c>
    </row>
    <row r="821" spans="1:8" ht="31.5" x14ac:dyDescent="0.25">
      <c r="A821" s="496" t="s">
        <v>131</v>
      </c>
      <c r="B821" s="492" t="s">
        <v>889</v>
      </c>
      <c r="C821" s="499" t="s">
        <v>264</v>
      </c>
      <c r="D821" s="499" t="s">
        <v>215</v>
      </c>
      <c r="E821" s="2">
        <v>200</v>
      </c>
      <c r="F821" s="2"/>
      <c r="G821" s="489">
        <f>G822</f>
        <v>490.2</v>
      </c>
      <c r="H821" s="489">
        <f>H822</f>
        <v>509.8</v>
      </c>
    </row>
    <row r="822" spans="1:8" ht="47.25" x14ac:dyDescent="0.25">
      <c r="A822" s="496" t="s">
        <v>133</v>
      </c>
      <c r="B822" s="492" t="s">
        <v>889</v>
      </c>
      <c r="C822" s="499" t="s">
        <v>264</v>
      </c>
      <c r="D822" s="499" t="s">
        <v>215</v>
      </c>
      <c r="E822" s="2">
        <v>240</v>
      </c>
      <c r="F822" s="2"/>
      <c r="G822" s="489">
        <f>'пр.6.1.ведом.22-23 (2)'!G336</f>
        <v>490.2</v>
      </c>
      <c r="H822" s="489">
        <f>'пр.6.1.ведом.22-23 (2)'!H336</f>
        <v>509.8</v>
      </c>
    </row>
    <row r="823" spans="1:8" ht="47.25" x14ac:dyDescent="0.25">
      <c r="A823" s="45" t="s">
        <v>261</v>
      </c>
      <c r="B823" s="492" t="s">
        <v>889</v>
      </c>
      <c r="C823" s="499" t="s">
        <v>264</v>
      </c>
      <c r="D823" s="499" t="s">
        <v>215</v>
      </c>
      <c r="E823" s="2">
        <v>240</v>
      </c>
      <c r="F823" s="2">
        <v>903</v>
      </c>
      <c r="G823" s="489">
        <f>'пр.6.1.ведом.22-23 (2)'!G336</f>
        <v>490.2</v>
      </c>
      <c r="H823" s="489">
        <f>'пр.6.1.ведом.22-23 (2)'!H336</f>
        <v>509.8</v>
      </c>
    </row>
    <row r="824" spans="1:8" ht="47.25" x14ac:dyDescent="0.25">
      <c r="A824" s="45" t="s">
        <v>780</v>
      </c>
      <c r="B824" s="492" t="s">
        <v>936</v>
      </c>
      <c r="C824" s="499" t="s">
        <v>264</v>
      </c>
      <c r="D824" s="499" t="s">
        <v>215</v>
      </c>
      <c r="E824" s="2"/>
      <c r="F824" s="2"/>
      <c r="G824" s="489">
        <f>G825</f>
        <v>302.7</v>
      </c>
      <c r="H824" s="489">
        <f>H825</f>
        <v>314.89999999999998</v>
      </c>
    </row>
    <row r="825" spans="1:8" ht="47.25" x14ac:dyDescent="0.25">
      <c r="A825" s="29" t="s">
        <v>272</v>
      </c>
      <c r="B825" s="492" t="s">
        <v>936</v>
      </c>
      <c r="C825" s="499" t="s">
        <v>264</v>
      </c>
      <c r="D825" s="499" t="s">
        <v>215</v>
      </c>
      <c r="E825" s="2">
        <v>600</v>
      </c>
      <c r="F825" s="2"/>
      <c r="G825" s="489">
        <f>G826</f>
        <v>302.7</v>
      </c>
      <c r="H825" s="489">
        <f>H826</f>
        <v>314.89999999999998</v>
      </c>
    </row>
    <row r="826" spans="1:8" ht="15.75" x14ac:dyDescent="0.25">
      <c r="A826" s="182" t="s">
        <v>274</v>
      </c>
      <c r="B826" s="492" t="s">
        <v>936</v>
      </c>
      <c r="C826" s="499" t="s">
        <v>264</v>
      </c>
      <c r="D826" s="499" t="s">
        <v>215</v>
      </c>
      <c r="E826" s="2">
        <v>610</v>
      </c>
      <c r="F826" s="2"/>
      <c r="G826" s="489">
        <f>'пр.6.1.ведом.22-23 (2)'!G719</f>
        <v>302.7</v>
      </c>
      <c r="H826" s="489">
        <f>'пр.6.1.ведом.22-23 (2)'!H719</f>
        <v>314.89999999999998</v>
      </c>
    </row>
    <row r="827" spans="1:8" ht="31.5" x14ac:dyDescent="0.25">
      <c r="A827" s="29" t="s">
        <v>403</v>
      </c>
      <c r="B827" s="492" t="s">
        <v>936</v>
      </c>
      <c r="C827" s="499" t="s">
        <v>264</v>
      </c>
      <c r="D827" s="499" t="s">
        <v>215</v>
      </c>
      <c r="E827" s="2">
        <v>610</v>
      </c>
      <c r="F827" s="2">
        <v>906</v>
      </c>
      <c r="G827" s="489">
        <f>G826</f>
        <v>302.7</v>
      </c>
      <c r="H827" s="489">
        <f>H826</f>
        <v>314.89999999999998</v>
      </c>
    </row>
    <row r="828" spans="1:8" ht="15.75" x14ac:dyDescent="0.25">
      <c r="A828" s="496" t="s">
        <v>298</v>
      </c>
      <c r="B828" s="492" t="s">
        <v>888</v>
      </c>
      <c r="C828" s="499" t="s">
        <v>299</v>
      </c>
      <c r="D828" s="499"/>
      <c r="E828" s="2"/>
      <c r="F828" s="2"/>
      <c r="G828" s="489">
        <f t="shared" ref="G828:H831" si="115">G829</f>
        <v>878.7</v>
      </c>
      <c r="H828" s="489">
        <f t="shared" si="115"/>
        <v>913.9</v>
      </c>
    </row>
    <row r="829" spans="1:8" ht="15.75" x14ac:dyDescent="0.25">
      <c r="A829" s="496" t="s">
        <v>300</v>
      </c>
      <c r="B829" s="492" t="s">
        <v>888</v>
      </c>
      <c r="C829" s="499" t="s">
        <v>299</v>
      </c>
      <c r="D829" s="499" t="s">
        <v>118</v>
      </c>
      <c r="E829" s="2"/>
      <c r="F829" s="2"/>
      <c r="G829" s="489">
        <f t="shared" si="115"/>
        <v>878.7</v>
      </c>
      <c r="H829" s="489">
        <f t="shared" si="115"/>
        <v>913.9</v>
      </c>
    </row>
    <row r="830" spans="1:8" ht="32.25" customHeight="1" x14ac:dyDescent="0.25">
      <c r="A830" s="45" t="s">
        <v>778</v>
      </c>
      <c r="B830" s="492" t="s">
        <v>889</v>
      </c>
      <c r="C830" s="499" t="s">
        <v>299</v>
      </c>
      <c r="D830" s="499" t="s">
        <v>118</v>
      </c>
      <c r="E830" s="2"/>
      <c r="F830" s="2"/>
      <c r="G830" s="489">
        <f t="shared" si="115"/>
        <v>878.7</v>
      </c>
      <c r="H830" s="489">
        <f t="shared" si="115"/>
        <v>913.9</v>
      </c>
    </row>
    <row r="831" spans="1:8" ht="31.5" x14ac:dyDescent="0.25">
      <c r="A831" s="496" t="s">
        <v>131</v>
      </c>
      <c r="B831" s="492" t="s">
        <v>889</v>
      </c>
      <c r="C831" s="499" t="s">
        <v>299</v>
      </c>
      <c r="D831" s="499" t="s">
        <v>118</v>
      </c>
      <c r="E831" s="2">
        <v>200</v>
      </c>
      <c r="F831" s="2"/>
      <c r="G831" s="489">
        <f t="shared" si="115"/>
        <v>878.7</v>
      </c>
      <c r="H831" s="489">
        <f t="shared" si="115"/>
        <v>913.9</v>
      </c>
    </row>
    <row r="832" spans="1:8" ht="47.25" x14ac:dyDescent="0.25">
      <c r="A832" s="496" t="s">
        <v>133</v>
      </c>
      <c r="B832" s="492" t="s">
        <v>889</v>
      </c>
      <c r="C832" s="499" t="s">
        <v>299</v>
      </c>
      <c r="D832" s="499" t="s">
        <v>118</v>
      </c>
      <c r="E832" s="2">
        <v>240</v>
      </c>
      <c r="F832" s="2"/>
      <c r="G832" s="489">
        <f>'пр.6.1.ведом.22-23 (2)'!G410</f>
        <v>878.7</v>
      </c>
      <c r="H832" s="489">
        <f>'пр.6.1.ведом.22-23 (2)'!H410</f>
        <v>913.9</v>
      </c>
    </row>
    <row r="833" spans="1:8" ht="47.25" x14ac:dyDescent="0.25">
      <c r="A833" s="45" t="s">
        <v>261</v>
      </c>
      <c r="B833" s="492" t="s">
        <v>889</v>
      </c>
      <c r="C833" s="499" t="s">
        <v>299</v>
      </c>
      <c r="D833" s="499" t="s">
        <v>118</v>
      </c>
      <c r="E833" s="2">
        <v>240</v>
      </c>
      <c r="F833" s="2">
        <v>903</v>
      </c>
      <c r="G833" s="489">
        <f>G832</f>
        <v>878.7</v>
      </c>
      <c r="H833" s="489">
        <f>H832</f>
        <v>913.9</v>
      </c>
    </row>
    <row r="834" spans="1:8" ht="15.75" x14ac:dyDescent="0.25">
      <c r="A834" s="496" t="s">
        <v>490</v>
      </c>
      <c r="B834" s="492" t="s">
        <v>888</v>
      </c>
      <c r="C834" s="499" t="s">
        <v>491</v>
      </c>
      <c r="D834" s="499"/>
      <c r="E834" s="2"/>
      <c r="F834" s="2"/>
      <c r="G834" s="489">
        <f t="shared" ref="G834:H837" si="116">G835</f>
        <v>579.1</v>
      </c>
      <c r="H834" s="489">
        <f t="shared" si="116"/>
        <v>602.29999999999995</v>
      </c>
    </row>
    <row r="835" spans="1:8" ht="15.75" x14ac:dyDescent="0.25">
      <c r="A835" s="496" t="s">
        <v>1078</v>
      </c>
      <c r="B835" s="492" t="s">
        <v>888</v>
      </c>
      <c r="C835" s="499" t="s">
        <v>491</v>
      </c>
      <c r="D835" s="499" t="s">
        <v>118</v>
      </c>
      <c r="E835" s="2"/>
      <c r="F835" s="2"/>
      <c r="G835" s="489">
        <f t="shared" si="116"/>
        <v>579.1</v>
      </c>
      <c r="H835" s="489">
        <f t="shared" si="116"/>
        <v>602.29999999999995</v>
      </c>
    </row>
    <row r="836" spans="1:8" ht="47.25" x14ac:dyDescent="0.25">
      <c r="A836" s="45" t="s">
        <v>780</v>
      </c>
      <c r="B836" s="492" t="s">
        <v>936</v>
      </c>
      <c r="C836" s="499" t="s">
        <v>491</v>
      </c>
      <c r="D836" s="499" t="s">
        <v>118</v>
      </c>
      <c r="E836" s="2"/>
      <c r="F836" s="2"/>
      <c r="G836" s="489">
        <f t="shared" si="116"/>
        <v>579.1</v>
      </c>
      <c r="H836" s="489">
        <f t="shared" si="116"/>
        <v>602.29999999999995</v>
      </c>
    </row>
    <row r="837" spans="1:8" ht="47.25" x14ac:dyDescent="0.25">
      <c r="A837" s="29" t="s">
        <v>272</v>
      </c>
      <c r="B837" s="492" t="s">
        <v>936</v>
      </c>
      <c r="C837" s="499" t="s">
        <v>491</v>
      </c>
      <c r="D837" s="499" t="s">
        <v>118</v>
      </c>
      <c r="E837" s="2">
        <v>600</v>
      </c>
      <c r="F837" s="2"/>
      <c r="G837" s="489">
        <f t="shared" si="116"/>
        <v>579.1</v>
      </c>
      <c r="H837" s="489">
        <f t="shared" si="116"/>
        <v>602.29999999999995</v>
      </c>
    </row>
    <row r="838" spans="1:8" ht="15.75" x14ac:dyDescent="0.25">
      <c r="A838" s="182" t="s">
        <v>274</v>
      </c>
      <c r="B838" s="492" t="s">
        <v>936</v>
      </c>
      <c r="C838" s="499" t="s">
        <v>491</v>
      </c>
      <c r="D838" s="499" t="s">
        <v>118</v>
      </c>
      <c r="E838" s="2">
        <v>610</v>
      </c>
      <c r="F838" s="2"/>
      <c r="G838" s="489">
        <f>'пр.6.1.ведом.22-23 (2)'!G802</f>
        <v>579.1</v>
      </c>
      <c r="H838" s="489">
        <f>'пр.6.1.ведом.22-23 (2)'!H802</f>
        <v>602.29999999999995</v>
      </c>
    </row>
    <row r="839" spans="1:8" ht="47.25" x14ac:dyDescent="0.25">
      <c r="A839" s="45" t="s">
        <v>480</v>
      </c>
      <c r="B839" s="492" t="s">
        <v>936</v>
      </c>
      <c r="C839" s="499" t="s">
        <v>491</v>
      </c>
      <c r="D839" s="499" t="s">
        <v>118</v>
      </c>
      <c r="E839" s="2">
        <v>610</v>
      </c>
      <c r="F839" s="2">
        <v>907</v>
      </c>
      <c r="G839" s="489">
        <f>G838</f>
        <v>579.1</v>
      </c>
      <c r="H839" s="489">
        <f>H838</f>
        <v>602.29999999999995</v>
      </c>
    </row>
    <row r="840" spans="1:8" ht="15.75" x14ac:dyDescent="0.25">
      <c r="A840" s="29" t="s">
        <v>582</v>
      </c>
      <c r="B840" s="492" t="s">
        <v>888</v>
      </c>
      <c r="C840" s="499" t="s">
        <v>238</v>
      </c>
      <c r="D840" s="499"/>
      <c r="E840" s="2"/>
      <c r="F840" s="2"/>
      <c r="G840" s="489">
        <f t="shared" ref="G840:H843" si="117">G841</f>
        <v>74.900000000000006</v>
      </c>
      <c r="H840" s="489">
        <f t="shared" si="117"/>
        <v>77.900000000000006</v>
      </c>
    </row>
    <row r="841" spans="1:8" ht="15.75" x14ac:dyDescent="0.25">
      <c r="A841" s="29" t="s">
        <v>583</v>
      </c>
      <c r="B841" s="492" t="s">
        <v>888</v>
      </c>
      <c r="C841" s="499" t="s">
        <v>238</v>
      </c>
      <c r="D841" s="499" t="s">
        <v>213</v>
      </c>
      <c r="E841" s="2"/>
      <c r="F841" s="2"/>
      <c r="G841" s="489">
        <f t="shared" si="117"/>
        <v>74.900000000000006</v>
      </c>
      <c r="H841" s="489">
        <f t="shared" si="117"/>
        <v>77.900000000000006</v>
      </c>
    </row>
    <row r="842" spans="1:8" ht="47.25" x14ac:dyDescent="0.25">
      <c r="A842" s="45" t="s">
        <v>778</v>
      </c>
      <c r="B842" s="492" t="s">
        <v>889</v>
      </c>
      <c r="C842" s="499" t="s">
        <v>238</v>
      </c>
      <c r="D842" s="499" t="s">
        <v>213</v>
      </c>
      <c r="E842" s="2"/>
      <c r="F842" s="2"/>
      <c r="G842" s="489">
        <f t="shared" si="117"/>
        <v>74.900000000000006</v>
      </c>
      <c r="H842" s="489">
        <f t="shared" si="117"/>
        <v>77.900000000000006</v>
      </c>
    </row>
    <row r="843" spans="1:8" ht="31.5" x14ac:dyDescent="0.25">
      <c r="A843" s="496" t="s">
        <v>131</v>
      </c>
      <c r="B843" s="492" t="s">
        <v>889</v>
      </c>
      <c r="C843" s="499" t="s">
        <v>238</v>
      </c>
      <c r="D843" s="499" t="s">
        <v>213</v>
      </c>
      <c r="E843" s="2">
        <v>200</v>
      </c>
      <c r="F843" s="2"/>
      <c r="G843" s="489">
        <f t="shared" si="117"/>
        <v>74.900000000000006</v>
      </c>
      <c r="H843" s="489">
        <f t="shared" si="117"/>
        <v>77.900000000000006</v>
      </c>
    </row>
    <row r="844" spans="1:8" ht="47.25" x14ac:dyDescent="0.25">
      <c r="A844" s="496" t="s">
        <v>133</v>
      </c>
      <c r="B844" s="492" t="s">
        <v>889</v>
      </c>
      <c r="C844" s="499" t="s">
        <v>238</v>
      </c>
      <c r="D844" s="499" t="s">
        <v>213</v>
      </c>
      <c r="E844" s="2">
        <v>240</v>
      </c>
      <c r="F844" s="2"/>
      <c r="G844" s="489">
        <f>'пр.6.1.ведом.22-23 (2)'!G487</f>
        <v>74.900000000000006</v>
      </c>
      <c r="H844" s="489">
        <f>'пр.6.1.ведом.22-23 (2)'!H487</f>
        <v>77.900000000000006</v>
      </c>
    </row>
    <row r="845" spans="1:8" ht="47.25" x14ac:dyDescent="0.25">
      <c r="A845" s="45" t="s">
        <v>261</v>
      </c>
      <c r="B845" s="492" t="s">
        <v>889</v>
      </c>
      <c r="C845" s="499" t="s">
        <v>238</v>
      </c>
      <c r="D845" s="499" t="s">
        <v>213</v>
      </c>
      <c r="E845" s="2">
        <v>240</v>
      </c>
      <c r="F845" s="2">
        <v>903</v>
      </c>
      <c r="G845" s="489">
        <f>G840</f>
        <v>74.900000000000006</v>
      </c>
      <c r="H845" s="489">
        <f>H840</f>
        <v>77.900000000000006</v>
      </c>
    </row>
    <row r="846" spans="1:8" ht="47.25" x14ac:dyDescent="0.25">
      <c r="A846" s="503" t="s">
        <v>1023</v>
      </c>
      <c r="B846" s="495" t="s">
        <v>853</v>
      </c>
      <c r="C846" s="7"/>
      <c r="D846" s="7"/>
      <c r="E846" s="3"/>
      <c r="F846" s="3"/>
      <c r="G846" s="488">
        <f t="shared" ref="G846:H850" si="118">G847</f>
        <v>15</v>
      </c>
      <c r="H846" s="488">
        <f t="shared" si="118"/>
        <v>15</v>
      </c>
    </row>
    <row r="847" spans="1:8" ht="15.75" x14ac:dyDescent="0.25">
      <c r="A847" s="224" t="s">
        <v>117</v>
      </c>
      <c r="B847" s="492" t="s">
        <v>853</v>
      </c>
      <c r="C847" s="499" t="s">
        <v>118</v>
      </c>
      <c r="D847" s="499"/>
      <c r="E847" s="2"/>
      <c r="F847" s="2"/>
      <c r="G847" s="489">
        <f t="shared" si="118"/>
        <v>15</v>
      </c>
      <c r="H847" s="489">
        <f t="shared" si="118"/>
        <v>15</v>
      </c>
    </row>
    <row r="848" spans="1:8" ht="15.75" x14ac:dyDescent="0.25">
      <c r="A848" s="224" t="s">
        <v>139</v>
      </c>
      <c r="B848" s="492" t="s">
        <v>853</v>
      </c>
      <c r="C848" s="499" t="s">
        <v>118</v>
      </c>
      <c r="D848" s="499" t="s">
        <v>140</v>
      </c>
      <c r="E848" s="2"/>
      <c r="F848" s="2"/>
      <c r="G848" s="489">
        <f t="shared" si="118"/>
        <v>15</v>
      </c>
      <c r="H848" s="489">
        <f t="shared" si="118"/>
        <v>15</v>
      </c>
    </row>
    <row r="849" spans="1:8" ht="56.25" customHeight="1" x14ac:dyDescent="0.25">
      <c r="A849" s="256" t="s">
        <v>1005</v>
      </c>
      <c r="B849" s="492" t="s">
        <v>848</v>
      </c>
      <c r="C849" s="499" t="s">
        <v>118</v>
      </c>
      <c r="D849" s="499" t="s">
        <v>140</v>
      </c>
      <c r="E849" s="2"/>
      <c r="F849" s="2"/>
      <c r="G849" s="489">
        <f t="shared" si="118"/>
        <v>15</v>
      </c>
      <c r="H849" s="489">
        <f t="shared" si="118"/>
        <v>15</v>
      </c>
    </row>
    <row r="850" spans="1:8" ht="31.5" x14ac:dyDescent="0.25">
      <c r="A850" s="496" t="s">
        <v>131</v>
      </c>
      <c r="B850" s="492" t="s">
        <v>848</v>
      </c>
      <c r="C850" s="499" t="s">
        <v>118</v>
      </c>
      <c r="D850" s="499" t="s">
        <v>140</v>
      </c>
      <c r="E850" s="2">
        <v>200</v>
      </c>
      <c r="F850" s="2"/>
      <c r="G850" s="489">
        <f t="shared" si="118"/>
        <v>15</v>
      </c>
      <c r="H850" s="489">
        <f t="shared" si="118"/>
        <v>15</v>
      </c>
    </row>
    <row r="851" spans="1:8" ht="47.25" x14ac:dyDescent="0.25">
      <c r="A851" s="496" t="s">
        <v>133</v>
      </c>
      <c r="B851" s="492" t="s">
        <v>848</v>
      </c>
      <c r="C851" s="499" t="s">
        <v>118</v>
      </c>
      <c r="D851" s="499" t="s">
        <v>140</v>
      </c>
      <c r="E851" s="2">
        <v>240</v>
      </c>
      <c r="F851" s="2"/>
      <c r="G851" s="489">
        <f>'пр.6.1.ведом.22-23 (2)'!G154</f>
        <v>15</v>
      </c>
      <c r="H851" s="489">
        <f>'пр.6.1.ведом.22-23 (2)'!H154</f>
        <v>15</v>
      </c>
    </row>
    <row r="852" spans="1:8" ht="31.5" x14ac:dyDescent="0.25">
      <c r="A852" s="29" t="s">
        <v>148</v>
      </c>
      <c r="B852" s="492" t="s">
        <v>848</v>
      </c>
      <c r="C852" s="499" t="s">
        <v>118</v>
      </c>
      <c r="D852" s="499" t="s">
        <v>140</v>
      </c>
      <c r="E852" s="2">
        <v>240</v>
      </c>
      <c r="F852" s="2">
        <v>902</v>
      </c>
      <c r="G852" s="489">
        <f>G851</f>
        <v>15</v>
      </c>
      <c r="H852" s="489">
        <f>H851</f>
        <v>15</v>
      </c>
    </row>
    <row r="853" spans="1:8" ht="78.75" x14ac:dyDescent="0.25">
      <c r="A853" s="494" t="s">
        <v>1530</v>
      </c>
      <c r="B853" s="495" t="s">
        <v>711</v>
      </c>
      <c r="C853" s="7"/>
      <c r="D853" s="7"/>
      <c r="E853" s="3"/>
      <c r="F853" s="3"/>
      <c r="G853" s="488">
        <f>G854</f>
        <v>500</v>
      </c>
      <c r="H853" s="488">
        <f>H854</f>
        <v>500</v>
      </c>
    </row>
    <row r="854" spans="1:8" ht="31.5" x14ac:dyDescent="0.25">
      <c r="A854" s="494" t="s">
        <v>1066</v>
      </c>
      <c r="B854" s="495" t="s">
        <v>1087</v>
      </c>
      <c r="C854" s="7"/>
      <c r="D854" s="7"/>
      <c r="E854" s="3"/>
      <c r="F854" s="3"/>
      <c r="G854" s="488">
        <f>G855</f>
        <v>500</v>
      </c>
      <c r="H854" s="488">
        <f>H855</f>
        <v>500</v>
      </c>
    </row>
    <row r="855" spans="1:8" ht="15.75" x14ac:dyDescent="0.25">
      <c r="A855" s="496" t="s">
        <v>390</v>
      </c>
      <c r="B855" s="492" t="s">
        <v>835</v>
      </c>
      <c r="C855" s="499" t="s">
        <v>234</v>
      </c>
      <c r="D855" s="499"/>
      <c r="E855" s="2"/>
      <c r="F855" s="2"/>
      <c r="G855" s="489">
        <f t="shared" ref="G855:H858" si="119">G856</f>
        <v>500</v>
      </c>
      <c r="H855" s="489">
        <f t="shared" si="119"/>
        <v>500</v>
      </c>
    </row>
    <row r="856" spans="1:8" ht="15.75" x14ac:dyDescent="0.25">
      <c r="A856" s="496" t="s">
        <v>541</v>
      </c>
      <c r="B856" s="492" t="s">
        <v>835</v>
      </c>
      <c r="C856" s="499" t="s">
        <v>234</v>
      </c>
      <c r="D856" s="499" t="s">
        <v>215</v>
      </c>
      <c r="E856" s="2"/>
      <c r="F856" s="2"/>
      <c r="G856" s="489">
        <f t="shared" si="119"/>
        <v>500</v>
      </c>
      <c r="H856" s="489">
        <f t="shared" si="119"/>
        <v>500</v>
      </c>
    </row>
    <row r="857" spans="1:8" ht="63" x14ac:dyDescent="0.25">
      <c r="A857" s="80" t="s">
        <v>693</v>
      </c>
      <c r="B857" s="492" t="s">
        <v>835</v>
      </c>
      <c r="C857" s="499" t="s">
        <v>234</v>
      </c>
      <c r="D857" s="499" t="s">
        <v>215</v>
      </c>
      <c r="E857" s="2"/>
      <c r="F857" s="2"/>
      <c r="G857" s="489">
        <f t="shared" si="119"/>
        <v>500</v>
      </c>
      <c r="H857" s="489">
        <f t="shared" si="119"/>
        <v>500</v>
      </c>
    </row>
    <row r="858" spans="1:8" ht="31.5" x14ac:dyDescent="0.25">
      <c r="A858" s="496" t="s">
        <v>131</v>
      </c>
      <c r="B858" s="492" t="s">
        <v>835</v>
      </c>
      <c r="C858" s="499" t="s">
        <v>234</v>
      </c>
      <c r="D858" s="499" t="s">
        <v>215</v>
      </c>
      <c r="E858" s="2">
        <v>200</v>
      </c>
      <c r="F858" s="2"/>
      <c r="G858" s="489">
        <f t="shared" si="119"/>
        <v>500</v>
      </c>
      <c r="H858" s="489">
        <f t="shared" si="119"/>
        <v>500</v>
      </c>
    </row>
    <row r="859" spans="1:8" ht="47.25" x14ac:dyDescent="0.25">
      <c r="A859" s="496" t="s">
        <v>133</v>
      </c>
      <c r="B859" s="492" t="s">
        <v>835</v>
      </c>
      <c r="C859" s="499" t="s">
        <v>234</v>
      </c>
      <c r="D859" s="499" t="s">
        <v>215</v>
      </c>
      <c r="E859" s="2">
        <v>240</v>
      </c>
      <c r="F859" s="2"/>
      <c r="G859" s="489">
        <f>'пр.6.1.ведом.22-23 (2)'!G1002</f>
        <v>500</v>
      </c>
      <c r="H859" s="489">
        <f>'пр.6.1.ведом.22-23 (2)'!H1002</f>
        <v>500</v>
      </c>
    </row>
    <row r="860" spans="1:8" ht="47.25" x14ac:dyDescent="0.25">
      <c r="A860" s="45" t="s">
        <v>623</v>
      </c>
      <c r="B860" s="492" t="s">
        <v>835</v>
      </c>
      <c r="C860" s="499" t="s">
        <v>234</v>
      </c>
      <c r="D860" s="499" t="s">
        <v>215</v>
      </c>
      <c r="E860" s="2">
        <v>240</v>
      </c>
      <c r="F860" s="2">
        <v>908</v>
      </c>
      <c r="G860" s="489">
        <f>G859</f>
        <v>500</v>
      </c>
      <c r="H860" s="489">
        <f>H859</f>
        <v>500</v>
      </c>
    </row>
    <row r="861" spans="1:8" ht="78.75" hidden="1" x14ac:dyDescent="0.25">
      <c r="A861" s="58" t="s">
        <v>1354</v>
      </c>
      <c r="B861" s="495" t="s">
        <v>782</v>
      </c>
      <c r="C861" s="7"/>
      <c r="D861" s="7"/>
      <c r="E861" s="3"/>
      <c r="F861" s="3"/>
      <c r="G861" s="488">
        <f>G863</f>
        <v>0</v>
      </c>
      <c r="H861" s="488">
        <f>H863</f>
        <v>0</v>
      </c>
    </row>
    <row r="862" spans="1:8" ht="31.5" hidden="1" x14ac:dyDescent="0.25">
      <c r="A862" s="494" t="s">
        <v>930</v>
      </c>
      <c r="B862" s="495" t="s">
        <v>1020</v>
      </c>
      <c r="C862" s="7"/>
      <c r="D862" s="7"/>
      <c r="E862" s="3"/>
      <c r="F862" s="3"/>
      <c r="G862" s="488">
        <f t="shared" ref="G862:H866" si="120">G863</f>
        <v>0</v>
      </c>
      <c r="H862" s="488">
        <f t="shared" si="120"/>
        <v>0</v>
      </c>
    </row>
    <row r="863" spans="1:8" ht="15.75" hidden="1" x14ac:dyDescent="0.25">
      <c r="A863" s="45" t="s">
        <v>117</v>
      </c>
      <c r="B863" s="492" t="s">
        <v>1020</v>
      </c>
      <c r="C863" s="499" t="s">
        <v>118</v>
      </c>
      <c r="D863" s="499"/>
      <c r="E863" s="2"/>
      <c r="F863" s="2"/>
      <c r="G863" s="489">
        <f t="shared" si="120"/>
        <v>0</v>
      </c>
      <c r="H863" s="489">
        <f t="shared" si="120"/>
        <v>0</v>
      </c>
    </row>
    <row r="864" spans="1:8" ht="15.75" hidden="1" x14ac:dyDescent="0.25">
      <c r="A864" s="45" t="s">
        <v>139</v>
      </c>
      <c r="B864" s="492" t="s">
        <v>1020</v>
      </c>
      <c r="C864" s="499" t="s">
        <v>118</v>
      </c>
      <c r="D864" s="499" t="s">
        <v>140</v>
      </c>
      <c r="E864" s="2"/>
      <c r="F864" s="2"/>
      <c r="G864" s="489">
        <f t="shared" si="120"/>
        <v>0</v>
      </c>
      <c r="H864" s="489">
        <f t="shared" si="120"/>
        <v>0</v>
      </c>
    </row>
    <row r="865" spans="1:10" ht="31.5" hidden="1" x14ac:dyDescent="0.25">
      <c r="A865" s="45" t="s">
        <v>790</v>
      </c>
      <c r="B865" s="492" t="s">
        <v>1021</v>
      </c>
      <c r="C865" s="499" t="s">
        <v>118</v>
      </c>
      <c r="D865" s="499" t="s">
        <v>140</v>
      </c>
      <c r="E865" s="2"/>
      <c r="F865" s="2"/>
      <c r="G865" s="489">
        <f t="shared" si="120"/>
        <v>0</v>
      </c>
      <c r="H865" s="489">
        <f t="shared" si="120"/>
        <v>0</v>
      </c>
    </row>
    <row r="866" spans="1:10" ht="31.5" hidden="1" x14ac:dyDescent="0.25">
      <c r="A866" s="45" t="s">
        <v>131</v>
      </c>
      <c r="B866" s="492" t="s">
        <v>1021</v>
      </c>
      <c r="C866" s="499" t="s">
        <v>118</v>
      </c>
      <c r="D866" s="499" t="s">
        <v>140</v>
      </c>
      <c r="E866" s="2">
        <v>200</v>
      </c>
      <c r="F866" s="2"/>
      <c r="G866" s="489">
        <f t="shared" si="120"/>
        <v>0</v>
      </c>
      <c r="H866" s="489">
        <f t="shared" si="120"/>
        <v>0</v>
      </c>
    </row>
    <row r="867" spans="1:10" ht="47.25" hidden="1" x14ac:dyDescent="0.25">
      <c r="A867" s="45" t="s">
        <v>133</v>
      </c>
      <c r="B867" s="492" t="s">
        <v>1021</v>
      </c>
      <c r="C867" s="499" t="s">
        <v>118</v>
      </c>
      <c r="D867" s="499" t="s">
        <v>140</v>
      </c>
      <c r="E867" s="2">
        <v>240</v>
      </c>
      <c r="F867" s="2"/>
      <c r="G867" s="489">
        <f>'пр.6.1.ведом.22-23 (2)'!G520</f>
        <v>0</v>
      </c>
      <c r="H867" s="489">
        <f>'пр.6.1.ведом.22-23 (2)'!H520</f>
        <v>0</v>
      </c>
    </row>
    <row r="868" spans="1:10" ht="47.25" hidden="1" x14ac:dyDescent="0.25">
      <c r="A868" s="45" t="s">
        <v>1385</v>
      </c>
      <c r="B868" s="492" t="s">
        <v>1021</v>
      </c>
      <c r="C868" s="499" t="s">
        <v>118</v>
      </c>
      <c r="D868" s="499" t="s">
        <v>140</v>
      </c>
      <c r="E868" s="2">
        <v>240</v>
      </c>
      <c r="F868" s="2">
        <v>905</v>
      </c>
      <c r="G868" s="489">
        <f>G867</f>
        <v>0</v>
      </c>
      <c r="H868" s="489">
        <f>H867</f>
        <v>0</v>
      </c>
    </row>
    <row r="869" spans="1:10" ht="94.5" x14ac:dyDescent="0.25">
      <c r="A869" s="500" t="s">
        <v>1365</v>
      </c>
      <c r="B869" s="495" t="s">
        <v>817</v>
      </c>
      <c r="C869" s="7"/>
      <c r="D869" s="7"/>
      <c r="E869" s="3"/>
      <c r="F869" s="3"/>
      <c r="G869" s="488">
        <f>G871</f>
        <v>45</v>
      </c>
      <c r="H869" s="488">
        <f>H871</f>
        <v>50</v>
      </c>
    </row>
    <row r="870" spans="1:10" ht="47.25" x14ac:dyDescent="0.25">
      <c r="A870" s="213" t="s">
        <v>854</v>
      </c>
      <c r="B870" s="495" t="s">
        <v>1075</v>
      </c>
      <c r="C870" s="7"/>
      <c r="D870" s="7"/>
      <c r="E870" s="3"/>
      <c r="F870" s="3"/>
      <c r="G870" s="488">
        <f t="shared" ref="G870:H874" si="121">G871</f>
        <v>45</v>
      </c>
      <c r="H870" s="488">
        <f t="shared" si="121"/>
        <v>50</v>
      </c>
    </row>
    <row r="871" spans="1:10" ht="15.75" x14ac:dyDescent="0.25">
      <c r="A871" s="45" t="s">
        <v>117</v>
      </c>
      <c r="B871" s="492" t="s">
        <v>1075</v>
      </c>
      <c r="C871" s="499" t="s">
        <v>118</v>
      </c>
      <c r="D871" s="499"/>
      <c r="E871" s="2"/>
      <c r="F871" s="2"/>
      <c r="G871" s="489">
        <f t="shared" si="121"/>
        <v>45</v>
      </c>
      <c r="H871" s="489">
        <f t="shared" si="121"/>
        <v>50</v>
      </c>
    </row>
    <row r="872" spans="1:10" ht="15.75" x14ac:dyDescent="0.25">
      <c r="A872" s="45" t="s">
        <v>139</v>
      </c>
      <c r="B872" s="492" t="s">
        <v>1075</v>
      </c>
      <c r="C872" s="499" t="s">
        <v>118</v>
      </c>
      <c r="D872" s="499" t="s">
        <v>140</v>
      </c>
      <c r="E872" s="2"/>
      <c r="F872" s="2"/>
      <c r="G872" s="489">
        <f t="shared" si="121"/>
        <v>45</v>
      </c>
      <c r="H872" s="489">
        <f t="shared" si="121"/>
        <v>50</v>
      </c>
    </row>
    <row r="873" spans="1:10" ht="47.25" x14ac:dyDescent="0.25">
      <c r="A873" s="97" t="s">
        <v>171</v>
      </c>
      <c r="B873" s="492" t="s">
        <v>855</v>
      </c>
      <c r="C873" s="499" t="s">
        <v>118</v>
      </c>
      <c r="D873" s="499" t="s">
        <v>140</v>
      </c>
      <c r="E873" s="2"/>
      <c r="F873" s="2"/>
      <c r="G873" s="489">
        <f t="shared" si="121"/>
        <v>45</v>
      </c>
      <c r="H873" s="489">
        <f t="shared" si="121"/>
        <v>50</v>
      </c>
    </row>
    <row r="874" spans="1:10" ht="31.5" x14ac:dyDescent="0.25">
      <c r="A874" s="45" t="s">
        <v>131</v>
      </c>
      <c r="B874" s="492" t="s">
        <v>855</v>
      </c>
      <c r="C874" s="499" t="s">
        <v>118</v>
      </c>
      <c r="D874" s="499" t="s">
        <v>140</v>
      </c>
      <c r="E874" s="2">
        <v>200</v>
      </c>
      <c r="F874" s="2"/>
      <c r="G874" s="489">
        <f t="shared" si="121"/>
        <v>45</v>
      </c>
      <c r="H874" s="489">
        <f t="shared" si="121"/>
        <v>50</v>
      </c>
    </row>
    <row r="875" spans="1:10" ht="47.25" x14ac:dyDescent="0.25">
      <c r="A875" s="45" t="s">
        <v>133</v>
      </c>
      <c r="B875" s="492" t="s">
        <v>855</v>
      </c>
      <c r="C875" s="499" t="s">
        <v>118</v>
      </c>
      <c r="D875" s="499" t="s">
        <v>140</v>
      </c>
      <c r="E875" s="2">
        <v>240</v>
      </c>
      <c r="F875" s="2"/>
      <c r="G875" s="489">
        <f>'пр.6.1.ведом.22-23 (2)'!G159</f>
        <v>45</v>
      </c>
      <c r="H875" s="489">
        <f>'пр.6.1.ведом.22-23 (2)'!H159</f>
        <v>50</v>
      </c>
    </row>
    <row r="876" spans="1:10" ht="31.5" x14ac:dyDescent="0.25">
      <c r="A876" s="29" t="s">
        <v>148</v>
      </c>
      <c r="B876" s="492" t="s">
        <v>855</v>
      </c>
      <c r="C876" s="499" t="s">
        <v>118</v>
      </c>
      <c r="D876" s="499" t="s">
        <v>140</v>
      </c>
      <c r="E876" s="2">
        <v>240</v>
      </c>
      <c r="F876" s="2">
        <v>902</v>
      </c>
      <c r="G876" s="489">
        <f>G869</f>
        <v>45</v>
      </c>
      <c r="H876" s="489">
        <f>H869</f>
        <v>50</v>
      </c>
      <c r="J876" s="22"/>
    </row>
    <row r="877" spans="1:10" ht="78.75" x14ac:dyDescent="0.25">
      <c r="A877" s="500" t="s">
        <v>1374</v>
      </c>
      <c r="B877" s="495" t="s">
        <v>818</v>
      </c>
      <c r="C877" s="7"/>
      <c r="D877" s="7"/>
      <c r="E877" s="3"/>
      <c r="F877" s="3"/>
      <c r="G877" s="488">
        <f>G879</f>
        <v>80</v>
      </c>
      <c r="H877" s="488">
        <f>H879</f>
        <v>90</v>
      </c>
    </row>
    <row r="878" spans="1:10" ht="31.5" x14ac:dyDescent="0.25">
      <c r="A878" s="58" t="s">
        <v>856</v>
      </c>
      <c r="B878" s="495" t="s">
        <v>864</v>
      </c>
      <c r="C878" s="7"/>
      <c r="D878" s="7"/>
      <c r="E878" s="3"/>
      <c r="F878" s="3"/>
      <c r="G878" s="488">
        <f t="shared" ref="G878:H882" si="122">G879</f>
        <v>80</v>
      </c>
      <c r="H878" s="488">
        <f t="shared" si="122"/>
        <v>90</v>
      </c>
    </row>
    <row r="879" spans="1:10" ht="15.75" x14ac:dyDescent="0.25">
      <c r="A879" s="45" t="s">
        <v>117</v>
      </c>
      <c r="B879" s="492" t="s">
        <v>864</v>
      </c>
      <c r="C879" s="499" t="s">
        <v>118</v>
      </c>
      <c r="D879" s="499"/>
      <c r="E879" s="2"/>
      <c r="F879" s="2"/>
      <c r="G879" s="489">
        <f t="shared" si="122"/>
        <v>80</v>
      </c>
      <c r="H879" s="489">
        <f t="shared" si="122"/>
        <v>90</v>
      </c>
    </row>
    <row r="880" spans="1:10" ht="15.75" x14ac:dyDescent="0.25">
      <c r="A880" s="45" t="s">
        <v>139</v>
      </c>
      <c r="B880" s="492" t="s">
        <v>864</v>
      </c>
      <c r="C880" s="499" t="s">
        <v>118</v>
      </c>
      <c r="D880" s="499" t="s">
        <v>140</v>
      </c>
      <c r="E880" s="2"/>
      <c r="F880" s="2"/>
      <c r="G880" s="489">
        <f t="shared" si="122"/>
        <v>80</v>
      </c>
      <c r="H880" s="489">
        <f t="shared" si="122"/>
        <v>90</v>
      </c>
    </row>
    <row r="881" spans="1:8" ht="31.5" x14ac:dyDescent="0.25">
      <c r="A881" s="45" t="s">
        <v>175</v>
      </c>
      <c r="B881" s="492" t="s">
        <v>857</v>
      </c>
      <c r="C881" s="499" t="s">
        <v>118</v>
      </c>
      <c r="D881" s="499" t="s">
        <v>140</v>
      </c>
      <c r="E881" s="2"/>
      <c r="F881" s="2"/>
      <c r="G881" s="489">
        <f t="shared" si="122"/>
        <v>80</v>
      </c>
      <c r="H881" s="489">
        <f t="shared" si="122"/>
        <v>90</v>
      </c>
    </row>
    <row r="882" spans="1:8" ht="31.5" x14ac:dyDescent="0.25">
      <c r="A882" s="45" t="s">
        <v>131</v>
      </c>
      <c r="B882" s="492" t="s">
        <v>857</v>
      </c>
      <c r="C882" s="499" t="s">
        <v>118</v>
      </c>
      <c r="D882" s="499" t="s">
        <v>140</v>
      </c>
      <c r="E882" s="2">
        <v>200</v>
      </c>
      <c r="F882" s="2"/>
      <c r="G882" s="489">
        <f t="shared" si="122"/>
        <v>80</v>
      </c>
      <c r="H882" s="489">
        <f t="shared" si="122"/>
        <v>90</v>
      </c>
    </row>
    <row r="883" spans="1:8" ht="47.25" x14ac:dyDescent="0.25">
      <c r="A883" s="45" t="s">
        <v>133</v>
      </c>
      <c r="B883" s="492" t="s">
        <v>857</v>
      </c>
      <c r="C883" s="499" t="s">
        <v>118</v>
      </c>
      <c r="D883" s="499" t="s">
        <v>140</v>
      </c>
      <c r="E883" s="2">
        <v>240</v>
      </c>
      <c r="F883" s="2"/>
      <c r="G883" s="489">
        <f>'пр.6.1.ведом.22-23 (2)'!G164</f>
        <v>80</v>
      </c>
      <c r="H883" s="489">
        <f>'пр.6.1.ведом.22-23 (2)'!H164</f>
        <v>90</v>
      </c>
    </row>
    <row r="884" spans="1:8" ht="31.5" x14ac:dyDescent="0.25">
      <c r="A884" s="29" t="s">
        <v>148</v>
      </c>
      <c r="B884" s="492" t="s">
        <v>857</v>
      </c>
      <c r="C884" s="499" t="s">
        <v>118</v>
      </c>
      <c r="D884" s="499" t="s">
        <v>140</v>
      </c>
      <c r="E884" s="2">
        <v>240</v>
      </c>
      <c r="F884" s="2">
        <v>902</v>
      </c>
      <c r="G884" s="489">
        <f>G877</f>
        <v>80</v>
      </c>
      <c r="H884" s="489">
        <f>H877</f>
        <v>90</v>
      </c>
    </row>
    <row r="885" spans="1:8" ht="47.25" x14ac:dyDescent="0.25">
      <c r="A885" s="494" t="s">
        <v>1528</v>
      </c>
      <c r="B885" s="495" t="s">
        <v>1141</v>
      </c>
      <c r="C885" s="499"/>
      <c r="D885" s="499"/>
      <c r="E885" s="2"/>
      <c r="F885" s="2"/>
      <c r="G885" s="488">
        <f t="shared" ref="G885:H891" si="123">G886</f>
        <v>204</v>
      </c>
      <c r="H885" s="488">
        <f t="shared" si="123"/>
        <v>215</v>
      </c>
    </row>
    <row r="886" spans="1:8" ht="31.5" x14ac:dyDescent="0.25">
      <c r="A886" s="494" t="s">
        <v>1532</v>
      </c>
      <c r="B886" s="495" t="s">
        <v>1143</v>
      </c>
      <c r="C886" s="499"/>
      <c r="D886" s="499"/>
      <c r="E886" s="2"/>
      <c r="F886" s="2"/>
      <c r="G886" s="488">
        <f t="shared" si="123"/>
        <v>204</v>
      </c>
      <c r="H886" s="488">
        <f t="shared" si="123"/>
        <v>215</v>
      </c>
    </row>
    <row r="887" spans="1:8" ht="15.75" x14ac:dyDescent="0.25">
      <c r="A887" s="29" t="s">
        <v>390</v>
      </c>
      <c r="B887" s="492" t="s">
        <v>1143</v>
      </c>
      <c r="C887" s="499" t="s">
        <v>234</v>
      </c>
      <c r="D887" s="499"/>
      <c r="E887" s="2"/>
      <c r="F887" s="2"/>
      <c r="G887" s="489">
        <f t="shared" si="123"/>
        <v>204</v>
      </c>
      <c r="H887" s="489">
        <f t="shared" si="123"/>
        <v>215</v>
      </c>
    </row>
    <row r="888" spans="1:8" ht="15.75" x14ac:dyDescent="0.25">
      <c r="A888" s="29" t="s">
        <v>517</v>
      </c>
      <c r="B888" s="492" t="s">
        <v>1143</v>
      </c>
      <c r="C888" s="499" t="s">
        <v>234</v>
      </c>
      <c r="D888" s="499" t="s">
        <v>213</v>
      </c>
      <c r="E888" s="2"/>
      <c r="F888" s="2"/>
      <c r="G888" s="489">
        <f t="shared" si="123"/>
        <v>204</v>
      </c>
      <c r="H888" s="489">
        <f t="shared" si="123"/>
        <v>215</v>
      </c>
    </row>
    <row r="889" spans="1:8" ht="31.5" x14ac:dyDescent="0.25">
      <c r="A889" s="29" t="s">
        <v>1145</v>
      </c>
      <c r="B889" s="492" t="s">
        <v>1144</v>
      </c>
      <c r="C889" s="499" t="s">
        <v>234</v>
      </c>
      <c r="D889" s="499" t="s">
        <v>213</v>
      </c>
      <c r="E889" s="2"/>
      <c r="F889" s="2"/>
      <c r="G889" s="489">
        <f t="shared" si="123"/>
        <v>204</v>
      </c>
      <c r="H889" s="489">
        <f t="shared" si="123"/>
        <v>215</v>
      </c>
    </row>
    <row r="890" spans="1:8" ht="31.5" x14ac:dyDescent="0.25">
      <c r="A890" s="45" t="s">
        <v>131</v>
      </c>
      <c r="B890" s="492" t="s">
        <v>1144</v>
      </c>
      <c r="C890" s="499" t="s">
        <v>234</v>
      </c>
      <c r="D890" s="499" t="s">
        <v>213</v>
      </c>
      <c r="E890" s="2">
        <v>200</v>
      </c>
      <c r="F890" s="2"/>
      <c r="G890" s="489">
        <f t="shared" si="123"/>
        <v>204</v>
      </c>
      <c r="H890" s="489">
        <f t="shared" si="123"/>
        <v>215</v>
      </c>
    </row>
    <row r="891" spans="1:8" ht="47.25" x14ac:dyDescent="0.25">
      <c r="A891" s="45" t="s">
        <v>133</v>
      </c>
      <c r="B891" s="492" t="s">
        <v>1144</v>
      </c>
      <c r="C891" s="499" t="s">
        <v>234</v>
      </c>
      <c r="D891" s="499" t="s">
        <v>213</v>
      </c>
      <c r="E891" s="2">
        <v>240</v>
      </c>
      <c r="F891" s="2"/>
      <c r="G891" s="489">
        <f t="shared" si="123"/>
        <v>204</v>
      </c>
      <c r="H891" s="489">
        <f t="shared" si="123"/>
        <v>215</v>
      </c>
    </row>
    <row r="892" spans="1:8" ht="47.25" x14ac:dyDescent="0.25">
      <c r="A892" s="45" t="s">
        <v>623</v>
      </c>
      <c r="B892" s="492" t="s">
        <v>1144</v>
      </c>
      <c r="C892" s="499" t="s">
        <v>234</v>
      </c>
      <c r="D892" s="499" t="s">
        <v>213</v>
      </c>
      <c r="E892" s="2">
        <v>240</v>
      </c>
      <c r="F892" s="2">
        <v>908</v>
      </c>
      <c r="G892" s="489">
        <f>'пр.6.1.ведом.22-23 (2)'!G952</f>
        <v>204</v>
      </c>
      <c r="H892" s="489">
        <f>'пр.6.1.ведом.22-23 (2)'!H952</f>
        <v>215</v>
      </c>
    </row>
    <row r="893" spans="1:8" ht="15.75" x14ac:dyDescent="0.25">
      <c r="A893" s="72" t="s">
        <v>657</v>
      </c>
      <c r="B893" s="72"/>
      <c r="C893" s="72"/>
      <c r="D893" s="72"/>
      <c r="E893" s="72"/>
      <c r="F893" s="72"/>
      <c r="G893" s="120">
        <f>G877+G869+G861+G853+G795+G761+G696+G644+G597+G464+G406+G398+G356+G344+G140+G30+G9+G711+G885</f>
        <v>473372.89999999991</v>
      </c>
      <c r="H893" s="120">
        <f>H877+H869+H861+H853+H795+H761+H696+H644+H597+H464+H406+H398+H356+H344+H140+H30+H9+H711+H885</f>
        <v>498426.15</v>
      </c>
    </row>
    <row r="895" spans="1:8" x14ac:dyDescent="0.25">
      <c r="G895" s="22">
        <f>'пр.6.1.ведом.22-23 (2)'!G1151</f>
        <v>473372.89999999991</v>
      </c>
      <c r="H895" s="22">
        <f>'пр.6.1.ведом.22-23 (2)'!H1151</f>
        <v>498426.15</v>
      </c>
    </row>
    <row r="897" spans="7:8" x14ac:dyDescent="0.25">
      <c r="G897" s="22">
        <f>G895-G893</f>
        <v>0</v>
      </c>
      <c r="H897" s="22">
        <f>H895-H893</f>
        <v>0</v>
      </c>
    </row>
  </sheetData>
  <mergeCells count="4">
    <mergeCell ref="G1:H1"/>
    <mergeCell ref="G2:H2"/>
    <mergeCell ref="G3:H3"/>
    <mergeCell ref="A5:H5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view="pageBreakPreview" zoomScale="93" zoomScaleNormal="100" zoomScaleSheetLayoutView="93" workbookViewId="0">
      <selection activeCell="C4" sqref="C4"/>
    </sheetView>
  </sheetViews>
  <sheetFormatPr defaultRowHeight="15" x14ac:dyDescent="0.25"/>
  <cols>
    <col min="1" max="1" width="34" customWidth="1"/>
    <col min="2" max="2" width="51.7109375" customWidth="1"/>
    <col min="3" max="3" width="18.85546875" customWidth="1"/>
  </cols>
  <sheetData>
    <row r="1" spans="1:4" ht="15.75" x14ac:dyDescent="0.25">
      <c r="A1" s="12"/>
      <c r="C1" s="196" t="s">
        <v>616</v>
      </c>
    </row>
    <row r="2" spans="1:4" ht="15.75" x14ac:dyDescent="0.25">
      <c r="A2" s="12"/>
      <c r="B2" s="12"/>
      <c r="C2" s="196" t="s">
        <v>0</v>
      </c>
    </row>
    <row r="3" spans="1:4" ht="15.75" x14ac:dyDescent="0.25">
      <c r="A3" s="12"/>
      <c r="B3" s="12"/>
      <c r="C3" s="460" t="s">
        <v>1772</v>
      </c>
    </row>
    <row r="4" spans="1:4" s="203" customFormat="1" ht="15.75" x14ac:dyDescent="0.25">
      <c r="A4" s="12"/>
      <c r="B4" s="12"/>
      <c r="C4" s="414"/>
    </row>
    <row r="5" spans="1:4" ht="16.5" x14ac:dyDescent="0.25">
      <c r="A5" s="752" t="s">
        <v>659</v>
      </c>
      <c r="B5" s="752"/>
      <c r="C5" s="752"/>
    </row>
    <row r="6" spans="1:4" ht="16.5" x14ac:dyDescent="0.25">
      <c r="A6" s="752" t="s">
        <v>1771</v>
      </c>
      <c r="B6" s="752"/>
      <c r="C6" s="752"/>
    </row>
    <row r="7" spans="1:4" ht="15.75" x14ac:dyDescent="0.25">
      <c r="A7" s="82"/>
      <c r="B7" s="82"/>
    </row>
    <row r="8" spans="1:4" ht="15.75" x14ac:dyDescent="0.25">
      <c r="A8" s="12"/>
      <c r="B8" s="12"/>
      <c r="C8" s="83" t="s">
        <v>1</v>
      </c>
    </row>
    <row r="9" spans="1:4" ht="28.5" customHeight="1" x14ac:dyDescent="0.25">
      <c r="A9" s="79" t="s">
        <v>660</v>
      </c>
      <c r="B9" s="79" t="s">
        <v>661</v>
      </c>
      <c r="C9" s="176" t="s">
        <v>1027</v>
      </c>
    </row>
    <row r="10" spans="1:4" ht="33" x14ac:dyDescent="0.25">
      <c r="A10" s="84" t="s">
        <v>662</v>
      </c>
      <c r="B10" s="85" t="s">
        <v>663</v>
      </c>
      <c r="C10" s="410">
        <f>C11-C13</f>
        <v>2.0000000251457095E-2</v>
      </c>
    </row>
    <row r="11" spans="1:4" ht="33" customHeight="1" x14ac:dyDescent="0.25">
      <c r="A11" s="86" t="s">
        <v>664</v>
      </c>
      <c r="B11" s="87" t="s">
        <v>665</v>
      </c>
      <c r="C11" s="411">
        <f>C12</f>
        <v>0</v>
      </c>
    </row>
    <row r="12" spans="1:4" ht="31.5" x14ac:dyDescent="0.25">
      <c r="A12" s="88" t="s">
        <v>666</v>
      </c>
      <c r="B12" s="89" t="s">
        <v>667</v>
      </c>
      <c r="C12" s="412"/>
      <c r="D12" t="s">
        <v>1611</v>
      </c>
    </row>
    <row r="13" spans="1:4" ht="32.25" customHeight="1" x14ac:dyDescent="0.25">
      <c r="A13" s="86" t="s">
        <v>668</v>
      </c>
      <c r="B13" s="87" t="s">
        <v>669</v>
      </c>
      <c r="C13" s="410">
        <f>C14</f>
        <v>-2.0000000251457095E-2</v>
      </c>
    </row>
    <row r="14" spans="1:4" ht="32.65" customHeight="1" x14ac:dyDescent="0.25">
      <c r="A14" s="88" t="s">
        <v>670</v>
      </c>
      <c r="B14" s="89" t="s">
        <v>671</v>
      </c>
      <c r="C14" s="412">
        <f>C12+C20</f>
        <v>-2.0000000251457095E-2</v>
      </c>
    </row>
    <row r="15" spans="1:4" ht="16.5" x14ac:dyDescent="0.25">
      <c r="A15" s="86" t="s">
        <v>657</v>
      </c>
      <c r="B15" s="89"/>
      <c r="C15" s="413">
        <f>C12-C14</f>
        <v>2.0000000251457095E-2</v>
      </c>
    </row>
    <row r="18" spans="2:4" x14ac:dyDescent="0.25">
      <c r="B18" t="s">
        <v>672</v>
      </c>
      <c r="C18">
        <f>пр.1дох.22!C197</f>
        <v>802553.17</v>
      </c>
    </row>
    <row r="19" spans="2:4" x14ac:dyDescent="0.25">
      <c r="B19" t="s">
        <v>673</v>
      </c>
      <c r="C19" s="22">
        <f>'Пр.4 ведом.22'!G1171</f>
        <v>802553.19000000029</v>
      </c>
    </row>
    <row r="20" spans="2:4" x14ac:dyDescent="0.25">
      <c r="B20" t="s">
        <v>674</v>
      </c>
      <c r="C20" s="22">
        <f>C18-C19</f>
        <v>-2.0000000251457095E-2</v>
      </c>
    </row>
    <row r="21" spans="2:4" x14ac:dyDescent="0.25">
      <c r="C21" t="s">
        <v>1665</v>
      </c>
    </row>
    <row r="22" spans="2:4" x14ac:dyDescent="0.25">
      <c r="D22" s="22"/>
    </row>
    <row r="24" spans="2:4" x14ac:dyDescent="0.25">
      <c r="C24" s="22">
        <f>C15-35839</f>
        <v>-35838.979999999749</v>
      </c>
    </row>
  </sheetData>
  <mergeCells count="2">
    <mergeCell ref="A5:C5"/>
    <mergeCell ref="A6:C6"/>
  </mergeCells>
  <pageMargins left="0.25" right="0.25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workbookViewId="0">
      <selection activeCell="C103" sqref="C103:D103"/>
    </sheetView>
  </sheetViews>
  <sheetFormatPr defaultColWidth="9.140625" defaultRowHeight="15" x14ac:dyDescent="0.25"/>
  <cols>
    <col min="1" max="1" width="38.7109375" style="487" customWidth="1"/>
    <col min="2" max="2" width="41.42578125" style="487" customWidth="1"/>
    <col min="3" max="3" width="13" style="487" customWidth="1"/>
    <col min="4" max="4" width="14.85546875" style="487" customWidth="1"/>
    <col min="5" max="16384" width="9.140625" style="487"/>
  </cols>
  <sheetData>
    <row r="1" spans="1:4" ht="15.75" x14ac:dyDescent="0.25">
      <c r="A1" s="12"/>
      <c r="D1" s="196" t="s">
        <v>1085</v>
      </c>
    </row>
    <row r="2" spans="1:4" ht="15.75" x14ac:dyDescent="0.25">
      <c r="A2" s="12"/>
      <c r="B2" s="12"/>
      <c r="D2" s="196" t="s">
        <v>0</v>
      </c>
    </row>
    <row r="3" spans="1:4" ht="15.75" x14ac:dyDescent="0.25">
      <c r="A3" s="12"/>
      <c r="B3" s="12"/>
    </row>
    <row r="4" spans="1:4" ht="16.5" x14ac:dyDescent="0.25">
      <c r="A4" s="752" t="s">
        <v>659</v>
      </c>
      <c r="B4" s="752"/>
      <c r="C4" s="752"/>
      <c r="D4" s="752"/>
    </row>
    <row r="5" spans="1:4" ht="16.5" x14ac:dyDescent="0.25">
      <c r="A5" s="752" t="s">
        <v>1334</v>
      </c>
      <c r="B5" s="752"/>
      <c r="C5" s="752"/>
      <c r="D5" s="752"/>
    </row>
    <row r="6" spans="1:4" ht="15.75" x14ac:dyDescent="0.25">
      <c r="A6" s="545"/>
      <c r="B6" s="545"/>
    </row>
    <row r="7" spans="1:4" ht="15.75" x14ac:dyDescent="0.25">
      <c r="A7" s="12"/>
      <c r="B7" s="12"/>
      <c r="D7" s="83" t="s">
        <v>1</v>
      </c>
    </row>
    <row r="8" spans="1:4" ht="30" x14ac:dyDescent="0.25">
      <c r="A8" s="79" t="s">
        <v>660</v>
      </c>
      <c r="B8" s="79" t="s">
        <v>661</v>
      </c>
      <c r="C8" s="176" t="s">
        <v>1027</v>
      </c>
      <c r="D8" s="176" t="s">
        <v>1290</v>
      </c>
    </row>
    <row r="9" spans="1:4" ht="44.45" customHeight="1" x14ac:dyDescent="0.25">
      <c r="A9" s="84" t="s">
        <v>662</v>
      </c>
      <c r="B9" s="85" t="s">
        <v>663</v>
      </c>
      <c r="C9" s="233">
        <f>C10-C12</f>
        <v>-71722.240000000224</v>
      </c>
      <c r="D9" s="233">
        <f>D10-D12</f>
        <v>-387.31000000017229</v>
      </c>
    </row>
    <row r="10" spans="1:4" ht="33.75" customHeight="1" x14ac:dyDescent="0.25">
      <c r="A10" s="86" t="s">
        <v>664</v>
      </c>
      <c r="B10" s="87" t="s">
        <v>665</v>
      </c>
      <c r="C10" s="313">
        <f>C11</f>
        <v>-71722.240000000224</v>
      </c>
      <c r="D10" s="233">
        <f>D11</f>
        <v>-387.31000000017229</v>
      </c>
    </row>
    <row r="11" spans="1:4" ht="36.75" customHeight="1" x14ac:dyDescent="0.25">
      <c r="A11" s="88" t="s">
        <v>666</v>
      </c>
      <c r="B11" s="89" t="s">
        <v>667</v>
      </c>
      <c r="C11" s="289">
        <f>C19*(-1)</f>
        <v>-71722.240000000224</v>
      </c>
      <c r="D11" s="234">
        <f>D19*(-1)</f>
        <v>-387.31000000017229</v>
      </c>
    </row>
    <row r="12" spans="1:4" ht="33" customHeight="1" x14ac:dyDescent="0.25">
      <c r="A12" s="86" t="s">
        <v>668</v>
      </c>
      <c r="B12" s="87" t="s">
        <v>669</v>
      </c>
      <c r="C12" s="233">
        <f>C13</f>
        <v>0</v>
      </c>
      <c r="D12" s="233">
        <f t="shared" ref="D12:D13" si="0">C12</f>
        <v>0</v>
      </c>
    </row>
    <row r="13" spans="1:4" ht="30.75" customHeight="1" x14ac:dyDescent="0.25">
      <c r="A13" s="88" t="s">
        <v>670</v>
      </c>
      <c r="B13" s="89" t="s">
        <v>671</v>
      </c>
      <c r="C13" s="289">
        <f>C11+C19</f>
        <v>0</v>
      </c>
      <c r="D13" s="234">
        <f t="shared" si="0"/>
        <v>0</v>
      </c>
    </row>
    <row r="14" spans="1:4" ht="16.5" x14ac:dyDescent="0.25">
      <c r="A14" s="86" t="s">
        <v>657</v>
      </c>
      <c r="B14" s="89"/>
      <c r="C14" s="290">
        <f>C11-C13</f>
        <v>-71722.240000000224</v>
      </c>
      <c r="D14" s="290">
        <f>D11-D13</f>
        <v>-387.31000000017229</v>
      </c>
    </row>
    <row r="17" spans="2:4" x14ac:dyDescent="0.25">
      <c r="B17" s="487" t="s">
        <v>672</v>
      </c>
      <c r="C17" s="312">
        <f>'Пр.1.1. дох.23-24'!C158</f>
        <v>808002.84000000008</v>
      </c>
      <c r="D17" s="312">
        <f>'Пр.1.1. дох.23-24'!D158</f>
        <v>777654.71000000008</v>
      </c>
    </row>
    <row r="18" spans="2:4" x14ac:dyDescent="0.25">
      <c r="B18" s="487" t="s">
        <v>673</v>
      </c>
      <c r="C18" s="312">
        <f>'пр.6.1.ведом.22-23 (2)'!G1094</f>
        <v>736280.59999999986</v>
      </c>
      <c r="D18" s="312">
        <f>'пр.6.1.ведом.22-23 (2)'!H1094</f>
        <v>777267.39999999991</v>
      </c>
    </row>
    <row r="19" spans="2:4" x14ac:dyDescent="0.25">
      <c r="B19" s="487" t="s">
        <v>674</v>
      </c>
      <c r="C19" s="312">
        <f t="shared" ref="C19:D19" si="1">C17-C18</f>
        <v>71722.240000000224</v>
      </c>
      <c r="D19" s="312">
        <f t="shared" si="1"/>
        <v>387.31000000017229</v>
      </c>
    </row>
  </sheetData>
  <mergeCells count="2">
    <mergeCell ref="A4:D4"/>
    <mergeCell ref="A5:D5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workbookViewId="0">
      <selection activeCell="C19" sqref="C19"/>
    </sheetView>
  </sheetViews>
  <sheetFormatPr defaultRowHeight="15" x14ac:dyDescent="0.25"/>
  <cols>
    <col min="1" max="1" width="38.7109375" customWidth="1"/>
    <col min="2" max="2" width="41.42578125" customWidth="1"/>
    <col min="3" max="3" width="13" customWidth="1"/>
    <col min="4" max="4" width="14.85546875" customWidth="1"/>
  </cols>
  <sheetData>
    <row r="1" spans="1:4" ht="15.75" x14ac:dyDescent="0.25">
      <c r="A1" s="12"/>
      <c r="B1" s="203"/>
      <c r="D1" s="196" t="s">
        <v>1085</v>
      </c>
    </row>
    <row r="2" spans="1:4" ht="15.75" x14ac:dyDescent="0.25">
      <c r="A2" s="12"/>
      <c r="B2" s="12"/>
      <c r="D2" s="196" t="s">
        <v>0</v>
      </c>
    </row>
    <row r="3" spans="1:4" ht="15.75" x14ac:dyDescent="0.25">
      <c r="A3" s="12"/>
      <c r="B3" s="12"/>
      <c r="C3" s="203"/>
    </row>
    <row r="4" spans="1:4" ht="16.5" x14ac:dyDescent="0.25">
      <c r="A4" s="752" t="s">
        <v>659</v>
      </c>
      <c r="B4" s="752"/>
      <c r="C4" s="752"/>
      <c r="D4" s="752"/>
    </row>
    <row r="5" spans="1:4" ht="16.5" x14ac:dyDescent="0.25">
      <c r="A5" s="752" t="s">
        <v>1334</v>
      </c>
      <c r="B5" s="752"/>
      <c r="C5" s="752"/>
      <c r="D5" s="752"/>
    </row>
    <row r="6" spans="1:4" ht="15.75" x14ac:dyDescent="0.25">
      <c r="A6" s="82"/>
      <c r="B6" s="82"/>
      <c r="C6" s="203"/>
    </row>
    <row r="7" spans="1:4" ht="15.75" x14ac:dyDescent="0.25">
      <c r="A7" s="12"/>
      <c r="B7" s="12"/>
      <c r="D7" s="83" t="s">
        <v>1</v>
      </c>
    </row>
    <row r="8" spans="1:4" ht="30" x14ac:dyDescent="0.25">
      <c r="A8" s="79" t="s">
        <v>660</v>
      </c>
      <c r="B8" s="79" t="s">
        <v>661</v>
      </c>
      <c r="C8" s="176" t="s">
        <v>1027</v>
      </c>
      <c r="D8" s="176" t="s">
        <v>1290</v>
      </c>
    </row>
    <row r="9" spans="1:4" ht="44.45" customHeight="1" x14ac:dyDescent="0.25">
      <c r="A9" s="84" t="s">
        <v>662</v>
      </c>
      <c r="B9" s="85" t="s">
        <v>663</v>
      </c>
      <c r="C9" s="233">
        <f>C10-C12</f>
        <v>2472.8259999998845</v>
      </c>
      <c r="D9" s="233">
        <f>D10-D12</f>
        <v>2979.0659999999916</v>
      </c>
    </row>
    <row r="10" spans="1:4" ht="33.75" customHeight="1" x14ac:dyDescent="0.25">
      <c r="A10" s="86" t="s">
        <v>664</v>
      </c>
      <c r="B10" s="87" t="s">
        <v>665</v>
      </c>
      <c r="C10" s="313">
        <f>C11</f>
        <v>2472.8259999998845</v>
      </c>
      <c r="D10" s="233">
        <f>D11</f>
        <v>2979.0659999999916</v>
      </c>
    </row>
    <row r="11" spans="1:4" ht="36.75" customHeight="1" x14ac:dyDescent="0.25">
      <c r="A11" s="88" t="s">
        <v>666</v>
      </c>
      <c r="B11" s="89" t="s">
        <v>667</v>
      </c>
      <c r="C11" s="289">
        <f>C19*(-1)</f>
        <v>2472.8259999998845</v>
      </c>
      <c r="D11" s="234">
        <f>D19*(-1)</f>
        <v>2979.0659999999916</v>
      </c>
    </row>
    <row r="12" spans="1:4" ht="33" customHeight="1" x14ac:dyDescent="0.25">
      <c r="A12" s="86" t="s">
        <v>668</v>
      </c>
      <c r="B12" s="87" t="s">
        <v>669</v>
      </c>
      <c r="C12" s="233">
        <f>C13</f>
        <v>0</v>
      </c>
      <c r="D12" s="233">
        <f t="shared" ref="D12:D13" si="0">C12</f>
        <v>0</v>
      </c>
    </row>
    <row r="13" spans="1:4" ht="30.75" customHeight="1" x14ac:dyDescent="0.25">
      <c r="A13" s="88" t="s">
        <v>670</v>
      </c>
      <c r="B13" s="89" t="s">
        <v>671</v>
      </c>
      <c r="C13" s="289">
        <f>C11+C19</f>
        <v>0</v>
      </c>
      <c r="D13" s="234">
        <f t="shared" si="0"/>
        <v>0</v>
      </c>
    </row>
    <row r="14" spans="1:4" ht="16.5" x14ac:dyDescent="0.25">
      <c r="A14" s="86" t="s">
        <v>657</v>
      </c>
      <c r="B14" s="89"/>
      <c r="C14" s="290">
        <f>C11-C13</f>
        <v>2472.8259999998845</v>
      </c>
      <c r="D14" s="290">
        <f>D11-D13</f>
        <v>2979.0659999999916</v>
      </c>
    </row>
    <row r="15" spans="1:4" x14ac:dyDescent="0.25">
      <c r="A15" s="203"/>
      <c r="B15" s="203"/>
      <c r="C15" s="203"/>
    </row>
    <row r="16" spans="1:4" x14ac:dyDescent="0.25">
      <c r="A16" s="203"/>
      <c r="B16" s="203"/>
      <c r="C16" s="203"/>
    </row>
    <row r="17" spans="1:4" x14ac:dyDescent="0.25">
      <c r="A17" s="203"/>
      <c r="B17" s="203" t="s">
        <v>672</v>
      </c>
      <c r="C17" s="312">
        <f>'Пр.1.1. дох.22-23'!C155</f>
        <v>733727.77399999998</v>
      </c>
      <c r="D17" s="312">
        <f>'Пр.1.1. дох.22-23'!D155</f>
        <v>774208.33399999992</v>
      </c>
    </row>
    <row r="18" spans="1:4" x14ac:dyDescent="0.25">
      <c r="A18" s="203"/>
      <c r="B18" s="203" t="s">
        <v>673</v>
      </c>
      <c r="C18" s="312">
        <f>'пр.6.1.ведом.22-23'!G1094</f>
        <v>736200.59999999986</v>
      </c>
      <c r="D18" s="312">
        <f>'пр.6.1.ведом.22-23'!H1094</f>
        <v>777187.39999999991</v>
      </c>
    </row>
    <row r="19" spans="1:4" x14ac:dyDescent="0.25">
      <c r="A19" s="203"/>
      <c r="B19" s="203" t="s">
        <v>674</v>
      </c>
      <c r="C19" s="312">
        <f t="shared" ref="C19:D19" si="1">C17-C18</f>
        <v>-2472.8259999998845</v>
      </c>
      <c r="D19" s="312">
        <f t="shared" si="1"/>
        <v>-2979.0659999999916</v>
      </c>
    </row>
  </sheetData>
  <mergeCells count="2">
    <mergeCell ref="A4:D4"/>
    <mergeCell ref="A5:D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view="pageBreakPreview" topLeftCell="A32" zoomScaleNormal="100" zoomScaleSheetLayoutView="100" workbookViewId="0">
      <selection activeCell="L49" sqref="L49"/>
    </sheetView>
  </sheetViews>
  <sheetFormatPr defaultColWidth="8.85546875" defaultRowHeight="15" x14ac:dyDescent="0.25"/>
  <cols>
    <col min="1" max="1" width="44.28515625" style="576" customWidth="1"/>
    <col min="2" max="2" width="15.5703125" style="576" customWidth="1"/>
    <col min="3" max="3" width="7.140625" style="576" customWidth="1"/>
    <col min="4" max="4" width="6.28515625" style="576" customWidth="1"/>
    <col min="5" max="5" width="7.28515625" style="576" customWidth="1"/>
    <col min="6" max="6" width="10.140625" style="576" customWidth="1"/>
    <col min="7" max="8" width="12.5703125" style="22" customWidth="1"/>
    <col min="9" max="16384" width="8.85546875" style="576"/>
  </cols>
  <sheetData>
    <row r="1" spans="1:8" ht="18.75" customHeight="1" x14ac:dyDescent="0.25">
      <c r="A1" s="748"/>
      <c r="B1" s="748"/>
      <c r="C1" s="748"/>
      <c r="D1" s="62"/>
      <c r="E1" s="62"/>
      <c r="F1" s="699"/>
      <c r="G1" s="714" t="s">
        <v>1820</v>
      </c>
      <c r="H1" s="714"/>
    </row>
    <row r="2" spans="1:8" ht="18.75" customHeight="1" x14ac:dyDescent="0.25">
      <c r="A2" s="748"/>
      <c r="B2" s="748"/>
      <c r="C2" s="748"/>
      <c r="D2" s="62"/>
      <c r="E2" s="62"/>
      <c r="F2" s="699"/>
      <c r="G2" s="714" t="s">
        <v>0</v>
      </c>
      <c r="H2" s="714"/>
    </row>
    <row r="3" spans="1:8" ht="15.75" x14ac:dyDescent="0.25">
      <c r="A3" s="62"/>
      <c r="B3" s="62"/>
      <c r="C3" s="62"/>
      <c r="D3" s="62"/>
      <c r="E3" s="62"/>
      <c r="F3" s="699"/>
      <c r="G3" s="714" t="s">
        <v>1808</v>
      </c>
      <c r="H3" s="714"/>
    </row>
    <row r="4" spans="1:8" ht="15.75" x14ac:dyDescent="0.25">
      <c r="A4" s="62"/>
      <c r="B4" s="62"/>
      <c r="C4" s="62"/>
      <c r="D4" s="62"/>
      <c r="E4" s="62"/>
      <c r="F4" s="62"/>
      <c r="G4" s="691"/>
      <c r="H4" s="691"/>
    </row>
    <row r="5" spans="1:8" ht="15.75" x14ac:dyDescent="0.25">
      <c r="A5" s="62"/>
      <c r="B5" s="62"/>
      <c r="C5" s="62"/>
      <c r="D5" s="62"/>
      <c r="E5" s="62"/>
      <c r="F5" s="62"/>
      <c r="G5" s="691"/>
      <c r="H5" s="691"/>
    </row>
    <row r="6" spans="1:8" ht="14.45" customHeight="1" x14ac:dyDescent="0.25">
      <c r="A6" s="728" t="s">
        <v>1821</v>
      </c>
      <c r="B6" s="728"/>
      <c r="C6" s="728"/>
      <c r="D6" s="728"/>
      <c r="E6" s="728"/>
      <c r="F6" s="728"/>
      <c r="G6" s="728"/>
      <c r="H6" s="728"/>
    </row>
    <row r="7" spans="1:8" ht="14.45" customHeight="1" x14ac:dyDescent="0.25">
      <c r="A7" s="728"/>
      <c r="B7" s="728"/>
      <c r="C7" s="728"/>
      <c r="D7" s="728"/>
      <c r="E7" s="728"/>
      <c r="F7" s="728"/>
      <c r="G7" s="728"/>
      <c r="H7" s="728"/>
    </row>
    <row r="8" spans="1:8" ht="16.5" x14ac:dyDescent="0.25">
      <c r="A8" s="238"/>
      <c r="B8" s="238"/>
      <c r="C8" s="238"/>
      <c r="D8" s="238"/>
      <c r="E8" s="238"/>
      <c r="F8" s="238"/>
      <c r="G8" s="403"/>
      <c r="H8" s="403"/>
    </row>
    <row r="9" spans="1:8" ht="15.75" x14ac:dyDescent="0.25">
      <c r="A9" s="62"/>
      <c r="B9" s="62"/>
      <c r="C9" s="62"/>
      <c r="D9" s="62"/>
      <c r="E9" s="62"/>
      <c r="F9" s="64"/>
      <c r="G9" s="698"/>
      <c r="H9" s="698" t="s">
        <v>1</v>
      </c>
    </row>
    <row r="10" spans="1:8" ht="53.65" customHeight="1" x14ac:dyDescent="0.25">
      <c r="A10" s="66" t="s">
        <v>592</v>
      </c>
      <c r="B10" s="66" t="s">
        <v>1092</v>
      </c>
      <c r="C10" s="66" t="s">
        <v>1090</v>
      </c>
      <c r="D10" s="66" t="s">
        <v>113</v>
      </c>
      <c r="E10" s="66" t="s">
        <v>1091</v>
      </c>
      <c r="F10" s="66" t="s">
        <v>111</v>
      </c>
      <c r="G10" s="404" t="s">
        <v>1290</v>
      </c>
      <c r="H10" s="404" t="s">
        <v>1783</v>
      </c>
    </row>
    <row r="11" spans="1:8" ht="33.4" customHeight="1" x14ac:dyDescent="0.25">
      <c r="A11" s="579" t="s">
        <v>246</v>
      </c>
      <c r="B11" s="580" t="s">
        <v>881</v>
      </c>
      <c r="C11" s="66"/>
      <c r="D11" s="66"/>
      <c r="E11" s="66"/>
      <c r="F11" s="66"/>
      <c r="G11" s="404">
        <f t="shared" ref="G11:H14" si="0">G12</f>
        <v>9913.5</v>
      </c>
      <c r="H11" s="404">
        <f t="shared" si="0"/>
        <v>9913.5</v>
      </c>
    </row>
    <row r="12" spans="1:8" ht="18.399999999999999" customHeight="1" x14ac:dyDescent="0.25">
      <c r="A12" s="579" t="s">
        <v>243</v>
      </c>
      <c r="B12" s="580" t="s">
        <v>881</v>
      </c>
      <c r="C12" s="66">
        <v>10</v>
      </c>
      <c r="D12" s="66"/>
      <c r="E12" s="66"/>
      <c r="F12" s="66"/>
      <c r="G12" s="404">
        <f t="shared" si="0"/>
        <v>9913.5</v>
      </c>
      <c r="H12" s="404">
        <f t="shared" si="0"/>
        <v>9913.5</v>
      </c>
    </row>
    <row r="13" spans="1:8" ht="18.399999999999999" customHeight="1" x14ac:dyDescent="0.25">
      <c r="A13" s="579" t="s">
        <v>245</v>
      </c>
      <c r="B13" s="580" t="s">
        <v>881</v>
      </c>
      <c r="C13" s="66">
        <v>10</v>
      </c>
      <c r="D13" s="573" t="s">
        <v>118</v>
      </c>
      <c r="E13" s="66"/>
      <c r="F13" s="66"/>
      <c r="G13" s="404">
        <f t="shared" si="0"/>
        <v>9913.5</v>
      </c>
      <c r="H13" s="404">
        <f t="shared" si="0"/>
        <v>9913.5</v>
      </c>
    </row>
    <row r="14" spans="1:8" ht="28.15" customHeight="1" x14ac:dyDescent="0.25">
      <c r="A14" s="29" t="s">
        <v>248</v>
      </c>
      <c r="B14" s="580" t="s">
        <v>881</v>
      </c>
      <c r="C14" s="66">
        <v>10</v>
      </c>
      <c r="D14" s="573" t="s">
        <v>118</v>
      </c>
      <c r="E14" s="66">
        <v>300</v>
      </c>
      <c r="F14" s="66"/>
      <c r="G14" s="404">
        <f t="shared" si="0"/>
        <v>9913.5</v>
      </c>
      <c r="H14" s="404">
        <f t="shared" si="0"/>
        <v>9913.5</v>
      </c>
    </row>
    <row r="15" spans="1:8" ht="34.700000000000003" customHeight="1" x14ac:dyDescent="0.25">
      <c r="A15" s="579" t="s">
        <v>348</v>
      </c>
      <c r="B15" s="580" t="s">
        <v>881</v>
      </c>
      <c r="C15" s="66">
        <v>10</v>
      </c>
      <c r="D15" s="573" t="s">
        <v>118</v>
      </c>
      <c r="E15" s="66">
        <v>310</v>
      </c>
      <c r="F15" s="66"/>
      <c r="G15" s="404">
        <f>'Пр.4.1 ведом.23-24 '!G226</f>
        <v>9913.5</v>
      </c>
      <c r="H15" s="404">
        <f>'Пр.4.1 ведом.23-24 '!H226</f>
        <v>9913.5</v>
      </c>
    </row>
    <row r="16" spans="1:8" ht="37.35" customHeight="1" x14ac:dyDescent="0.25">
      <c r="A16" s="364" t="s">
        <v>148</v>
      </c>
      <c r="B16" s="580" t="s">
        <v>881</v>
      </c>
      <c r="C16" s="66">
        <v>10</v>
      </c>
      <c r="D16" s="573" t="s">
        <v>118</v>
      </c>
      <c r="E16" s="66">
        <v>310</v>
      </c>
      <c r="F16" s="66">
        <v>902</v>
      </c>
      <c r="G16" s="404">
        <f>G11</f>
        <v>9913.5</v>
      </c>
      <c r="H16" s="404">
        <f>H11</f>
        <v>9913.5</v>
      </c>
    </row>
    <row r="17" spans="1:8" ht="63" hidden="1" x14ac:dyDescent="0.25">
      <c r="A17" s="231" t="s">
        <v>1034</v>
      </c>
      <c r="B17" s="580" t="s">
        <v>1047</v>
      </c>
      <c r="C17" s="573"/>
      <c r="D17" s="573"/>
      <c r="E17" s="573"/>
      <c r="F17" s="5"/>
      <c r="G17" s="489">
        <f t="shared" ref="G17:H21" si="1">G18</f>
        <v>0</v>
      </c>
      <c r="H17" s="489">
        <f t="shared" si="1"/>
        <v>0</v>
      </c>
    </row>
    <row r="18" spans="1:8" ht="15.75" hidden="1" x14ac:dyDescent="0.25">
      <c r="A18" s="45" t="s">
        <v>263</v>
      </c>
      <c r="B18" s="580" t="s">
        <v>1047</v>
      </c>
      <c r="C18" s="573" t="s">
        <v>264</v>
      </c>
      <c r="D18" s="573"/>
      <c r="E18" s="194"/>
      <c r="F18" s="5"/>
      <c r="G18" s="489">
        <f t="shared" si="1"/>
        <v>0</v>
      </c>
      <c r="H18" s="489">
        <f t="shared" si="1"/>
        <v>0</v>
      </c>
    </row>
    <row r="19" spans="1:8" ht="31.5" hidden="1" x14ac:dyDescent="0.25">
      <c r="A19" s="45" t="s">
        <v>466</v>
      </c>
      <c r="B19" s="580" t="s">
        <v>1047</v>
      </c>
      <c r="C19" s="573" t="s">
        <v>264</v>
      </c>
      <c r="D19" s="573" t="s">
        <v>264</v>
      </c>
      <c r="E19" s="194"/>
      <c r="F19" s="5"/>
      <c r="G19" s="489">
        <f t="shared" si="1"/>
        <v>0</v>
      </c>
      <c r="H19" s="489">
        <f t="shared" si="1"/>
        <v>0</v>
      </c>
    </row>
    <row r="20" spans="1:8" ht="31.5" hidden="1" x14ac:dyDescent="0.25">
      <c r="A20" s="29" t="s">
        <v>248</v>
      </c>
      <c r="B20" s="580" t="s">
        <v>1047</v>
      </c>
      <c r="C20" s="573" t="s">
        <v>264</v>
      </c>
      <c r="D20" s="573" t="s">
        <v>264</v>
      </c>
      <c r="E20" s="573" t="s">
        <v>249</v>
      </c>
      <c r="F20" s="5"/>
      <c r="G20" s="489">
        <f t="shared" si="1"/>
        <v>0</v>
      </c>
      <c r="H20" s="489">
        <f t="shared" si="1"/>
        <v>0</v>
      </c>
    </row>
    <row r="21" spans="1:8" ht="38.1" hidden="1" customHeight="1" x14ac:dyDescent="0.25">
      <c r="A21" s="29" t="s">
        <v>1196</v>
      </c>
      <c r="B21" s="580" t="s">
        <v>1047</v>
      </c>
      <c r="C21" s="573" t="s">
        <v>264</v>
      </c>
      <c r="D21" s="573" t="s">
        <v>264</v>
      </c>
      <c r="E21" s="573" t="s">
        <v>1195</v>
      </c>
      <c r="F21" s="5"/>
      <c r="G21" s="489">
        <f t="shared" si="1"/>
        <v>0</v>
      </c>
      <c r="H21" s="489">
        <f t="shared" si="1"/>
        <v>0</v>
      </c>
    </row>
    <row r="22" spans="1:8" ht="46.9" hidden="1" customHeight="1" x14ac:dyDescent="0.25">
      <c r="A22" s="45" t="s">
        <v>658</v>
      </c>
      <c r="B22" s="580" t="s">
        <v>1047</v>
      </c>
      <c r="C22" s="573" t="s">
        <v>264</v>
      </c>
      <c r="D22" s="573" t="s">
        <v>264</v>
      </c>
      <c r="E22" s="573" t="s">
        <v>1195</v>
      </c>
      <c r="F22" s="5">
        <v>903</v>
      </c>
      <c r="G22" s="489"/>
      <c r="H22" s="489"/>
    </row>
    <row r="23" spans="1:8" ht="18.399999999999999" customHeight="1" x14ac:dyDescent="0.25">
      <c r="A23" s="579" t="s">
        <v>1036</v>
      </c>
      <c r="B23" s="580" t="s">
        <v>908</v>
      </c>
      <c r="C23" s="573"/>
      <c r="D23" s="573"/>
      <c r="E23" s="573"/>
      <c r="F23" s="5"/>
      <c r="G23" s="489">
        <f t="shared" ref="G23:H26" si="2">G24</f>
        <v>420</v>
      </c>
      <c r="H23" s="489">
        <f t="shared" si="2"/>
        <v>420</v>
      </c>
    </row>
    <row r="24" spans="1:8" ht="20.25" customHeight="1" x14ac:dyDescent="0.25">
      <c r="A24" s="579" t="s">
        <v>1084</v>
      </c>
      <c r="B24" s="580" t="s">
        <v>908</v>
      </c>
      <c r="C24" s="573" t="s">
        <v>244</v>
      </c>
      <c r="D24" s="573"/>
      <c r="E24" s="573"/>
      <c r="F24" s="5"/>
      <c r="G24" s="489">
        <f t="shared" si="2"/>
        <v>420</v>
      </c>
      <c r="H24" s="489">
        <f t="shared" si="2"/>
        <v>420</v>
      </c>
    </row>
    <row r="25" spans="1:8" ht="19.7" customHeight="1" x14ac:dyDescent="0.25">
      <c r="A25" s="29" t="s">
        <v>252</v>
      </c>
      <c r="B25" s="580" t="s">
        <v>908</v>
      </c>
      <c r="C25" s="573" t="s">
        <v>244</v>
      </c>
      <c r="D25" s="573" t="s">
        <v>215</v>
      </c>
      <c r="E25" s="573"/>
      <c r="F25" s="5"/>
      <c r="G25" s="489">
        <f t="shared" si="2"/>
        <v>420</v>
      </c>
      <c r="H25" s="489">
        <f t="shared" si="2"/>
        <v>420</v>
      </c>
    </row>
    <row r="26" spans="1:8" ht="33.75" customHeight="1" x14ac:dyDescent="0.25">
      <c r="A26" s="579" t="s">
        <v>248</v>
      </c>
      <c r="B26" s="580" t="s">
        <v>908</v>
      </c>
      <c r="C26" s="573" t="s">
        <v>244</v>
      </c>
      <c r="D26" s="573" t="s">
        <v>215</v>
      </c>
      <c r="E26" s="573" t="s">
        <v>249</v>
      </c>
      <c r="F26" s="5"/>
      <c r="G26" s="489">
        <f t="shared" si="2"/>
        <v>420</v>
      </c>
      <c r="H26" s="489">
        <f t="shared" si="2"/>
        <v>420</v>
      </c>
    </row>
    <row r="27" spans="1:8" ht="31.9" customHeight="1" x14ac:dyDescent="0.25">
      <c r="A27" s="579" t="s">
        <v>348</v>
      </c>
      <c r="B27" s="580" t="s">
        <v>908</v>
      </c>
      <c r="C27" s="573" t="s">
        <v>244</v>
      </c>
      <c r="D27" s="573" t="s">
        <v>215</v>
      </c>
      <c r="E27" s="573" t="s">
        <v>349</v>
      </c>
      <c r="F27" s="5"/>
      <c r="G27" s="489">
        <f>'Пр.4.1 ведом.23-24 '!G498</f>
        <v>420</v>
      </c>
      <c r="H27" s="489">
        <f>'Пр.4.1 ведом.23-24 '!H498</f>
        <v>420</v>
      </c>
    </row>
    <row r="28" spans="1:8" ht="55.7" customHeight="1" x14ac:dyDescent="0.25">
      <c r="A28" s="45" t="s">
        <v>658</v>
      </c>
      <c r="B28" s="580" t="s">
        <v>908</v>
      </c>
      <c r="C28" s="573" t="s">
        <v>244</v>
      </c>
      <c r="D28" s="573" t="s">
        <v>215</v>
      </c>
      <c r="E28" s="573" t="s">
        <v>349</v>
      </c>
      <c r="F28" s="5">
        <v>903</v>
      </c>
      <c r="G28" s="489">
        <f>'Пр.4 ведом.22'!G497</f>
        <v>420</v>
      </c>
      <c r="H28" s="489">
        <f>'Пр.4 ведом.22'!H497</f>
        <v>0</v>
      </c>
    </row>
    <row r="29" spans="1:8" ht="61.15" customHeight="1" x14ac:dyDescent="0.25">
      <c r="A29" s="98" t="s">
        <v>1039</v>
      </c>
      <c r="B29" s="580" t="s">
        <v>910</v>
      </c>
      <c r="C29" s="573"/>
      <c r="D29" s="573"/>
      <c r="E29" s="573"/>
      <c r="F29" s="5"/>
      <c r="G29" s="489">
        <f t="shared" ref="G29:H32" si="3">G30</f>
        <v>630</v>
      </c>
      <c r="H29" s="489">
        <f t="shared" si="3"/>
        <v>630</v>
      </c>
    </row>
    <row r="30" spans="1:8" ht="15.75" x14ac:dyDescent="0.25">
      <c r="A30" s="80" t="s">
        <v>243</v>
      </c>
      <c r="B30" s="580" t="s">
        <v>910</v>
      </c>
      <c r="C30" s="9" t="s">
        <v>244</v>
      </c>
      <c r="D30" s="9"/>
      <c r="E30" s="9"/>
      <c r="F30" s="9"/>
      <c r="G30" s="10">
        <f t="shared" si="3"/>
        <v>630</v>
      </c>
      <c r="H30" s="10">
        <f t="shared" si="3"/>
        <v>630</v>
      </c>
    </row>
    <row r="31" spans="1:8" ht="19.149999999999999" customHeight="1" x14ac:dyDescent="0.25">
      <c r="A31" s="29" t="s">
        <v>252</v>
      </c>
      <c r="B31" s="580" t="s">
        <v>910</v>
      </c>
      <c r="C31" s="573" t="s">
        <v>244</v>
      </c>
      <c r="D31" s="573" t="s">
        <v>215</v>
      </c>
      <c r="E31" s="573"/>
      <c r="F31" s="5"/>
      <c r="G31" s="489">
        <f t="shared" si="3"/>
        <v>630</v>
      </c>
      <c r="H31" s="489">
        <f t="shared" si="3"/>
        <v>630</v>
      </c>
    </row>
    <row r="32" spans="1:8" ht="31.5" x14ac:dyDescent="0.25">
      <c r="A32" s="29" t="s">
        <v>248</v>
      </c>
      <c r="B32" s="580" t="s">
        <v>910</v>
      </c>
      <c r="C32" s="573" t="s">
        <v>244</v>
      </c>
      <c r="D32" s="573" t="s">
        <v>215</v>
      </c>
      <c r="E32" s="573" t="s">
        <v>249</v>
      </c>
      <c r="F32" s="5"/>
      <c r="G32" s="489">
        <f t="shared" si="3"/>
        <v>630</v>
      </c>
      <c r="H32" s="489">
        <f t="shared" si="3"/>
        <v>630</v>
      </c>
    </row>
    <row r="33" spans="1:8" ht="31.5" x14ac:dyDescent="0.25">
      <c r="A33" s="29" t="s">
        <v>348</v>
      </c>
      <c r="B33" s="580" t="s">
        <v>910</v>
      </c>
      <c r="C33" s="573" t="s">
        <v>244</v>
      </c>
      <c r="D33" s="573" t="s">
        <v>215</v>
      </c>
      <c r="E33" s="81" t="s">
        <v>349</v>
      </c>
      <c r="F33" s="5"/>
      <c r="G33" s="489">
        <f>'Пр.4.1 ведом.23-24 '!G488</f>
        <v>630</v>
      </c>
      <c r="H33" s="489">
        <f>'Пр.4.1 ведом.23-24 '!H488</f>
        <v>630</v>
      </c>
    </row>
    <row r="34" spans="1:8" ht="46.9" customHeight="1" x14ac:dyDescent="0.25">
      <c r="A34" s="45" t="s">
        <v>658</v>
      </c>
      <c r="B34" s="580" t="s">
        <v>910</v>
      </c>
      <c r="C34" s="573" t="s">
        <v>244</v>
      </c>
      <c r="D34" s="573" t="s">
        <v>215</v>
      </c>
      <c r="E34" s="81" t="s">
        <v>349</v>
      </c>
      <c r="F34" s="5">
        <v>903</v>
      </c>
      <c r="G34" s="489">
        <f>'Пр.4 ведом.22'!G487</f>
        <v>630</v>
      </c>
      <c r="H34" s="489">
        <f>'Пр.4 ведом.22'!H487</f>
        <v>0</v>
      </c>
    </row>
    <row r="35" spans="1:8" ht="31.5" x14ac:dyDescent="0.25">
      <c r="A35" s="579" t="s">
        <v>998</v>
      </c>
      <c r="B35" s="580" t="s">
        <v>911</v>
      </c>
      <c r="C35" s="573"/>
      <c r="D35" s="573"/>
      <c r="E35" s="573"/>
      <c r="F35" s="5"/>
      <c r="G35" s="489">
        <f t="shared" ref="G35:H38" si="4">G36</f>
        <v>257</v>
      </c>
      <c r="H35" s="489">
        <f t="shared" si="4"/>
        <v>257</v>
      </c>
    </row>
    <row r="36" spans="1:8" ht="15.75" x14ac:dyDescent="0.25">
      <c r="A36" s="80" t="s">
        <v>243</v>
      </c>
      <c r="B36" s="580" t="s">
        <v>911</v>
      </c>
      <c r="C36" s="573" t="s">
        <v>244</v>
      </c>
      <c r="D36" s="573"/>
      <c r="E36" s="573"/>
      <c r="F36" s="5"/>
      <c r="G36" s="489">
        <f t="shared" si="4"/>
        <v>257</v>
      </c>
      <c r="H36" s="489">
        <f t="shared" si="4"/>
        <v>257</v>
      </c>
    </row>
    <row r="37" spans="1:8" ht="17.649999999999999" customHeight="1" x14ac:dyDescent="0.25">
      <c r="A37" s="29" t="s">
        <v>252</v>
      </c>
      <c r="B37" s="580" t="s">
        <v>911</v>
      </c>
      <c r="C37" s="573" t="s">
        <v>244</v>
      </c>
      <c r="D37" s="573" t="s">
        <v>215</v>
      </c>
      <c r="E37" s="573"/>
      <c r="F37" s="5"/>
      <c r="G37" s="489">
        <f t="shared" si="4"/>
        <v>257</v>
      </c>
      <c r="H37" s="489">
        <f t="shared" si="4"/>
        <v>257</v>
      </c>
    </row>
    <row r="38" spans="1:8" ht="31.5" x14ac:dyDescent="0.25">
      <c r="A38" s="29" t="s">
        <v>248</v>
      </c>
      <c r="B38" s="580" t="s">
        <v>911</v>
      </c>
      <c r="C38" s="573" t="s">
        <v>244</v>
      </c>
      <c r="D38" s="573" t="s">
        <v>215</v>
      </c>
      <c r="E38" s="573" t="s">
        <v>249</v>
      </c>
      <c r="F38" s="5"/>
      <c r="G38" s="489">
        <f t="shared" si="4"/>
        <v>257</v>
      </c>
      <c r="H38" s="489">
        <f t="shared" si="4"/>
        <v>257</v>
      </c>
    </row>
    <row r="39" spans="1:8" ht="31.5" x14ac:dyDescent="0.25">
      <c r="A39" s="29" t="s">
        <v>348</v>
      </c>
      <c r="B39" s="580" t="s">
        <v>911</v>
      </c>
      <c r="C39" s="573" t="s">
        <v>244</v>
      </c>
      <c r="D39" s="573" t="s">
        <v>215</v>
      </c>
      <c r="E39" s="573" t="s">
        <v>349</v>
      </c>
      <c r="F39" s="5"/>
      <c r="G39" s="489">
        <f>'Пр.4.1 ведом.23-24 '!G494</f>
        <v>257</v>
      </c>
      <c r="H39" s="489">
        <f>'Пр.4.1 ведом.23-24 '!H494</f>
        <v>257</v>
      </c>
    </row>
    <row r="40" spans="1:8" ht="57.2" customHeight="1" x14ac:dyDescent="0.25">
      <c r="A40" s="45" t="s">
        <v>658</v>
      </c>
      <c r="B40" s="580" t="s">
        <v>911</v>
      </c>
      <c r="C40" s="573" t="s">
        <v>244</v>
      </c>
      <c r="D40" s="573" t="s">
        <v>215</v>
      </c>
      <c r="E40" s="573" t="s">
        <v>349</v>
      </c>
      <c r="F40" s="5">
        <v>903</v>
      </c>
      <c r="G40" s="489">
        <f>'Пр.4 ведом.22'!G493</f>
        <v>257</v>
      </c>
      <c r="H40" s="489">
        <f>'Пр.4 ведом.22'!H493</f>
        <v>0</v>
      </c>
    </row>
    <row r="41" spans="1:8" ht="63" hidden="1" x14ac:dyDescent="0.25">
      <c r="A41" s="579" t="s">
        <v>1040</v>
      </c>
      <c r="B41" s="580" t="s">
        <v>912</v>
      </c>
      <c r="C41" s="573"/>
      <c r="D41" s="573"/>
      <c r="E41" s="573"/>
      <c r="F41" s="5"/>
      <c r="G41" s="489">
        <f t="shared" ref="G41:H44" si="5">G42</f>
        <v>0</v>
      </c>
      <c r="H41" s="489">
        <f t="shared" si="5"/>
        <v>0</v>
      </c>
    </row>
    <row r="42" spans="1:8" ht="15.75" hidden="1" x14ac:dyDescent="0.25">
      <c r="A42" s="80" t="s">
        <v>243</v>
      </c>
      <c r="B42" s="580" t="s">
        <v>912</v>
      </c>
      <c r="C42" s="573" t="s">
        <v>244</v>
      </c>
      <c r="D42" s="573"/>
      <c r="E42" s="573"/>
      <c r="F42" s="5"/>
      <c r="G42" s="489">
        <f t="shared" si="5"/>
        <v>0</v>
      </c>
      <c r="H42" s="489">
        <f t="shared" si="5"/>
        <v>0</v>
      </c>
    </row>
    <row r="43" spans="1:8" ht="15.75" hidden="1" x14ac:dyDescent="0.25">
      <c r="A43" s="29" t="s">
        <v>252</v>
      </c>
      <c r="B43" s="580" t="s">
        <v>912</v>
      </c>
      <c r="C43" s="573" t="s">
        <v>244</v>
      </c>
      <c r="D43" s="573" t="s">
        <v>215</v>
      </c>
      <c r="E43" s="573"/>
      <c r="F43" s="5">
        <v>903</v>
      </c>
      <c r="G43" s="489">
        <f t="shared" si="5"/>
        <v>0</v>
      </c>
      <c r="H43" s="489">
        <f t="shared" si="5"/>
        <v>0</v>
      </c>
    </row>
    <row r="44" spans="1:8" ht="31.5" hidden="1" x14ac:dyDescent="0.25">
      <c r="A44" s="29" t="s">
        <v>248</v>
      </c>
      <c r="B44" s="580" t="s">
        <v>912</v>
      </c>
      <c r="C44" s="573" t="s">
        <v>244</v>
      </c>
      <c r="D44" s="573" t="s">
        <v>215</v>
      </c>
      <c r="E44" s="573" t="s">
        <v>249</v>
      </c>
      <c r="F44" s="5">
        <v>903</v>
      </c>
      <c r="G44" s="489">
        <f t="shared" si="5"/>
        <v>0</v>
      </c>
      <c r="H44" s="489">
        <f t="shared" si="5"/>
        <v>0</v>
      </c>
    </row>
    <row r="45" spans="1:8" ht="31.5" hidden="1" x14ac:dyDescent="0.25">
      <c r="A45" s="29" t="s">
        <v>348</v>
      </c>
      <c r="B45" s="580" t="s">
        <v>912</v>
      </c>
      <c r="C45" s="573" t="s">
        <v>244</v>
      </c>
      <c r="D45" s="573" t="s">
        <v>215</v>
      </c>
      <c r="E45" s="573" t="s">
        <v>349</v>
      </c>
      <c r="F45" s="5">
        <v>903</v>
      </c>
      <c r="G45" s="489"/>
      <c r="H45" s="489"/>
    </row>
    <row r="46" spans="1:8" ht="47.25" hidden="1" x14ac:dyDescent="0.25">
      <c r="A46" s="45" t="s">
        <v>658</v>
      </c>
      <c r="B46" s="580" t="s">
        <v>912</v>
      </c>
      <c r="C46" s="573" t="s">
        <v>244</v>
      </c>
      <c r="D46" s="573" t="s">
        <v>215</v>
      </c>
      <c r="E46" s="573" t="s">
        <v>349</v>
      </c>
      <c r="F46" s="5">
        <v>903</v>
      </c>
      <c r="G46" s="489"/>
      <c r="H46" s="489"/>
    </row>
    <row r="47" spans="1:8" ht="15.75" x14ac:dyDescent="0.25">
      <c r="A47" s="572" t="s">
        <v>657</v>
      </c>
      <c r="B47" s="239"/>
      <c r="C47" s="239"/>
      <c r="D47" s="239"/>
      <c r="E47" s="239"/>
      <c r="F47" s="572"/>
      <c r="G47" s="59">
        <f>G17+G23+G29+G35+G41+G11</f>
        <v>11220.5</v>
      </c>
      <c r="H47" s="59">
        <f>H17+H23+H29+H35+H41+H11</f>
        <v>11220.5</v>
      </c>
    </row>
  </sheetData>
  <mergeCells count="5">
    <mergeCell ref="A1:C2"/>
    <mergeCell ref="G1:H1"/>
    <mergeCell ref="G2:H2"/>
    <mergeCell ref="G3:H3"/>
    <mergeCell ref="A6:H7"/>
  </mergeCells>
  <pageMargins left="0.23622047244094491" right="0.23622047244094491" top="0.74803149606299213" bottom="0.74803149606299213" header="0.31496062992125984" footer="0.31496062992125984"/>
  <pageSetup paperSize="9" scale="8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4"/>
  <sheetViews>
    <sheetView topLeftCell="A7" zoomScale="75" zoomScaleNormal="75" workbookViewId="0">
      <pane xSplit="3" topLeftCell="J1" activePane="topRight" state="frozen"/>
      <selection pane="topRight" activeCell="S11" sqref="S11"/>
    </sheetView>
  </sheetViews>
  <sheetFormatPr defaultRowHeight="15" x14ac:dyDescent="0.25"/>
  <cols>
    <col min="1" max="1" width="6.7109375" style="121" bestFit="1" customWidth="1"/>
    <col min="2" max="2" width="19" style="564" customWidth="1"/>
    <col min="3" max="3" width="45" style="562" customWidth="1"/>
    <col min="4" max="4" width="12" style="562" customWidth="1"/>
    <col min="5" max="5" width="9.85546875" style="562" customWidth="1"/>
    <col min="6" max="6" width="9" style="562" customWidth="1"/>
    <col min="7" max="8" width="11.85546875" style="562" customWidth="1"/>
    <col min="9" max="9" width="11.42578125" style="568" customWidth="1"/>
    <col min="10" max="10" width="9.28515625" style="561" bestFit="1" customWidth="1"/>
    <col min="11" max="14" width="9" style="561" bestFit="1" customWidth="1"/>
    <col min="15" max="15" width="9.42578125" style="561" bestFit="1" customWidth="1"/>
    <col min="16" max="18" width="8.85546875" style="561"/>
  </cols>
  <sheetData>
    <row r="1" spans="1:21" s="565" customFormat="1" ht="15.75" x14ac:dyDescent="0.25">
      <c r="A1" s="564"/>
      <c r="B1" s="564"/>
      <c r="C1" s="562"/>
      <c r="D1" s="562"/>
      <c r="E1" s="562"/>
      <c r="F1" s="562"/>
      <c r="G1" s="562"/>
      <c r="H1" s="562"/>
      <c r="I1" s="567"/>
      <c r="J1" s="563"/>
      <c r="K1" s="563"/>
      <c r="L1" s="563"/>
      <c r="M1" s="563"/>
      <c r="N1" s="563"/>
      <c r="O1" s="563"/>
      <c r="P1" s="563"/>
      <c r="Q1" s="563"/>
      <c r="R1" s="563"/>
    </row>
    <row r="2" spans="1:21" ht="42" customHeight="1" x14ac:dyDescent="0.25">
      <c r="A2" s="755" t="s">
        <v>1732</v>
      </c>
      <c r="B2" s="755" t="s">
        <v>114</v>
      </c>
      <c r="C2" s="759"/>
      <c r="D2" s="756">
        <v>2022</v>
      </c>
      <c r="E2" s="757"/>
      <c r="F2" s="757"/>
      <c r="G2" s="757"/>
      <c r="H2" s="757"/>
      <c r="I2" s="758"/>
      <c r="J2" s="759">
        <v>2023</v>
      </c>
      <c r="K2" s="759"/>
      <c r="L2" s="759"/>
      <c r="M2" s="759"/>
      <c r="N2" s="759"/>
      <c r="O2" s="759"/>
      <c r="P2" s="759">
        <v>2024</v>
      </c>
      <c r="Q2" s="759"/>
      <c r="R2" s="759"/>
      <c r="S2" s="759"/>
      <c r="T2" s="759"/>
      <c r="U2" s="759"/>
    </row>
    <row r="3" spans="1:21" s="487" customFormat="1" ht="28.15" customHeight="1" x14ac:dyDescent="0.25">
      <c r="A3" s="755"/>
      <c r="B3" s="755"/>
      <c r="C3" s="759"/>
      <c r="D3" s="566" t="s">
        <v>1730</v>
      </c>
      <c r="E3" s="566" t="s">
        <v>1731</v>
      </c>
      <c r="F3" s="566" t="s">
        <v>1733</v>
      </c>
      <c r="G3" s="566" t="s">
        <v>588</v>
      </c>
      <c r="H3" s="642" t="s">
        <v>1735</v>
      </c>
      <c r="I3" s="643" t="s">
        <v>1734</v>
      </c>
      <c r="J3" s="639" t="s">
        <v>1730</v>
      </c>
      <c r="K3" s="639" t="s">
        <v>1731</v>
      </c>
      <c r="L3" s="639" t="s">
        <v>1733</v>
      </c>
      <c r="M3" s="639" t="s">
        <v>588</v>
      </c>
      <c r="N3" s="644" t="s">
        <v>1735</v>
      </c>
      <c r="O3" s="641" t="s">
        <v>1734</v>
      </c>
      <c r="P3" s="639" t="s">
        <v>1730</v>
      </c>
      <c r="Q3" s="639" t="s">
        <v>1731</v>
      </c>
      <c r="R3" s="639" t="s">
        <v>1733</v>
      </c>
      <c r="S3" s="639" t="s">
        <v>588</v>
      </c>
      <c r="T3" s="644" t="s">
        <v>1735</v>
      </c>
      <c r="U3" s="641" t="s">
        <v>1734</v>
      </c>
    </row>
    <row r="4" spans="1:21" ht="78.75" x14ac:dyDescent="0.25">
      <c r="A4" s="589" t="s">
        <v>1408</v>
      </c>
      <c r="B4" s="589" t="s">
        <v>1471</v>
      </c>
      <c r="C4" s="598" t="s">
        <v>1729</v>
      </c>
      <c r="D4" s="592">
        <f>E4+F4+G4</f>
        <v>1845.7645764576457</v>
      </c>
      <c r="E4" s="592">
        <f>1677.8-1644.2</f>
        <v>33.599999999999909</v>
      </c>
      <c r="F4" s="592">
        <v>1644.2</v>
      </c>
      <c r="G4" s="592">
        <f>I4-E4-F4</f>
        <v>167.96457645764576</v>
      </c>
      <c r="H4" s="640">
        <v>9.1</v>
      </c>
      <c r="I4" s="641">
        <f t="shared" ref="I4:I10" si="0">(E4+F4)*100/90.9</f>
        <v>1845.7645764576457</v>
      </c>
      <c r="J4" s="592">
        <f>K4+L4+M4</f>
        <v>2469.8569856985696</v>
      </c>
      <c r="K4" s="592">
        <f>2245.1-2200.1</f>
        <v>45</v>
      </c>
      <c r="L4" s="592">
        <v>2200.1</v>
      </c>
      <c r="M4" s="592">
        <f>O4-K4-L4</f>
        <v>224.75698569856968</v>
      </c>
      <c r="N4" s="640">
        <v>9.1</v>
      </c>
      <c r="O4" s="641">
        <f t="shared" ref="O4" si="1">(K4+L4)*100/90.9</f>
        <v>2469.8569856985696</v>
      </c>
      <c r="P4" s="592">
        <f>Q4+R4+S4</f>
        <v>0</v>
      </c>
      <c r="Q4" s="592"/>
      <c r="R4" s="592"/>
      <c r="S4" s="592">
        <f>U4-Q4-R4</f>
        <v>0</v>
      </c>
      <c r="T4" s="640">
        <v>9.1</v>
      </c>
      <c r="U4" s="641">
        <f t="shared" ref="U4" si="2">(Q4+R4)*100/90.9</f>
        <v>0</v>
      </c>
    </row>
    <row r="5" spans="1:21" s="569" customFormat="1" ht="31.5" x14ac:dyDescent="0.25">
      <c r="A5" s="589" t="s">
        <v>1287</v>
      </c>
      <c r="B5" s="594" t="s">
        <v>1214</v>
      </c>
      <c r="C5" s="596" t="s">
        <v>1186</v>
      </c>
      <c r="D5" s="592">
        <f t="shared" ref="D5:D6" si="3">E5+F5+G5</f>
        <v>123.65236523652365</v>
      </c>
      <c r="E5" s="593">
        <f>112.4-100</f>
        <v>12.400000000000006</v>
      </c>
      <c r="F5" s="593">
        <v>100</v>
      </c>
      <c r="G5" s="593">
        <f>I5-E5-F5</f>
        <v>11.252365236523644</v>
      </c>
      <c r="H5" s="640">
        <v>9.1</v>
      </c>
      <c r="I5" s="641">
        <f>(E5+F5)*100/90.9</f>
        <v>123.65236523652365</v>
      </c>
      <c r="J5" s="592">
        <f t="shared" ref="J5:J6" si="4">K5+L5+M5</f>
        <v>0</v>
      </c>
      <c r="K5" s="593"/>
      <c r="L5" s="593"/>
      <c r="M5" s="593">
        <f t="shared" ref="M5:M6" si="5">O5-K5-L5</f>
        <v>0</v>
      </c>
      <c r="N5" s="640">
        <v>9.1</v>
      </c>
      <c r="O5" s="641">
        <f>(K5+L5)*100/90.9</f>
        <v>0</v>
      </c>
      <c r="P5" s="592">
        <f t="shared" ref="P5:P6" si="6">Q5+R5+S5</f>
        <v>0</v>
      </c>
      <c r="Q5" s="593"/>
      <c r="R5" s="593"/>
      <c r="S5" s="593">
        <f t="shared" ref="S5:S6" si="7">U5-Q5-R5</f>
        <v>0</v>
      </c>
      <c r="T5" s="640">
        <v>9.1</v>
      </c>
      <c r="U5" s="641">
        <f>(Q5+R5)*100/90.9</f>
        <v>0</v>
      </c>
    </row>
    <row r="6" spans="1:21" s="569" customFormat="1" ht="31.5" x14ac:dyDescent="0.25">
      <c r="A6" s="589" t="s">
        <v>1287</v>
      </c>
      <c r="B6" s="594" t="s">
        <v>1754</v>
      </c>
      <c r="C6" s="595" t="s">
        <v>1753</v>
      </c>
      <c r="D6" s="592">
        <f t="shared" si="3"/>
        <v>10526.277372262773</v>
      </c>
      <c r="E6" s="593">
        <f>10094.7-8984.2</f>
        <v>1110.5</v>
      </c>
      <c r="F6" s="593">
        <v>8984.2000000000007</v>
      </c>
      <c r="G6" s="593">
        <f>I6-E6-F6</f>
        <v>431.57737226277277</v>
      </c>
      <c r="H6" s="640">
        <f t="shared" ref="H6" si="8">100-95.9</f>
        <v>4.0999999999999943</v>
      </c>
      <c r="I6" s="641">
        <f>(E6+F6)*100/95.9</f>
        <v>10526.277372262773</v>
      </c>
      <c r="J6" s="592">
        <f t="shared" si="4"/>
        <v>0</v>
      </c>
      <c r="K6" s="593"/>
      <c r="L6" s="593"/>
      <c r="M6" s="593">
        <f t="shared" si="5"/>
        <v>0</v>
      </c>
      <c r="N6" s="640">
        <v>9.1</v>
      </c>
      <c r="O6" s="641">
        <f>(K6+L6)*100/90.9</f>
        <v>0</v>
      </c>
      <c r="P6" s="592">
        <f t="shared" si="6"/>
        <v>0</v>
      </c>
      <c r="Q6" s="593"/>
      <c r="R6" s="593"/>
      <c r="S6" s="593">
        <f t="shared" si="7"/>
        <v>0</v>
      </c>
      <c r="T6" s="640">
        <v>9.1</v>
      </c>
      <c r="U6" s="641">
        <f>(Q6+R6)*100/90.9</f>
        <v>0</v>
      </c>
    </row>
    <row r="7" spans="1:21" s="576" customFormat="1" ht="15.75" x14ac:dyDescent="0.25">
      <c r="A7" s="584"/>
      <c r="B7" s="584"/>
      <c r="C7" s="585"/>
      <c r="D7" s="586"/>
      <c r="E7" s="586"/>
      <c r="F7" s="586"/>
      <c r="G7" s="586"/>
      <c r="H7" s="640"/>
      <c r="I7" s="641"/>
      <c r="J7" s="586"/>
      <c r="K7" s="586"/>
      <c r="L7" s="586"/>
      <c r="M7" s="586"/>
      <c r="N7" s="640"/>
      <c r="O7" s="641"/>
      <c r="P7" s="586"/>
      <c r="Q7" s="586"/>
      <c r="R7" s="586"/>
      <c r="S7" s="586"/>
      <c r="T7" s="640"/>
      <c r="U7" s="641"/>
    </row>
    <row r="8" spans="1:21" ht="45" x14ac:dyDescent="0.25">
      <c r="A8" s="589" t="s">
        <v>1288</v>
      </c>
      <c r="B8" s="594" t="s">
        <v>906</v>
      </c>
      <c r="C8" s="591" t="s">
        <v>824</v>
      </c>
      <c r="D8" s="592">
        <f t="shared" ref="D8:D22" si="9">E8+F8+G8</f>
        <v>258.89999999999998</v>
      </c>
      <c r="E8" s="593">
        <f>183.9-81.9</f>
        <v>102</v>
      </c>
      <c r="F8" s="593">
        <v>81.900000000000006</v>
      </c>
      <c r="G8" s="593">
        <v>75</v>
      </c>
      <c r="H8" s="640" t="s">
        <v>1806</v>
      </c>
      <c r="I8" s="641"/>
      <c r="J8" s="592">
        <f t="shared" ref="J8:J22" si="10">K8+L8+M8</f>
        <v>253.1</v>
      </c>
      <c r="K8" s="593">
        <f>178.1-75.5</f>
        <v>102.6</v>
      </c>
      <c r="L8" s="593">
        <v>75.5</v>
      </c>
      <c r="M8" s="593">
        <v>75</v>
      </c>
      <c r="N8" s="640" t="s">
        <v>1806</v>
      </c>
      <c r="O8" s="641"/>
      <c r="P8" s="592">
        <f t="shared" ref="P8:P22" si="11">Q8+R8+S8</f>
        <v>217.4</v>
      </c>
      <c r="Q8" s="593">
        <f>142.4-126.7</f>
        <v>15.700000000000003</v>
      </c>
      <c r="R8" s="593">
        <v>126.7</v>
      </c>
      <c r="S8" s="593">
        <v>75</v>
      </c>
      <c r="T8" s="640" t="s">
        <v>1806</v>
      </c>
      <c r="U8" s="641"/>
    </row>
    <row r="9" spans="1:21" s="569" customFormat="1" ht="31.5" x14ac:dyDescent="0.25">
      <c r="A9" s="589" t="s">
        <v>1286</v>
      </c>
      <c r="B9" s="603" t="s">
        <v>1751</v>
      </c>
      <c r="C9" s="601" t="s">
        <v>1750</v>
      </c>
      <c r="D9" s="592">
        <f t="shared" ref="D9" si="12">E9+F9+G9</f>
        <v>108.9108910891089</v>
      </c>
      <c r="E9" s="593">
        <f>99-88.1</f>
        <v>10.900000000000006</v>
      </c>
      <c r="F9" s="593">
        <v>88.1</v>
      </c>
      <c r="G9" s="593">
        <f t="shared" ref="G9" si="13">I9-E9-F9</f>
        <v>9.910891089108901</v>
      </c>
      <c r="H9" s="640">
        <v>9.1</v>
      </c>
      <c r="I9" s="641">
        <f t="shared" si="0"/>
        <v>108.9108910891089</v>
      </c>
      <c r="J9" s="592">
        <f t="shared" si="10"/>
        <v>0</v>
      </c>
      <c r="K9" s="593"/>
      <c r="L9" s="593"/>
      <c r="M9" s="593">
        <f t="shared" ref="M9:M16" si="14">O9-K9-L9</f>
        <v>0</v>
      </c>
      <c r="N9" s="640">
        <v>9.1</v>
      </c>
      <c r="O9" s="641">
        <f t="shared" ref="O9:O11" si="15">(K9+L9)*100/90.9</f>
        <v>0</v>
      </c>
      <c r="P9" s="592">
        <f t="shared" si="11"/>
        <v>0</v>
      </c>
      <c r="Q9" s="593"/>
      <c r="R9" s="593"/>
      <c r="S9" s="593">
        <f t="shared" ref="S9:S16" si="16">U9-Q9-R9</f>
        <v>0</v>
      </c>
      <c r="T9" s="640">
        <v>9.1</v>
      </c>
      <c r="U9" s="641">
        <f t="shared" ref="U9:U11" si="17">(Q9+R9)*100/90.9</f>
        <v>0</v>
      </c>
    </row>
    <row r="10" spans="1:21" s="569" customFormat="1" ht="78.75" x14ac:dyDescent="0.25">
      <c r="A10" s="589" t="s">
        <v>1408</v>
      </c>
      <c r="B10" s="594" t="s">
        <v>1449</v>
      </c>
      <c r="C10" s="597" t="s">
        <v>1391</v>
      </c>
      <c r="D10" s="592">
        <f t="shared" ref="D10:D11" si="18">E10+F10+G10</f>
        <v>5713.6413641364134</v>
      </c>
      <c r="E10" s="593">
        <f>5193.7-4622.4</f>
        <v>571.30000000000018</v>
      </c>
      <c r="F10" s="593">
        <v>4622.3999999999996</v>
      </c>
      <c r="G10" s="593">
        <f t="shared" ref="G10:G11" si="19">I10-E10-F10</f>
        <v>519.94136413641354</v>
      </c>
      <c r="H10" s="640">
        <v>9.1</v>
      </c>
      <c r="I10" s="641">
        <f t="shared" si="0"/>
        <v>5713.6413641364134</v>
      </c>
      <c r="J10" s="592">
        <f t="shared" si="10"/>
        <v>5425.4125412541252</v>
      </c>
      <c r="K10" s="593">
        <f>4931.7-4389.2</f>
        <v>542.5</v>
      </c>
      <c r="L10" s="593">
        <v>4389.2</v>
      </c>
      <c r="M10" s="593">
        <f t="shared" si="14"/>
        <v>493.71254125412543</v>
      </c>
      <c r="N10" s="640">
        <v>9.1</v>
      </c>
      <c r="O10" s="641">
        <f t="shared" si="15"/>
        <v>5425.4125412541252</v>
      </c>
      <c r="P10" s="592">
        <f t="shared" si="11"/>
        <v>5589.3289328932888</v>
      </c>
      <c r="Q10" s="593">
        <f>5080.7-4521.8</f>
        <v>558.89999999999964</v>
      </c>
      <c r="R10" s="593">
        <v>4521.8</v>
      </c>
      <c r="S10" s="593">
        <f>U10-Q10-R10</f>
        <v>508.62893289328895</v>
      </c>
      <c r="T10" s="640">
        <v>9.1</v>
      </c>
      <c r="U10" s="641">
        <f t="shared" si="17"/>
        <v>5589.3289328932888</v>
      </c>
    </row>
    <row r="11" spans="1:21" s="576" customFormat="1" ht="31.5" x14ac:dyDescent="0.25">
      <c r="A11" s="589" t="s">
        <v>1287</v>
      </c>
      <c r="B11" s="590" t="s">
        <v>1757</v>
      </c>
      <c r="C11" s="591" t="s">
        <v>1186</v>
      </c>
      <c r="D11" s="592">
        <f t="shared" si="18"/>
        <v>61.826182618261825</v>
      </c>
      <c r="E11" s="592">
        <f>56.2-50</f>
        <v>6.2000000000000028</v>
      </c>
      <c r="F11" s="592">
        <v>50</v>
      </c>
      <c r="G11" s="593">
        <f t="shared" si="19"/>
        <v>5.6261826182618222</v>
      </c>
      <c r="H11" s="640">
        <v>9.1</v>
      </c>
      <c r="I11" s="641">
        <f t="shared" ref="I11" si="20">(E11+F11)*100/90.9</f>
        <v>61.826182618261825</v>
      </c>
      <c r="J11" s="592">
        <f t="shared" si="10"/>
        <v>0</v>
      </c>
      <c r="K11" s="592"/>
      <c r="L11" s="592"/>
      <c r="M11" s="593">
        <f t="shared" si="14"/>
        <v>0</v>
      </c>
      <c r="N11" s="640">
        <v>9.1</v>
      </c>
      <c r="O11" s="641">
        <f t="shared" si="15"/>
        <v>0</v>
      </c>
      <c r="P11" s="592">
        <f t="shared" si="11"/>
        <v>0</v>
      </c>
      <c r="Q11" s="592"/>
      <c r="R11" s="592"/>
      <c r="S11" s="593">
        <f t="shared" si="16"/>
        <v>0</v>
      </c>
      <c r="T11" s="640">
        <v>9.1</v>
      </c>
      <c r="U11" s="641">
        <f t="shared" si="17"/>
        <v>0</v>
      </c>
    </row>
    <row r="12" spans="1:21" s="569" customFormat="1" ht="110.25" x14ac:dyDescent="0.25">
      <c r="A12" s="589" t="s">
        <v>1492</v>
      </c>
      <c r="B12" s="594" t="s">
        <v>1247</v>
      </c>
      <c r="C12" s="591" t="s">
        <v>1507</v>
      </c>
      <c r="D12" s="592">
        <f t="shared" ref="D12" si="21">E12+F12+G12</f>
        <v>679.87486965589153</v>
      </c>
      <c r="E12" s="593">
        <v>652</v>
      </c>
      <c r="F12" s="593"/>
      <c r="G12" s="593">
        <f t="shared" ref="G12" si="22">I12-E12-F12</f>
        <v>27.87486965589153</v>
      </c>
      <c r="H12" s="640">
        <f t="shared" ref="H12:H17" si="23">100-95.9</f>
        <v>4.0999999999999943</v>
      </c>
      <c r="I12" s="641">
        <f t="shared" ref="I12:I17" si="24">(E12+F12)*100/95.9</f>
        <v>679.87486965589153</v>
      </c>
      <c r="J12" s="592">
        <f t="shared" si="10"/>
        <v>679.87486965589153</v>
      </c>
      <c r="K12" s="593">
        <v>652</v>
      </c>
      <c r="L12" s="593"/>
      <c r="M12" s="593">
        <f t="shared" si="14"/>
        <v>27.87486965589153</v>
      </c>
      <c r="N12" s="640">
        <f t="shared" ref="N12:N17" si="25">100-95.9</f>
        <v>4.0999999999999943</v>
      </c>
      <c r="O12" s="641">
        <f t="shared" ref="O12:O17" si="26">(K12+L12)*100/95.9</f>
        <v>679.87486965589153</v>
      </c>
      <c r="P12" s="592">
        <f t="shared" si="11"/>
        <v>679.87486965589153</v>
      </c>
      <c r="Q12" s="593">
        <v>652</v>
      </c>
      <c r="R12" s="593"/>
      <c r="S12" s="593">
        <f t="shared" si="16"/>
        <v>27.87486965589153</v>
      </c>
      <c r="T12" s="640">
        <f t="shared" ref="T12:T17" si="27">100-95.9</f>
        <v>4.0999999999999943</v>
      </c>
      <c r="U12" s="641">
        <f t="shared" ref="U12:U17" si="28">(Q12+R12)*100/95.9</f>
        <v>679.87486965589153</v>
      </c>
    </row>
    <row r="13" spans="1:21" s="569" customFormat="1" ht="31.5" x14ac:dyDescent="0.25">
      <c r="A13" s="589" t="s">
        <v>1427</v>
      </c>
      <c r="B13" s="594" t="s">
        <v>1686</v>
      </c>
      <c r="C13" s="599" t="s">
        <v>1747</v>
      </c>
      <c r="D13" s="592">
        <f t="shared" ref="D13" si="29">E13+F13+G13</f>
        <v>4351.929092805005</v>
      </c>
      <c r="E13" s="593">
        <v>4173.5</v>
      </c>
      <c r="F13" s="593"/>
      <c r="G13" s="593">
        <f t="shared" ref="G13" si="30">I13-E13-F13</f>
        <v>178.42909280500498</v>
      </c>
      <c r="H13" s="640">
        <f t="shared" si="23"/>
        <v>4.0999999999999943</v>
      </c>
      <c r="I13" s="641">
        <f t="shared" si="24"/>
        <v>4351.929092805005</v>
      </c>
      <c r="J13" s="592">
        <f t="shared" si="10"/>
        <v>4351.929092805005</v>
      </c>
      <c r="K13" s="593">
        <v>4173.5</v>
      </c>
      <c r="L13" s="593"/>
      <c r="M13" s="593">
        <f t="shared" si="14"/>
        <v>178.42909280500498</v>
      </c>
      <c r="N13" s="640">
        <f t="shared" si="25"/>
        <v>4.0999999999999943</v>
      </c>
      <c r="O13" s="641">
        <f t="shared" si="26"/>
        <v>4351.929092805005</v>
      </c>
      <c r="P13" s="592">
        <f t="shared" si="11"/>
        <v>4351.929092805005</v>
      </c>
      <c r="Q13" s="593">
        <v>4173.5</v>
      </c>
      <c r="R13" s="593"/>
      <c r="S13" s="593">
        <f t="shared" si="16"/>
        <v>178.42909280500498</v>
      </c>
      <c r="T13" s="640">
        <f t="shared" si="27"/>
        <v>4.0999999999999943</v>
      </c>
      <c r="U13" s="641">
        <f t="shared" si="28"/>
        <v>4351.929092805005</v>
      </c>
    </row>
    <row r="14" spans="1:21" s="569" customFormat="1" ht="47.25" x14ac:dyDescent="0.25">
      <c r="A14" s="589" t="s">
        <v>1286</v>
      </c>
      <c r="B14" s="602" t="s">
        <v>1656</v>
      </c>
      <c r="C14" s="601" t="s">
        <v>1622</v>
      </c>
      <c r="D14" s="592">
        <f t="shared" si="9"/>
        <v>208.55057351407714</v>
      </c>
      <c r="E14" s="593">
        <v>200</v>
      </c>
      <c r="F14" s="593"/>
      <c r="G14" s="593">
        <f t="shared" ref="G14" si="31">I14-E14-F14</f>
        <v>8.5505735140771435</v>
      </c>
      <c r="H14" s="640">
        <f t="shared" si="23"/>
        <v>4.0999999999999943</v>
      </c>
      <c r="I14" s="641">
        <f t="shared" si="24"/>
        <v>208.55057351407714</v>
      </c>
      <c r="J14" s="592">
        <f t="shared" si="10"/>
        <v>208.55057351407714</v>
      </c>
      <c r="K14" s="593">
        <v>200</v>
      </c>
      <c r="L14" s="593"/>
      <c r="M14" s="593">
        <f t="shared" si="14"/>
        <v>8.5505735140771435</v>
      </c>
      <c r="N14" s="640">
        <f t="shared" si="25"/>
        <v>4.0999999999999943</v>
      </c>
      <c r="O14" s="641">
        <f t="shared" si="26"/>
        <v>208.55057351407714</v>
      </c>
      <c r="P14" s="592">
        <f t="shared" si="11"/>
        <v>208.55057351407714</v>
      </c>
      <c r="Q14" s="593">
        <v>200</v>
      </c>
      <c r="R14" s="593"/>
      <c r="S14" s="593">
        <f t="shared" si="16"/>
        <v>8.5505735140771435</v>
      </c>
      <c r="T14" s="640">
        <f t="shared" si="27"/>
        <v>4.0999999999999943</v>
      </c>
      <c r="U14" s="641">
        <f t="shared" si="28"/>
        <v>208.55057351407714</v>
      </c>
    </row>
    <row r="15" spans="1:21" ht="47.25" x14ac:dyDescent="0.25">
      <c r="A15" s="589" t="s">
        <v>1480</v>
      </c>
      <c r="B15" s="594" t="s">
        <v>1743</v>
      </c>
      <c r="C15" s="591" t="s">
        <v>1669</v>
      </c>
      <c r="D15" s="592">
        <f t="shared" si="9"/>
        <v>3665.9019812304482</v>
      </c>
      <c r="E15" s="593">
        <v>3515.6</v>
      </c>
      <c r="F15" s="593"/>
      <c r="G15" s="593">
        <f t="shared" ref="G15:G16" si="32">I15-E15-F15</f>
        <v>150.30198123044829</v>
      </c>
      <c r="H15" s="640">
        <f t="shared" si="23"/>
        <v>4.0999999999999943</v>
      </c>
      <c r="I15" s="641">
        <f t="shared" si="24"/>
        <v>3665.9019812304482</v>
      </c>
      <c r="J15" s="592">
        <f t="shared" si="10"/>
        <v>0</v>
      </c>
      <c r="K15" s="593"/>
      <c r="L15" s="593"/>
      <c r="M15" s="593">
        <f t="shared" si="14"/>
        <v>0</v>
      </c>
      <c r="N15" s="640">
        <f t="shared" si="25"/>
        <v>4.0999999999999943</v>
      </c>
      <c r="O15" s="641">
        <f t="shared" si="26"/>
        <v>0</v>
      </c>
      <c r="P15" s="592">
        <f t="shared" si="11"/>
        <v>0</v>
      </c>
      <c r="Q15" s="593"/>
      <c r="R15" s="593"/>
      <c r="S15" s="593">
        <f t="shared" si="16"/>
        <v>0</v>
      </c>
      <c r="T15" s="640">
        <f t="shared" si="27"/>
        <v>4.0999999999999943</v>
      </c>
      <c r="U15" s="641">
        <f t="shared" si="28"/>
        <v>0</v>
      </c>
    </row>
    <row r="16" spans="1:21" ht="31.5" x14ac:dyDescent="0.25">
      <c r="A16" s="589" t="s">
        <v>1480</v>
      </c>
      <c r="B16" s="594" t="s">
        <v>1741</v>
      </c>
      <c r="C16" s="601" t="s">
        <v>1742</v>
      </c>
      <c r="D16" s="592">
        <f t="shared" si="9"/>
        <v>417.10114702815429</v>
      </c>
      <c r="E16" s="593">
        <v>400</v>
      </c>
      <c r="F16" s="593"/>
      <c r="G16" s="593">
        <f t="shared" si="32"/>
        <v>17.101147028154287</v>
      </c>
      <c r="H16" s="640">
        <f t="shared" si="23"/>
        <v>4.0999999999999943</v>
      </c>
      <c r="I16" s="641">
        <f t="shared" si="24"/>
        <v>417.10114702815429</v>
      </c>
      <c r="J16" s="592">
        <f t="shared" si="10"/>
        <v>0</v>
      </c>
      <c r="K16" s="593"/>
      <c r="L16" s="593"/>
      <c r="M16" s="593">
        <f t="shared" si="14"/>
        <v>0</v>
      </c>
      <c r="N16" s="640">
        <f t="shared" si="25"/>
        <v>4.0999999999999943</v>
      </c>
      <c r="O16" s="641">
        <f t="shared" si="26"/>
        <v>0</v>
      </c>
      <c r="P16" s="592">
        <f t="shared" si="11"/>
        <v>0</v>
      </c>
      <c r="Q16" s="593"/>
      <c r="R16" s="593"/>
      <c r="S16" s="593">
        <f t="shared" si="16"/>
        <v>0</v>
      </c>
      <c r="T16" s="640">
        <f t="shared" si="27"/>
        <v>4.0999999999999943</v>
      </c>
      <c r="U16" s="641">
        <f t="shared" si="28"/>
        <v>0</v>
      </c>
    </row>
    <row r="17" spans="1:21" ht="58.15" customHeight="1" x14ac:dyDescent="0.25">
      <c r="A17" s="589" t="s">
        <v>1623</v>
      </c>
      <c r="B17" s="594" t="s">
        <v>1613</v>
      </c>
      <c r="C17" s="591" t="s">
        <v>1612</v>
      </c>
      <c r="D17" s="592">
        <f t="shared" si="9"/>
        <v>7165.2763295099057</v>
      </c>
      <c r="E17" s="593">
        <v>6871.5</v>
      </c>
      <c r="F17" s="593"/>
      <c r="G17" s="593">
        <f>I17-E17-F17</f>
        <v>293.77632950990574</v>
      </c>
      <c r="H17" s="640">
        <f t="shared" si="23"/>
        <v>4.0999999999999943</v>
      </c>
      <c r="I17" s="641">
        <f t="shared" si="24"/>
        <v>7165.2763295099057</v>
      </c>
      <c r="J17" s="592">
        <f t="shared" si="10"/>
        <v>7195.5161626694471</v>
      </c>
      <c r="K17" s="593">
        <v>6900.5</v>
      </c>
      <c r="L17" s="593"/>
      <c r="M17" s="593">
        <f>O17-K17-L17</f>
        <v>295.01616266944711</v>
      </c>
      <c r="N17" s="640">
        <f t="shared" si="25"/>
        <v>4.0999999999999943</v>
      </c>
      <c r="O17" s="641">
        <f t="shared" si="26"/>
        <v>7195.5161626694471</v>
      </c>
      <c r="P17" s="592">
        <f t="shared" si="11"/>
        <v>0</v>
      </c>
      <c r="Q17" s="593"/>
      <c r="R17" s="593"/>
      <c r="S17" s="593">
        <f>U17-Q17-R17</f>
        <v>0</v>
      </c>
      <c r="T17" s="640">
        <f t="shared" si="27"/>
        <v>4.0999999999999943</v>
      </c>
      <c r="U17" s="641">
        <f t="shared" si="28"/>
        <v>0</v>
      </c>
    </row>
    <row r="18" spans="1:21" ht="42" customHeight="1" x14ac:dyDescent="0.25">
      <c r="A18" s="589" t="s">
        <v>1487</v>
      </c>
      <c r="B18" s="594" t="s">
        <v>1261</v>
      </c>
      <c r="C18" s="599" t="s">
        <v>1059</v>
      </c>
      <c r="D18" s="592">
        <f t="shared" si="9"/>
        <v>7513.9</v>
      </c>
      <c r="E18" s="593">
        <v>4113.8999999999996</v>
      </c>
      <c r="F18" s="593"/>
      <c r="G18" s="593">
        <v>3400</v>
      </c>
      <c r="H18" s="640">
        <f>G17+G15+G16+G13+G10-J10+G9+G6+G4</f>
        <v>-3656.4097867346704</v>
      </c>
      <c r="I18" s="641"/>
      <c r="J18" s="592">
        <f t="shared" si="10"/>
        <v>7678.5</v>
      </c>
      <c r="K18" s="593">
        <v>4278.5</v>
      </c>
      <c r="L18" s="593"/>
      <c r="M18" s="593">
        <v>3400</v>
      </c>
      <c r="N18" s="640"/>
      <c r="O18" s="641"/>
      <c r="P18" s="592">
        <f t="shared" si="11"/>
        <v>7849.6</v>
      </c>
      <c r="Q18" s="593">
        <v>4449.6000000000004</v>
      </c>
      <c r="R18" s="593"/>
      <c r="S18" s="593">
        <v>3400</v>
      </c>
      <c r="T18" s="640">
        <f>S17+S15+S16+S13+S10-V10+S9+S6+S4</f>
        <v>687.05802569829393</v>
      </c>
      <c r="U18" s="641"/>
    </row>
    <row r="19" spans="1:21" ht="31.5" x14ac:dyDescent="0.25">
      <c r="A19" s="589" t="s">
        <v>1499</v>
      </c>
      <c r="B19" s="594" t="s">
        <v>898</v>
      </c>
      <c r="C19" s="591" t="s">
        <v>235</v>
      </c>
      <c r="D19" s="592">
        <f t="shared" si="9"/>
        <v>274</v>
      </c>
      <c r="E19" s="593">
        <v>255</v>
      </c>
      <c r="F19" s="593"/>
      <c r="G19" s="593">
        <v>19</v>
      </c>
      <c r="H19" s="640"/>
      <c r="I19" s="641"/>
      <c r="J19" s="592">
        <f t="shared" si="10"/>
        <v>274</v>
      </c>
      <c r="K19" s="593">
        <v>255</v>
      </c>
      <c r="L19" s="593"/>
      <c r="M19" s="593">
        <v>19</v>
      </c>
      <c r="N19" s="640"/>
      <c r="O19" s="641"/>
      <c r="P19" s="592">
        <f t="shared" si="11"/>
        <v>274</v>
      </c>
      <c r="Q19" s="593">
        <v>255</v>
      </c>
      <c r="R19" s="593"/>
      <c r="S19" s="593">
        <v>19</v>
      </c>
      <c r="T19" s="640"/>
      <c r="U19" s="641"/>
    </row>
    <row r="20" spans="1:21" ht="63" x14ac:dyDescent="0.25">
      <c r="A20" s="589" t="s">
        <v>1286</v>
      </c>
      <c r="B20" s="602" t="s">
        <v>1198</v>
      </c>
      <c r="C20" s="599" t="s">
        <v>1746</v>
      </c>
      <c r="D20" s="592">
        <f t="shared" si="9"/>
        <v>447.3</v>
      </c>
      <c r="E20" s="593">
        <v>247.3</v>
      </c>
      <c r="F20" s="593"/>
      <c r="G20" s="608">
        <v>200</v>
      </c>
      <c r="H20" s="640"/>
      <c r="I20" s="641"/>
      <c r="J20" s="592">
        <f t="shared" si="10"/>
        <v>447.3</v>
      </c>
      <c r="K20" s="593">
        <v>247.3</v>
      </c>
      <c r="L20" s="593"/>
      <c r="M20" s="608">
        <v>200</v>
      </c>
      <c r="N20" s="640"/>
      <c r="O20" s="641"/>
      <c r="P20" s="592">
        <f t="shared" si="11"/>
        <v>447.3</v>
      </c>
      <c r="Q20" s="593">
        <v>247.3</v>
      </c>
      <c r="R20" s="593"/>
      <c r="S20" s="608">
        <v>200</v>
      </c>
      <c r="T20" s="640"/>
      <c r="U20" s="641"/>
    </row>
    <row r="21" spans="1:21" ht="126" x14ac:dyDescent="0.25">
      <c r="A21" s="589" t="s">
        <v>1502</v>
      </c>
      <c r="B21" s="594" t="s">
        <v>1200</v>
      </c>
      <c r="C21" s="591" t="s">
        <v>373</v>
      </c>
      <c r="D21" s="592">
        <f t="shared" si="9"/>
        <v>260</v>
      </c>
      <c r="E21" s="593">
        <v>200</v>
      </c>
      <c r="F21" s="593"/>
      <c r="G21" s="593">
        <v>60</v>
      </c>
      <c r="H21" s="640"/>
      <c r="I21" s="641"/>
      <c r="J21" s="592">
        <f t="shared" si="10"/>
        <v>208.55057351407714</v>
      </c>
      <c r="K21" s="593">
        <v>200</v>
      </c>
      <c r="L21" s="593"/>
      <c r="M21" s="593">
        <f>O21-K21-L21</f>
        <v>8.5505735140771435</v>
      </c>
      <c r="N21" s="640">
        <f t="shared" ref="N21" si="33">100-95.9</f>
        <v>4.0999999999999943</v>
      </c>
      <c r="O21" s="641">
        <f t="shared" ref="O21" si="34">(K21+L21)*100/95.9</f>
        <v>208.55057351407714</v>
      </c>
      <c r="P21" s="592">
        <f t="shared" si="11"/>
        <v>260</v>
      </c>
      <c r="Q21" s="593">
        <v>200</v>
      </c>
      <c r="R21" s="593"/>
      <c r="S21" s="593">
        <v>60</v>
      </c>
      <c r="T21" s="640"/>
      <c r="U21" s="641"/>
    </row>
    <row r="22" spans="1:21" s="576" customFormat="1" ht="47.25" x14ac:dyDescent="0.25">
      <c r="A22" s="599" t="s">
        <v>1769</v>
      </c>
      <c r="B22" s="594" t="s">
        <v>1717</v>
      </c>
      <c r="C22" s="600" t="s">
        <v>1737</v>
      </c>
      <c r="D22" s="592">
        <f t="shared" si="9"/>
        <v>5525.25</v>
      </c>
      <c r="E22" s="593">
        <v>2304.3000000000002</v>
      </c>
      <c r="F22" s="593"/>
      <c r="G22" s="593">
        <f>124.4+3394.4-297.85</f>
        <v>3220.9500000000003</v>
      </c>
      <c r="H22" s="640"/>
      <c r="I22" s="641"/>
      <c r="J22" s="592">
        <f t="shared" si="10"/>
        <v>5594.75</v>
      </c>
      <c r="K22" s="593">
        <v>2373.8000000000002</v>
      </c>
      <c r="L22" s="593"/>
      <c r="M22" s="593">
        <f>124.4+3394.4-297.85</f>
        <v>3220.9500000000003</v>
      </c>
      <c r="N22" s="640"/>
      <c r="O22" s="641"/>
      <c r="P22" s="592">
        <f t="shared" si="11"/>
        <v>5667.05</v>
      </c>
      <c r="Q22" s="593">
        <v>2446.1</v>
      </c>
      <c r="R22" s="593"/>
      <c r="S22" s="593">
        <f>124.4+3394.4-297.85</f>
        <v>3220.9500000000003</v>
      </c>
      <c r="T22" s="640"/>
      <c r="U22" s="641"/>
    </row>
    <row r="23" spans="1:21" ht="15.75" x14ac:dyDescent="0.25">
      <c r="A23" s="584" t="s">
        <v>1533</v>
      </c>
      <c r="B23" s="584"/>
      <c r="C23" s="588"/>
      <c r="D23" s="587">
        <f>SUM(D4:D22)</f>
        <v>49148.056745544207</v>
      </c>
      <c r="E23" s="587">
        <f>SUM(E4:E22)</f>
        <v>24780</v>
      </c>
      <c r="F23" s="587">
        <f>SUM(F4:F22)</f>
        <v>15570.800000000001</v>
      </c>
      <c r="G23" s="587">
        <f t="shared" ref="G23" si="35">SUM(G4:G21)</f>
        <v>5576.3067455442088</v>
      </c>
      <c r="H23" s="640"/>
      <c r="I23" s="641"/>
      <c r="J23" s="587">
        <f>SUM(J4:J22)</f>
        <v>34787.340799111189</v>
      </c>
      <c r="K23" s="587">
        <f>SUM(K4:K22)</f>
        <v>19970.699999999997</v>
      </c>
      <c r="L23" s="587">
        <f>SUM(L4:L22)</f>
        <v>6664.7999999999993</v>
      </c>
      <c r="M23" s="587">
        <f t="shared" ref="M23" si="36">SUM(M4:M21)</f>
        <v>4930.8907991111928</v>
      </c>
      <c r="N23" s="640"/>
      <c r="O23" s="641"/>
      <c r="P23" s="587">
        <f>SUM(P4:P22)</f>
        <v>25545.033468868263</v>
      </c>
      <c r="Q23" s="587">
        <f>SUM(Q4:Q22)</f>
        <v>13198.1</v>
      </c>
      <c r="R23" s="587">
        <f>SUM(R4:R22)</f>
        <v>4648.5</v>
      </c>
      <c r="S23" s="587">
        <f t="shared" ref="S23" si="37">SUM(S4:S21)</f>
        <v>4477.4834688682622</v>
      </c>
      <c r="T23" s="640"/>
      <c r="U23" s="641"/>
    </row>
    <row r="24" spans="1:21" ht="15.75" x14ac:dyDescent="0.25">
      <c r="A24" s="604"/>
      <c r="B24" s="605"/>
      <c r="C24" s="606" t="s">
        <v>1770</v>
      </c>
      <c r="D24" s="606"/>
      <c r="E24" s="607">
        <f>E23+F23</f>
        <v>40350.800000000003</v>
      </c>
      <c r="F24" s="606"/>
      <c r="G24" s="606"/>
      <c r="J24" s="606"/>
      <c r="K24" s="607">
        <f>K23+L23</f>
        <v>26635.499999999996</v>
      </c>
      <c r="L24" s="606"/>
      <c r="M24" s="606"/>
      <c r="P24" s="606"/>
      <c r="Q24" s="607">
        <f>Q23+R23</f>
        <v>17846.599999999999</v>
      </c>
      <c r="R24" s="606"/>
      <c r="S24" s="606"/>
      <c r="T24" s="561"/>
      <c r="U24" s="561"/>
    </row>
    <row r="26" spans="1:21" s="576" customFormat="1" x14ac:dyDescent="0.25">
      <c r="A26" s="121"/>
      <c r="B26" s="564"/>
      <c r="C26" s="562"/>
      <c r="D26" s="562"/>
      <c r="E26" s="562"/>
      <c r="F26" s="562"/>
      <c r="G26" s="562"/>
      <c r="H26" s="562"/>
      <c r="I26" s="568"/>
      <c r="J26" s="561"/>
      <c r="K26" s="561"/>
      <c r="L26" s="561"/>
      <c r="M26" s="561"/>
      <c r="N26" s="561"/>
      <c r="O26" s="561"/>
      <c r="P26" s="561"/>
      <c r="Q26" s="561"/>
      <c r="R26" s="561"/>
    </row>
    <row r="27" spans="1:21" s="576" customFormat="1" x14ac:dyDescent="0.25">
      <c r="A27" s="121"/>
      <c r="B27" s="564"/>
      <c r="C27" s="562"/>
      <c r="D27" s="562"/>
      <c r="E27" s="562"/>
      <c r="F27" s="562"/>
      <c r="G27" s="562"/>
      <c r="H27" s="562"/>
      <c r="I27" s="568"/>
      <c r="J27" s="561"/>
      <c r="K27" s="561"/>
      <c r="L27" s="561"/>
      <c r="M27" s="561"/>
      <c r="N27" s="561"/>
      <c r="O27" s="561"/>
      <c r="P27" s="561"/>
      <c r="Q27" s="561"/>
      <c r="R27" s="561"/>
    </row>
    <row r="31" spans="1:21" ht="15.75" thickBot="1" x14ac:dyDescent="0.3">
      <c r="B31" s="564">
        <f>B32-B33</f>
        <v>2345.5999999999767</v>
      </c>
      <c r="C31" s="564">
        <f t="shared" ref="C31:D31" si="38">C32-C33</f>
        <v>4096.1999999999534</v>
      </c>
      <c r="D31" s="564">
        <f t="shared" si="38"/>
        <v>4244.5999999999767</v>
      </c>
      <c r="F31" s="562">
        <f>F32-F33</f>
        <v>-1678</v>
      </c>
      <c r="G31" s="562">
        <f t="shared" ref="G31:H31" si="39">G32-G33</f>
        <v>425.40000000002328</v>
      </c>
      <c r="H31" s="562">
        <f t="shared" si="39"/>
        <v>248.49999999994179</v>
      </c>
      <c r="J31" s="561">
        <f>J32-J33</f>
        <v>3414.5</v>
      </c>
    </row>
    <row r="32" spans="1:21" ht="16.5" thickBot="1" x14ac:dyDescent="0.3">
      <c r="B32" s="683">
        <v>287472.8</v>
      </c>
      <c r="C32" s="684">
        <v>296332</v>
      </c>
      <c r="D32" s="684">
        <v>310087.7</v>
      </c>
      <c r="F32" s="683">
        <v>287472.8</v>
      </c>
      <c r="G32" s="684">
        <v>296354.90000000002</v>
      </c>
      <c r="H32" s="684">
        <v>309933.09999999998</v>
      </c>
      <c r="J32" s="683">
        <v>287472.8</v>
      </c>
      <c r="K32" s="684">
        <v>296354.90000000002</v>
      </c>
      <c r="L32" s="684">
        <v>309933.09999999998</v>
      </c>
    </row>
    <row r="33" spans="2:12" ht="16.5" thickBot="1" x14ac:dyDescent="0.3">
      <c r="B33" s="685">
        <f>SUM(B34:B56)</f>
        <v>285127.2</v>
      </c>
      <c r="C33" s="685">
        <f t="shared" ref="C33:D33" si="40">SUM(C34:C56)</f>
        <v>292235.80000000005</v>
      </c>
      <c r="D33" s="685">
        <f t="shared" si="40"/>
        <v>305843.10000000003</v>
      </c>
      <c r="F33" s="685">
        <f>SUM(F34:F58)</f>
        <v>289150.8</v>
      </c>
      <c r="G33" s="685">
        <f t="shared" ref="G33:H33" si="41">SUM(G34:G58)</f>
        <v>295929.5</v>
      </c>
      <c r="H33" s="685">
        <f t="shared" si="41"/>
        <v>309684.60000000003</v>
      </c>
      <c r="J33" s="685">
        <f>SUM(J34:J58)</f>
        <v>284058.3</v>
      </c>
      <c r="K33" s="686"/>
      <c r="L33" s="686"/>
    </row>
    <row r="34" spans="2:12" ht="16.5" thickBot="1" x14ac:dyDescent="0.3">
      <c r="B34" s="685">
        <v>0</v>
      </c>
      <c r="C34" s="686">
        <v>13679.9</v>
      </c>
      <c r="D34" s="686">
        <v>28368.5</v>
      </c>
      <c r="F34" s="685">
        <v>0</v>
      </c>
      <c r="G34" s="686">
        <v>13679.9</v>
      </c>
      <c r="H34" s="686">
        <v>28368.5</v>
      </c>
      <c r="J34" s="685">
        <v>0</v>
      </c>
      <c r="K34" s="686">
        <v>13679.9</v>
      </c>
      <c r="L34" s="686">
        <v>28368.5</v>
      </c>
    </row>
    <row r="35" spans="2:12" ht="16.5" thickBot="1" x14ac:dyDescent="0.3">
      <c r="B35" s="685">
        <v>5815.1</v>
      </c>
      <c r="C35" s="686">
        <v>5970</v>
      </c>
      <c r="D35" s="686">
        <v>5970</v>
      </c>
      <c r="F35" s="685">
        <v>5815.1</v>
      </c>
      <c r="G35" s="686">
        <v>5970</v>
      </c>
      <c r="H35" s="686">
        <v>5970</v>
      </c>
      <c r="J35" s="685">
        <v>5815.1</v>
      </c>
      <c r="K35" s="686">
        <v>5970</v>
      </c>
      <c r="L35" s="686">
        <v>5970</v>
      </c>
    </row>
    <row r="36" spans="2:12" ht="16.5" thickBot="1" x14ac:dyDescent="0.3">
      <c r="B36" s="687">
        <v>2822.2</v>
      </c>
      <c r="C36" s="688">
        <v>2959.4</v>
      </c>
      <c r="D36" s="688">
        <v>2959.4</v>
      </c>
      <c r="F36" s="687">
        <v>2822.2</v>
      </c>
      <c r="G36" s="688">
        <v>2959.4</v>
      </c>
      <c r="H36" s="688">
        <v>2959.4</v>
      </c>
      <c r="J36" s="702">
        <v>2822.2</v>
      </c>
      <c r="K36" s="688">
        <v>2959.4</v>
      </c>
      <c r="L36" s="688">
        <v>2959.4</v>
      </c>
    </row>
    <row r="37" spans="2:12" ht="16.5" thickBot="1" x14ac:dyDescent="0.3">
      <c r="B37" s="687">
        <v>126867.3</v>
      </c>
      <c r="C37" s="688">
        <v>114323.4</v>
      </c>
      <c r="D37" s="688">
        <v>120292.1</v>
      </c>
      <c r="F37" s="753">
        <v>126867.3</v>
      </c>
      <c r="G37" s="753">
        <v>114323.4</v>
      </c>
      <c r="H37" s="753">
        <v>120292.1</v>
      </c>
      <c r="J37" s="753">
        <v>142915.4</v>
      </c>
      <c r="K37" s="753">
        <v>114323.4</v>
      </c>
      <c r="L37" s="753">
        <v>120292.1</v>
      </c>
    </row>
    <row r="38" spans="2:12" ht="16.5" thickBot="1" x14ac:dyDescent="0.3">
      <c r="B38" s="687">
        <v>69930.899999999994</v>
      </c>
      <c r="C38" s="688">
        <v>73994.100000000006</v>
      </c>
      <c r="D38" s="688">
        <v>73994.100000000006</v>
      </c>
      <c r="F38" s="754"/>
      <c r="G38" s="754"/>
      <c r="H38" s="754"/>
      <c r="J38" s="754"/>
      <c r="K38" s="754"/>
      <c r="L38" s="754"/>
    </row>
    <row r="39" spans="2:12" ht="16.5" thickBot="1" x14ac:dyDescent="0.3">
      <c r="B39" s="687">
        <v>50</v>
      </c>
      <c r="C39" s="688">
        <v>50</v>
      </c>
      <c r="D39" s="688">
        <v>50</v>
      </c>
      <c r="F39" s="687">
        <v>69930.899999999994</v>
      </c>
      <c r="G39" s="688">
        <v>73994.100000000006</v>
      </c>
      <c r="H39" s="688">
        <v>73994.100000000006</v>
      </c>
      <c r="J39" s="702">
        <v>69930.899999999994</v>
      </c>
      <c r="K39" s="688">
        <v>73994.100000000006</v>
      </c>
      <c r="L39" s="688">
        <v>73994.100000000006</v>
      </c>
    </row>
    <row r="40" spans="2:12" ht="16.5" thickBot="1" x14ac:dyDescent="0.3">
      <c r="B40" s="687">
        <v>5928.7</v>
      </c>
      <c r="C40" s="688">
        <v>5928.7</v>
      </c>
      <c r="D40" s="688">
        <v>5928.7</v>
      </c>
      <c r="F40" s="687">
        <v>50</v>
      </c>
      <c r="G40" s="688">
        <v>50</v>
      </c>
      <c r="H40" s="688">
        <v>50</v>
      </c>
      <c r="J40" s="702">
        <v>50</v>
      </c>
      <c r="K40" s="688">
        <v>50</v>
      </c>
      <c r="L40" s="688">
        <v>50</v>
      </c>
    </row>
    <row r="41" spans="2:12" ht="16.5" thickBot="1" x14ac:dyDescent="0.3">
      <c r="B41" s="687">
        <v>5897.7</v>
      </c>
      <c r="C41" s="688">
        <v>6052.6</v>
      </c>
      <c r="D41" s="688">
        <v>6052.6</v>
      </c>
      <c r="F41" s="687">
        <v>5928.7</v>
      </c>
      <c r="G41" s="688">
        <v>5928.7</v>
      </c>
      <c r="H41" s="688">
        <v>5928.7</v>
      </c>
      <c r="J41" s="702">
        <v>5928.7</v>
      </c>
      <c r="K41" s="688">
        <v>5928.7</v>
      </c>
      <c r="L41" s="688">
        <v>5928.7</v>
      </c>
    </row>
    <row r="42" spans="2:12" ht="16.5" thickBot="1" x14ac:dyDescent="0.3">
      <c r="B42" s="687">
        <v>304</v>
      </c>
      <c r="C42" s="688">
        <v>304</v>
      </c>
      <c r="D42" s="688">
        <v>304</v>
      </c>
      <c r="F42" s="753">
        <v>6026.7</v>
      </c>
      <c r="G42" s="753">
        <v>6052.6</v>
      </c>
      <c r="H42" s="753">
        <v>6052.6</v>
      </c>
      <c r="J42" s="753">
        <v>6026.7</v>
      </c>
      <c r="K42" s="753">
        <v>6052.6</v>
      </c>
      <c r="L42" s="753">
        <v>6052.6</v>
      </c>
    </row>
    <row r="43" spans="2:12" ht="16.5" thickBot="1" x14ac:dyDescent="0.3">
      <c r="B43" s="687">
        <v>6047</v>
      </c>
      <c r="C43" s="688">
        <v>6445.4</v>
      </c>
      <c r="D43" s="688">
        <v>6445.4</v>
      </c>
      <c r="F43" s="754"/>
      <c r="G43" s="754"/>
      <c r="H43" s="754"/>
      <c r="J43" s="754"/>
      <c r="K43" s="754"/>
      <c r="L43" s="754"/>
    </row>
    <row r="44" spans="2:12" ht="16.5" thickBot="1" x14ac:dyDescent="0.3">
      <c r="B44" s="687">
        <v>1285</v>
      </c>
      <c r="C44" s="688">
        <v>1285</v>
      </c>
      <c r="D44" s="688">
        <v>1285</v>
      </c>
      <c r="F44" s="687">
        <v>304</v>
      </c>
      <c r="G44" s="688">
        <v>304</v>
      </c>
      <c r="H44" s="688">
        <v>304</v>
      </c>
      <c r="J44" s="702">
        <v>304</v>
      </c>
      <c r="K44" s="688">
        <v>304</v>
      </c>
      <c r="L44" s="688">
        <v>304</v>
      </c>
    </row>
    <row r="45" spans="2:12" ht="16.5" thickBot="1" x14ac:dyDescent="0.3">
      <c r="B45" s="687">
        <v>3258</v>
      </c>
      <c r="C45" s="688">
        <v>3258</v>
      </c>
      <c r="D45" s="688">
        <v>3258</v>
      </c>
      <c r="F45" s="687">
        <v>6305</v>
      </c>
      <c r="G45" s="688">
        <v>6445.4</v>
      </c>
      <c r="H45" s="688">
        <v>6445.4</v>
      </c>
      <c r="J45" s="702">
        <v>6305</v>
      </c>
      <c r="K45" s="688">
        <v>6445.4</v>
      </c>
      <c r="L45" s="688">
        <v>6445.4</v>
      </c>
    </row>
    <row r="46" spans="2:12" ht="16.5" thickBot="1" x14ac:dyDescent="0.3">
      <c r="B46" s="687">
        <v>5190.8</v>
      </c>
      <c r="C46" s="688">
        <v>5190.8</v>
      </c>
      <c r="D46" s="688">
        <v>5190.8</v>
      </c>
      <c r="F46" s="687">
        <v>1285</v>
      </c>
      <c r="G46" s="688">
        <v>1285</v>
      </c>
      <c r="H46" s="688">
        <v>1285</v>
      </c>
      <c r="J46" s="702">
        <v>785</v>
      </c>
      <c r="K46" s="688">
        <v>1285</v>
      </c>
      <c r="L46" s="688">
        <v>1285</v>
      </c>
    </row>
    <row r="47" spans="2:12" ht="16.5" thickBot="1" x14ac:dyDescent="0.3">
      <c r="B47" s="687">
        <v>7165.3</v>
      </c>
      <c r="C47" s="688">
        <v>7195.5</v>
      </c>
      <c r="D47" s="688">
        <v>0</v>
      </c>
      <c r="F47" s="687">
        <v>3258</v>
      </c>
      <c r="G47" s="688">
        <v>3258</v>
      </c>
      <c r="H47" s="688">
        <v>3258</v>
      </c>
      <c r="J47" s="702">
        <v>3258</v>
      </c>
      <c r="K47" s="688">
        <v>3258</v>
      </c>
      <c r="L47" s="688">
        <v>3258</v>
      </c>
    </row>
    <row r="48" spans="2:12" ht="16.5" thickBot="1" x14ac:dyDescent="0.3">
      <c r="B48" s="687">
        <v>1140</v>
      </c>
      <c r="C48" s="688">
        <v>1140</v>
      </c>
      <c r="D48" s="688">
        <v>1140</v>
      </c>
      <c r="F48" s="687">
        <v>5190.8</v>
      </c>
      <c r="G48" s="688">
        <v>5190.8</v>
      </c>
      <c r="H48" s="688">
        <v>5190.8</v>
      </c>
      <c r="J48" s="702">
        <v>5190.8</v>
      </c>
      <c r="K48" s="688">
        <v>5190.8</v>
      </c>
      <c r="L48" s="688">
        <v>5190.8</v>
      </c>
    </row>
    <row r="49" spans="2:12" ht="16.5" thickBot="1" x14ac:dyDescent="0.3">
      <c r="B49" s="687">
        <v>7211</v>
      </c>
      <c r="C49" s="688">
        <v>7515.9</v>
      </c>
      <c r="D49" s="688">
        <v>7515.9</v>
      </c>
      <c r="F49" s="687">
        <v>7165.3</v>
      </c>
      <c r="G49" s="688">
        <v>7195.5</v>
      </c>
      <c r="H49" s="688">
        <v>0</v>
      </c>
      <c r="J49" s="702">
        <v>7165.3</v>
      </c>
      <c r="K49" s="688">
        <v>7195.5</v>
      </c>
      <c r="L49" s="688">
        <v>0</v>
      </c>
    </row>
    <row r="50" spans="2:12" ht="16.5" thickBot="1" x14ac:dyDescent="0.3">
      <c r="B50" s="687">
        <v>390</v>
      </c>
      <c r="C50" s="688">
        <v>390</v>
      </c>
      <c r="D50" s="688">
        <v>390</v>
      </c>
      <c r="F50" s="687">
        <v>1140</v>
      </c>
      <c r="G50" s="688">
        <v>1140</v>
      </c>
      <c r="H50" s="688">
        <v>1140</v>
      </c>
      <c r="J50" s="702">
        <v>1140</v>
      </c>
      <c r="K50" s="688">
        <v>1140</v>
      </c>
      <c r="L50" s="688">
        <v>1140</v>
      </c>
    </row>
    <row r="51" spans="2:12" ht="16.5" thickBot="1" x14ac:dyDescent="0.3">
      <c r="B51" s="687">
        <v>982</v>
      </c>
      <c r="C51" s="688">
        <v>982</v>
      </c>
      <c r="D51" s="688">
        <v>982</v>
      </c>
      <c r="F51" s="687">
        <v>7211</v>
      </c>
      <c r="G51" s="688">
        <v>7515.9</v>
      </c>
      <c r="H51" s="688">
        <v>7515.9</v>
      </c>
      <c r="J51" s="702">
        <v>6909.4</v>
      </c>
      <c r="K51" s="688">
        <v>7515.9</v>
      </c>
      <c r="L51" s="688">
        <v>7515.9</v>
      </c>
    </row>
    <row r="52" spans="2:12" ht="16.5" thickBot="1" x14ac:dyDescent="0.3">
      <c r="B52" s="687">
        <v>500</v>
      </c>
      <c r="C52" s="688">
        <v>500</v>
      </c>
      <c r="D52" s="688">
        <v>500</v>
      </c>
      <c r="F52" s="687">
        <v>390</v>
      </c>
      <c r="G52" s="688">
        <v>390</v>
      </c>
      <c r="H52" s="688">
        <v>390</v>
      </c>
      <c r="J52" s="702">
        <v>390</v>
      </c>
      <c r="K52" s="688">
        <v>390</v>
      </c>
      <c r="L52" s="688">
        <v>390</v>
      </c>
    </row>
    <row r="53" spans="2:12" ht="16.5" thickBot="1" x14ac:dyDescent="0.3">
      <c r="B53" s="687">
        <v>9913.5</v>
      </c>
      <c r="C53" s="688">
        <v>9913.5</v>
      </c>
      <c r="D53" s="688">
        <v>9913.5</v>
      </c>
      <c r="F53" s="687">
        <v>982</v>
      </c>
      <c r="G53" s="688">
        <v>982</v>
      </c>
      <c r="H53" s="688">
        <v>982</v>
      </c>
      <c r="J53" s="702">
        <v>982</v>
      </c>
      <c r="K53" s="688">
        <v>982</v>
      </c>
      <c r="L53" s="688">
        <v>982</v>
      </c>
    </row>
    <row r="54" spans="2:12" ht="16.5" thickBot="1" x14ac:dyDescent="0.3">
      <c r="B54" s="687">
        <v>87</v>
      </c>
      <c r="C54" s="688">
        <v>87</v>
      </c>
      <c r="D54" s="688">
        <v>87</v>
      </c>
      <c r="F54" s="687">
        <v>500</v>
      </c>
      <c r="G54" s="688">
        <v>500</v>
      </c>
      <c r="H54" s="688">
        <v>500</v>
      </c>
      <c r="J54" s="702">
        <v>500</v>
      </c>
      <c r="K54" s="688">
        <v>500</v>
      </c>
      <c r="L54" s="688">
        <v>500</v>
      </c>
    </row>
    <row r="55" spans="2:12" ht="16.5" thickBot="1" x14ac:dyDescent="0.3">
      <c r="B55" s="687">
        <v>20339</v>
      </c>
      <c r="C55" s="688">
        <v>21021.7</v>
      </c>
      <c r="D55" s="688">
        <v>21021.7</v>
      </c>
      <c r="F55" s="687">
        <v>9913.5</v>
      </c>
      <c r="G55" s="688">
        <v>9913.5</v>
      </c>
      <c r="H55" s="688">
        <v>9913.5</v>
      </c>
      <c r="J55" s="702">
        <v>9913.5</v>
      </c>
      <c r="K55" s="688">
        <v>9913.5</v>
      </c>
      <c r="L55" s="688">
        <v>9913.5</v>
      </c>
    </row>
    <row r="56" spans="2:12" ht="16.5" thickBot="1" x14ac:dyDescent="0.3">
      <c r="B56" s="687">
        <v>4002.7</v>
      </c>
      <c r="C56" s="688">
        <v>4048.9</v>
      </c>
      <c r="D56" s="688">
        <v>4194.3999999999996</v>
      </c>
      <c r="F56" s="687">
        <v>87</v>
      </c>
      <c r="G56" s="688">
        <v>87</v>
      </c>
      <c r="H56" s="688">
        <v>87</v>
      </c>
      <c r="J56" s="702">
        <v>87</v>
      </c>
      <c r="K56" s="688">
        <v>87</v>
      </c>
      <c r="L56" s="688">
        <v>87</v>
      </c>
    </row>
    <row r="57" spans="2:12" ht="16.5" thickBot="1" x14ac:dyDescent="0.3">
      <c r="B57" s="689">
        <v>671</v>
      </c>
      <c r="C57" s="690">
        <v>601</v>
      </c>
      <c r="D57" s="690">
        <v>624.20000000000005</v>
      </c>
      <c r="F57" s="687">
        <v>20339</v>
      </c>
      <c r="G57" s="688">
        <v>21021.7</v>
      </c>
      <c r="H57" s="688">
        <v>21021.7</v>
      </c>
      <c r="J57" s="702"/>
      <c r="K57" s="688">
        <v>21021.7</v>
      </c>
      <c r="L57" s="688">
        <v>21021.7</v>
      </c>
    </row>
    <row r="58" spans="2:12" ht="16.5" thickBot="1" x14ac:dyDescent="0.3">
      <c r="B58" s="689">
        <v>1578.5</v>
      </c>
      <c r="C58" s="690">
        <v>1641.7</v>
      </c>
      <c r="D58" s="690">
        <v>1691.7</v>
      </c>
      <c r="F58" s="687">
        <v>7639.3</v>
      </c>
      <c r="G58" s="688">
        <v>7742.6</v>
      </c>
      <c r="H58" s="688">
        <v>8035.9</v>
      </c>
      <c r="J58" s="702">
        <v>7639.3</v>
      </c>
      <c r="K58" s="688">
        <v>7742.6</v>
      </c>
      <c r="L58" s="688">
        <v>8035.9</v>
      </c>
    </row>
    <row r="59" spans="2:12" ht="16.5" thickBot="1" x14ac:dyDescent="0.3">
      <c r="B59" s="689">
        <v>1420.8</v>
      </c>
      <c r="C59" s="690">
        <v>1477.7</v>
      </c>
      <c r="D59" s="690">
        <v>1536.8</v>
      </c>
      <c r="F59" s="689">
        <v>671</v>
      </c>
      <c r="G59" s="690">
        <v>601</v>
      </c>
      <c r="H59" s="690">
        <v>624.20000000000005</v>
      </c>
      <c r="J59" s="689">
        <v>671</v>
      </c>
      <c r="K59" s="690">
        <v>601</v>
      </c>
      <c r="L59" s="690">
        <v>624.20000000000005</v>
      </c>
    </row>
    <row r="60" spans="2:12" ht="16.5" thickBot="1" x14ac:dyDescent="0.3">
      <c r="B60" s="689">
        <v>315.8</v>
      </c>
      <c r="C60" s="690">
        <v>328.5</v>
      </c>
      <c r="D60" s="690">
        <v>341.7</v>
      </c>
      <c r="F60" s="689">
        <v>1578.5</v>
      </c>
      <c r="G60" s="690">
        <v>1641.7</v>
      </c>
      <c r="H60" s="690">
        <v>1691.7</v>
      </c>
      <c r="J60" s="689">
        <v>1578.5</v>
      </c>
      <c r="K60" s="690">
        <v>1641.7</v>
      </c>
      <c r="L60" s="690">
        <v>1691.7</v>
      </c>
    </row>
    <row r="61" spans="2:12" ht="16.5" thickBot="1" x14ac:dyDescent="0.3">
      <c r="B61" s="689"/>
      <c r="C61" s="690"/>
      <c r="D61" s="690"/>
      <c r="F61" s="689">
        <v>1420.8</v>
      </c>
      <c r="G61" s="690">
        <v>1477.7</v>
      </c>
      <c r="H61" s="690">
        <v>1536.8</v>
      </c>
      <c r="J61" s="689">
        <v>1420.8</v>
      </c>
      <c r="K61" s="690">
        <v>1477.7</v>
      </c>
      <c r="L61" s="690">
        <v>1536.8</v>
      </c>
    </row>
    <row r="62" spans="2:12" ht="16.5" thickBot="1" x14ac:dyDescent="0.3">
      <c r="B62" s="689">
        <v>16.600000000000001</v>
      </c>
      <c r="C62" s="690">
        <v>17.3</v>
      </c>
      <c r="D62" s="690">
        <v>17.899999999999999</v>
      </c>
      <c r="F62" s="689">
        <v>315.8</v>
      </c>
      <c r="G62" s="690">
        <v>328.5</v>
      </c>
      <c r="H62" s="690">
        <v>341.7</v>
      </c>
      <c r="J62" s="689">
        <v>315.8</v>
      </c>
      <c r="K62" s="690">
        <v>328.5</v>
      </c>
      <c r="L62" s="690">
        <v>341.7</v>
      </c>
    </row>
    <row r="63" spans="2:12" ht="16.5" thickBot="1" x14ac:dyDescent="0.3">
      <c r="F63" s="689">
        <v>3636.6</v>
      </c>
      <c r="G63" s="690">
        <v>3693.7</v>
      </c>
      <c r="H63" s="690">
        <v>3841.5</v>
      </c>
      <c r="J63" s="689">
        <v>3636.6</v>
      </c>
      <c r="K63" s="690">
        <v>3693.7</v>
      </c>
      <c r="L63" s="690">
        <v>3841.5</v>
      </c>
    </row>
    <row r="64" spans="2:12" ht="16.5" thickBot="1" x14ac:dyDescent="0.3">
      <c r="F64" s="689">
        <v>16.600000000000001</v>
      </c>
      <c r="G64" s="690">
        <v>17.3</v>
      </c>
      <c r="H64" s="690">
        <v>17.899999999999999</v>
      </c>
      <c r="J64" s="689">
        <v>16.600000000000001</v>
      </c>
      <c r="K64" s="690">
        <v>17.3</v>
      </c>
      <c r="L64" s="690">
        <v>17.899999999999999</v>
      </c>
    </row>
  </sheetData>
  <mergeCells count="18">
    <mergeCell ref="J37:J38"/>
    <mergeCell ref="K37:K38"/>
    <mergeCell ref="L37:L38"/>
    <mergeCell ref="J42:J43"/>
    <mergeCell ref="K42:K43"/>
    <mergeCell ref="L42:L43"/>
    <mergeCell ref="A2:A3"/>
    <mergeCell ref="D2:I2"/>
    <mergeCell ref="J2:O2"/>
    <mergeCell ref="P2:U2"/>
    <mergeCell ref="B2:B3"/>
    <mergeCell ref="C2:C3"/>
    <mergeCell ref="F37:F38"/>
    <mergeCell ref="G37:G38"/>
    <mergeCell ref="H37:H38"/>
    <mergeCell ref="F42:F43"/>
    <mergeCell ref="G42:G43"/>
    <mergeCell ref="H42:H43"/>
  </mergeCell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0"/>
  <sheetViews>
    <sheetView view="pageBreakPreview" zoomScale="80" zoomScaleNormal="100" zoomScaleSheetLayoutView="80" workbookViewId="0">
      <selection activeCell="B12" sqref="B12"/>
    </sheetView>
  </sheetViews>
  <sheetFormatPr defaultColWidth="9.140625" defaultRowHeight="15" x14ac:dyDescent="0.25"/>
  <cols>
    <col min="1" max="1" width="25" style="578" customWidth="1"/>
    <col min="2" max="2" width="71.7109375" style="578" customWidth="1"/>
    <col min="3" max="4" width="17.28515625" style="115" customWidth="1"/>
    <col min="5" max="5" width="12.5703125" style="487" customWidth="1"/>
    <col min="6" max="6" width="10.85546875" style="487" customWidth="1"/>
    <col min="7" max="7" width="9" style="487" customWidth="1"/>
    <col min="8" max="9" width="10.28515625" style="487" customWidth="1"/>
    <col min="10" max="10" width="11.140625" style="487" customWidth="1"/>
    <col min="11" max="11" width="9" style="487" customWidth="1"/>
    <col min="12" max="16384" width="9.140625" style="487"/>
  </cols>
  <sheetData>
    <row r="1" spans="1:11" ht="15.75" x14ac:dyDescent="0.25">
      <c r="A1" s="128"/>
      <c r="B1" s="128"/>
      <c r="C1" s="724" t="s">
        <v>1511</v>
      </c>
      <c r="D1" s="724"/>
    </row>
    <row r="2" spans="1:11" ht="15.75" x14ac:dyDescent="0.25">
      <c r="A2" s="128"/>
      <c r="B2" s="128"/>
      <c r="C2" s="724" t="s">
        <v>1510</v>
      </c>
      <c r="D2" s="724"/>
    </row>
    <row r="3" spans="1:11" ht="15.75" x14ac:dyDescent="0.25">
      <c r="A3" s="128"/>
      <c r="B3" s="130"/>
      <c r="C3" s="724" t="s">
        <v>1781</v>
      </c>
      <c r="D3" s="724"/>
    </row>
    <row r="4" spans="1:11" ht="15.75" x14ac:dyDescent="0.25">
      <c r="A4" s="717" t="s">
        <v>1133</v>
      </c>
      <c r="B4" s="717"/>
      <c r="C4" s="717"/>
      <c r="D4" s="717"/>
    </row>
    <row r="5" spans="1:11" ht="15.75" x14ac:dyDescent="0.25">
      <c r="A5" s="717" t="s">
        <v>1337</v>
      </c>
      <c r="B5" s="717"/>
      <c r="C5" s="717"/>
      <c r="D5" s="717"/>
    </row>
    <row r="6" spans="1:11" ht="15.75" x14ac:dyDescent="0.25">
      <c r="A6" s="717" t="s">
        <v>1782</v>
      </c>
      <c r="B6" s="717"/>
      <c r="C6" s="717"/>
      <c r="D6" s="717"/>
    </row>
    <row r="7" spans="1:11" ht="15.75" x14ac:dyDescent="0.25">
      <c r="A7" s="131"/>
      <c r="B7" s="131"/>
      <c r="C7" s="378"/>
      <c r="D7" s="691" t="s">
        <v>698</v>
      </c>
    </row>
    <row r="8" spans="1:11" ht="33" customHeight="1" x14ac:dyDescent="0.25">
      <c r="A8" s="132" t="s">
        <v>2</v>
      </c>
      <c r="B8" s="133" t="s">
        <v>3</v>
      </c>
      <c r="C8" s="379" t="s">
        <v>1290</v>
      </c>
      <c r="D8" s="10" t="s">
        <v>1783</v>
      </c>
      <c r="H8" s="725"/>
      <c r="I8" s="725"/>
      <c r="J8" s="725"/>
      <c r="K8" s="725"/>
    </row>
    <row r="9" spans="1:11" ht="18.75" x14ac:dyDescent="0.25">
      <c r="A9" s="134" t="s">
        <v>5</v>
      </c>
      <c r="B9" s="612" t="s">
        <v>6</v>
      </c>
      <c r="C9" s="343">
        <f>C10+C17+C22+C32+C40+C43+C49+C56+C59+C64+C74</f>
        <v>342703.24000000005</v>
      </c>
      <c r="D9" s="343">
        <f>D10+D17+D22+D32+D40+D43+D49+D56+D59+D64+D74</f>
        <v>362876.71000000008</v>
      </c>
      <c r="E9" s="22"/>
      <c r="F9" s="22"/>
    </row>
    <row r="10" spans="1:11" ht="18.75" x14ac:dyDescent="0.25">
      <c r="A10" s="136" t="s">
        <v>7</v>
      </c>
      <c r="B10" s="612" t="s">
        <v>8</v>
      </c>
      <c r="C10" s="343">
        <f t="shared" ref="C10:D10" si="0">C11</f>
        <v>273148.7</v>
      </c>
      <c r="D10" s="343">
        <f t="shared" si="0"/>
        <v>291830.10000000003</v>
      </c>
      <c r="I10" s="335"/>
      <c r="J10" s="334"/>
      <c r="K10" s="335"/>
    </row>
    <row r="11" spans="1:11" ht="18.75" x14ac:dyDescent="0.25">
      <c r="A11" s="137" t="s">
        <v>9</v>
      </c>
      <c r="B11" s="138" t="s">
        <v>10</v>
      </c>
      <c r="C11" s="343">
        <f>SUM(C12:C16)</f>
        <v>273148.7</v>
      </c>
      <c r="D11" s="343">
        <f>SUM(D12:D16)</f>
        <v>291830.10000000003</v>
      </c>
    </row>
    <row r="12" spans="1:11" ht="64.5" customHeight="1" x14ac:dyDescent="0.25">
      <c r="A12" s="201" t="s">
        <v>11</v>
      </c>
      <c r="B12" s="144" t="s">
        <v>12</v>
      </c>
      <c r="C12" s="352">
        <v>262634</v>
      </c>
      <c r="D12" s="352">
        <v>280251.40000000002</v>
      </c>
    </row>
    <row r="13" spans="1:11" ht="110.25" x14ac:dyDescent="0.25">
      <c r="A13" s="201" t="s">
        <v>13</v>
      </c>
      <c r="B13" s="144" t="s">
        <v>14</v>
      </c>
      <c r="C13" s="352">
        <v>59</v>
      </c>
      <c r="D13" s="352">
        <v>63</v>
      </c>
    </row>
    <row r="14" spans="1:11" ht="47.25" x14ac:dyDescent="0.25">
      <c r="A14" s="201" t="s">
        <v>15</v>
      </c>
      <c r="B14" s="144" t="s">
        <v>16</v>
      </c>
      <c r="C14" s="352">
        <v>1397</v>
      </c>
      <c r="D14" s="352">
        <v>1886</v>
      </c>
    </row>
    <row r="15" spans="1:11" ht="78.75" customHeight="1" x14ac:dyDescent="0.25">
      <c r="A15" s="201" t="s">
        <v>17</v>
      </c>
      <c r="B15" s="144" t="s">
        <v>18</v>
      </c>
      <c r="C15" s="352">
        <v>857</v>
      </c>
      <c r="D15" s="352">
        <v>916</v>
      </c>
    </row>
    <row r="16" spans="1:11" s="576" customFormat="1" ht="94.5" x14ac:dyDescent="0.25">
      <c r="A16" s="201" t="s">
        <v>1726</v>
      </c>
      <c r="B16" s="611" t="s">
        <v>1800</v>
      </c>
      <c r="C16" s="352">
        <v>8201.7000000000007</v>
      </c>
      <c r="D16" s="352">
        <v>8713.7000000000007</v>
      </c>
    </row>
    <row r="17" spans="1:11" ht="31.5" x14ac:dyDescent="0.25">
      <c r="A17" s="609" t="s">
        <v>19</v>
      </c>
      <c r="B17" s="142" t="s">
        <v>20</v>
      </c>
      <c r="C17" s="343">
        <f t="shared" ref="C17:D17" si="1">C18</f>
        <v>3048.74</v>
      </c>
      <c r="D17" s="343">
        <f t="shared" si="1"/>
        <v>3226.21</v>
      </c>
      <c r="H17" s="335"/>
      <c r="I17" s="335"/>
      <c r="J17" s="335"/>
      <c r="K17" s="335"/>
    </row>
    <row r="18" spans="1:11" ht="31.5" x14ac:dyDescent="0.25">
      <c r="A18" s="180" t="s">
        <v>21</v>
      </c>
      <c r="B18" s="613" t="s">
        <v>22</v>
      </c>
      <c r="C18" s="343">
        <f t="shared" ref="C18:D18" si="2">SUM(C19:C21)</f>
        <v>3048.74</v>
      </c>
      <c r="D18" s="343">
        <f t="shared" si="2"/>
        <v>3226.21</v>
      </c>
      <c r="K18" s="334"/>
    </row>
    <row r="19" spans="1:11" ht="63" x14ac:dyDescent="0.25">
      <c r="A19" s="143" t="s">
        <v>1689</v>
      </c>
      <c r="B19" s="144" t="s">
        <v>1690</v>
      </c>
      <c r="C19" s="352">
        <f>1364-71</f>
        <v>1293</v>
      </c>
      <c r="D19" s="352">
        <f>1420.46-76.46</f>
        <v>1344</v>
      </c>
      <c r="K19" s="334"/>
    </row>
    <row r="20" spans="1:11" ht="78.75" x14ac:dyDescent="0.25">
      <c r="A20" s="696" t="s">
        <v>1691</v>
      </c>
      <c r="B20" s="144" t="s">
        <v>1692</v>
      </c>
      <c r="C20" s="352">
        <f>7.64-0.64</f>
        <v>7</v>
      </c>
      <c r="D20" s="352">
        <f>8.2-0.4</f>
        <v>7.7999999999999989</v>
      </c>
      <c r="K20" s="334"/>
    </row>
    <row r="21" spans="1:11" ht="63" x14ac:dyDescent="0.25">
      <c r="A21" s="696" t="s">
        <v>1693</v>
      </c>
      <c r="B21" s="144" t="s">
        <v>1694</v>
      </c>
      <c r="C21" s="352">
        <f>1846.12-97.38</f>
        <v>1748.7399999999998</v>
      </c>
      <c r="D21" s="352">
        <f>1979.84-105.43</f>
        <v>1874.4099999999999</v>
      </c>
      <c r="K21" s="334"/>
    </row>
    <row r="22" spans="1:11" ht="18.75" x14ac:dyDescent="0.25">
      <c r="A22" s="137" t="s">
        <v>23</v>
      </c>
      <c r="B22" s="138" t="s">
        <v>24</v>
      </c>
      <c r="C22" s="343">
        <f>SUM(C23+C28+C30)</f>
        <v>15238</v>
      </c>
      <c r="D22" s="343">
        <f>SUM(D23+D28+D30)</f>
        <v>16351</v>
      </c>
      <c r="K22" s="334"/>
    </row>
    <row r="23" spans="1:11" ht="31.5" x14ac:dyDescent="0.25">
      <c r="A23" s="134" t="s">
        <v>25</v>
      </c>
      <c r="B23" s="138" t="s">
        <v>26</v>
      </c>
      <c r="C23" s="343">
        <f>C24+C26</f>
        <v>12235</v>
      </c>
      <c r="D23" s="343">
        <f>D24+D26</f>
        <v>13128</v>
      </c>
      <c r="H23" s="335"/>
      <c r="I23" s="335"/>
      <c r="J23" s="335"/>
      <c r="K23" s="335"/>
    </row>
    <row r="24" spans="1:11" ht="31.5" x14ac:dyDescent="0.25">
      <c r="A24" s="134" t="s">
        <v>1115</v>
      </c>
      <c r="B24" s="614" t="s">
        <v>28</v>
      </c>
      <c r="C24" s="343">
        <f>C25</f>
        <v>11813</v>
      </c>
      <c r="D24" s="343">
        <f>D25</f>
        <v>12675</v>
      </c>
      <c r="K24" s="334"/>
    </row>
    <row r="25" spans="1:11" ht="31.5" x14ac:dyDescent="0.25">
      <c r="A25" s="132" t="s">
        <v>27</v>
      </c>
      <c r="B25" s="144" t="s">
        <v>28</v>
      </c>
      <c r="C25" s="352">
        <v>11813</v>
      </c>
      <c r="D25" s="352">
        <v>12675</v>
      </c>
      <c r="K25" s="334"/>
    </row>
    <row r="26" spans="1:11" ht="47.25" x14ac:dyDescent="0.25">
      <c r="A26" s="134" t="s">
        <v>1114</v>
      </c>
      <c r="B26" s="615" t="s">
        <v>1113</v>
      </c>
      <c r="C26" s="343">
        <f>C27</f>
        <v>422</v>
      </c>
      <c r="D26" s="343">
        <f>D27</f>
        <v>453</v>
      </c>
      <c r="K26" s="334"/>
    </row>
    <row r="27" spans="1:11" ht="63" x14ac:dyDescent="0.25">
      <c r="A27" s="132" t="s">
        <v>29</v>
      </c>
      <c r="B27" s="144" t="s">
        <v>30</v>
      </c>
      <c r="C27" s="352">
        <v>422</v>
      </c>
      <c r="D27" s="352">
        <v>453</v>
      </c>
      <c r="K27" s="334"/>
    </row>
    <row r="28" spans="1:11" ht="31.5" hidden="1" x14ac:dyDescent="0.25">
      <c r="A28" s="134" t="s">
        <v>31</v>
      </c>
      <c r="B28" s="138" t="s">
        <v>32</v>
      </c>
      <c r="C28" s="343">
        <f t="shared" ref="C28:D28" si="3">SUM(C29:C29)</f>
        <v>0</v>
      </c>
      <c r="D28" s="343">
        <f t="shared" si="3"/>
        <v>0</v>
      </c>
      <c r="K28" s="334"/>
    </row>
    <row r="29" spans="1:11" ht="21.75" hidden="1" customHeight="1" x14ac:dyDescent="0.25">
      <c r="A29" s="201" t="s">
        <v>33</v>
      </c>
      <c r="B29" s="237" t="s">
        <v>32</v>
      </c>
      <c r="C29" s="352">
        <v>0</v>
      </c>
      <c r="D29" s="352">
        <v>0</v>
      </c>
      <c r="E29" s="225"/>
      <c r="K29" s="334"/>
    </row>
    <row r="30" spans="1:11" ht="36" customHeight="1" x14ac:dyDescent="0.25">
      <c r="A30" s="134" t="s">
        <v>1125</v>
      </c>
      <c r="B30" s="145" t="s">
        <v>1116</v>
      </c>
      <c r="C30" s="343">
        <f>C31</f>
        <v>3003</v>
      </c>
      <c r="D30" s="352">
        <f>D31</f>
        <v>3223</v>
      </c>
      <c r="K30" s="334"/>
    </row>
    <row r="31" spans="1:11" ht="31.5" x14ac:dyDescent="0.25">
      <c r="A31" s="132" t="s">
        <v>34</v>
      </c>
      <c r="B31" s="236" t="s">
        <v>35</v>
      </c>
      <c r="C31" s="352">
        <v>3003</v>
      </c>
      <c r="D31" s="352">
        <v>3223</v>
      </c>
      <c r="K31" s="334"/>
    </row>
    <row r="32" spans="1:11" ht="18.75" x14ac:dyDescent="0.25">
      <c r="A32" s="137" t="s">
        <v>36</v>
      </c>
      <c r="B32" s="138" t="s">
        <v>37</v>
      </c>
      <c r="C32" s="343">
        <f>C33+C35</f>
        <v>1781</v>
      </c>
      <c r="D32" s="343">
        <f t="shared" ref="D32" si="4">D33+D35</f>
        <v>1805</v>
      </c>
      <c r="K32" s="334"/>
    </row>
    <row r="33" spans="1:11" ht="18.75" x14ac:dyDescent="0.25">
      <c r="A33" s="137" t="s">
        <v>38</v>
      </c>
      <c r="B33" s="138" t="s">
        <v>39</v>
      </c>
      <c r="C33" s="343">
        <f t="shared" ref="C33:D33" si="5">C34</f>
        <v>1141</v>
      </c>
      <c r="D33" s="343">
        <f t="shared" si="5"/>
        <v>1152</v>
      </c>
      <c r="K33" s="334"/>
    </row>
    <row r="34" spans="1:11" ht="47.25" x14ac:dyDescent="0.25">
      <c r="A34" s="201" t="s">
        <v>40</v>
      </c>
      <c r="B34" s="144" t="s">
        <v>41</v>
      </c>
      <c r="C34" s="352">
        <v>1141</v>
      </c>
      <c r="D34" s="352">
        <v>1152</v>
      </c>
      <c r="K34" s="334"/>
    </row>
    <row r="35" spans="1:11" ht="18.75" x14ac:dyDescent="0.25">
      <c r="A35" s="137" t="s">
        <v>42</v>
      </c>
      <c r="B35" s="138" t="s">
        <v>43</v>
      </c>
      <c r="C35" s="343">
        <f>C36+C38</f>
        <v>640</v>
      </c>
      <c r="D35" s="343">
        <f>D36+D38</f>
        <v>653</v>
      </c>
      <c r="K35" s="335"/>
    </row>
    <row r="36" spans="1:11" ht="18.75" x14ac:dyDescent="0.25">
      <c r="A36" s="137" t="s">
        <v>1127</v>
      </c>
      <c r="B36" s="138" t="s">
        <v>1126</v>
      </c>
      <c r="C36" s="343">
        <f>C37</f>
        <v>511</v>
      </c>
      <c r="D36" s="343">
        <f>D37</f>
        <v>519</v>
      </c>
      <c r="K36" s="334"/>
    </row>
    <row r="37" spans="1:11" ht="31.5" x14ac:dyDescent="0.25">
      <c r="A37" s="201" t="s">
        <v>44</v>
      </c>
      <c r="B37" s="144" t="s">
        <v>45</v>
      </c>
      <c r="C37" s="352">
        <v>511</v>
      </c>
      <c r="D37" s="352">
        <v>519</v>
      </c>
      <c r="K37" s="334"/>
    </row>
    <row r="38" spans="1:11" ht="18.75" x14ac:dyDescent="0.25">
      <c r="A38" s="137" t="s">
        <v>1129</v>
      </c>
      <c r="B38" s="138" t="s">
        <v>1128</v>
      </c>
      <c r="C38" s="343">
        <f>C39</f>
        <v>129</v>
      </c>
      <c r="D38" s="343">
        <f>D39</f>
        <v>134</v>
      </c>
      <c r="K38" s="334"/>
    </row>
    <row r="39" spans="1:11" ht="31.5" x14ac:dyDescent="0.25">
      <c r="A39" s="201" t="s">
        <v>46</v>
      </c>
      <c r="B39" s="144" t="s">
        <v>47</v>
      </c>
      <c r="C39" s="352">
        <v>129</v>
      </c>
      <c r="D39" s="352">
        <v>134</v>
      </c>
      <c r="K39" s="334"/>
    </row>
    <row r="40" spans="1:11" ht="18.75" x14ac:dyDescent="0.25">
      <c r="A40" s="137" t="s">
        <v>48</v>
      </c>
      <c r="B40" s="138" t="s">
        <v>49</v>
      </c>
      <c r="C40" s="343">
        <f t="shared" ref="C40:D41" si="6">C41</f>
        <v>1334</v>
      </c>
      <c r="D40" s="343">
        <f t="shared" si="6"/>
        <v>1388</v>
      </c>
      <c r="K40" s="334"/>
    </row>
    <row r="41" spans="1:11" ht="31.5" x14ac:dyDescent="0.25">
      <c r="A41" s="137" t="s">
        <v>50</v>
      </c>
      <c r="B41" s="138" t="s">
        <v>51</v>
      </c>
      <c r="C41" s="343">
        <f t="shared" si="6"/>
        <v>1334</v>
      </c>
      <c r="D41" s="343">
        <f t="shared" si="6"/>
        <v>1388</v>
      </c>
      <c r="K41" s="334"/>
    </row>
    <row r="42" spans="1:11" ht="47.25" x14ac:dyDescent="0.25">
      <c r="A42" s="201" t="s">
        <v>52</v>
      </c>
      <c r="B42" s="144" t="s">
        <v>53</v>
      </c>
      <c r="C42" s="352">
        <v>1334</v>
      </c>
      <c r="D42" s="352">
        <v>1388</v>
      </c>
      <c r="K42" s="334"/>
    </row>
    <row r="43" spans="1:11" ht="47.25" x14ac:dyDescent="0.25">
      <c r="A43" s="137" t="s">
        <v>54</v>
      </c>
      <c r="B43" s="138" t="s">
        <v>55</v>
      </c>
      <c r="C43" s="343">
        <f t="shared" ref="C43:D43" si="7">C44</f>
        <v>44000</v>
      </c>
      <c r="D43" s="343">
        <f t="shared" si="7"/>
        <v>44000</v>
      </c>
      <c r="E43" s="22"/>
      <c r="F43" s="22"/>
      <c r="H43" s="232"/>
      <c r="I43" s="232"/>
      <c r="J43" s="232"/>
      <c r="K43" s="335"/>
    </row>
    <row r="44" spans="1:11" ht="78.75" x14ac:dyDescent="0.25">
      <c r="A44" s="137" t="s">
        <v>56</v>
      </c>
      <c r="B44" s="138" t="s">
        <v>57</v>
      </c>
      <c r="C44" s="343">
        <f t="shared" ref="C44:D44" si="8">C45+C47</f>
        <v>44000</v>
      </c>
      <c r="D44" s="343">
        <f t="shared" si="8"/>
        <v>44000</v>
      </c>
      <c r="K44" s="334"/>
    </row>
    <row r="45" spans="1:11" ht="63" x14ac:dyDescent="0.25">
      <c r="A45" s="137" t="s">
        <v>58</v>
      </c>
      <c r="B45" s="138" t="s">
        <v>59</v>
      </c>
      <c r="C45" s="343">
        <f t="shared" ref="C45:D45" si="9">C46</f>
        <v>40000</v>
      </c>
      <c r="D45" s="343">
        <f t="shared" si="9"/>
        <v>40000</v>
      </c>
      <c r="K45" s="334"/>
    </row>
    <row r="46" spans="1:11" ht="78.75" x14ac:dyDescent="0.25">
      <c r="A46" s="201" t="s">
        <v>60</v>
      </c>
      <c r="B46" s="144" t="s">
        <v>61</v>
      </c>
      <c r="C46" s="352">
        <v>40000</v>
      </c>
      <c r="D46" s="352">
        <v>40000</v>
      </c>
      <c r="K46" s="334"/>
    </row>
    <row r="47" spans="1:11" ht="47.25" x14ac:dyDescent="0.25">
      <c r="A47" s="137" t="s">
        <v>62</v>
      </c>
      <c r="B47" s="138" t="s">
        <v>63</v>
      </c>
      <c r="C47" s="343">
        <f t="shared" ref="C47:D47" si="10">C48</f>
        <v>4000</v>
      </c>
      <c r="D47" s="343">
        <f t="shared" si="10"/>
        <v>4000</v>
      </c>
      <c r="K47" s="334"/>
    </row>
    <row r="48" spans="1:11" ht="31.5" x14ac:dyDescent="0.25">
      <c r="A48" s="201" t="s">
        <v>64</v>
      </c>
      <c r="B48" s="144" t="s">
        <v>65</v>
      </c>
      <c r="C48" s="352">
        <v>4000</v>
      </c>
      <c r="D48" s="352">
        <v>4000</v>
      </c>
      <c r="K48" s="334"/>
    </row>
    <row r="49" spans="1:11" ht="26.45" customHeight="1" x14ac:dyDescent="0.25">
      <c r="A49" s="137" t="s">
        <v>66</v>
      </c>
      <c r="B49" s="147" t="s">
        <v>67</v>
      </c>
      <c r="C49" s="343">
        <f t="shared" ref="C49:D49" si="11">SUM(C50)</f>
        <v>3065.8999999999996</v>
      </c>
      <c r="D49" s="343">
        <f t="shared" si="11"/>
        <v>3188.4999999999995</v>
      </c>
      <c r="H49" s="232"/>
      <c r="I49" s="232"/>
      <c r="J49" s="232"/>
      <c r="K49" s="335"/>
    </row>
    <row r="50" spans="1:11" ht="18.75" x14ac:dyDescent="0.25">
      <c r="A50" s="137" t="s">
        <v>68</v>
      </c>
      <c r="B50" s="138" t="s">
        <v>69</v>
      </c>
      <c r="C50" s="343">
        <f>C51+C52+C53</f>
        <v>3065.8999999999996</v>
      </c>
      <c r="D50" s="343">
        <f>D51+D52+D53</f>
        <v>3188.4999999999995</v>
      </c>
      <c r="K50" s="334"/>
    </row>
    <row r="51" spans="1:11" ht="31.5" x14ac:dyDescent="0.25">
      <c r="A51" s="137" t="s">
        <v>70</v>
      </c>
      <c r="B51" s="138" t="s">
        <v>71</v>
      </c>
      <c r="C51" s="343">
        <v>167.4</v>
      </c>
      <c r="D51" s="343">
        <v>174.1</v>
      </c>
      <c r="K51" s="334"/>
    </row>
    <row r="52" spans="1:11" ht="18.75" x14ac:dyDescent="0.25">
      <c r="A52" s="137" t="s">
        <v>72</v>
      </c>
      <c r="B52" s="138" t="s">
        <v>73</v>
      </c>
      <c r="C52" s="343">
        <v>172.7</v>
      </c>
      <c r="D52" s="343">
        <v>179.6</v>
      </c>
      <c r="K52" s="334"/>
    </row>
    <row r="53" spans="1:11" ht="36" customHeight="1" x14ac:dyDescent="0.25">
      <c r="A53" s="137" t="s">
        <v>1435</v>
      </c>
      <c r="B53" s="147" t="s">
        <v>1117</v>
      </c>
      <c r="C53" s="343">
        <f>C54+C55</f>
        <v>2725.7999999999997</v>
      </c>
      <c r="D53" s="343">
        <f>D54+D55</f>
        <v>2834.7999999999997</v>
      </c>
      <c r="K53" s="334"/>
    </row>
    <row r="54" spans="1:11" ht="18.75" x14ac:dyDescent="0.25">
      <c r="A54" s="201" t="s">
        <v>795</v>
      </c>
      <c r="B54" s="144" t="s">
        <v>796</v>
      </c>
      <c r="C54" s="352">
        <v>2465.6</v>
      </c>
      <c r="D54" s="352">
        <v>2564.1999999999998</v>
      </c>
      <c r="K54" s="334"/>
    </row>
    <row r="55" spans="1:11" ht="18.75" x14ac:dyDescent="0.25">
      <c r="A55" s="201" t="s">
        <v>797</v>
      </c>
      <c r="B55" s="144" t="s">
        <v>798</v>
      </c>
      <c r="C55" s="352">
        <v>260.2</v>
      </c>
      <c r="D55" s="352">
        <v>270.60000000000002</v>
      </c>
      <c r="K55" s="334"/>
    </row>
    <row r="56" spans="1:11" ht="31.5" x14ac:dyDescent="0.25">
      <c r="A56" s="137" t="s">
        <v>74</v>
      </c>
      <c r="B56" s="138" t="s">
        <v>75</v>
      </c>
      <c r="C56" s="343">
        <f>C58</f>
        <v>833.9</v>
      </c>
      <c r="D56" s="343">
        <f>D58</f>
        <v>833.9</v>
      </c>
      <c r="K56" s="334"/>
    </row>
    <row r="57" spans="1:11" ht="18.75" x14ac:dyDescent="0.25">
      <c r="A57" s="137" t="s">
        <v>76</v>
      </c>
      <c r="B57" s="138" t="s">
        <v>77</v>
      </c>
      <c r="C57" s="343">
        <f>C58</f>
        <v>833.9</v>
      </c>
      <c r="D57" s="343">
        <f>D58</f>
        <v>833.9</v>
      </c>
      <c r="K57" s="334"/>
    </row>
    <row r="58" spans="1:11" ht="31.5" x14ac:dyDescent="0.25">
      <c r="A58" s="201" t="s">
        <v>78</v>
      </c>
      <c r="B58" s="144" t="s">
        <v>79</v>
      </c>
      <c r="C58" s="352">
        <v>833.9</v>
      </c>
      <c r="D58" s="352">
        <v>833.9</v>
      </c>
      <c r="K58" s="334"/>
    </row>
    <row r="59" spans="1:11" ht="31.5" x14ac:dyDescent="0.25">
      <c r="A59" s="137" t="s">
        <v>80</v>
      </c>
      <c r="B59" s="138" t="s">
        <v>81</v>
      </c>
      <c r="C59" s="343">
        <f t="shared" ref="C59:D59" si="12">SUM(C60+C62)</f>
        <v>236</v>
      </c>
      <c r="D59" s="343">
        <f t="shared" si="12"/>
        <v>236</v>
      </c>
      <c r="K59" s="334"/>
    </row>
    <row r="60" spans="1:11" ht="78.75" x14ac:dyDescent="0.25">
      <c r="A60" s="137" t="s">
        <v>82</v>
      </c>
      <c r="B60" s="138" t="s">
        <v>83</v>
      </c>
      <c r="C60" s="343">
        <f t="shared" ref="C60:D60" si="13">C61</f>
        <v>235</v>
      </c>
      <c r="D60" s="343">
        <f t="shared" si="13"/>
        <v>235</v>
      </c>
      <c r="K60" s="334"/>
    </row>
    <row r="61" spans="1:11" ht="94.5" x14ac:dyDescent="0.25">
      <c r="A61" s="201" t="s">
        <v>84</v>
      </c>
      <c r="B61" s="144" t="s">
        <v>699</v>
      </c>
      <c r="C61" s="352">
        <v>235</v>
      </c>
      <c r="D61" s="352">
        <v>235</v>
      </c>
      <c r="K61" s="334"/>
    </row>
    <row r="62" spans="1:11" ht="31.5" x14ac:dyDescent="0.25">
      <c r="A62" s="137" t="s">
        <v>85</v>
      </c>
      <c r="B62" s="138" t="s">
        <v>86</v>
      </c>
      <c r="C62" s="343">
        <f t="shared" ref="C62:D62" si="14">SUM(C63)</f>
        <v>1</v>
      </c>
      <c r="D62" s="343">
        <f t="shared" si="14"/>
        <v>1</v>
      </c>
      <c r="K62" s="334"/>
    </row>
    <row r="63" spans="1:11" ht="47.25" x14ac:dyDescent="0.25">
      <c r="A63" s="201" t="s">
        <v>87</v>
      </c>
      <c r="B63" s="144" t="s">
        <v>88</v>
      </c>
      <c r="C63" s="352">
        <v>1</v>
      </c>
      <c r="D63" s="352">
        <v>1</v>
      </c>
      <c r="K63" s="334"/>
    </row>
    <row r="64" spans="1:11" ht="18.75" x14ac:dyDescent="0.25">
      <c r="A64" s="137" t="s">
        <v>89</v>
      </c>
      <c r="B64" s="138" t="s">
        <v>90</v>
      </c>
      <c r="C64" s="343">
        <f>C65</f>
        <v>17</v>
      </c>
      <c r="D64" s="343">
        <f>D65</f>
        <v>18</v>
      </c>
      <c r="K64" s="334"/>
    </row>
    <row r="65" spans="1:11" ht="31.5" x14ac:dyDescent="0.25">
      <c r="A65" s="137" t="s">
        <v>1096</v>
      </c>
      <c r="B65" s="147" t="s">
        <v>91</v>
      </c>
      <c r="C65" s="376">
        <f>C66+C68+C72+C70</f>
        <v>17</v>
      </c>
      <c r="D65" s="376">
        <f>D66+D68+D72+D70</f>
        <v>18</v>
      </c>
      <c r="K65" s="334"/>
    </row>
    <row r="66" spans="1:11" ht="63" x14ac:dyDescent="0.25">
      <c r="A66" s="137" t="s">
        <v>1110</v>
      </c>
      <c r="B66" s="616" t="s">
        <v>1109</v>
      </c>
      <c r="C66" s="376">
        <f>C67</f>
        <v>11</v>
      </c>
      <c r="D66" s="376">
        <f>D67</f>
        <v>12</v>
      </c>
      <c r="K66" s="334"/>
    </row>
    <row r="67" spans="1:11" ht="83.25" customHeight="1" x14ac:dyDescent="0.25">
      <c r="A67" s="201" t="s">
        <v>1098</v>
      </c>
      <c r="B67" s="617" t="s">
        <v>1104</v>
      </c>
      <c r="C67" s="372">
        <v>11</v>
      </c>
      <c r="D67" s="372">
        <v>12</v>
      </c>
      <c r="K67" s="334"/>
    </row>
    <row r="68" spans="1:11" ht="78.75" x14ac:dyDescent="0.25">
      <c r="A68" s="137" t="s">
        <v>1112</v>
      </c>
      <c r="B68" s="616" t="s">
        <v>1111</v>
      </c>
      <c r="C68" s="376">
        <f>C69</f>
        <v>2.5</v>
      </c>
      <c r="D68" s="376">
        <f>D69</f>
        <v>2.5</v>
      </c>
      <c r="K68" s="334"/>
    </row>
    <row r="69" spans="1:11" ht="103.5" customHeight="1" x14ac:dyDescent="0.25">
      <c r="A69" s="201" t="s">
        <v>1097</v>
      </c>
      <c r="B69" s="617" t="s">
        <v>1105</v>
      </c>
      <c r="C69" s="372">
        <v>2.5</v>
      </c>
      <c r="D69" s="372">
        <v>2.5</v>
      </c>
      <c r="K69" s="334"/>
    </row>
    <row r="70" spans="1:11" s="185" customFormat="1" ht="61.5" customHeight="1" x14ac:dyDescent="0.25">
      <c r="A70" s="137" t="s">
        <v>1801</v>
      </c>
      <c r="B70" s="618" t="s">
        <v>1803</v>
      </c>
      <c r="C70" s="376">
        <f>C71</f>
        <v>0.5</v>
      </c>
      <c r="D70" s="376">
        <f>D71</f>
        <v>0.5</v>
      </c>
      <c r="K70" s="610"/>
    </row>
    <row r="71" spans="1:11" s="576" customFormat="1" ht="81.75" customHeight="1" x14ac:dyDescent="0.25">
      <c r="A71" s="201" t="s">
        <v>1802</v>
      </c>
      <c r="B71" s="617" t="s">
        <v>1804</v>
      </c>
      <c r="C71" s="372">
        <v>0.5</v>
      </c>
      <c r="D71" s="372">
        <v>0.5</v>
      </c>
      <c r="K71" s="334"/>
    </row>
    <row r="72" spans="1:11" ht="75.2" customHeight="1" x14ac:dyDescent="0.25">
      <c r="A72" s="137" t="s">
        <v>1108</v>
      </c>
      <c r="B72" s="618" t="s">
        <v>1107</v>
      </c>
      <c r="C72" s="376">
        <f>C73</f>
        <v>3</v>
      </c>
      <c r="D72" s="376">
        <f>D73</f>
        <v>3</v>
      </c>
    </row>
    <row r="73" spans="1:11" ht="87.75" customHeight="1" x14ac:dyDescent="0.25">
      <c r="A73" s="201" t="s">
        <v>1101</v>
      </c>
      <c r="B73" s="619" t="s">
        <v>1106</v>
      </c>
      <c r="C73" s="352">
        <v>3</v>
      </c>
      <c r="D73" s="352">
        <v>3</v>
      </c>
    </row>
    <row r="74" spans="1:11" ht="18.75" hidden="1" x14ac:dyDescent="0.25">
      <c r="A74" s="3" t="s">
        <v>1099</v>
      </c>
      <c r="B74" s="620" t="s">
        <v>767</v>
      </c>
      <c r="C74" s="343">
        <f>C75</f>
        <v>0</v>
      </c>
      <c r="D74" s="343">
        <f>D75</f>
        <v>0</v>
      </c>
    </row>
    <row r="75" spans="1:11" ht="18.75" hidden="1" x14ac:dyDescent="0.25">
      <c r="A75" s="3" t="s">
        <v>1100</v>
      </c>
      <c r="B75" s="620" t="s">
        <v>768</v>
      </c>
      <c r="C75" s="343">
        <f t="shared" ref="C75:D75" si="15">SUM(C76)</f>
        <v>0</v>
      </c>
      <c r="D75" s="343">
        <f t="shared" si="15"/>
        <v>0</v>
      </c>
    </row>
    <row r="76" spans="1:11" ht="18.75" hidden="1" x14ac:dyDescent="0.25">
      <c r="A76" s="2" t="s">
        <v>769</v>
      </c>
      <c r="B76" s="621" t="s">
        <v>770</v>
      </c>
      <c r="C76" s="352">
        <v>0</v>
      </c>
      <c r="D76" s="352">
        <v>0</v>
      </c>
    </row>
    <row r="77" spans="1:11" ht="18.75" x14ac:dyDescent="0.25">
      <c r="A77" s="137" t="s">
        <v>92</v>
      </c>
      <c r="B77" s="138" t="s">
        <v>93</v>
      </c>
      <c r="C77" s="343">
        <f>SUM(C78+C152)</f>
        <v>465299.6</v>
      </c>
      <c r="D77" s="343">
        <f>SUM(D78+D152)</f>
        <v>414778</v>
      </c>
      <c r="E77" s="22"/>
      <c r="F77" s="22"/>
    </row>
    <row r="78" spans="1:11" ht="31.5" x14ac:dyDescent="0.25">
      <c r="A78" s="137" t="s">
        <v>94</v>
      </c>
      <c r="B78" s="138" t="s">
        <v>95</v>
      </c>
      <c r="C78" s="343">
        <f>SUM(C79+C84+C118+C144)</f>
        <v>465299.6</v>
      </c>
      <c r="D78" s="343">
        <f>SUM(D79+D84+D118+D144)</f>
        <v>414778</v>
      </c>
    </row>
    <row r="79" spans="1:11" ht="18.75" x14ac:dyDescent="0.25">
      <c r="A79" s="137" t="s">
        <v>814</v>
      </c>
      <c r="B79" s="147" t="s">
        <v>96</v>
      </c>
      <c r="C79" s="343">
        <f>C80+C82</f>
        <v>204493</v>
      </c>
      <c r="D79" s="343">
        <f>D80+D82</f>
        <v>204493</v>
      </c>
      <c r="E79" s="22"/>
    </row>
    <row r="80" spans="1:11" ht="31.5" x14ac:dyDescent="0.25">
      <c r="A80" s="137" t="s">
        <v>1131</v>
      </c>
      <c r="B80" s="147" t="s">
        <v>1130</v>
      </c>
      <c r="C80" s="343">
        <f>C81</f>
        <v>193111</v>
      </c>
      <c r="D80" s="343">
        <f t="shared" ref="D80" si="16">D81</f>
        <v>193111</v>
      </c>
    </row>
    <row r="81" spans="1:6" ht="36.75" customHeight="1" x14ac:dyDescent="0.25">
      <c r="A81" s="201" t="s">
        <v>813</v>
      </c>
      <c r="B81" s="144" t="s">
        <v>1140</v>
      </c>
      <c r="C81" s="352">
        <v>193111</v>
      </c>
      <c r="D81" s="352">
        <v>193111</v>
      </c>
    </row>
    <row r="82" spans="1:6" ht="31.5" x14ac:dyDescent="0.25">
      <c r="A82" s="134" t="s">
        <v>1451</v>
      </c>
      <c r="B82" s="138" t="s">
        <v>1452</v>
      </c>
      <c r="C82" s="343">
        <f>C83</f>
        <v>11382</v>
      </c>
      <c r="D82" s="343">
        <f>D83</f>
        <v>11382</v>
      </c>
    </row>
    <row r="83" spans="1:6" ht="31.5" x14ac:dyDescent="0.25">
      <c r="A83" s="132" t="s">
        <v>1453</v>
      </c>
      <c r="B83" s="144" t="s">
        <v>1454</v>
      </c>
      <c r="C83" s="352">
        <v>11382</v>
      </c>
      <c r="D83" s="352">
        <v>11382</v>
      </c>
    </row>
    <row r="84" spans="1:6" ht="31.5" x14ac:dyDescent="0.25">
      <c r="A84" s="137" t="s">
        <v>812</v>
      </c>
      <c r="B84" s="138" t="s">
        <v>97</v>
      </c>
      <c r="C84" s="343">
        <f>C94+C99+C102+C95+C97+C91+C89+C85+C87</f>
        <v>26635.499999999996</v>
      </c>
      <c r="D84" s="343">
        <f>D94+D99+D102+D95+D97+D91+D89+D85+D87</f>
        <v>17846.599999999999</v>
      </c>
    </row>
    <row r="85" spans="1:6" ht="47.25" hidden="1" x14ac:dyDescent="0.25">
      <c r="A85" s="693" t="s">
        <v>1155</v>
      </c>
      <c r="B85" s="615" t="s">
        <v>1157</v>
      </c>
      <c r="C85" s="345">
        <f>C86</f>
        <v>0</v>
      </c>
      <c r="D85" s="345">
        <f>D86</f>
        <v>0</v>
      </c>
    </row>
    <row r="86" spans="1:6" ht="47.25" hidden="1" x14ac:dyDescent="0.25">
      <c r="A86" s="201" t="s">
        <v>1154</v>
      </c>
      <c r="B86" s="252" t="s">
        <v>1156</v>
      </c>
      <c r="C86" s="352">
        <v>0</v>
      </c>
      <c r="D86" s="352">
        <v>0</v>
      </c>
    </row>
    <row r="87" spans="1:6" ht="53.45" customHeight="1" x14ac:dyDescent="0.25">
      <c r="A87" s="137" t="s">
        <v>1466</v>
      </c>
      <c r="B87" s="705" t="s">
        <v>1797</v>
      </c>
      <c r="C87" s="343">
        <f>C88</f>
        <v>2245.1</v>
      </c>
      <c r="D87" s="343">
        <f>D88</f>
        <v>0</v>
      </c>
    </row>
    <row r="88" spans="1:6" ht="45.75" customHeight="1" x14ac:dyDescent="0.25">
      <c r="A88" s="201" t="s">
        <v>1467</v>
      </c>
      <c r="B88" s="622" t="s">
        <v>1727</v>
      </c>
      <c r="C88" s="352">
        <v>2245.1</v>
      </c>
      <c r="D88" s="352">
        <v>0</v>
      </c>
      <c r="E88" s="232"/>
      <c r="F88" s="232"/>
    </row>
    <row r="89" spans="1:6" ht="47.25" hidden="1" x14ac:dyDescent="0.25">
      <c r="A89" s="137" t="s">
        <v>1158</v>
      </c>
      <c r="B89" s="614" t="s">
        <v>1161</v>
      </c>
      <c r="C89" s="343">
        <f>C90</f>
        <v>0</v>
      </c>
      <c r="D89" s="343">
        <f>D90</f>
        <v>0</v>
      </c>
    </row>
    <row r="90" spans="1:6" ht="47.25" hidden="1" x14ac:dyDescent="0.25">
      <c r="A90" s="201" t="s">
        <v>1159</v>
      </c>
      <c r="B90" s="252" t="s">
        <v>1160</v>
      </c>
      <c r="C90" s="352">
        <v>0</v>
      </c>
      <c r="D90" s="352">
        <v>0</v>
      </c>
    </row>
    <row r="91" spans="1:6" ht="18.75" hidden="1" x14ac:dyDescent="0.25">
      <c r="A91" s="693"/>
      <c r="B91" s="358" t="s">
        <v>1284</v>
      </c>
      <c r="C91" s="343">
        <f>C92</f>
        <v>0</v>
      </c>
      <c r="D91" s="343">
        <f>D92</f>
        <v>0</v>
      </c>
    </row>
    <row r="92" spans="1:6" ht="18.75" hidden="1" x14ac:dyDescent="0.25">
      <c r="A92" s="696"/>
      <c r="B92" s="359"/>
      <c r="C92" s="352">
        <v>0</v>
      </c>
      <c r="D92" s="343">
        <v>0</v>
      </c>
      <c r="E92" s="232"/>
    </row>
    <row r="93" spans="1:6" ht="34.5" customHeight="1" x14ac:dyDescent="0.25">
      <c r="A93" s="693" t="s">
        <v>1791</v>
      </c>
      <c r="B93" s="138" t="s">
        <v>1798</v>
      </c>
      <c r="C93" s="343">
        <f>C94</f>
        <v>178.1</v>
      </c>
      <c r="D93" s="343">
        <f>D94</f>
        <v>142.4</v>
      </c>
    </row>
    <row r="94" spans="1:6" ht="37.5" customHeight="1" x14ac:dyDescent="0.25">
      <c r="A94" s="696" t="s">
        <v>792</v>
      </c>
      <c r="B94" s="144" t="s">
        <v>1799</v>
      </c>
      <c r="C94" s="352">
        <v>178.1</v>
      </c>
      <c r="D94" s="352">
        <v>142.4</v>
      </c>
      <c r="E94" s="232"/>
      <c r="F94" s="232"/>
    </row>
    <row r="95" spans="1:6" ht="40.700000000000003" hidden="1" customHeight="1" x14ac:dyDescent="0.25">
      <c r="A95" s="693" t="s">
        <v>1119</v>
      </c>
      <c r="B95" s="138" t="s">
        <v>826</v>
      </c>
      <c r="C95" s="343">
        <f>C96</f>
        <v>0</v>
      </c>
      <c r="D95" s="343">
        <f>D96</f>
        <v>0</v>
      </c>
    </row>
    <row r="96" spans="1:6" ht="39.75" hidden="1" customHeight="1" x14ac:dyDescent="0.25">
      <c r="A96" s="696" t="s">
        <v>825</v>
      </c>
      <c r="B96" s="144" t="s">
        <v>826</v>
      </c>
      <c r="C96" s="352">
        <v>0</v>
      </c>
      <c r="D96" s="352">
        <v>0</v>
      </c>
    </row>
    <row r="97" spans="1:6" ht="19.5" hidden="1" customHeight="1" x14ac:dyDescent="0.25">
      <c r="A97" s="270" t="s">
        <v>1151</v>
      </c>
      <c r="B97" s="271" t="s">
        <v>1152</v>
      </c>
      <c r="C97" s="343">
        <f>C98</f>
        <v>0</v>
      </c>
      <c r="D97" s="343">
        <f>D98</f>
        <v>0</v>
      </c>
    </row>
    <row r="98" spans="1:6" ht="87.75" hidden="1" customHeight="1" x14ac:dyDescent="0.25">
      <c r="A98" s="272" t="s">
        <v>1149</v>
      </c>
      <c r="B98" s="252" t="s">
        <v>1189</v>
      </c>
      <c r="C98" s="352">
        <v>0</v>
      </c>
      <c r="D98" s="352">
        <v>0</v>
      </c>
    </row>
    <row r="99" spans="1:6" ht="54" customHeight="1" x14ac:dyDescent="0.25">
      <c r="A99" s="693" t="s">
        <v>1441</v>
      </c>
      <c r="B99" s="138" t="s">
        <v>1442</v>
      </c>
      <c r="C99" s="343">
        <f t="shared" ref="C99:D101" si="17">SUM(C100)</f>
        <v>4931.7</v>
      </c>
      <c r="D99" s="343">
        <f t="shared" si="17"/>
        <v>5080.7</v>
      </c>
    </row>
    <row r="100" spans="1:6" ht="68.25" customHeight="1" x14ac:dyDescent="0.25">
      <c r="A100" s="696" t="s">
        <v>1443</v>
      </c>
      <c r="B100" s="144" t="s">
        <v>1422</v>
      </c>
      <c r="C100" s="352">
        <v>4931.7</v>
      </c>
      <c r="D100" s="352">
        <v>5080.7</v>
      </c>
      <c r="E100" s="232"/>
      <c r="F100" s="232"/>
    </row>
    <row r="101" spans="1:6" ht="18.75" x14ac:dyDescent="0.25">
      <c r="A101" s="693" t="s">
        <v>1123</v>
      </c>
      <c r="B101" s="138" t="s">
        <v>1122</v>
      </c>
      <c r="C101" s="343">
        <f t="shared" si="17"/>
        <v>19280.599999999999</v>
      </c>
      <c r="D101" s="343">
        <f t="shared" si="17"/>
        <v>12623.5</v>
      </c>
    </row>
    <row r="102" spans="1:6" ht="18.75" x14ac:dyDescent="0.25">
      <c r="A102" s="201" t="s">
        <v>810</v>
      </c>
      <c r="B102" s="144" t="s">
        <v>98</v>
      </c>
      <c r="C102" s="369">
        <f>C103+C104+C105+C107+C108+C111+C112+C113+C114+C115+C117+C110+C116+C106</f>
        <v>19280.599999999999</v>
      </c>
      <c r="D102" s="369">
        <f>D103+D104+D105+D107+D108+D111+D112+D113+D114+D115+D117+D110+D116+D106</f>
        <v>12623.5</v>
      </c>
    </row>
    <row r="103" spans="1:6" ht="63" hidden="1" customHeight="1" x14ac:dyDescent="0.25">
      <c r="A103" s="721"/>
      <c r="B103" s="144"/>
      <c r="C103" s="352"/>
      <c r="D103" s="352"/>
      <c r="E103" s="335"/>
      <c r="F103" s="335"/>
    </row>
    <row r="104" spans="1:6" ht="134.25" customHeight="1" x14ac:dyDescent="0.25">
      <c r="A104" s="722"/>
      <c r="B104" s="346" t="s">
        <v>1752</v>
      </c>
      <c r="C104" s="455">
        <v>652</v>
      </c>
      <c r="D104" s="370">
        <v>652</v>
      </c>
      <c r="E104" s="339"/>
      <c r="F104" s="339"/>
    </row>
    <row r="105" spans="1:6" ht="143.44999999999999" hidden="1" customHeight="1" x14ac:dyDescent="0.25">
      <c r="A105" s="722"/>
      <c r="B105" s="265" t="s">
        <v>1153</v>
      </c>
      <c r="C105" s="370">
        <v>0</v>
      </c>
      <c r="D105" s="370">
        <v>0</v>
      </c>
      <c r="E105" s="232"/>
      <c r="F105" s="232"/>
    </row>
    <row r="106" spans="1:6" ht="101.25" customHeight="1" x14ac:dyDescent="0.25">
      <c r="A106" s="722"/>
      <c r="B106" s="265" t="s">
        <v>1748</v>
      </c>
      <c r="C106" s="370">
        <v>200</v>
      </c>
      <c r="D106" s="370">
        <v>200</v>
      </c>
      <c r="E106" s="232"/>
      <c r="F106" s="232"/>
    </row>
    <row r="107" spans="1:6" ht="31.5" x14ac:dyDescent="0.25">
      <c r="A107" s="722"/>
      <c r="B107" s="623" t="s">
        <v>1695</v>
      </c>
      <c r="C107" s="371">
        <v>4278.5</v>
      </c>
      <c r="D107" s="371">
        <v>4449.6000000000004</v>
      </c>
      <c r="E107" s="335"/>
      <c r="F107" s="335"/>
    </row>
    <row r="108" spans="1:6" ht="67.7" hidden="1" customHeight="1" x14ac:dyDescent="0.25">
      <c r="A108" s="722"/>
      <c r="B108" s="346" t="s">
        <v>1420</v>
      </c>
      <c r="C108" s="372"/>
      <c r="D108" s="372"/>
    </row>
    <row r="109" spans="1:6" ht="116.45" hidden="1" customHeight="1" x14ac:dyDescent="0.25">
      <c r="A109" s="722"/>
      <c r="B109" s="624" t="s">
        <v>802</v>
      </c>
      <c r="C109" s="373">
        <v>0</v>
      </c>
      <c r="D109" s="373">
        <v>0</v>
      </c>
    </row>
    <row r="110" spans="1:6" ht="47.25" x14ac:dyDescent="0.25">
      <c r="A110" s="722"/>
      <c r="B110" s="557" t="s">
        <v>1640</v>
      </c>
      <c r="C110" s="352">
        <v>200</v>
      </c>
      <c r="D110" s="352">
        <v>200</v>
      </c>
      <c r="E110" s="339"/>
      <c r="F110" s="339"/>
    </row>
    <row r="111" spans="1:6" ht="32.65" customHeight="1" x14ac:dyDescent="0.25">
      <c r="A111" s="722"/>
      <c r="B111" s="144" t="s">
        <v>1737</v>
      </c>
      <c r="C111" s="352">
        <v>2373.8000000000002</v>
      </c>
      <c r="D111" s="352">
        <v>2446.1</v>
      </c>
      <c r="E111" s="339"/>
      <c r="F111" s="339"/>
    </row>
    <row r="112" spans="1:6" ht="98.25" customHeight="1" x14ac:dyDescent="0.25">
      <c r="A112" s="722"/>
      <c r="B112" s="144" t="s">
        <v>1759</v>
      </c>
      <c r="C112" s="352">
        <v>255</v>
      </c>
      <c r="D112" s="352">
        <v>255</v>
      </c>
      <c r="E112" s="339"/>
      <c r="F112" s="339"/>
    </row>
    <row r="113" spans="1:7" ht="126" x14ac:dyDescent="0.25">
      <c r="A113" s="722"/>
      <c r="B113" s="557" t="s">
        <v>1765</v>
      </c>
      <c r="C113" s="352">
        <v>6900.5</v>
      </c>
      <c r="D113" s="352">
        <v>0</v>
      </c>
      <c r="E113" s="339"/>
      <c r="F113" s="339"/>
    </row>
    <row r="114" spans="1:7" ht="95.25" hidden="1" customHeight="1" x14ac:dyDescent="0.25">
      <c r="A114" s="722"/>
      <c r="B114" s="252" t="s">
        <v>1162</v>
      </c>
      <c r="C114" s="380"/>
      <c r="D114" s="352"/>
    </row>
    <row r="115" spans="1:7" ht="57.75" customHeight="1" x14ac:dyDescent="0.25">
      <c r="A115" s="722"/>
      <c r="B115" s="557" t="s">
        <v>1745</v>
      </c>
      <c r="C115" s="369">
        <v>247.3</v>
      </c>
      <c r="D115" s="369">
        <v>247.3</v>
      </c>
      <c r="E115" s="339"/>
      <c r="F115" s="339"/>
      <c r="G115" s="334"/>
    </row>
    <row r="116" spans="1:7" ht="31.5" x14ac:dyDescent="0.25">
      <c r="A116" s="722"/>
      <c r="B116" s="625" t="s">
        <v>1679</v>
      </c>
      <c r="C116" s="369">
        <v>4173.5</v>
      </c>
      <c r="D116" s="369">
        <v>4173.5</v>
      </c>
      <c r="E116" s="339"/>
      <c r="F116" s="339"/>
    </row>
    <row r="117" spans="1:7" ht="63" hidden="1" x14ac:dyDescent="0.25">
      <c r="A117" s="723"/>
      <c r="B117" s="706" t="s">
        <v>1422</v>
      </c>
      <c r="C117" s="369">
        <v>0</v>
      </c>
      <c r="D117" s="369">
        <v>0</v>
      </c>
      <c r="E117" s="335"/>
      <c r="F117" s="335"/>
    </row>
    <row r="118" spans="1:7" ht="24.75" customHeight="1" x14ac:dyDescent="0.25">
      <c r="A118" s="137" t="s">
        <v>809</v>
      </c>
      <c r="B118" s="147" t="s">
        <v>100</v>
      </c>
      <c r="C118" s="343">
        <f>C142+C119+C140</f>
        <v>226749.69999999998</v>
      </c>
      <c r="D118" s="343">
        <f>D142+D119+D140</f>
        <v>185016.99999999997</v>
      </c>
    </row>
    <row r="119" spans="1:7" ht="31.5" x14ac:dyDescent="0.25">
      <c r="A119" s="137" t="s">
        <v>808</v>
      </c>
      <c r="B119" s="138" t="s">
        <v>101</v>
      </c>
      <c r="C119" s="343">
        <f>C120</f>
        <v>226148.49999999997</v>
      </c>
      <c r="D119" s="343">
        <f t="shared" ref="D119" si="18">D120</f>
        <v>184392.79999999996</v>
      </c>
    </row>
    <row r="120" spans="1:7" ht="31.5" x14ac:dyDescent="0.25">
      <c r="A120" s="201" t="s">
        <v>807</v>
      </c>
      <c r="B120" s="144" t="s">
        <v>102</v>
      </c>
      <c r="C120" s="352">
        <f>C121+C122+C127+C130+C131+C132+C133+C134+C136</f>
        <v>226148.49999999997</v>
      </c>
      <c r="D120" s="352">
        <f>D121+D122+D127+D130+D131+D132+D133+D134+D136</f>
        <v>184392.79999999996</v>
      </c>
    </row>
    <row r="121" spans="1:7" ht="54.75" customHeight="1" x14ac:dyDescent="0.25">
      <c r="A121" s="721"/>
      <c r="B121" s="346" t="s">
        <v>1712</v>
      </c>
      <c r="C121" s="372">
        <v>204296.3</v>
      </c>
      <c r="D121" s="372">
        <v>162319.9</v>
      </c>
      <c r="E121" s="339"/>
      <c r="F121" s="339"/>
    </row>
    <row r="122" spans="1:7" ht="148.5" customHeight="1" x14ac:dyDescent="0.25">
      <c r="A122" s="722"/>
      <c r="B122" s="144" t="s">
        <v>1696</v>
      </c>
      <c r="C122" s="372">
        <v>328.5</v>
      </c>
      <c r="D122" s="372">
        <v>341.7</v>
      </c>
      <c r="E122" s="339"/>
      <c r="F122" s="339"/>
    </row>
    <row r="123" spans="1:7" ht="145.5" hidden="1" customHeight="1" x14ac:dyDescent="0.25">
      <c r="A123" s="722"/>
      <c r="B123" s="144"/>
      <c r="C123" s="372"/>
      <c r="D123" s="372"/>
      <c r="E123" s="341"/>
      <c r="F123" s="341"/>
      <c r="G123" s="342"/>
    </row>
    <row r="124" spans="1:7" ht="64.5" hidden="1" customHeight="1" x14ac:dyDescent="0.25">
      <c r="A124" s="722"/>
      <c r="B124" s="144"/>
      <c r="C124" s="372"/>
      <c r="D124" s="372"/>
      <c r="E124" s="339"/>
      <c r="F124" s="339"/>
    </row>
    <row r="125" spans="1:7" ht="46.9" hidden="1" customHeight="1" x14ac:dyDescent="0.25">
      <c r="A125" s="722"/>
      <c r="B125" s="144"/>
      <c r="C125" s="372"/>
      <c r="D125" s="372"/>
      <c r="E125" s="339"/>
      <c r="F125" s="339"/>
    </row>
    <row r="126" spans="1:7" ht="18.75" hidden="1" x14ac:dyDescent="0.25">
      <c r="A126" s="722"/>
      <c r="B126" s="144"/>
      <c r="C126" s="372"/>
      <c r="D126" s="372"/>
      <c r="E126" s="339"/>
      <c r="F126" s="339"/>
    </row>
    <row r="127" spans="1:7" ht="54.75" customHeight="1" x14ac:dyDescent="0.25">
      <c r="A127" s="722"/>
      <c r="B127" s="144" t="s">
        <v>1780</v>
      </c>
      <c r="C127" s="372">
        <f>SUM(C128:C129)</f>
        <v>3693.7000000000003</v>
      </c>
      <c r="D127" s="372">
        <f>SUM(D128:D129)</f>
        <v>3841.5</v>
      </c>
      <c r="E127" s="335"/>
      <c r="F127" s="335"/>
      <c r="G127" s="335"/>
    </row>
    <row r="128" spans="1:7" ht="93.75" customHeight="1" x14ac:dyDescent="0.25">
      <c r="A128" s="722"/>
      <c r="B128" s="632" t="s">
        <v>1566</v>
      </c>
      <c r="C128" s="372">
        <v>3283.3</v>
      </c>
      <c r="D128" s="372">
        <v>3414.7</v>
      </c>
    </row>
    <row r="129" spans="1:6" ht="167.25" customHeight="1" x14ac:dyDescent="0.25">
      <c r="A129" s="722"/>
      <c r="B129" s="632" t="s">
        <v>1567</v>
      </c>
      <c r="C129" s="372">
        <v>410.4</v>
      </c>
      <c r="D129" s="372">
        <v>426.8</v>
      </c>
    </row>
    <row r="130" spans="1:6" ht="149.25" customHeight="1" x14ac:dyDescent="0.25">
      <c r="A130" s="722"/>
      <c r="B130" s="144" t="s">
        <v>1763</v>
      </c>
      <c r="C130" s="372">
        <v>384.5</v>
      </c>
      <c r="D130" s="372">
        <v>384.5</v>
      </c>
      <c r="E130" s="339"/>
      <c r="F130" s="339"/>
    </row>
    <row r="131" spans="1:6" ht="119.25" customHeight="1" x14ac:dyDescent="0.25">
      <c r="A131" s="722"/>
      <c r="B131" s="144" t="s">
        <v>1762</v>
      </c>
      <c r="C131" s="372">
        <v>909.3</v>
      </c>
      <c r="D131" s="372">
        <v>909.3</v>
      </c>
      <c r="E131" s="339"/>
      <c r="F131" s="339"/>
    </row>
    <row r="132" spans="1:6" ht="47.25" customHeight="1" x14ac:dyDescent="0.25">
      <c r="A132" s="722"/>
      <c r="B132" s="144" t="s">
        <v>1697</v>
      </c>
      <c r="C132" s="372">
        <v>1477.7</v>
      </c>
      <c r="D132" s="372">
        <v>1536.8</v>
      </c>
      <c r="E132" s="339"/>
      <c r="F132" s="339"/>
    </row>
    <row r="133" spans="1:6" ht="157.5" x14ac:dyDescent="0.25">
      <c r="A133" s="722"/>
      <c r="B133" s="29" t="s">
        <v>1760</v>
      </c>
      <c r="C133" s="372">
        <v>17.3</v>
      </c>
      <c r="D133" s="372">
        <v>17.899999999999999</v>
      </c>
      <c r="E133" s="339"/>
      <c r="F133" s="339"/>
    </row>
    <row r="134" spans="1:6" ht="65.25" customHeight="1" x14ac:dyDescent="0.25">
      <c r="A134" s="722"/>
      <c r="B134" s="144" t="s">
        <v>1444</v>
      </c>
      <c r="C134" s="372">
        <v>2145.8000000000002</v>
      </c>
      <c r="D134" s="372">
        <v>2145.8000000000002</v>
      </c>
      <c r="E134" s="339"/>
      <c r="F134" s="339"/>
    </row>
    <row r="135" spans="1:6" ht="63" hidden="1" x14ac:dyDescent="0.25">
      <c r="A135" s="722"/>
      <c r="B135" s="144" t="s">
        <v>1444</v>
      </c>
      <c r="C135" s="372"/>
      <c r="D135" s="372"/>
      <c r="E135" s="339"/>
      <c r="F135" s="339"/>
    </row>
    <row r="136" spans="1:6" ht="71.25" customHeight="1" x14ac:dyDescent="0.25">
      <c r="A136" s="722"/>
      <c r="B136" s="626" t="s">
        <v>1698</v>
      </c>
      <c r="C136" s="374">
        <f>C137+C138+C139</f>
        <v>12895.4</v>
      </c>
      <c r="D136" s="374">
        <f>D137+D138+D139</f>
        <v>12895.4</v>
      </c>
      <c r="E136" s="232"/>
      <c r="F136" s="232"/>
    </row>
    <row r="137" spans="1:6" ht="55.5" customHeight="1" x14ac:dyDescent="0.25">
      <c r="A137" s="722"/>
      <c r="B137" s="317" t="s">
        <v>1445</v>
      </c>
      <c r="C137" s="375">
        <v>9911</v>
      </c>
      <c r="D137" s="372">
        <v>9911</v>
      </c>
      <c r="E137" s="339"/>
      <c r="F137" s="339"/>
    </row>
    <row r="138" spans="1:6" ht="77.25" customHeight="1" x14ac:dyDescent="0.25">
      <c r="A138" s="722"/>
      <c r="B138" s="317" t="s">
        <v>1446</v>
      </c>
      <c r="C138" s="375">
        <v>2100.5</v>
      </c>
      <c r="D138" s="372">
        <v>2100.5</v>
      </c>
      <c r="E138" s="339"/>
      <c r="F138" s="339"/>
    </row>
    <row r="139" spans="1:6" ht="64.5" customHeight="1" x14ac:dyDescent="0.25">
      <c r="A139" s="723"/>
      <c r="B139" s="317" t="s">
        <v>1447</v>
      </c>
      <c r="C139" s="375">
        <v>883.9</v>
      </c>
      <c r="D139" s="372">
        <v>883.9</v>
      </c>
      <c r="E139" s="339"/>
      <c r="F139" s="339"/>
    </row>
    <row r="140" spans="1:6" ht="63" hidden="1" x14ac:dyDescent="0.25">
      <c r="A140" s="137" t="s">
        <v>1163</v>
      </c>
      <c r="B140" s="614" t="s">
        <v>1165</v>
      </c>
      <c r="C140" s="376">
        <f>C141</f>
        <v>0</v>
      </c>
      <c r="D140" s="376">
        <f>D141</f>
        <v>0</v>
      </c>
    </row>
    <row r="141" spans="1:6" ht="63" hidden="1" x14ac:dyDescent="0.25">
      <c r="A141" s="201" t="s">
        <v>1164</v>
      </c>
      <c r="B141" s="252" t="s">
        <v>1165</v>
      </c>
      <c r="C141" s="372">
        <v>0</v>
      </c>
      <c r="D141" s="372">
        <v>0</v>
      </c>
      <c r="E141" s="232"/>
      <c r="F141" s="232"/>
    </row>
    <row r="142" spans="1:6" ht="31.5" x14ac:dyDescent="0.25">
      <c r="A142" s="137" t="s">
        <v>806</v>
      </c>
      <c r="B142" s="138" t="s">
        <v>103</v>
      </c>
      <c r="C142" s="343">
        <f t="shared" ref="C142:D142" si="19">C143</f>
        <v>601.20000000000005</v>
      </c>
      <c r="D142" s="343">
        <f t="shared" si="19"/>
        <v>624.20000000000005</v>
      </c>
    </row>
    <row r="143" spans="1:6" ht="31.5" x14ac:dyDescent="0.25">
      <c r="A143" s="201" t="s">
        <v>805</v>
      </c>
      <c r="B143" s="144" t="s">
        <v>104</v>
      </c>
      <c r="C143" s="352">
        <v>601.20000000000005</v>
      </c>
      <c r="D143" s="352">
        <v>624.20000000000005</v>
      </c>
      <c r="E143" s="339"/>
      <c r="F143" s="339"/>
    </row>
    <row r="144" spans="1:6" ht="18.75" x14ac:dyDescent="0.25">
      <c r="A144" s="137" t="s">
        <v>804</v>
      </c>
      <c r="B144" s="138" t="s">
        <v>105</v>
      </c>
      <c r="C144" s="343">
        <f>C145</f>
        <v>7421.4</v>
      </c>
      <c r="D144" s="343">
        <f>D145</f>
        <v>7421.4</v>
      </c>
    </row>
    <row r="145" spans="1:6" ht="67.7" customHeight="1" x14ac:dyDescent="0.25">
      <c r="A145" s="694" t="s">
        <v>1388</v>
      </c>
      <c r="B145" s="627" t="s">
        <v>1386</v>
      </c>
      <c r="C145" s="343">
        <f>C146</f>
        <v>7421.4</v>
      </c>
      <c r="D145" s="343">
        <f>D146</f>
        <v>7421.4</v>
      </c>
    </row>
    <row r="146" spans="1:6" ht="66" customHeight="1" x14ac:dyDescent="0.25">
      <c r="A146" s="201" t="s">
        <v>1389</v>
      </c>
      <c r="B146" s="628" t="s">
        <v>1583</v>
      </c>
      <c r="C146" s="352">
        <v>7421.4</v>
      </c>
      <c r="D146" s="352">
        <v>7421.4</v>
      </c>
      <c r="E146" s="335"/>
      <c r="F146" s="232"/>
    </row>
    <row r="147" spans="1:6" ht="18.75" hidden="1" x14ac:dyDescent="0.25">
      <c r="A147" s="137" t="s">
        <v>803</v>
      </c>
      <c r="B147" s="138" t="s">
        <v>106</v>
      </c>
      <c r="C147" s="343">
        <f t="shared" ref="C147:D147" si="20">C148</f>
        <v>0</v>
      </c>
      <c r="D147" s="343">
        <f t="shared" si="20"/>
        <v>0</v>
      </c>
    </row>
    <row r="148" spans="1:6" ht="31.5" hidden="1" x14ac:dyDescent="0.25">
      <c r="A148" s="201" t="s">
        <v>815</v>
      </c>
      <c r="B148" s="144" t="s">
        <v>1124</v>
      </c>
      <c r="C148" s="352">
        <f>SUM(C149:C151)</f>
        <v>0</v>
      </c>
      <c r="D148" s="352">
        <f>SUM(D149:D151)</f>
        <v>0</v>
      </c>
    </row>
    <row r="149" spans="1:6" ht="126" hidden="1" x14ac:dyDescent="0.25">
      <c r="A149" s="721"/>
      <c r="B149" s="626" t="s">
        <v>787</v>
      </c>
      <c r="C149" s="375">
        <f>[1]пр.1дох.21!C153</f>
        <v>0</v>
      </c>
      <c r="D149" s="375">
        <f>C149</f>
        <v>0</v>
      </c>
    </row>
    <row r="150" spans="1:6" ht="141.75" hidden="1" x14ac:dyDescent="0.25">
      <c r="A150" s="722"/>
      <c r="B150" s="626" t="s">
        <v>788</v>
      </c>
      <c r="C150" s="375">
        <f>[1]пр.1дох.21!C154</f>
        <v>0</v>
      </c>
      <c r="D150" s="375">
        <f t="shared" ref="D150:D151" si="21">C150</f>
        <v>0</v>
      </c>
    </row>
    <row r="151" spans="1:6" ht="126" hidden="1" x14ac:dyDescent="0.25">
      <c r="A151" s="723"/>
      <c r="B151" s="626" t="s">
        <v>829</v>
      </c>
      <c r="C151" s="375">
        <f>[1]пр.1дох.21!C155</f>
        <v>0</v>
      </c>
      <c r="D151" s="375">
        <f t="shared" si="21"/>
        <v>0</v>
      </c>
    </row>
    <row r="152" spans="1:6" ht="18.75" hidden="1" x14ac:dyDescent="0.25">
      <c r="A152" s="491" t="s">
        <v>783</v>
      </c>
      <c r="B152" s="629" t="s">
        <v>784</v>
      </c>
      <c r="C152" s="377">
        <f>SUM(C153)</f>
        <v>0</v>
      </c>
      <c r="D152" s="377">
        <f>SUM(D153)</f>
        <v>0</v>
      </c>
    </row>
    <row r="153" spans="1:6" ht="31.5" hidden="1" x14ac:dyDescent="0.25">
      <c r="A153" s="491" t="s">
        <v>785</v>
      </c>
      <c r="B153" s="629" t="s">
        <v>786</v>
      </c>
      <c r="C153" s="377">
        <f>SUM(C154)</f>
        <v>0</v>
      </c>
      <c r="D153" s="377">
        <f>SUM(D154)</f>
        <v>0</v>
      </c>
    </row>
    <row r="154" spans="1:6" ht="18.75" hidden="1" x14ac:dyDescent="0.25">
      <c r="A154" s="715" t="s">
        <v>834</v>
      </c>
      <c r="B154" s="630" t="s">
        <v>786</v>
      </c>
      <c r="C154" s="377">
        <f>SUM(C156:C157)</f>
        <v>0</v>
      </c>
      <c r="D154" s="377">
        <f>SUM(D156:D157)</f>
        <v>0</v>
      </c>
    </row>
    <row r="155" spans="1:6" ht="18.75" hidden="1" x14ac:dyDescent="0.25">
      <c r="A155" s="716"/>
      <c r="B155" s="630" t="s">
        <v>99</v>
      </c>
      <c r="C155" s="377"/>
      <c r="D155" s="377"/>
    </row>
    <row r="156" spans="1:6" ht="94.5" hidden="1" x14ac:dyDescent="0.25">
      <c r="A156" s="716"/>
      <c r="B156" s="631" t="s">
        <v>831</v>
      </c>
      <c r="C156" s="375">
        <v>0</v>
      </c>
      <c r="D156" s="375">
        <v>0</v>
      </c>
    </row>
    <row r="157" spans="1:6" ht="78.75" hidden="1" x14ac:dyDescent="0.25">
      <c r="A157" s="726"/>
      <c r="B157" s="631" t="s">
        <v>832</v>
      </c>
      <c r="C157" s="375">
        <v>0</v>
      </c>
      <c r="D157" s="375">
        <v>0</v>
      </c>
    </row>
    <row r="158" spans="1:6" ht="18.75" x14ac:dyDescent="0.25">
      <c r="A158" s="201"/>
      <c r="B158" s="184" t="s">
        <v>107</v>
      </c>
      <c r="C158" s="343">
        <f>SUM(C9+C77)</f>
        <v>808002.84000000008</v>
      </c>
      <c r="D158" s="343">
        <f>SUM(D9+D77)</f>
        <v>777654.71000000008</v>
      </c>
    </row>
    <row r="159" spans="1:6" x14ac:dyDescent="0.25">
      <c r="C159" s="115">
        <f>C77-C79</f>
        <v>260806.59999999998</v>
      </c>
      <c r="D159" s="115">
        <f>D77-D79</f>
        <v>210285</v>
      </c>
    </row>
    <row r="160" spans="1:6" x14ac:dyDescent="0.25">
      <c r="C160" s="115">
        <f>C9+C81+C83</f>
        <v>547196.24</v>
      </c>
      <c r="D160" s="115">
        <f>D9+D81+D83</f>
        <v>567369.71000000008</v>
      </c>
    </row>
  </sheetData>
  <mergeCells count="11">
    <mergeCell ref="A6:D6"/>
    <mergeCell ref="C1:D1"/>
    <mergeCell ref="C2:D2"/>
    <mergeCell ref="C3:D3"/>
    <mergeCell ref="A4:D4"/>
    <mergeCell ref="A5:D5"/>
    <mergeCell ref="H8:K8"/>
    <mergeCell ref="A103:A117"/>
    <mergeCell ref="A121:A139"/>
    <mergeCell ref="A149:A151"/>
    <mergeCell ref="A154:A157"/>
  </mergeCells>
  <hyperlinks>
    <hyperlink ref="B67" r:id="rId1" display="consultantplus://offline/ref=90DD075742B43C415054D7C57EEE35341F87E5BC1D9D1BDE3A747C0D881C15D50B24F795703DF0A84C588B73F9A8AC3C8A6AC02CDB9A5E68c4m2F"/>
    <hyperlink ref="B69" r:id="rId2" display="consultantplus://offline/ref=90DD075742B43C415054D7C57EEE35341F87E5BC1D9D1BDE3A747C0D881C15D50B24F795703DF2AD4E588B73F9A8AC3C8A6AC02CDB9A5E68c4m2F"/>
    <hyperlink ref="B73" r:id="rId3" display="consultantplus://offline/ref=90DD075742B43C415054D7C57EEE35341F87E5BC1D9D1BDE3A747C0D881C15D50B24F795703CF7A64B588B73F9A8AC3C8A6AC02CDB9A5E68c4m2F"/>
    <hyperlink ref="B72" r:id="rId4" display="consultantplus://offline/ref=90DD075742B43C415054D7C57EEE35341F87E5BC1D9D1BDE3A747C0D881C15D50B24F795703CF7A64B588B73F9A8AC3C8A6AC02CDB9A5E68c4m2F"/>
    <hyperlink ref="B66" r:id="rId5" display="consultantplus://offline/ref=90DD075742B43C415054D7C57EEE35341F87E5BC1D9D1BDE3A747C0D881C15D50B24F795703DF0A84C588B73F9A8AC3C8A6AC02CDB9A5E68c4m2F"/>
    <hyperlink ref="B68" r:id="rId6" display="consultantplus://offline/ref=90DD075742B43C415054D7C57EEE35341F87E5BC1D9D1BDE3A747C0D881C15D50B24F795703DF2AD4E588B73F9A8AC3C8A6AC02CDB9A5E68c4m2F"/>
  </hyperlinks>
  <pageMargins left="0.23622047244094491" right="0.23622047244094491" top="0.74803149606299213" bottom="0.74803149606299213" header="0.31496062992125984" footer="0.31496062992125984"/>
  <pageSetup paperSize="9" scale="75" orientation="portrait"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"/>
  <sheetViews>
    <sheetView view="pageBreakPreview" topLeftCell="A23" zoomScaleNormal="100" zoomScaleSheetLayoutView="100" workbookViewId="0">
      <selection activeCell="E59" sqref="E59"/>
    </sheetView>
  </sheetViews>
  <sheetFormatPr defaultRowHeight="15" x14ac:dyDescent="0.25"/>
  <cols>
    <col min="1" max="1" width="65.140625" customWidth="1"/>
    <col min="2" max="2" width="7" customWidth="1"/>
    <col min="3" max="3" width="6" customWidth="1"/>
    <col min="4" max="4" width="13.7109375" style="22" customWidth="1"/>
    <col min="5" max="5" width="15.5703125" style="22" customWidth="1"/>
  </cols>
  <sheetData>
    <row r="1" spans="1:7" ht="15.75" x14ac:dyDescent="0.25">
      <c r="A1" s="11"/>
      <c r="B1" s="203"/>
      <c r="C1" s="11"/>
      <c r="D1" s="724" t="s">
        <v>1515</v>
      </c>
      <c r="E1" s="724"/>
    </row>
    <row r="2" spans="1:7" ht="15.75" x14ac:dyDescent="0.25">
      <c r="A2" s="11"/>
      <c r="B2" s="203"/>
      <c r="C2" s="11"/>
      <c r="D2" s="724" t="s">
        <v>1514</v>
      </c>
      <c r="E2" s="724"/>
    </row>
    <row r="3" spans="1:7" ht="18.75" x14ac:dyDescent="0.3">
      <c r="A3" s="11"/>
      <c r="B3" s="152"/>
      <c r="C3" s="11"/>
      <c r="D3" s="724" t="s">
        <v>1513</v>
      </c>
      <c r="E3" s="724"/>
    </row>
    <row r="4" spans="1:7" ht="15.75" x14ac:dyDescent="0.25">
      <c r="A4" s="729" t="s">
        <v>1134</v>
      </c>
      <c r="B4" s="729"/>
      <c r="C4" s="729"/>
      <c r="D4" s="729"/>
      <c r="E4" s="729"/>
    </row>
    <row r="5" spans="1:7" ht="15.75" x14ac:dyDescent="0.25">
      <c r="A5" s="729" t="s">
        <v>1136</v>
      </c>
      <c r="B5" s="729"/>
      <c r="C5" s="729"/>
      <c r="D5" s="729"/>
      <c r="E5" s="729"/>
    </row>
    <row r="6" spans="1:7" ht="15.75" x14ac:dyDescent="0.25">
      <c r="A6" s="729" t="s">
        <v>1314</v>
      </c>
      <c r="B6" s="729"/>
      <c r="C6" s="729"/>
      <c r="D6" s="729"/>
      <c r="E6" s="729"/>
    </row>
    <row r="7" spans="1:7" ht="15.75" x14ac:dyDescent="0.25">
      <c r="A7" s="727"/>
      <c r="B7" s="728"/>
      <c r="C7" s="728"/>
    </row>
    <row r="8" spans="1:7" x14ac:dyDescent="0.25">
      <c r="A8" s="203"/>
      <c r="B8" s="90"/>
      <c r="C8" s="90"/>
      <c r="E8" s="381" t="s">
        <v>1</v>
      </c>
    </row>
    <row r="9" spans="1:7" ht="31.5" x14ac:dyDescent="0.25">
      <c r="A9" s="91" t="s">
        <v>675</v>
      </c>
      <c r="B9" s="91" t="s">
        <v>676</v>
      </c>
      <c r="C9" s="91" t="s">
        <v>677</v>
      </c>
      <c r="D9" s="382" t="s">
        <v>1027</v>
      </c>
      <c r="E9" s="382" t="s">
        <v>1290</v>
      </c>
    </row>
    <row r="10" spans="1:7" s="203" customFormat="1" ht="15.75" x14ac:dyDescent="0.25">
      <c r="A10" s="43" t="s">
        <v>1412</v>
      </c>
      <c r="B10" s="47"/>
      <c r="C10" s="47"/>
      <c r="D10" s="384">
        <f>('Пр.1.1. дох.22-23'!C9+'Пр.1.1. дох.22-23'!C76)*2.5%</f>
        <v>12458.06185</v>
      </c>
      <c r="E10" s="384">
        <v>25451.88</v>
      </c>
    </row>
    <row r="11" spans="1:7" ht="15.75" x14ac:dyDescent="0.25">
      <c r="A11" s="47" t="s">
        <v>117</v>
      </c>
      <c r="B11" s="24" t="s">
        <v>118</v>
      </c>
      <c r="C11" s="92"/>
      <c r="D11" s="383">
        <f>SUM(D12:D17)</f>
        <v>136707.41</v>
      </c>
      <c r="E11" s="383">
        <f>SUM(E12:E17)</f>
        <v>123861.72</v>
      </c>
      <c r="G11" s="22"/>
    </row>
    <row r="12" spans="1:7" ht="31.5" x14ac:dyDescent="0.25">
      <c r="A12" s="31" t="s">
        <v>575</v>
      </c>
      <c r="B12" s="20" t="s">
        <v>118</v>
      </c>
      <c r="C12" s="20" t="s">
        <v>213</v>
      </c>
      <c r="D12" s="385">
        <f>'пр.5.1.рдпрцс 22-23'!F10</f>
        <v>4867.3999999999996</v>
      </c>
      <c r="E12" s="385">
        <f>'пр.5.1.рдпрцс 22-23'!G10</f>
        <v>4867.3999999999996</v>
      </c>
    </row>
    <row r="13" spans="1:7" ht="47.25" x14ac:dyDescent="0.25">
      <c r="A13" s="31" t="s">
        <v>578</v>
      </c>
      <c r="B13" s="20" t="s">
        <v>118</v>
      </c>
      <c r="C13" s="20" t="s">
        <v>215</v>
      </c>
      <c r="D13" s="385">
        <f>'пр.5.1.рдпрцс 22-23'!F29</f>
        <v>5488</v>
      </c>
      <c r="E13" s="385">
        <f>'пр.5.1.рдпрцс 22-23'!G29</f>
        <v>5488</v>
      </c>
    </row>
    <row r="14" spans="1:7" ht="47.25" x14ac:dyDescent="0.25">
      <c r="A14" s="25" t="s">
        <v>149</v>
      </c>
      <c r="B14" s="20" t="s">
        <v>118</v>
      </c>
      <c r="C14" s="20" t="s">
        <v>150</v>
      </c>
      <c r="D14" s="385">
        <f>'пр.5.1.рдпрцс 22-23'!F45</f>
        <v>56897.11</v>
      </c>
      <c r="E14" s="385">
        <f>'пр.5.1.рдпрцс 22-23'!G45</f>
        <v>43708.420000000006</v>
      </c>
    </row>
    <row r="15" spans="1:7" ht="47.25" x14ac:dyDescent="0.25">
      <c r="A15" s="25" t="s">
        <v>119</v>
      </c>
      <c r="B15" s="20" t="s">
        <v>118</v>
      </c>
      <c r="C15" s="20" t="s">
        <v>120</v>
      </c>
      <c r="D15" s="385">
        <f>'пр.5.1.рдпрцс 22-23'!F106</f>
        <v>16636.7</v>
      </c>
      <c r="E15" s="385">
        <f>'пр.5.1.рдпрцс 22-23'!G106</f>
        <v>16636.7</v>
      </c>
    </row>
    <row r="16" spans="1:7" s="203" customFormat="1" ht="15.75" hidden="1" x14ac:dyDescent="0.25">
      <c r="A16" s="25" t="s">
        <v>1147</v>
      </c>
      <c r="B16" s="20" t="s">
        <v>118</v>
      </c>
      <c r="C16" s="20" t="s">
        <v>264</v>
      </c>
      <c r="D16" s="385">
        <f>'пр.5.1.рдпрцс 22-23'!F128</f>
        <v>0</v>
      </c>
      <c r="E16" s="385">
        <f>'пр.5.1.рдпрцс 22-23'!G128</f>
        <v>0</v>
      </c>
    </row>
    <row r="17" spans="1:7" ht="15.75" x14ac:dyDescent="0.25">
      <c r="A17" s="93" t="s">
        <v>139</v>
      </c>
      <c r="B17" s="20" t="s">
        <v>118</v>
      </c>
      <c r="C17" s="20" t="s">
        <v>140</v>
      </c>
      <c r="D17" s="385">
        <f>'пр.5.1.рдпрцс 22-23'!F136</f>
        <v>52818.200000000004</v>
      </c>
      <c r="E17" s="385">
        <f>'пр.5.1.рдпрцс 22-23'!G136</f>
        <v>53161.200000000004</v>
      </c>
    </row>
    <row r="18" spans="1:7" ht="15.75" hidden="1" x14ac:dyDescent="0.25">
      <c r="A18" s="19" t="s">
        <v>212</v>
      </c>
      <c r="B18" s="24" t="s">
        <v>213</v>
      </c>
      <c r="C18" s="20"/>
      <c r="D18" s="383">
        <f>'пр.2 Рд,пр 22'!D18</f>
        <v>0</v>
      </c>
      <c r="E18" s="383">
        <f>'пр.2 Рд,пр 22'!E18</f>
        <v>0</v>
      </c>
    </row>
    <row r="19" spans="1:7" ht="15.75" hidden="1" x14ac:dyDescent="0.25">
      <c r="A19" s="25" t="s">
        <v>218</v>
      </c>
      <c r="B19" s="20" t="s">
        <v>213</v>
      </c>
      <c r="C19" s="20" t="s">
        <v>219</v>
      </c>
      <c r="D19" s="385">
        <f>'пр.2 Рд,пр 22'!D19</f>
        <v>0</v>
      </c>
      <c r="E19" s="385">
        <f>'пр.2 Рд,пр 22'!E19</f>
        <v>0</v>
      </c>
    </row>
    <row r="20" spans="1:7" ht="31.5" x14ac:dyDescent="0.25">
      <c r="A20" s="34" t="s">
        <v>222</v>
      </c>
      <c r="B20" s="24" t="s">
        <v>215</v>
      </c>
      <c r="C20" s="24"/>
      <c r="D20" s="383">
        <f>D21</f>
        <v>8197.1</v>
      </c>
      <c r="E20" s="383">
        <f>E21</f>
        <v>8197.1</v>
      </c>
    </row>
    <row r="21" spans="1:7" ht="31.5" x14ac:dyDescent="0.25">
      <c r="A21" s="31" t="s">
        <v>1345</v>
      </c>
      <c r="B21" s="20" t="s">
        <v>215</v>
      </c>
      <c r="C21" s="20" t="s">
        <v>244</v>
      </c>
      <c r="D21" s="385">
        <f>'пр.5.1.рдпрцс 22-23'!F231</f>
        <v>8197.1</v>
      </c>
      <c r="E21" s="385">
        <f>'пр.5.1.рдпрцс 22-23'!G231</f>
        <v>8197.1</v>
      </c>
    </row>
    <row r="22" spans="1:7" ht="15.75" x14ac:dyDescent="0.25">
      <c r="A22" s="47" t="s">
        <v>232</v>
      </c>
      <c r="B22" s="24" t="s">
        <v>150</v>
      </c>
      <c r="C22" s="24"/>
      <c r="D22" s="383">
        <f>SUM(D23:D26)</f>
        <v>6525.2</v>
      </c>
      <c r="E22" s="383">
        <f>SUM(E23:E26)</f>
        <v>6535.8</v>
      </c>
    </row>
    <row r="23" spans="1:7" ht="15.75" x14ac:dyDescent="0.25">
      <c r="A23" s="94" t="s">
        <v>233</v>
      </c>
      <c r="B23" s="20" t="s">
        <v>150</v>
      </c>
      <c r="C23" s="20" t="s">
        <v>234</v>
      </c>
      <c r="D23" s="385">
        <f>'пр.5.1.рдпрцс 22-23'!F250</f>
        <v>274</v>
      </c>
      <c r="E23" s="385">
        <f>'пр.5.1.рдпрцс 22-23'!G250</f>
        <v>274</v>
      </c>
    </row>
    <row r="24" spans="1:7" ht="15.75" x14ac:dyDescent="0.25">
      <c r="A24" s="93" t="s">
        <v>505</v>
      </c>
      <c r="B24" s="20" t="s">
        <v>150</v>
      </c>
      <c r="C24" s="20" t="s">
        <v>299</v>
      </c>
      <c r="D24" s="385">
        <f>'пр.5.1.рдпрцс 22-23'!F263</f>
        <v>3258</v>
      </c>
      <c r="E24" s="385">
        <f>'пр.5.1.рдпрцс 22-23'!G263</f>
        <v>3258</v>
      </c>
    </row>
    <row r="25" spans="1:7" ht="15.75" x14ac:dyDescent="0.25">
      <c r="A25" s="93" t="s">
        <v>508</v>
      </c>
      <c r="B25" s="20" t="s">
        <v>150</v>
      </c>
      <c r="C25" s="20" t="s">
        <v>219</v>
      </c>
      <c r="D25" s="385">
        <f>'пр.5.1.рдпрцс 22-23'!F269</f>
        <v>2319</v>
      </c>
      <c r="E25" s="385">
        <f>'пр.5.1.рдпрцс 22-23'!G269</f>
        <v>2319</v>
      </c>
    </row>
    <row r="26" spans="1:7" ht="15.75" x14ac:dyDescent="0.25">
      <c r="A26" s="95" t="s">
        <v>237</v>
      </c>
      <c r="B26" s="20" t="s">
        <v>150</v>
      </c>
      <c r="C26" s="20" t="s">
        <v>238</v>
      </c>
      <c r="D26" s="385">
        <f>'пр.5.1.рдпрцс 22-23'!F283</f>
        <v>674.2</v>
      </c>
      <c r="E26" s="385">
        <f>'пр.5.1.рдпрцс 22-23'!G283</f>
        <v>684.8</v>
      </c>
    </row>
    <row r="27" spans="1:7" ht="15.75" x14ac:dyDescent="0.25">
      <c r="A27" s="47" t="s">
        <v>390</v>
      </c>
      <c r="B27" s="24" t="s">
        <v>234</v>
      </c>
      <c r="C27" s="24"/>
      <c r="D27" s="383">
        <f>SUM(D28:D31)</f>
        <v>41786.1</v>
      </c>
      <c r="E27" s="383">
        <f>SUM(E28:E31)</f>
        <v>49898.45</v>
      </c>
    </row>
    <row r="28" spans="1:7" ht="15.75" x14ac:dyDescent="0.25">
      <c r="A28" s="94" t="s">
        <v>391</v>
      </c>
      <c r="B28" s="20" t="s">
        <v>234</v>
      </c>
      <c r="C28" s="20" t="s">
        <v>118</v>
      </c>
      <c r="D28" s="385">
        <f>'пр.5.1.рдпрцс 22-23'!F315</f>
        <v>6060.4</v>
      </c>
      <c r="E28" s="385">
        <f>'пр.5.1.рдпрцс 22-23'!G315</f>
        <v>6060.4</v>
      </c>
    </row>
    <row r="29" spans="1:7" ht="15.75" x14ac:dyDescent="0.25">
      <c r="A29" s="94" t="s">
        <v>517</v>
      </c>
      <c r="B29" s="20" t="s">
        <v>234</v>
      </c>
      <c r="C29" s="20" t="s">
        <v>213</v>
      </c>
      <c r="D29" s="385">
        <f>'пр.5.1.рдпрцс 22-23'!F329</f>
        <v>6611.199999999998</v>
      </c>
      <c r="E29" s="385">
        <f>'пр.5.1.рдпрцс 22-23'!G329</f>
        <v>14470.550000000001</v>
      </c>
    </row>
    <row r="30" spans="1:7" ht="15.75" x14ac:dyDescent="0.25">
      <c r="A30" s="93" t="s">
        <v>541</v>
      </c>
      <c r="B30" s="20" t="s">
        <v>234</v>
      </c>
      <c r="C30" s="20" t="s">
        <v>215</v>
      </c>
      <c r="D30" s="385">
        <f>'пр.5.1.рдпрцс 22-23'!F393</f>
        <v>3810</v>
      </c>
      <c r="E30" s="385">
        <f>'пр.5.1.рдпрцс 22-23'!G393</f>
        <v>4063</v>
      </c>
    </row>
    <row r="31" spans="1:7" ht="15.75" x14ac:dyDescent="0.25">
      <c r="A31" s="25" t="s">
        <v>569</v>
      </c>
      <c r="B31" s="20" t="s">
        <v>234</v>
      </c>
      <c r="C31" s="20" t="s">
        <v>234</v>
      </c>
      <c r="D31" s="385">
        <f>'пр.5.1.рдпрцс 22-23'!F443</f>
        <v>25304.5</v>
      </c>
      <c r="E31" s="385">
        <f>'пр.5.1.рдпрцс 22-23'!G443</f>
        <v>25304.5</v>
      </c>
    </row>
    <row r="32" spans="1:7" ht="15.75" x14ac:dyDescent="0.25">
      <c r="A32" s="47" t="s">
        <v>263</v>
      </c>
      <c r="B32" s="24" t="s">
        <v>264</v>
      </c>
      <c r="C32" s="24"/>
      <c r="D32" s="383">
        <f>SUM(D33:D37)</f>
        <v>366206.80999999994</v>
      </c>
      <c r="E32" s="383">
        <f>SUM(E33:E37)</f>
        <v>389340.15999999997</v>
      </c>
      <c r="G32" s="22"/>
    </row>
    <row r="33" spans="1:7" ht="15.75" x14ac:dyDescent="0.25">
      <c r="A33" s="93" t="s">
        <v>404</v>
      </c>
      <c r="B33" s="20" t="s">
        <v>264</v>
      </c>
      <c r="C33" s="20" t="s">
        <v>118</v>
      </c>
      <c r="D33" s="385">
        <f>'пр.5.1.рдпрцс 22-23'!F479</f>
        <v>102250.3</v>
      </c>
      <c r="E33" s="385">
        <f>'пр.5.1.рдпрцс 22-23'!G479</f>
        <v>105829.20000000001</v>
      </c>
    </row>
    <row r="34" spans="1:7" ht="15.75" x14ac:dyDescent="0.25">
      <c r="A34" s="93" t="s">
        <v>425</v>
      </c>
      <c r="B34" s="20" t="s">
        <v>264</v>
      </c>
      <c r="C34" s="20" t="s">
        <v>213</v>
      </c>
      <c r="D34" s="385">
        <f>'пр.5.1.рдпрцс 22-23'!F542</f>
        <v>177341.49999999997</v>
      </c>
      <c r="E34" s="385">
        <f>'пр.5.1.рдпрцс 22-23'!G542</f>
        <v>196805.15000000002</v>
      </c>
    </row>
    <row r="35" spans="1:7" ht="15.75" x14ac:dyDescent="0.25">
      <c r="A35" s="93" t="s">
        <v>265</v>
      </c>
      <c r="B35" s="20" t="s">
        <v>264</v>
      </c>
      <c r="C35" s="20" t="s">
        <v>215</v>
      </c>
      <c r="D35" s="385">
        <f>'пр.5.1.рдпрцс 22-23'!F620</f>
        <v>60278.110000000008</v>
      </c>
      <c r="E35" s="385">
        <f>'пр.5.1.рдпрцс 22-23'!G620</f>
        <v>60303.91</v>
      </c>
    </row>
    <row r="36" spans="1:7" ht="15.75" x14ac:dyDescent="0.25">
      <c r="A36" s="93" t="s">
        <v>466</v>
      </c>
      <c r="B36" s="20" t="s">
        <v>264</v>
      </c>
      <c r="C36" s="20" t="s">
        <v>264</v>
      </c>
      <c r="D36" s="385">
        <f>'пр.5.1.рдпрцс 22-23'!F689</f>
        <v>6505.1</v>
      </c>
      <c r="E36" s="385">
        <f>'пр.5.1.рдпрцс 22-23'!G689</f>
        <v>6570.1</v>
      </c>
    </row>
    <row r="37" spans="1:7" ht="15.75" x14ac:dyDescent="0.25">
      <c r="A37" s="93" t="s">
        <v>295</v>
      </c>
      <c r="B37" s="20" t="s">
        <v>264</v>
      </c>
      <c r="C37" s="20" t="s">
        <v>219</v>
      </c>
      <c r="D37" s="385">
        <f>'пр.5.1.рдпрцс 22-23'!F714</f>
        <v>19831.8</v>
      </c>
      <c r="E37" s="385">
        <f>'пр.5.1.рдпрцс 22-23'!G714</f>
        <v>19831.8</v>
      </c>
    </row>
    <row r="38" spans="1:7" ht="15.75" x14ac:dyDescent="0.25">
      <c r="A38" s="96" t="s">
        <v>298</v>
      </c>
      <c r="B38" s="24" t="s">
        <v>299</v>
      </c>
      <c r="C38" s="20"/>
      <c r="D38" s="383">
        <f>SUM(D39:D40)</f>
        <v>76411.28</v>
      </c>
      <c r="E38" s="383">
        <f>SUM(E39:E40)</f>
        <v>77665.48</v>
      </c>
    </row>
    <row r="39" spans="1:7" ht="15.75" x14ac:dyDescent="0.25">
      <c r="A39" s="95" t="s">
        <v>300</v>
      </c>
      <c r="B39" s="20" t="s">
        <v>299</v>
      </c>
      <c r="C39" s="20" t="s">
        <v>118</v>
      </c>
      <c r="D39" s="385">
        <f>'пр.5.1.рдпрцс 22-23'!F742</f>
        <v>57844.87999999999</v>
      </c>
      <c r="E39" s="385">
        <f>'пр.5.1.рдпрцс 22-23'!G742</f>
        <v>59070.079999999994</v>
      </c>
    </row>
    <row r="40" spans="1:7" ht="15.75" x14ac:dyDescent="0.25">
      <c r="A40" s="95" t="s">
        <v>333</v>
      </c>
      <c r="B40" s="20" t="s">
        <v>299</v>
      </c>
      <c r="C40" s="20" t="s">
        <v>150</v>
      </c>
      <c r="D40" s="385">
        <f>'пр.5.1.рдпрцс 22-23'!F795</f>
        <v>18566.400000000001</v>
      </c>
      <c r="E40" s="385">
        <f>'пр.5.1.рдпрцс 22-23'!G795</f>
        <v>18595.400000000001</v>
      </c>
    </row>
    <row r="41" spans="1:7" ht="15.75" x14ac:dyDescent="0.25">
      <c r="A41" s="47" t="s">
        <v>243</v>
      </c>
      <c r="B41" s="24" t="s">
        <v>244</v>
      </c>
      <c r="C41" s="24"/>
      <c r="D41" s="383">
        <f>SUM(D42:D45)</f>
        <v>18033.41</v>
      </c>
      <c r="E41" s="383">
        <f>SUM(E42:E45)</f>
        <v>26348.010000000002</v>
      </c>
      <c r="G41" s="22"/>
    </row>
    <row r="42" spans="1:7" ht="15.75" x14ac:dyDescent="0.25">
      <c r="A42" s="93" t="s">
        <v>245</v>
      </c>
      <c r="B42" s="20" t="s">
        <v>244</v>
      </c>
      <c r="C42" s="20" t="s">
        <v>118</v>
      </c>
      <c r="D42" s="385">
        <f>'пр.5.1.рдпрцс 22-23'!F830</f>
        <v>9815.2999999999993</v>
      </c>
      <c r="E42" s="385">
        <f>'пр.5.1.рдпрцс 22-23'!G830</f>
        <v>9815.2999999999993</v>
      </c>
    </row>
    <row r="43" spans="1:7" ht="15.75" x14ac:dyDescent="0.25">
      <c r="A43" s="25" t="s">
        <v>252</v>
      </c>
      <c r="B43" s="20" t="s">
        <v>244</v>
      </c>
      <c r="C43" s="20" t="s">
        <v>215</v>
      </c>
      <c r="D43" s="385">
        <f>'пр.5.1.рдпрцс 22-23'!F836</f>
        <v>2011.6100000000001</v>
      </c>
      <c r="E43" s="385">
        <f>'пр.5.1.рдпрцс 22-23'!G836</f>
        <v>2036.1100000000001</v>
      </c>
    </row>
    <row r="44" spans="1:7" s="203" customFormat="1" ht="15.75" x14ac:dyDescent="0.25">
      <c r="A44" s="25" t="s">
        <v>400</v>
      </c>
      <c r="B44" s="20" t="s">
        <v>244</v>
      </c>
      <c r="C44" s="20" t="s">
        <v>150</v>
      </c>
      <c r="D44" s="385">
        <f>'пр.5.1.рдпрцс 22-23'!F867</f>
        <v>2469.1</v>
      </c>
      <c r="E44" s="385">
        <f>'пр.5.1.рдпрцс 22-23'!G867</f>
        <v>10803.2</v>
      </c>
    </row>
    <row r="45" spans="1:7" ht="15.75" x14ac:dyDescent="0.25">
      <c r="A45" s="25" t="s">
        <v>258</v>
      </c>
      <c r="B45" s="20" t="s">
        <v>244</v>
      </c>
      <c r="C45" s="20" t="s">
        <v>120</v>
      </c>
      <c r="D45" s="385">
        <f>'пр.5.1.рдпрцс 22-23'!F872</f>
        <v>3737.4</v>
      </c>
      <c r="E45" s="385">
        <f>'пр.5.1.рдпрцс 22-23'!G872</f>
        <v>3693.4</v>
      </c>
    </row>
    <row r="46" spans="1:7" ht="15.75" x14ac:dyDescent="0.25">
      <c r="A46" s="96" t="s">
        <v>490</v>
      </c>
      <c r="B46" s="24" t="s">
        <v>491</v>
      </c>
      <c r="C46" s="20"/>
      <c r="D46" s="383">
        <f>SUM(D47:D48)</f>
        <v>63981.399999999994</v>
      </c>
      <c r="E46" s="383">
        <f>SUM(E47:E48)</f>
        <v>64012.600000000006</v>
      </c>
      <c r="G46" s="22"/>
    </row>
    <row r="47" spans="1:7" ht="15.75" x14ac:dyDescent="0.25">
      <c r="A47" s="95" t="s">
        <v>492</v>
      </c>
      <c r="B47" s="20" t="s">
        <v>491</v>
      </c>
      <c r="C47" s="20" t="s">
        <v>118</v>
      </c>
      <c r="D47" s="385">
        <f>'пр.5.1.рдпрцс 22-23'!F886</f>
        <v>50452.2</v>
      </c>
      <c r="E47" s="385">
        <f>'пр.5.1.рдпрцс 22-23'!G886</f>
        <v>50483.4</v>
      </c>
    </row>
    <row r="48" spans="1:7" ht="15.75" x14ac:dyDescent="0.25">
      <c r="A48" s="95" t="s">
        <v>500</v>
      </c>
      <c r="B48" s="20" t="s">
        <v>491</v>
      </c>
      <c r="C48" s="20" t="s">
        <v>234</v>
      </c>
      <c r="D48" s="385">
        <f>'пр.5.1.рдпрцс 22-23'!F923</f>
        <v>13529.2</v>
      </c>
      <c r="E48" s="385">
        <f>'пр.5.1.рдпрцс 22-23'!G923</f>
        <v>13529.2</v>
      </c>
    </row>
    <row r="49" spans="1:7" ht="15.75" x14ac:dyDescent="0.25">
      <c r="A49" s="19" t="s">
        <v>582</v>
      </c>
      <c r="B49" s="24" t="s">
        <v>238</v>
      </c>
      <c r="C49" s="20"/>
      <c r="D49" s="383">
        <f>D50</f>
        <v>5873.2</v>
      </c>
      <c r="E49" s="383">
        <f>E50</f>
        <v>5876.2</v>
      </c>
    </row>
    <row r="50" spans="1:7" ht="15.75" x14ac:dyDescent="0.25">
      <c r="A50" s="31" t="s">
        <v>583</v>
      </c>
      <c r="B50" s="20" t="s">
        <v>238</v>
      </c>
      <c r="C50" s="20" t="s">
        <v>213</v>
      </c>
      <c r="D50" s="385">
        <f>'пр.5.1.рдпрцс 22-23'!F952</f>
        <v>5873.2</v>
      </c>
      <c r="E50" s="385">
        <f>'пр.5.1.рдпрцс 22-23'!G952</f>
        <v>5876.2</v>
      </c>
    </row>
    <row r="51" spans="1:7" ht="15.75" x14ac:dyDescent="0.25">
      <c r="A51" s="92" t="s">
        <v>678</v>
      </c>
      <c r="B51" s="24"/>
      <c r="C51" s="24"/>
      <c r="D51" s="383">
        <f>D11+D20+D22+D27+D32+D38+D41+D46+D49+D10</f>
        <v>736179.97185000009</v>
      </c>
      <c r="E51" s="383">
        <f>E11+E20+E22+E27+E32+E38+E41+E46+E49+E10</f>
        <v>777187.39999999991</v>
      </c>
      <c r="G51" s="22"/>
    </row>
    <row r="52" spans="1:7" x14ac:dyDescent="0.25">
      <c r="D52" s="22">
        <f>'пр.5.1.рдпрцс 22-23'!F970</f>
        <v>736179.97185000009</v>
      </c>
      <c r="E52" s="22">
        <f>'пр.5.1.рдпрцс 22-23'!G970</f>
        <v>777187.39999999991</v>
      </c>
    </row>
    <row r="53" spans="1:7" hidden="1" x14ac:dyDescent="0.25">
      <c r="D53" s="22">
        <f>'Пр.1.1. дох.22-23'!C155</f>
        <v>733727.77399999998</v>
      </c>
      <c r="E53" s="22">
        <f>'Пр.1.1. дох.22-23'!D155</f>
        <v>774208.33399999992</v>
      </c>
    </row>
    <row r="54" spans="1:7" hidden="1" x14ac:dyDescent="0.25"/>
    <row r="55" spans="1:7" hidden="1" x14ac:dyDescent="0.25">
      <c r="D55" s="22">
        <f>D53-D51</f>
        <v>-2452.1978500001132</v>
      </c>
      <c r="E55" s="22">
        <f>E53-E51</f>
        <v>-2979.0659999999916</v>
      </c>
    </row>
    <row r="56" spans="1:7" ht="15.6" hidden="1" customHeight="1" x14ac:dyDescent="0.25">
      <c r="D56" s="22">
        <f>'пр.6.1.ведом.22-23'!G1094</f>
        <v>736200.59999999986</v>
      </c>
      <c r="E56" s="22">
        <f>'пр.6.1.ведом.22-23'!H1094</f>
        <v>777187.39999999991</v>
      </c>
    </row>
    <row r="57" spans="1:7" hidden="1" x14ac:dyDescent="0.25"/>
    <row r="58" spans="1:7" hidden="1" x14ac:dyDescent="0.25">
      <c r="D58" s="22">
        <f>D56-D51</f>
        <v>20.628149999771267</v>
      </c>
      <c r="E58" s="22">
        <f>E56-E51</f>
        <v>0</v>
      </c>
    </row>
  </sheetData>
  <mergeCells count="7">
    <mergeCell ref="A7:C7"/>
    <mergeCell ref="D3:E3"/>
    <mergeCell ref="D2:E2"/>
    <mergeCell ref="D1:E1"/>
    <mergeCell ref="A4:E4"/>
    <mergeCell ref="A5:E5"/>
    <mergeCell ref="A6:E6"/>
  </mergeCells>
  <pageMargins left="0.23622047244094491" right="0.23622047244094491" top="0.74803149606299213" bottom="0.74803149606299213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"/>
  <sheetViews>
    <sheetView view="pageBreakPreview" topLeftCell="A23" zoomScaleNormal="100" zoomScaleSheetLayoutView="100" workbookViewId="0">
      <selection activeCell="C103" sqref="C103:D103"/>
    </sheetView>
  </sheetViews>
  <sheetFormatPr defaultColWidth="9.140625" defaultRowHeight="15" x14ac:dyDescent="0.25"/>
  <cols>
    <col min="1" max="1" width="65.140625" style="487" customWidth="1"/>
    <col min="2" max="2" width="7" style="487" customWidth="1"/>
    <col min="3" max="3" width="6" style="487" customWidth="1"/>
    <col min="4" max="4" width="13.7109375" style="22" customWidth="1"/>
    <col min="5" max="5" width="15.5703125" style="22" customWidth="1"/>
    <col min="6" max="16384" width="9.140625" style="487"/>
  </cols>
  <sheetData>
    <row r="1" spans="1:7" ht="15.75" x14ac:dyDescent="0.25">
      <c r="A1" s="11"/>
      <c r="C1" s="11"/>
      <c r="D1" s="724" t="s">
        <v>1515</v>
      </c>
      <c r="E1" s="724"/>
    </row>
    <row r="2" spans="1:7" ht="15.75" x14ac:dyDescent="0.25">
      <c r="A2" s="11"/>
      <c r="C2" s="11"/>
      <c r="D2" s="724" t="s">
        <v>1514</v>
      </c>
      <c r="E2" s="724"/>
    </row>
    <row r="3" spans="1:7" ht="18.75" x14ac:dyDescent="0.3">
      <c r="A3" s="11"/>
      <c r="B3" s="152"/>
      <c r="C3" s="11"/>
      <c r="D3" s="724" t="s">
        <v>1513</v>
      </c>
      <c r="E3" s="724"/>
    </row>
    <row r="4" spans="1:7" ht="15.75" x14ac:dyDescent="0.25">
      <c r="A4" s="729" t="s">
        <v>1134</v>
      </c>
      <c r="B4" s="729"/>
      <c r="C4" s="729"/>
      <c r="D4" s="729"/>
      <c r="E4" s="729"/>
    </row>
    <row r="5" spans="1:7" ht="15.75" x14ac:dyDescent="0.25">
      <c r="A5" s="729" t="s">
        <v>1136</v>
      </c>
      <c r="B5" s="729"/>
      <c r="C5" s="729"/>
      <c r="D5" s="729"/>
      <c r="E5" s="729"/>
    </row>
    <row r="6" spans="1:7" ht="15.75" x14ac:dyDescent="0.25">
      <c r="A6" s="729" t="s">
        <v>1314</v>
      </c>
      <c r="B6" s="729"/>
      <c r="C6" s="729"/>
      <c r="D6" s="729"/>
      <c r="E6" s="729"/>
    </row>
    <row r="7" spans="1:7" ht="15.75" x14ac:dyDescent="0.25">
      <c r="A7" s="727"/>
      <c r="B7" s="728"/>
      <c r="C7" s="728"/>
    </row>
    <row r="8" spans="1:7" x14ac:dyDescent="0.25">
      <c r="B8" s="90"/>
      <c r="C8" s="90"/>
      <c r="E8" s="381" t="s">
        <v>1</v>
      </c>
    </row>
    <row r="9" spans="1:7" ht="31.5" x14ac:dyDescent="0.25">
      <c r="A9" s="91" t="s">
        <v>675</v>
      </c>
      <c r="B9" s="91" t="s">
        <v>676</v>
      </c>
      <c r="C9" s="91" t="s">
        <v>677</v>
      </c>
      <c r="D9" s="382" t="s">
        <v>1027</v>
      </c>
      <c r="E9" s="382" t="s">
        <v>1290</v>
      </c>
    </row>
    <row r="10" spans="1:7" ht="15.75" x14ac:dyDescent="0.25">
      <c r="A10" s="43" t="s">
        <v>1412</v>
      </c>
      <c r="B10" s="47"/>
      <c r="C10" s="47"/>
      <c r="D10" s="384">
        <f>('Пр.1.1. дох.23-24'!C9+'Пр.1.1. дох.23-24'!C79)*2.5%</f>
        <v>13679.906000000001</v>
      </c>
      <c r="E10" s="384">
        <v>25451.88</v>
      </c>
    </row>
    <row r="11" spans="1:7" ht="15.75" x14ac:dyDescent="0.25">
      <c r="A11" s="47" t="s">
        <v>117</v>
      </c>
      <c r="B11" s="495" t="s">
        <v>118</v>
      </c>
      <c r="C11" s="92"/>
      <c r="D11" s="383">
        <f>SUM(D12:D17)</f>
        <v>136787.41</v>
      </c>
      <c r="E11" s="383">
        <f>SUM(E12:E17)</f>
        <v>123941.72</v>
      </c>
      <c r="G11" s="22"/>
    </row>
    <row r="12" spans="1:7" ht="31.5" x14ac:dyDescent="0.25">
      <c r="A12" s="31" t="s">
        <v>575</v>
      </c>
      <c r="B12" s="492" t="s">
        <v>118</v>
      </c>
      <c r="C12" s="492" t="s">
        <v>213</v>
      </c>
      <c r="D12" s="385">
        <f>'пр.5.1.рдпрцс 22-23 (2)'!F10</f>
        <v>4867.3999999999996</v>
      </c>
      <c r="E12" s="385">
        <f>'пр.5.1.рдпрцс 22-23 (2)'!G10</f>
        <v>4867.3999999999996</v>
      </c>
    </row>
    <row r="13" spans="1:7" ht="47.25" x14ac:dyDescent="0.25">
      <c r="A13" s="31" t="s">
        <v>578</v>
      </c>
      <c r="B13" s="492" t="s">
        <v>118</v>
      </c>
      <c r="C13" s="492" t="s">
        <v>215</v>
      </c>
      <c r="D13" s="385">
        <f>'пр.5.1.рдпрцс 22-23 (2)'!F29</f>
        <v>5488</v>
      </c>
      <c r="E13" s="385">
        <f>'пр.5.1.рдпрцс 22-23 (2)'!G29</f>
        <v>5488</v>
      </c>
    </row>
    <row r="14" spans="1:7" ht="47.25" x14ac:dyDescent="0.25">
      <c r="A14" s="496" t="s">
        <v>149</v>
      </c>
      <c r="B14" s="492" t="s">
        <v>118</v>
      </c>
      <c r="C14" s="492" t="s">
        <v>150</v>
      </c>
      <c r="D14" s="385">
        <f>'пр.5.1.рдпрцс 22-23 (2)'!F45</f>
        <v>56977.11</v>
      </c>
      <c r="E14" s="385">
        <f>'пр.5.1.рдпрцс 22-23 (2)'!G45</f>
        <v>43788.420000000006</v>
      </c>
    </row>
    <row r="15" spans="1:7" ht="47.25" x14ac:dyDescent="0.25">
      <c r="A15" s="496" t="s">
        <v>119</v>
      </c>
      <c r="B15" s="492" t="s">
        <v>118</v>
      </c>
      <c r="C15" s="492" t="s">
        <v>120</v>
      </c>
      <c r="D15" s="385">
        <f>'пр.5.1.рдпрцс 22-23 (2)'!F106</f>
        <v>16636.7</v>
      </c>
      <c r="E15" s="385">
        <f>'пр.5.1.рдпрцс 22-23 (2)'!G106</f>
        <v>16636.7</v>
      </c>
    </row>
    <row r="16" spans="1:7" ht="15.75" hidden="1" x14ac:dyDescent="0.25">
      <c r="A16" s="496" t="s">
        <v>1147</v>
      </c>
      <c r="B16" s="492" t="s">
        <v>118</v>
      </c>
      <c r="C16" s="492" t="s">
        <v>264</v>
      </c>
      <c r="D16" s="385">
        <f>'пр.5.1.рдпрцс 22-23 (2)'!F128</f>
        <v>0</v>
      </c>
      <c r="E16" s="385">
        <f>'пр.5.1.рдпрцс 22-23 (2)'!G128</f>
        <v>0</v>
      </c>
    </row>
    <row r="17" spans="1:7" ht="15.75" x14ac:dyDescent="0.25">
      <c r="A17" s="93" t="s">
        <v>139</v>
      </c>
      <c r="B17" s="492" t="s">
        <v>118</v>
      </c>
      <c r="C17" s="492" t="s">
        <v>140</v>
      </c>
      <c r="D17" s="385">
        <f>'пр.5.1.рдпрцс 22-23 (2)'!F136</f>
        <v>52818.200000000004</v>
      </c>
      <c r="E17" s="385">
        <f>'пр.5.1.рдпрцс 22-23 (2)'!G136</f>
        <v>53161.200000000004</v>
      </c>
    </row>
    <row r="18" spans="1:7" ht="15.75" hidden="1" x14ac:dyDescent="0.25">
      <c r="A18" s="491" t="s">
        <v>212</v>
      </c>
      <c r="B18" s="495" t="s">
        <v>213</v>
      </c>
      <c r="C18" s="492"/>
      <c r="D18" s="383">
        <f>'[1]пр.3 Рд,пр 21'!D18</f>
        <v>0</v>
      </c>
      <c r="E18" s="383">
        <f>'[1]пр.3 Рд,пр 21'!E18</f>
        <v>0</v>
      </c>
    </row>
    <row r="19" spans="1:7" ht="15.75" hidden="1" x14ac:dyDescent="0.25">
      <c r="A19" s="496" t="s">
        <v>218</v>
      </c>
      <c r="B19" s="492" t="s">
        <v>213</v>
      </c>
      <c r="C19" s="492" t="s">
        <v>219</v>
      </c>
      <c r="D19" s="385">
        <f>'[1]пр.3 Рд,пр 21'!D19</f>
        <v>0</v>
      </c>
      <c r="E19" s="385">
        <f>'[1]пр.3 Рд,пр 21'!E19</f>
        <v>0</v>
      </c>
    </row>
    <row r="20" spans="1:7" ht="31.5" x14ac:dyDescent="0.25">
      <c r="A20" s="34" t="s">
        <v>222</v>
      </c>
      <c r="B20" s="495" t="s">
        <v>215</v>
      </c>
      <c r="C20" s="495"/>
      <c r="D20" s="383">
        <f>D21</f>
        <v>8197.1</v>
      </c>
      <c r="E20" s="383">
        <f>E21</f>
        <v>8197.1</v>
      </c>
    </row>
    <row r="21" spans="1:7" ht="31.5" x14ac:dyDescent="0.25">
      <c r="A21" s="31" t="s">
        <v>1345</v>
      </c>
      <c r="B21" s="492" t="s">
        <v>215</v>
      </c>
      <c r="C21" s="492" t="s">
        <v>244</v>
      </c>
      <c r="D21" s="385">
        <f>'пр.5.1.рдпрцс 22-23 (2)'!F231</f>
        <v>8197.1</v>
      </c>
      <c r="E21" s="385">
        <f>'пр.5.1.рдпрцс 22-23 (2)'!G231</f>
        <v>8197.1</v>
      </c>
    </row>
    <row r="22" spans="1:7" ht="15.75" x14ac:dyDescent="0.25">
      <c r="A22" s="47" t="s">
        <v>232</v>
      </c>
      <c r="B22" s="495" t="s">
        <v>150</v>
      </c>
      <c r="C22" s="495"/>
      <c r="D22" s="383">
        <f>SUM(D23:D26)</f>
        <v>6525.2</v>
      </c>
      <c r="E22" s="383">
        <f>SUM(E23:E26)</f>
        <v>6535.8</v>
      </c>
    </row>
    <row r="23" spans="1:7" ht="15.75" x14ac:dyDescent="0.25">
      <c r="A23" s="94" t="s">
        <v>233</v>
      </c>
      <c r="B23" s="492" t="s">
        <v>150</v>
      </c>
      <c r="C23" s="492" t="s">
        <v>234</v>
      </c>
      <c r="D23" s="385">
        <f>'пр.5.1.рдпрцс 22-23 (2)'!F250</f>
        <v>274</v>
      </c>
      <c r="E23" s="385">
        <f>'пр.5.1.рдпрцс 22-23 (2)'!G250</f>
        <v>274</v>
      </c>
    </row>
    <row r="24" spans="1:7" ht="15.75" x14ac:dyDescent="0.25">
      <c r="A24" s="93" t="s">
        <v>505</v>
      </c>
      <c r="B24" s="492" t="s">
        <v>150</v>
      </c>
      <c r="C24" s="492" t="s">
        <v>299</v>
      </c>
      <c r="D24" s="385">
        <f>'пр.5.1.рдпрцс 22-23 (2)'!F263</f>
        <v>3258</v>
      </c>
      <c r="E24" s="385">
        <f>'пр.5.1.рдпрцс 22-23 (2)'!G263</f>
        <v>3258</v>
      </c>
    </row>
    <row r="25" spans="1:7" ht="15.75" x14ac:dyDescent="0.25">
      <c r="A25" s="93" t="s">
        <v>508</v>
      </c>
      <c r="B25" s="492" t="s">
        <v>150</v>
      </c>
      <c r="C25" s="492" t="s">
        <v>219</v>
      </c>
      <c r="D25" s="385">
        <f>'пр.5.1.рдпрцс 22-23 (2)'!F269</f>
        <v>2319</v>
      </c>
      <c r="E25" s="385">
        <f>'пр.5.1.рдпрцс 22-23 (2)'!G269</f>
        <v>2319</v>
      </c>
    </row>
    <row r="26" spans="1:7" ht="15.75" x14ac:dyDescent="0.25">
      <c r="A26" s="95" t="s">
        <v>237</v>
      </c>
      <c r="B26" s="492" t="s">
        <v>150</v>
      </c>
      <c r="C26" s="492" t="s">
        <v>238</v>
      </c>
      <c r="D26" s="385">
        <f>'пр.5.1.рдпрцс 22-23 (2)'!F283</f>
        <v>674.2</v>
      </c>
      <c r="E26" s="385">
        <f>'пр.5.1.рдпрцс 22-23 (2)'!G283</f>
        <v>684.8</v>
      </c>
    </row>
    <row r="27" spans="1:7" ht="15.75" x14ac:dyDescent="0.25">
      <c r="A27" s="47" t="s">
        <v>390</v>
      </c>
      <c r="B27" s="495" t="s">
        <v>234</v>
      </c>
      <c r="C27" s="495"/>
      <c r="D27" s="383">
        <f>SUM(D28:D31)</f>
        <v>41786.1</v>
      </c>
      <c r="E27" s="383">
        <f>SUM(E28:E31)</f>
        <v>49898.45</v>
      </c>
    </row>
    <row r="28" spans="1:7" ht="15.75" x14ac:dyDescent="0.25">
      <c r="A28" s="94" t="s">
        <v>391</v>
      </c>
      <c r="B28" s="492" t="s">
        <v>234</v>
      </c>
      <c r="C28" s="492" t="s">
        <v>118</v>
      </c>
      <c r="D28" s="385">
        <f>'пр.5.1.рдпрцс 22-23 (2)'!F315</f>
        <v>6060.4</v>
      </c>
      <c r="E28" s="385">
        <f>'пр.5.1.рдпрцс 22-23 (2)'!G315</f>
        <v>6060.4</v>
      </c>
    </row>
    <row r="29" spans="1:7" ht="15.75" x14ac:dyDescent="0.25">
      <c r="A29" s="94" t="s">
        <v>517</v>
      </c>
      <c r="B29" s="492" t="s">
        <v>234</v>
      </c>
      <c r="C29" s="492" t="s">
        <v>213</v>
      </c>
      <c r="D29" s="385">
        <f>'пр.5.1.рдпрцс 22-23 (2)'!F329</f>
        <v>6611.199999999998</v>
      </c>
      <c r="E29" s="385">
        <f>'пр.5.1.рдпрцс 22-23 (2)'!G329</f>
        <v>14470.550000000001</v>
      </c>
    </row>
    <row r="30" spans="1:7" ht="15.75" x14ac:dyDescent="0.25">
      <c r="A30" s="93" t="s">
        <v>541</v>
      </c>
      <c r="B30" s="492" t="s">
        <v>234</v>
      </c>
      <c r="C30" s="492" t="s">
        <v>215</v>
      </c>
      <c r="D30" s="385">
        <f>'пр.5.1.рдпрцс 22-23 (2)'!F393</f>
        <v>3810</v>
      </c>
      <c r="E30" s="385">
        <f>'пр.5.1.рдпрцс 22-23 (2)'!G393</f>
        <v>4063</v>
      </c>
    </row>
    <row r="31" spans="1:7" ht="15.75" x14ac:dyDescent="0.25">
      <c r="A31" s="496" t="s">
        <v>569</v>
      </c>
      <c r="B31" s="492" t="s">
        <v>234</v>
      </c>
      <c r="C31" s="492" t="s">
        <v>234</v>
      </c>
      <c r="D31" s="385">
        <f>'пр.5.1.рдпрцс 22-23 (2)'!F443</f>
        <v>25304.5</v>
      </c>
      <c r="E31" s="385">
        <f>'пр.5.1.рдпрцс 22-23 (2)'!G443</f>
        <v>25304.5</v>
      </c>
    </row>
    <row r="32" spans="1:7" ht="15.75" x14ac:dyDescent="0.25">
      <c r="A32" s="47" t="s">
        <v>263</v>
      </c>
      <c r="B32" s="495" t="s">
        <v>264</v>
      </c>
      <c r="C32" s="495"/>
      <c r="D32" s="383">
        <f>SUM(D33:D37)</f>
        <v>366206.80999999994</v>
      </c>
      <c r="E32" s="383">
        <f>SUM(E33:E37)</f>
        <v>389340.15999999997</v>
      </c>
      <c r="G32" s="22"/>
    </row>
    <row r="33" spans="1:7" ht="15.75" x14ac:dyDescent="0.25">
      <c r="A33" s="93" t="s">
        <v>404</v>
      </c>
      <c r="B33" s="492" t="s">
        <v>264</v>
      </c>
      <c r="C33" s="492" t="s">
        <v>118</v>
      </c>
      <c r="D33" s="385">
        <f>'пр.5.1.рдпрцс 22-23 (2)'!F479</f>
        <v>102250.3</v>
      </c>
      <c r="E33" s="385">
        <f>'пр.5.1.рдпрцс 22-23 (2)'!G479</f>
        <v>105829.20000000001</v>
      </c>
    </row>
    <row r="34" spans="1:7" ht="15.75" x14ac:dyDescent="0.25">
      <c r="A34" s="93" t="s">
        <v>425</v>
      </c>
      <c r="B34" s="492" t="s">
        <v>264</v>
      </c>
      <c r="C34" s="492" t="s">
        <v>213</v>
      </c>
      <c r="D34" s="385">
        <f>'пр.5.1.рдпрцс 22-23 (2)'!F542</f>
        <v>177341.49999999997</v>
      </c>
      <c r="E34" s="385">
        <f>'пр.5.1.рдпрцс 22-23 (2)'!G542</f>
        <v>196805.15000000002</v>
      </c>
    </row>
    <row r="35" spans="1:7" ht="15.75" x14ac:dyDescent="0.25">
      <c r="A35" s="93" t="s">
        <v>265</v>
      </c>
      <c r="B35" s="492" t="s">
        <v>264</v>
      </c>
      <c r="C35" s="492" t="s">
        <v>215</v>
      </c>
      <c r="D35" s="385">
        <f>'пр.5.1.рдпрцс 22-23 (2)'!F620</f>
        <v>60278.110000000008</v>
      </c>
      <c r="E35" s="385">
        <f>'пр.5.1.рдпрцс 22-23 (2)'!G620</f>
        <v>60303.91</v>
      </c>
    </row>
    <row r="36" spans="1:7" ht="15.75" x14ac:dyDescent="0.25">
      <c r="A36" s="93" t="s">
        <v>466</v>
      </c>
      <c r="B36" s="492" t="s">
        <v>264</v>
      </c>
      <c r="C36" s="492" t="s">
        <v>264</v>
      </c>
      <c r="D36" s="385">
        <f>'пр.5.1.рдпрцс 22-23 (2)'!F689</f>
        <v>6505.1</v>
      </c>
      <c r="E36" s="385">
        <f>'пр.5.1.рдпрцс 22-23 (2)'!G689</f>
        <v>6570.1</v>
      </c>
    </row>
    <row r="37" spans="1:7" ht="15.75" x14ac:dyDescent="0.25">
      <c r="A37" s="93" t="s">
        <v>295</v>
      </c>
      <c r="B37" s="492" t="s">
        <v>264</v>
      </c>
      <c r="C37" s="492" t="s">
        <v>219</v>
      </c>
      <c r="D37" s="385">
        <f>'пр.5.1.рдпрцс 22-23 (2)'!F714</f>
        <v>19831.8</v>
      </c>
      <c r="E37" s="385">
        <f>'пр.5.1.рдпрцс 22-23 (2)'!G714</f>
        <v>19831.8</v>
      </c>
    </row>
    <row r="38" spans="1:7" ht="15.75" x14ac:dyDescent="0.25">
      <c r="A38" s="96" t="s">
        <v>298</v>
      </c>
      <c r="B38" s="495" t="s">
        <v>299</v>
      </c>
      <c r="C38" s="492"/>
      <c r="D38" s="383">
        <f>SUM(D39:D40)</f>
        <v>76411.28</v>
      </c>
      <c r="E38" s="383">
        <f>SUM(E39:E40)</f>
        <v>77665.48</v>
      </c>
    </row>
    <row r="39" spans="1:7" ht="15.75" x14ac:dyDescent="0.25">
      <c r="A39" s="95" t="s">
        <v>300</v>
      </c>
      <c r="B39" s="492" t="s">
        <v>299</v>
      </c>
      <c r="C39" s="492" t="s">
        <v>118</v>
      </c>
      <c r="D39" s="385">
        <f>'пр.5.1.рдпрцс 22-23 (2)'!F742</f>
        <v>57844.87999999999</v>
      </c>
      <c r="E39" s="385">
        <f>'пр.5.1.рдпрцс 22-23 (2)'!G742</f>
        <v>59070.079999999994</v>
      </c>
    </row>
    <row r="40" spans="1:7" ht="15.75" x14ac:dyDescent="0.25">
      <c r="A40" s="95" t="s">
        <v>333</v>
      </c>
      <c r="B40" s="492" t="s">
        <v>299</v>
      </c>
      <c r="C40" s="492" t="s">
        <v>150</v>
      </c>
      <c r="D40" s="385">
        <f>'пр.5.1.рдпрцс 22-23 (2)'!F795</f>
        <v>18566.400000000001</v>
      </c>
      <c r="E40" s="385">
        <f>'пр.5.1.рдпрцс 22-23 (2)'!G795</f>
        <v>18595.400000000001</v>
      </c>
    </row>
    <row r="41" spans="1:7" ht="15.75" x14ac:dyDescent="0.25">
      <c r="A41" s="47" t="s">
        <v>243</v>
      </c>
      <c r="B41" s="495" t="s">
        <v>244</v>
      </c>
      <c r="C41" s="495"/>
      <c r="D41" s="383">
        <f>SUM(D42:D45)</f>
        <v>18033.41</v>
      </c>
      <c r="E41" s="383">
        <f>SUM(E42:E45)</f>
        <v>26348.010000000002</v>
      </c>
      <c r="G41" s="22"/>
    </row>
    <row r="42" spans="1:7" ht="15.75" x14ac:dyDescent="0.25">
      <c r="A42" s="93" t="s">
        <v>245</v>
      </c>
      <c r="B42" s="492" t="s">
        <v>244</v>
      </c>
      <c r="C42" s="492" t="s">
        <v>118</v>
      </c>
      <c r="D42" s="385">
        <f>'пр.5.1.рдпрцс 22-23 (2)'!F830</f>
        <v>9815.2999999999993</v>
      </c>
      <c r="E42" s="385">
        <f>'пр.5.1.рдпрцс 22-23 (2)'!G830</f>
        <v>9815.2999999999993</v>
      </c>
    </row>
    <row r="43" spans="1:7" ht="15.75" x14ac:dyDescent="0.25">
      <c r="A43" s="496" t="s">
        <v>252</v>
      </c>
      <c r="B43" s="492" t="s">
        <v>244</v>
      </c>
      <c r="C43" s="492" t="s">
        <v>215</v>
      </c>
      <c r="D43" s="385">
        <f>'пр.5.1.рдпрцс 22-23 (2)'!F836</f>
        <v>2011.6100000000001</v>
      </c>
      <c r="E43" s="385">
        <f>'пр.5.1.рдпрцс 22-23 (2)'!G836</f>
        <v>2036.1100000000001</v>
      </c>
    </row>
    <row r="44" spans="1:7" ht="15.75" x14ac:dyDescent="0.25">
      <c r="A44" s="496" t="s">
        <v>400</v>
      </c>
      <c r="B44" s="492" t="s">
        <v>244</v>
      </c>
      <c r="C44" s="492" t="s">
        <v>150</v>
      </c>
      <c r="D44" s="385">
        <f>'пр.5.1.рдпрцс 22-23 (2)'!F867</f>
        <v>2469.1</v>
      </c>
      <c r="E44" s="385">
        <f>'пр.5.1.рдпрцс 22-23 (2)'!G867</f>
        <v>10803.2</v>
      </c>
    </row>
    <row r="45" spans="1:7" ht="15.75" x14ac:dyDescent="0.25">
      <c r="A45" s="496" t="s">
        <v>258</v>
      </c>
      <c r="B45" s="492" t="s">
        <v>244</v>
      </c>
      <c r="C45" s="492" t="s">
        <v>120</v>
      </c>
      <c r="D45" s="385">
        <f>'пр.5.1.рдпрцс 22-23 (2)'!F872</f>
        <v>3737.4</v>
      </c>
      <c r="E45" s="385">
        <f>'пр.5.1.рдпрцс 22-23 (2)'!G872</f>
        <v>3693.4</v>
      </c>
    </row>
    <row r="46" spans="1:7" ht="15.75" x14ac:dyDescent="0.25">
      <c r="A46" s="96" t="s">
        <v>490</v>
      </c>
      <c r="B46" s="495" t="s">
        <v>491</v>
      </c>
      <c r="C46" s="492"/>
      <c r="D46" s="383">
        <f>SUM(D47:D48)</f>
        <v>63981.399999999994</v>
      </c>
      <c r="E46" s="383">
        <f>SUM(E47:E48)</f>
        <v>64012.600000000006</v>
      </c>
      <c r="G46" s="22"/>
    </row>
    <row r="47" spans="1:7" ht="15.75" x14ac:dyDescent="0.25">
      <c r="A47" s="95" t="s">
        <v>492</v>
      </c>
      <c r="B47" s="492" t="s">
        <v>491</v>
      </c>
      <c r="C47" s="492" t="s">
        <v>118</v>
      </c>
      <c r="D47" s="385">
        <f>'пр.5.1.рдпрцс 22-23 (2)'!F886</f>
        <v>50452.2</v>
      </c>
      <c r="E47" s="385">
        <f>'пр.5.1.рдпрцс 22-23 (2)'!G886</f>
        <v>50483.4</v>
      </c>
    </row>
    <row r="48" spans="1:7" ht="15.75" x14ac:dyDescent="0.25">
      <c r="A48" s="95" t="s">
        <v>500</v>
      </c>
      <c r="B48" s="492" t="s">
        <v>491</v>
      </c>
      <c r="C48" s="492" t="s">
        <v>234</v>
      </c>
      <c r="D48" s="385">
        <f>'пр.5.1.рдпрцс 22-23 (2)'!F923</f>
        <v>13529.2</v>
      </c>
      <c r="E48" s="385">
        <f>'пр.5.1.рдпрцс 22-23 (2)'!G923</f>
        <v>13529.2</v>
      </c>
    </row>
    <row r="49" spans="1:7" ht="15.75" x14ac:dyDescent="0.25">
      <c r="A49" s="491" t="s">
        <v>582</v>
      </c>
      <c r="B49" s="495" t="s">
        <v>238</v>
      </c>
      <c r="C49" s="492"/>
      <c r="D49" s="383">
        <f>D50</f>
        <v>5873.2</v>
      </c>
      <c r="E49" s="383">
        <f>E50</f>
        <v>5876.2</v>
      </c>
    </row>
    <row r="50" spans="1:7" ht="15.75" x14ac:dyDescent="0.25">
      <c r="A50" s="31" t="s">
        <v>583</v>
      </c>
      <c r="B50" s="492" t="s">
        <v>238</v>
      </c>
      <c r="C50" s="492" t="s">
        <v>213</v>
      </c>
      <c r="D50" s="385">
        <f>'пр.5.1.рдпрцс 22-23 (2)'!F952</f>
        <v>5873.2</v>
      </c>
      <c r="E50" s="385">
        <f>'пр.5.1.рдпрцс 22-23 (2)'!G952</f>
        <v>5876.2</v>
      </c>
    </row>
    <row r="51" spans="1:7" ht="15.75" x14ac:dyDescent="0.25">
      <c r="A51" s="92" t="s">
        <v>678</v>
      </c>
      <c r="B51" s="495"/>
      <c r="C51" s="495"/>
      <c r="D51" s="383">
        <f>D11+D20+D22+D27+D32+D38+D41+D46+D49+D10</f>
        <v>737481.81599999999</v>
      </c>
      <c r="E51" s="383">
        <f>E11+E20+E22+E27+E32+E38+E41+E46+E49+E10</f>
        <v>777267.39999999991</v>
      </c>
      <c r="G51" s="22"/>
    </row>
    <row r="52" spans="1:7" x14ac:dyDescent="0.25">
      <c r="D52" s="22">
        <f>'пр.5.1.рдпрцс 22-23 (2)'!F970</f>
        <v>737481.81599999999</v>
      </c>
      <c r="E52" s="22">
        <f>'пр.5.1.рдпрцс 22-23 (2)'!G970</f>
        <v>777267.39999999991</v>
      </c>
    </row>
    <row r="53" spans="1:7" hidden="1" x14ac:dyDescent="0.25">
      <c r="D53" s="22">
        <f>'Пр.1.1. дох.23-24'!C158</f>
        <v>808002.84000000008</v>
      </c>
      <c r="E53" s="22">
        <f>'Пр.1.1. дох.23-24'!D158</f>
        <v>777654.71000000008</v>
      </c>
    </row>
    <row r="54" spans="1:7" hidden="1" x14ac:dyDescent="0.25"/>
    <row r="55" spans="1:7" hidden="1" x14ac:dyDescent="0.25">
      <c r="D55" s="22">
        <f>D53-D51</f>
        <v>70521.024000000092</v>
      </c>
      <c r="E55" s="22">
        <f>E53-E51</f>
        <v>387.31000000017229</v>
      </c>
    </row>
    <row r="56" spans="1:7" ht="15.6" hidden="1" customHeight="1" x14ac:dyDescent="0.25">
      <c r="D56" s="22">
        <f>'пр.6.1.ведом.22-23 (2)'!G1094</f>
        <v>736280.59999999986</v>
      </c>
      <c r="E56" s="22">
        <f>'пр.6.1.ведом.22-23 (2)'!H1094</f>
        <v>777267.39999999991</v>
      </c>
    </row>
    <row r="57" spans="1:7" hidden="1" x14ac:dyDescent="0.25"/>
    <row r="58" spans="1:7" hidden="1" x14ac:dyDescent="0.25">
      <c r="D58" s="22">
        <f>D56-D51</f>
        <v>-1201.2160000001313</v>
      </c>
      <c r="E58" s="22">
        <f>E56-E51</f>
        <v>0</v>
      </c>
    </row>
  </sheetData>
  <mergeCells count="7">
    <mergeCell ref="A7:C7"/>
    <mergeCell ref="D1:E1"/>
    <mergeCell ref="D2:E2"/>
    <mergeCell ref="D3:E3"/>
    <mergeCell ref="A4:E4"/>
    <mergeCell ref="A5:E5"/>
    <mergeCell ref="A6:E6"/>
  </mergeCells>
  <pageMargins left="0.23622047244094491" right="0.23622047244094491" top="0.74803149606299213" bottom="0.74803149606299213" header="0.31496062992125984" footer="0.31496062992125984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7"/>
  <sheetViews>
    <sheetView view="pageBreakPreview" zoomScaleNormal="100" zoomScaleSheetLayoutView="100" workbookViewId="0">
      <selection activeCell="A58" sqref="A58"/>
    </sheetView>
  </sheetViews>
  <sheetFormatPr defaultRowHeight="15" x14ac:dyDescent="0.25"/>
  <cols>
    <col min="1" max="1" width="80.7109375" customWidth="1"/>
    <col min="2" max="2" width="4.5703125" customWidth="1"/>
    <col min="3" max="3" width="6.140625" customWidth="1"/>
    <col min="4" max="4" width="14.42578125" style="22" customWidth="1"/>
  </cols>
  <sheetData>
    <row r="1" spans="1:5" ht="15.75" x14ac:dyDescent="0.25">
      <c r="A1" s="11"/>
      <c r="B1" s="714" t="s">
        <v>1775</v>
      </c>
      <c r="C1" s="714"/>
      <c r="D1" s="714"/>
    </row>
    <row r="2" spans="1:5" ht="15.75" x14ac:dyDescent="0.25">
      <c r="A2" s="11"/>
      <c r="B2" s="714" t="s">
        <v>0</v>
      </c>
      <c r="C2" s="714"/>
      <c r="D2" s="714"/>
    </row>
    <row r="3" spans="1:5" ht="18.75" customHeight="1" x14ac:dyDescent="0.25">
      <c r="A3" s="11"/>
      <c r="B3" s="730" t="s">
        <v>1774</v>
      </c>
      <c r="C3" s="730"/>
      <c r="D3" s="730"/>
    </row>
    <row r="4" spans="1:5" s="203" customFormat="1" ht="18.75" x14ac:dyDescent="0.3">
      <c r="A4" s="11"/>
      <c r="B4" s="152"/>
      <c r="C4" s="11"/>
      <c r="D4" s="274"/>
    </row>
    <row r="5" spans="1:5" ht="15.75" x14ac:dyDescent="0.25">
      <c r="A5" s="729" t="s">
        <v>1134</v>
      </c>
      <c r="B5" s="729"/>
      <c r="C5" s="729"/>
      <c r="D5" s="729"/>
    </row>
    <row r="6" spans="1:5" ht="15.75" x14ac:dyDescent="0.25">
      <c r="A6" s="729" t="s">
        <v>1135</v>
      </c>
      <c r="B6" s="729"/>
      <c r="C6" s="729"/>
      <c r="D6" s="729"/>
    </row>
    <row r="7" spans="1:5" ht="15.75" x14ac:dyDescent="0.25">
      <c r="A7" s="729" t="s">
        <v>1773</v>
      </c>
      <c r="B7" s="729"/>
      <c r="C7" s="729"/>
      <c r="D7" s="729"/>
    </row>
    <row r="8" spans="1:5" x14ac:dyDescent="0.25">
      <c r="B8" s="90"/>
      <c r="C8" s="90"/>
      <c r="D8" s="381" t="s">
        <v>1</v>
      </c>
    </row>
    <row r="9" spans="1:5" ht="66.2" customHeight="1" x14ac:dyDescent="0.25">
      <c r="A9" s="91" t="s">
        <v>675</v>
      </c>
      <c r="B9" s="91" t="s">
        <v>676</v>
      </c>
      <c r="C9" s="91" t="s">
        <v>677</v>
      </c>
      <c r="D9" s="382" t="s">
        <v>1027</v>
      </c>
    </row>
    <row r="10" spans="1:5" ht="15.75" x14ac:dyDescent="0.25">
      <c r="A10" s="47" t="s">
        <v>117</v>
      </c>
      <c r="B10" s="24" t="s">
        <v>118</v>
      </c>
      <c r="C10" s="92"/>
      <c r="D10" s="383">
        <f>SUM(D11:D17)</f>
        <v>158005.62</v>
      </c>
    </row>
    <row r="11" spans="1:5" ht="31.5" x14ac:dyDescent="0.25">
      <c r="A11" s="31" t="s">
        <v>575</v>
      </c>
      <c r="B11" s="20" t="s">
        <v>118</v>
      </c>
      <c r="C11" s="20" t="s">
        <v>213</v>
      </c>
      <c r="D11" s="27">
        <f>'Пр.3 Рд,пр, ЦС,ВР 22'!F9</f>
        <v>5025</v>
      </c>
      <c r="E11" s="22"/>
    </row>
    <row r="12" spans="1:5" ht="47.25" x14ac:dyDescent="0.25">
      <c r="A12" s="31" t="s">
        <v>578</v>
      </c>
      <c r="B12" s="20" t="s">
        <v>118</v>
      </c>
      <c r="C12" s="20" t="s">
        <v>215</v>
      </c>
      <c r="D12" s="27">
        <f>'Пр.3 Рд,пр, ЦС,ВР 22'!F25</f>
        <v>5815.08</v>
      </c>
    </row>
    <row r="13" spans="1:5" ht="47.25" x14ac:dyDescent="0.25">
      <c r="A13" s="25" t="s">
        <v>149</v>
      </c>
      <c r="B13" s="20" t="s">
        <v>118</v>
      </c>
      <c r="C13" s="20" t="s">
        <v>150</v>
      </c>
      <c r="D13" s="27">
        <f>'Пр.3 Рд,пр, ЦС,ВР 22'!F41</f>
        <v>70978.63</v>
      </c>
    </row>
    <row r="14" spans="1:5" ht="31.5" x14ac:dyDescent="0.25">
      <c r="A14" s="25" t="s">
        <v>119</v>
      </c>
      <c r="B14" s="20" t="s">
        <v>118</v>
      </c>
      <c r="C14" s="20" t="s">
        <v>120</v>
      </c>
      <c r="D14" s="27">
        <f>'Пр.3 Рд,пр, ЦС,ВР 22'!F102</f>
        <v>18154.27</v>
      </c>
    </row>
    <row r="15" spans="1:5" s="203" customFormat="1" ht="15.75" hidden="1" x14ac:dyDescent="0.25">
      <c r="A15" s="25" t="s">
        <v>1147</v>
      </c>
      <c r="B15" s="20" t="s">
        <v>118</v>
      </c>
      <c r="C15" s="20" t="s">
        <v>264</v>
      </c>
      <c r="D15" s="27">
        <f>'Пр.3 Рд,пр, ЦС,ВР 22'!F127</f>
        <v>0</v>
      </c>
    </row>
    <row r="16" spans="1:5" s="203" customFormat="1" ht="15.75" x14ac:dyDescent="0.25">
      <c r="A16" s="25" t="s">
        <v>1407</v>
      </c>
      <c r="B16" s="20" t="s">
        <v>118</v>
      </c>
      <c r="C16" s="20" t="s">
        <v>491</v>
      </c>
      <c r="D16" s="27">
        <f>'Пр.3 Рд,пр, ЦС,ВР 22'!F135</f>
        <v>50</v>
      </c>
    </row>
    <row r="17" spans="1:5" ht="15.75" x14ac:dyDescent="0.25">
      <c r="A17" s="93" t="s">
        <v>139</v>
      </c>
      <c r="B17" s="20" t="s">
        <v>118</v>
      </c>
      <c r="C17" s="20" t="s">
        <v>140</v>
      </c>
      <c r="D17" s="27">
        <f>'Пр.3 Рд,пр, ЦС,ВР 22'!F141</f>
        <v>57982.639999999992</v>
      </c>
    </row>
    <row r="18" spans="1:5" ht="15.75" hidden="1" x14ac:dyDescent="0.25">
      <c r="A18" s="19" t="s">
        <v>212</v>
      </c>
      <c r="B18" s="24" t="s">
        <v>213</v>
      </c>
      <c r="C18" s="20"/>
      <c r="D18" s="44">
        <f t="shared" ref="D18" si="0">D19</f>
        <v>0</v>
      </c>
    </row>
    <row r="19" spans="1:5" ht="15.75" hidden="1" x14ac:dyDescent="0.25">
      <c r="A19" s="25" t="s">
        <v>218</v>
      </c>
      <c r="B19" s="20" t="s">
        <v>213</v>
      </c>
      <c r="C19" s="20" t="s">
        <v>219</v>
      </c>
      <c r="D19" s="27"/>
    </row>
    <row r="20" spans="1:5" ht="18" customHeight="1" x14ac:dyDescent="0.25">
      <c r="A20" s="34" t="s">
        <v>222</v>
      </c>
      <c r="B20" s="24" t="s">
        <v>215</v>
      </c>
      <c r="C20" s="24"/>
      <c r="D20" s="44">
        <f t="shared" ref="D20" si="1">D21</f>
        <v>7394</v>
      </c>
    </row>
    <row r="21" spans="1:5" ht="31.5" x14ac:dyDescent="0.25">
      <c r="A21" s="31" t="s">
        <v>1345</v>
      </c>
      <c r="B21" s="20" t="s">
        <v>215</v>
      </c>
      <c r="C21" s="20" t="s">
        <v>244</v>
      </c>
      <c r="D21" s="27">
        <f>'Пр.3 Рд,пр, ЦС,ВР 22'!F237</f>
        <v>7394</v>
      </c>
    </row>
    <row r="22" spans="1:5" ht="15.75" x14ac:dyDescent="0.25">
      <c r="A22" s="47" t="s">
        <v>232</v>
      </c>
      <c r="B22" s="24" t="s">
        <v>150</v>
      </c>
      <c r="C22" s="24"/>
      <c r="D22" s="44">
        <f t="shared" ref="D22" si="2">D23+D24+D25+D26</f>
        <v>7329.4000000000005</v>
      </c>
    </row>
    <row r="23" spans="1:5" ht="15.75" x14ac:dyDescent="0.25">
      <c r="A23" s="94" t="s">
        <v>233</v>
      </c>
      <c r="B23" s="20" t="s">
        <v>150</v>
      </c>
      <c r="C23" s="20" t="s">
        <v>234</v>
      </c>
      <c r="D23" s="27">
        <f>'Пр.3 Рд,пр, ЦС,ВР 22'!F264</f>
        <v>274</v>
      </c>
    </row>
    <row r="24" spans="1:5" ht="15.75" x14ac:dyDescent="0.25">
      <c r="A24" s="93" t="s">
        <v>505</v>
      </c>
      <c r="B24" s="20" t="s">
        <v>150</v>
      </c>
      <c r="C24" s="20" t="s">
        <v>299</v>
      </c>
      <c r="D24" s="27">
        <f>'Пр.3 Рд,пр, ЦС,ВР 22'!F274</f>
        <v>3258</v>
      </c>
    </row>
    <row r="25" spans="1:5" ht="15.75" x14ac:dyDescent="0.25">
      <c r="A25" s="93" t="s">
        <v>508</v>
      </c>
      <c r="B25" s="20" t="s">
        <v>150</v>
      </c>
      <c r="C25" s="20" t="s">
        <v>219</v>
      </c>
      <c r="D25" s="27">
        <f>'Пр.3 Рд,пр, ЦС,ВР 22'!F280</f>
        <v>3071.6000000000004</v>
      </c>
    </row>
    <row r="26" spans="1:5" ht="15.75" x14ac:dyDescent="0.25">
      <c r="A26" s="95" t="s">
        <v>237</v>
      </c>
      <c r="B26" s="20" t="s">
        <v>150</v>
      </c>
      <c r="C26" s="20" t="s">
        <v>238</v>
      </c>
      <c r="D26" s="27">
        <f>'Пр.3 Рд,пр, ЦС,ВР 22'!F294</f>
        <v>725.8</v>
      </c>
    </row>
    <row r="27" spans="1:5" ht="15.75" x14ac:dyDescent="0.25">
      <c r="A27" s="47" t="s">
        <v>390</v>
      </c>
      <c r="B27" s="24" t="s">
        <v>234</v>
      </c>
      <c r="C27" s="24"/>
      <c r="D27" s="44">
        <f t="shared" ref="D27" si="3">SUM(D28:D31)</f>
        <v>60306.49</v>
      </c>
    </row>
    <row r="28" spans="1:5" ht="15.75" x14ac:dyDescent="0.25">
      <c r="A28" s="94" t="s">
        <v>391</v>
      </c>
      <c r="B28" s="20" t="s">
        <v>234</v>
      </c>
      <c r="C28" s="20" t="s">
        <v>118</v>
      </c>
      <c r="D28" s="27">
        <f>'Пр.3 Рд,пр, ЦС,ВР 22'!F326</f>
        <v>13496.099999999999</v>
      </c>
      <c r="E28" s="22"/>
    </row>
    <row r="29" spans="1:5" ht="15.75" x14ac:dyDescent="0.25">
      <c r="A29" s="94" t="s">
        <v>517</v>
      </c>
      <c r="B29" s="20" t="s">
        <v>234</v>
      </c>
      <c r="C29" s="20" t="s">
        <v>213</v>
      </c>
      <c r="D29" s="27">
        <f>'Пр.3 Рд,пр, ЦС,ВР 22'!F343</f>
        <v>7810.420000000001</v>
      </c>
    </row>
    <row r="30" spans="1:5" ht="15.75" x14ac:dyDescent="0.25">
      <c r="A30" s="93" t="s">
        <v>541</v>
      </c>
      <c r="B30" s="20" t="s">
        <v>234</v>
      </c>
      <c r="C30" s="20" t="s">
        <v>215</v>
      </c>
      <c r="D30" s="27">
        <f>'Пр.3 Рд,пр, ЦС,ВР 22'!F408</f>
        <v>9635.7199999999993</v>
      </c>
    </row>
    <row r="31" spans="1:5" ht="15.75" x14ac:dyDescent="0.25">
      <c r="A31" s="25" t="s">
        <v>569</v>
      </c>
      <c r="B31" s="20" t="s">
        <v>234</v>
      </c>
      <c r="C31" s="20" t="s">
        <v>234</v>
      </c>
      <c r="D31" s="27">
        <f>'Пр.3 Рд,пр, ЦС,ВР 22'!F470</f>
        <v>29364.25</v>
      </c>
    </row>
    <row r="32" spans="1:5" ht="15.75" x14ac:dyDescent="0.25">
      <c r="A32" s="47" t="s">
        <v>263</v>
      </c>
      <c r="B32" s="24" t="s">
        <v>264</v>
      </c>
      <c r="C32" s="24"/>
      <c r="D32" s="44">
        <f t="shared" ref="D32" si="4">SUM(D33:D37)</f>
        <v>384414.46000000008</v>
      </c>
    </row>
    <row r="33" spans="1:4" ht="15.75" x14ac:dyDescent="0.25">
      <c r="A33" s="93" t="s">
        <v>404</v>
      </c>
      <c r="B33" s="20" t="s">
        <v>264</v>
      </c>
      <c r="C33" s="20" t="s">
        <v>118</v>
      </c>
      <c r="D33" s="27">
        <f>'Пр.3 Рд,пр, ЦС,ВР 22'!F517</f>
        <v>89767.090000000011</v>
      </c>
    </row>
    <row r="34" spans="1:4" ht="15.75" x14ac:dyDescent="0.25">
      <c r="A34" s="93" t="s">
        <v>425</v>
      </c>
      <c r="B34" s="20" t="s">
        <v>264</v>
      </c>
      <c r="C34" s="20" t="s">
        <v>213</v>
      </c>
      <c r="D34" s="27">
        <f>'Пр.3 Рд,пр, ЦС,ВР 22'!F576</f>
        <v>202346.96000000002</v>
      </c>
    </row>
    <row r="35" spans="1:4" ht="15.75" x14ac:dyDescent="0.25">
      <c r="A35" s="93" t="s">
        <v>265</v>
      </c>
      <c r="B35" s="20" t="s">
        <v>264</v>
      </c>
      <c r="C35" s="20" t="s">
        <v>215</v>
      </c>
      <c r="D35" s="27">
        <f>'Пр.3 Рд,пр, ЦС,ВР 22'!F670</f>
        <v>62518.880000000005</v>
      </c>
    </row>
    <row r="36" spans="1:4" ht="15.75" x14ac:dyDescent="0.25">
      <c r="A36" s="93" t="s">
        <v>466</v>
      </c>
      <c r="B36" s="20" t="s">
        <v>264</v>
      </c>
      <c r="C36" s="20" t="s">
        <v>264</v>
      </c>
      <c r="D36" s="27">
        <f>'Пр.3 Рд,пр, ЦС,ВР 22'!F743</f>
        <v>8274</v>
      </c>
    </row>
    <row r="37" spans="1:4" ht="15.75" x14ac:dyDescent="0.25">
      <c r="A37" s="93" t="s">
        <v>295</v>
      </c>
      <c r="B37" s="20" t="s">
        <v>264</v>
      </c>
      <c r="C37" s="20" t="s">
        <v>219</v>
      </c>
      <c r="D37" s="27">
        <f>'Пр.3 Рд,пр, ЦС,ВР 22'!F768</f>
        <v>21507.53</v>
      </c>
    </row>
    <row r="38" spans="1:4" ht="15.75" x14ac:dyDescent="0.25">
      <c r="A38" s="96" t="s">
        <v>298</v>
      </c>
      <c r="B38" s="24" t="s">
        <v>299</v>
      </c>
      <c r="C38" s="20"/>
      <c r="D38" s="44">
        <f t="shared" ref="D38" si="5">D39+D40</f>
        <v>89258.319999999992</v>
      </c>
    </row>
    <row r="39" spans="1:4" ht="15.75" x14ac:dyDescent="0.25">
      <c r="A39" s="95" t="s">
        <v>300</v>
      </c>
      <c r="B39" s="20" t="s">
        <v>299</v>
      </c>
      <c r="C39" s="20" t="s">
        <v>118</v>
      </c>
      <c r="D39" s="27">
        <f>'Пр.3 Рд,пр, ЦС,ВР 22'!F808</f>
        <v>68123.839999999997</v>
      </c>
    </row>
    <row r="40" spans="1:4" ht="15.75" x14ac:dyDescent="0.25">
      <c r="A40" s="95" t="s">
        <v>333</v>
      </c>
      <c r="B40" s="20" t="s">
        <v>299</v>
      </c>
      <c r="C40" s="20" t="s">
        <v>150</v>
      </c>
      <c r="D40" s="27">
        <f>'Пр.3 Рд,пр, ЦС,ВР 22'!F873</f>
        <v>21134.48</v>
      </c>
    </row>
    <row r="41" spans="1:4" ht="15.75" x14ac:dyDescent="0.25">
      <c r="A41" s="47" t="s">
        <v>243</v>
      </c>
      <c r="B41" s="24" t="s">
        <v>244</v>
      </c>
      <c r="C41" s="24"/>
      <c r="D41" s="44">
        <f>SUM(D42:D45)</f>
        <v>15126.01</v>
      </c>
    </row>
    <row r="42" spans="1:4" ht="15.75" x14ac:dyDescent="0.25">
      <c r="A42" s="93" t="s">
        <v>245</v>
      </c>
      <c r="B42" s="20" t="s">
        <v>244</v>
      </c>
      <c r="C42" s="20" t="s">
        <v>118</v>
      </c>
      <c r="D42" s="27">
        <f>'Пр.3 Рд,пр, ЦС,ВР 22'!F915</f>
        <v>9913.5</v>
      </c>
    </row>
    <row r="43" spans="1:4" ht="15.75" x14ac:dyDescent="0.25">
      <c r="A43" s="25" t="s">
        <v>252</v>
      </c>
      <c r="B43" s="20" t="s">
        <v>244</v>
      </c>
      <c r="C43" s="20" t="s">
        <v>215</v>
      </c>
      <c r="D43" s="27">
        <f>'Пр.3 Рд,пр, ЦС,ВР 22'!F921</f>
        <v>1575.9</v>
      </c>
    </row>
    <row r="44" spans="1:4" s="203" customFormat="1" ht="15.75" hidden="1" x14ac:dyDescent="0.25">
      <c r="A44" s="25" t="s">
        <v>400</v>
      </c>
      <c r="B44" s="20" t="s">
        <v>244</v>
      </c>
      <c r="C44" s="20" t="s">
        <v>150</v>
      </c>
      <c r="D44" s="27">
        <f>'Пр.3 Рд,пр, ЦС,ВР 22'!F950</f>
        <v>0</v>
      </c>
    </row>
    <row r="45" spans="1:4" ht="15.75" x14ac:dyDescent="0.25">
      <c r="A45" s="25" t="s">
        <v>258</v>
      </c>
      <c r="B45" s="20" t="s">
        <v>244</v>
      </c>
      <c r="C45" s="20" t="s">
        <v>120</v>
      </c>
      <c r="D45" s="27">
        <f>'Пр.3 Рд,пр, ЦС,ВР 22'!F955</f>
        <v>3636.61</v>
      </c>
    </row>
    <row r="46" spans="1:4" ht="15.75" x14ac:dyDescent="0.25">
      <c r="A46" s="96" t="s">
        <v>490</v>
      </c>
      <c r="B46" s="24" t="s">
        <v>491</v>
      </c>
      <c r="C46" s="20"/>
      <c r="D46" s="44">
        <f t="shared" ref="D46" si="6">D47+D48</f>
        <v>74590.739999999991</v>
      </c>
    </row>
    <row r="47" spans="1:4" ht="15.75" x14ac:dyDescent="0.25">
      <c r="A47" s="95" t="s">
        <v>492</v>
      </c>
      <c r="B47" s="20" t="s">
        <v>491</v>
      </c>
      <c r="C47" s="20" t="s">
        <v>118</v>
      </c>
      <c r="D47" s="27">
        <f>'Пр.3 Рд,пр, ЦС,ВР 22'!F969</f>
        <v>61300.95</v>
      </c>
    </row>
    <row r="48" spans="1:4" ht="15.75" x14ac:dyDescent="0.25">
      <c r="A48" s="95" t="s">
        <v>500</v>
      </c>
      <c r="B48" s="20" t="s">
        <v>491</v>
      </c>
      <c r="C48" s="20" t="s">
        <v>234</v>
      </c>
      <c r="D48" s="27">
        <f>'Пр.3 Рд,пр, ЦС,ВР 22'!F1016</f>
        <v>13289.79</v>
      </c>
    </row>
    <row r="49" spans="1:5" ht="15.75" x14ac:dyDescent="0.25">
      <c r="A49" s="19" t="s">
        <v>582</v>
      </c>
      <c r="B49" s="24" t="s">
        <v>238</v>
      </c>
      <c r="C49" s="20"/>
      <c r="D49" s="44">
        <f t="shared" ref="D49" si="7">D50</f>
        <v>6128.15</v>
      </c>
    </row>
    <row r="50" spans="1:5" ht="15.75" x14ac:dyDescent="0.25">
      <c r="A50" s="31" t="s">
        <v>583</v>
      </c>
      <c r="B50" s="20" t="s">
        <v>238</v>
      </c>
      <c r="C50" s="20" t="s">
        <v>213</v>
      </c>
      <c r="D50" s="27">
        <f>'Пр.3 Рд,пр, ЦС,ВР 22'!F1052</f>
        <v>6128.15</v>
      </c>
    </row>
    <row r="51" spans="1:5" ht="15.75" x14ac:dyDescent="0.25">
      <c r="A51" s="92" t="s">
        <v>678</v>
      </c>
      <c r="B51" s="24"/>
      <c r="C51" s="24"/>
      <c r="D51" s="44">
        <f>D10+D20+D22+D27+D32+D38+D41+D46+D49+D18</f>
        <v>802553.19000000006</v>
      </c>
      <c r="E51" s="22"/>
    </row>
    <row r="52" spans="1:5" hidden="1" x14ac:dyDescent="0.25">
      <c r="D52" s="22">
        <f>'Пр.4 ведом.22'!G1171</f>
        <v>802553.19000000029</v>
      </c>
    </row>
    <row r="53" spans="1:5" hidden="1" x14ac:dyDescent="0.25">
      <c r="D53" s="22">
        <f t="shared" ref="D53" si="8">D52-D51</f>
        <v>0</v>
      </c>
    </row>
    <row r="54" spans="1:5" hidden="1" x14ac:dyDescent="0.25">
      <c r="D54" s="22">
        <f>пр.1дох.22!C197</f>
        <v>802553.17</v>
      </c>
    </row>
    <row r="55" spans="1:5" hidden="1" x14ac:dyDescent="0.25">
      <c r="D55" s="22">
        <f>D54-D51</f>
        <v>-2.0000000018626451E-2</v>
      </c>
    </row>
    <row r="56" spans="1:5" x14ac:dyDescent="0.25">
      <c r="D56" s="22">
        <f>'Пр.4 ведом.22'!G1171</f>
        <v>802553.19000000029</v>
      </c>
    </row>
    <row r="57" spans="1:5" x14ac:dyDescent="0.25">
      <c r="D57" s="22">
        <f>D56-D51</f>
        <v>0</v>
      </c>
    </row>
  </sheetData>
  <mergeCells count="6">
    <mergeCell ref="B1:D1"/>
    <mergeCell ref="A5:D5"/>
    <mergeCell ref="A6:D6"/>
    <mergeCell ref="A7:D7"/>
    <mergeCell ref="B3:D3"/>
    <mergeCell ref="B2:D2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8"/>
  <sheetViews>
    <sheetView view="pageBreakPreview" topLeftCell="A21" zoomScaleNormal="100" zoomScaleSheetLayoutView="100" workbookViewId="0">
      <selection activeCell="A65" sqref="A65"/>
    </sheetView>
  </sheetViews>
  <sheetFormatPr defaultColWidth="9.140625" defaultRowHeight="15" x14ac:dyDescent="0.25"/>
  <cols>
    <col min="1" max="1" width="80.7109375" style="576" customWidth="1"/>
    <col min="2" max="2" width="4.5703125" style="576" customWidth="1"/>
    <col min="3" max="3" width="6.140625" style="576" customWidth="1"/>
    <col min="4" max="5" width="14.42578125" style="22" customWidth="1"/>
    <col min="6" max="16384" width="9.140625" style="576"/>
  </cols>
  <sheetData>
    <row r="1" spans="1:5" ht="15.75" x14ac:dyDescent="0.25">
      <c r="A1" s="11"/>
      <c r="B1" s="714" t="s">
        <v>1815</v>
      </c>
      <c r="C1" s="714"/>
      <c r="D1" s="714"/>
      <c r="E1" s="576"/>
    </row>
    <row r="2" spans="1:5" ht="15.75" x14ac:dyDescent="0.25">
      <c r="A2" s="11"/>
      <c r="B2" s="714" t="s">
        <v>0</v>
      </c>
      <c r="C2" s="714"/>
      <c r="D2" s="714"/>
      <c r="E2" s="576"/>
    </row>
    <row r="3" spans="1:5" ht="18.75" customHeight="1" x14ac:dyDescent="0.25">
      <c r="A3" s="11"/>
      <c r="B3" s="730" t="s">
        <v>1774</v>
      </c>
      <c r="C3" s="730"/>
      <c r="D3" s="730"/>
      <c r="E3" s="576"/>
    </row>
    <row r="4" spans="1:5" ht="18.75" x14ac:dyDescent="0.3">
      <c r="A4" s="11"/>
      <c r="B4" s="152"/>
      <c r="C4" s="11"/>
      <c r="D4" s="645"/>
      <c r="E4" s="645"/>
    </row>
    <row r="5" spans="1:5" ht="15.75" x14ac:dyDescent="0.25">
      <c r="A5" s="729" t="s">
        <v>1134</v>
      </c>
      <c r="B5" s="729"/>
      <c r="C5" s="729"/>
      <c r="D5" s="729"/>
      <c r="E5" s="576"/>
    </row>
    <row r="6" spans="1:5" ht="15.75" x14ac:dyDescent="0.25">
      <c r="A6" s="729" t="s">
        <v>1135</v>
      </c>
      <c r="B6" s="729"/>
      <c r="C6" s="729"/>
      <c r="D6" s="729"/>
      <c r="E6" s="576"/>
    </row>
    <row r="7" spans="1:5" ht="15.75" x14ac:dyDescent="0.25">
      <c r="A7" s="729" t="s">
        <v>1812</v>
      </c>
      <c r="B7" s="729"/>
      <c r="C7" s="729"/>
      <c r="D7" s="729"/>
      <c r="E7" s="576"/>
    </row>
    <row r="8" spans="1:5" x14ac:dyDescent="0.25">
      <c r="B8" s="90"/>
      <c r="C8" s="90"/>
      <c r="D8" s="381"/>
      <c r="E8" s="381" t="s">
        <v>1</v>
      </c>
    </row>
    <row r="9" spans="1:5" ht="66.2" customHeight="1" x14ac:dyDescent="0.25">
      <c r="A9" s="91" t="s">
        <v>675</v>
      </c>
      <c r="B9" s="91" t="s">
        <v>676</v>
      </c>
      <c r="C9" s="91" t="s">
        <v>677</v>
      </c>
      <c r="D9" s="382" t="s">
        <v>1290</v>
      </c>
      <c r="E9" s="382" t="s">
        <v>1783</v>
      </c>
    </row>
    <row r="10" spans="1:5" ht="15.75" x14ac:dyDescent="0.25">
      <c r="A10" s="308" t="s">
        <v>1411</v>
      </c>
      <c r="B10" s="91"/>
      <c r="C10" s="91"/>
      <c r="D10" s="384">
        <f>'Пр.3.1 Рд,пр, ЦС,ВР 23-24'!F8</f>
        <v>13679.9</v>
      </c>
      <c r="E10" s="384">
        <f>'Пр.3.1 Рд,пр, ЦС,ВР 23-24'!G8</f>
        <v>28368.5</v>
      </c>
    </row>
    <row r="11" spans="1:5" ht="15.75" x14ac:dyDescent="0.25">
      <c r="A11" s="47" t="s">
        <v>117</v>
      </c>
      <c r="B11" s="495" t="s">
        <v>118</v>
      </c>
      <c r="C11" s="92"/>
      <c r="D11" s="383">
        <f>SUM(D12:D18)</f>
        <v>155143.6</v>
      </c>
      <c r="E11" s="383">
        <f>SUM(E12:E18)</f>
        <v>160978</v>
      </c>
    </row>
    <row r="12" spans="1:5" ht="31.5" x14ac:dyDescent="0.25">
      <c r="A12" s="31" t="s">
        <v>575</v>
      </c>
      <c r="B12" s="580" t="s">
        <v>118</v>
      </c>
      <c r="C12" s="580" t="s">
        <v>213</v>
      </c>
      <c r="D12" s="27">
        <f>'Пр.3.1 Рд,пр, ЦС,ВР 23-24'!F10</f>
        <v>5300.4</v>
      </c>
      <c r="E12" s="27">
        <f>'Пр.3.1 Рд,пр, ЦС,ВР 23-24'!G10</f>
        <v>5386.4</v>
      </c>
    </row>
    <row r="13" spans="1:5" ht="47.25" x14ac:dyDescent="0.25">
      <c r="A13" s="31" t="s">
        <v>578</v>
      </c>
      <c r="B13" s="580" t="s">
        <v>118</v>
      </c>
      <c r="C13" s="580" t="s">
        <v>215</v>
      </c>
      <c r="D13" s="27">
        <f>'Пр.3.1 Рд,пр, ЦС,ВР 23-24'!F26</f>
        <v>5970</v>
      </c>
      <c r="E13" s="27">
        <f>'Пр.3.1 Рд,пр, ЦС,ВР 23-24'!G26</f>
        <v>5970</v>
      </c>
    </row>
    <row r="14" spans="1:5" ht="47.25" x14ac:dyDescent="0.25">
      <c r="A14" s="579" t="s">
        <v>149</v>
      </c>
      <c r="B14" s="580" t="s">
        <v>118</v>
      </c>
      <c r="C14" s="580" t="s">
        <v>150</v>
      </c>
      <c r="D14" s="27">
        <f>'Пр.3.1 Рд,пр, ЦС,ВР 23-24'!F42</f>
        <v>63606.600000000006</v>
      </c>
      <c r="E14" s="27">
        <f>'Пр.3.1 Рд,пр, ЦС,ВР 23-24'!G42</f>
        <v>69618.500000000015</v>
      </c>
    </row>
    <row r="15" spans="1:5" ht="31.5" x14ac:dyDescent="0.25">
      <c r="A15" s="579" t="s">
        <v>119</v>
      </c>
      <c r="B15" s="580" t="s">
        <v>118</v>
      </c>
      <c r="C15" s="580" t="s">
        <v>120</v>
      </c>
      <c r="D15" s="27">
        <f>'Пр.3.1 Рд,пр, ЦС,ВР 23-24'!F103</f>
        <v>18932.8</v>
      </c>
      <c r="E15" s="27">
        <f>'Пр.3.1 Рд,пр, ЦС,ВР 23-24'!G103</f>
        <v>18846.8</v>
      </c>
    </row>
    <row r="16" spans="1:5" ht="15.75" hidden="1" x14ac:dyDescent="0.25">
      <c r="A16" s="579" t="s">
        <v>1147</v>
      </c>
      <c r="B16" s="580" t="s">
        <v>118</v>
      </c>
      <c r="C16" s="580" t="s">
        <v>264</v>
      </c>
      <c r="D16" s="27">
        <f>'Пр.3 Рд,пр, ЦС,ВР 22'!F127</f>
        <v>0</v>
      </c>
      <c r="E16" s="27">
        <f>'Пр.3 Рд,пр, ЦС,ВР 22'!G127</f>
        <v>0</v>
      </c>
    </row>
    <row r="17" spans="1:5" ht="15.75" x14ac:dyDescent="0.25">
      <c r="A17" s="579" t="s">
        <v>1407</v>
      </c>
      <c r="B17" s="580" t="s">
        <v>118</v>
      </c>
      <c r="C17" s="580" t="s">
        <v>491</v>
      </c>
      <c r="D17" s="27">
        <f>'Пр.3.1 Рд,пр, ЦС,ВР 23-24'!F136</f>
        <v>50</v>
      </c>
      <c r="E17" s="27">
        <f>'Пр.3.1 Рд,пр, ЦС,ВР 23-24'!G136</f>
        <v>50</v>
      </c>
    </row>
    <row r="18" spans="1:5" ht="15.75" x14ac:dyDescent="0.25">
      <c r="A18" s="93" t="s">
        <v>139</v>
      </c>
      <c r="B18" s="580" t="s">
        <v>118</v>
      </c>
      <c r="C18" s="580" t="s">
        <v>140</v>
      </c>
      <c r="D18" s="27">
        <f>'Пр.3.1 Рд,пр, ЦС,ВР 23-24'!F142</f>
        <v>61283.799999999996</v>
      </c>
      <c r="E18" s="27">
        <f>'Пр.3.1 Рд,пр, ЦС,ВР 23-24'!G142</f>
        <v>61106.299999999996</v>
      </c>
    </row>
    <row r="19" spans="1:5" ht="15.75" hidden="1" x14ac:dyDescent="0.25">
      <c r="A19" s="491" t="s">
        <v>212</v>
      </c>
      <c r="B19" s="495" t="s">
        <v>213</v>
      </c>
      <c r="C19" s="580"/>
      <c r="D19" s="44">
        <f t="shared" ref="D19:E19" si="0">D20</f>
        <v>0</v>
      </c>
      <c r="E19" s="44">
        <f t="shared" si="0"/>
        <v>0</v>
      </c>
    </row>
    <row r="20" spans="1:5" ht="15.75" hidden="1" x14ac:dyDescent="0.25">
      <c r="A20" s="579" t="s">
        <v>218</v>
      </c>
      <c r="B20" s="580" t="s">
        <v>213</v>
      </c>
      <c r="C20" s="580" t="s">
        <v>219</v>
      </c>
      <c r="D20" s="27"/>
      <c r="E20" s="27"/>
    </row>
    <row r="21" spans="1:5" ht="18" customHeight="1" x14ac:dyDescent="0.25">
      <c r="A21" s="34" t="s">
        <v>222</v>
      </c>
      <c r="B21" s="495" t="s">
        <v>215</v>
      </c>
      <c r="C21" s="495"/>
      <c r="D21" s="44">
        <f t="shared" ref="D21:E21" si="1">D22</f>
        <v>8129.4</v>
      </c>
      <c r="E21" s="44">
        <f t="shared" si="1"/>
        <v>8292.4</v>
      </c>
    </row>
    <row r="22" spans="1:5" ht="31.5" x14ac:dyDescent="0.25">
      <c r="A22" s="31" t="s">
        <v>1345</v>
      </c>
      <c r="B22" s="580" t="s">
        <v>215</v>
      </c>
      <c r="C22" s="580" t="s">
        <v>244</v>
      </c>
      <c r="D22" s="27">
        <f>'Пр.3.1 Рд,пр, ЦС,ВР 23-24'!F238</f>
        <v>8129.4</v>
      </c>
      <c r="E22" s="27">
        <f>'Пр.3.1 Рд,пр, ЦС,ВР 23-24'!G238</f>
        <v>8292.4</v>
      </c>
    </row>
    <row r="23" spans="1:5" ht="15.75" x14ac:dyDescent="0.25">
      <c r="A23" s="47" t="s">
        <v>232</v>
      </c>
      <c r="B23" s="495" t="s">
        <v>150</v>
      </c>
      <c r="C23" s="495"/>
      <c r="D23" s="44">
        <f t="shared" ref="D23:E23" si="2">D24+D25+D26+D27</f>
        <v>7269.2</v>
      </c>
      <c r="E23" s="44">
        <f t="shared" si="2"/>
        <v>7459.9</v>
      </c>
    </row>
    <row r="24" spans="1:5" ht="15.75" x14ac:dyDescent="0.25">
      <c r="A24" s="94" t="s">
        <v>233</v>
      </c>
      <c r="B24" s="580" t="s">
        <v>150</v>
      </c>
      <c r="C24" s="580" t="s">
        <v>234</v>
      </c>
      <c r="D24" s="27">
        <f>'Пр.3.1 Рд,пр, ЦС,ВР 23-24'!F265</f>
        <v>274</v>
      </c>
      <c r="E24" s="27">
        <f>'Пр.3.1 Рд,пр, ЦС,ВР 23-24'!G265</f>
        <v>274</v>
      </c>
    </row>
    <row r="25" spans="1:5" ht="15.75" x14ac:dyDescent="0.25">
      <c r="A25" s="93" t="s">
        <v>505</v>
      </c>
      <c r="B25" s="580" t="s">
        <v>150</v>
      </c>
      <c r="C25" s="580" t="s">
        <v>299</v>
      </c>
      <c r="D25" s="27">
        <f>'Пр.3.1 Рд,пр, ЦС,ВР 23-24'!F275</f>
        <v>3258</v>
      </c>
      <c r="E25" s="27">
        <f>'Пр.3.1 Рд,пр, ЦС,ВР 23-24'!G275</f>
        <v>3258</v>
      </c>
    </row>
    <row r="26" spans="1:5" ht="15.75" x14ac:dyDescent="0.25">
      <c r="A26" s="93" t="s">
        <v>508</v>
      </c>
      <c r="B26" s="580" t="s">
        <v>150</v>
      </c>
      <c r="C26" s="580" t="s">
        <v>219</v>
      </c>
      <c r="D26" s="27">
        <f>'Пр.3.1 Рд,пр, ЦС,ВР 23-24'!F281</f>
        <v>3048.7</v>
      </c>
      <c r="E26" s="27">
        <f>'Пр.3.1 Рд,пр, ЦС,ВР 23-24'!G281</f>
        <v>3226.2</v>
      </c>
    </row>
    <row r="27" spans="1:5" ht="15.75" x14ac:dyDescent="0.25">
      <c r="A27" s="95" t="s">
        <v>237</v>
      </c>
      <c r="B27" s="580" t="s">
        <v>150</v>
      </c>
      <c r="C27" s="580" t="s">
        <v>238</v>
      </c>
      <c r="D27" s="27">
        <f>'Пр.3.1 Рд,пр, ЦС,ВР 23-24'!F295</f>
        <v>688.5</v>
      </c>
      <c r="E27" s="27">
        <f>'Пр.3.1 Рд,пр, ЦС,ВР 23-24'!G295</f>
        <v>701.7</v>
      </c>
    </row>
    <row r="28" spans="1:5" ht="15.75" x14ac:dyDescent="0.25">
      <c r="A28" s="47" t="s">
        <v>390</v>
      </c>
      <c r="B28" s="495" t="s">
        <v>234</v>
      </c>
      <c r="C28" s="495"/>
      <c r="D28" s="44">
        <f t="shared" ref="D28:E28" si="3">SUM(D29:D32)</f>
        <v>61958.439999999995</v>
      </c>
      <c r="E28" s="44">
        <f t="shared" si="3"/>
        <v>54762.939999999995</v>
      </c>
    </row>
    <row r="29" spans="1:5" ht="15.75" x14ac:dyDescent="0.25">
      <c r="A29" s="94" t="s">
        <v>391</v>
      </c>
      <c r="B29" s="580" t="s">
        <v>234</v>
      </c>
      <c r="C29" s="580" t="s">
        <v>118</v>
      </c>
      <c r="D29" s="27">
        <f>'Пр.3.1 Рд,пр, ЦС,ВР 23-24'!F327</f>
        <v>13526.3</v>
      </c>
      <c r="E29" s="27">
        <f>'Пр.3.1 Рд,пр, ЦС,ВР 23-24'!G327</f>
        <v>6330.7999999999993</v>
      </c>
    </row>
    <row r="30" spans="1:5" ht="15.75" x14ac:dyDescent="0.25">
      <c r="A30" s="94" t="s">
        <v>517</v>
      </c>
      <c r="B30" s="580" t="s">
        <v>234</v>
      </c>
      <c r="C30" s="580" t="s">
        <v>213</v>
      </c>
      <c r="D30" s="27">
        <f>'Пр.3.1 Рд,пр, ЦС,ВР 23-24'!F344</f>
        <v>8419.9199999999983</v>
      </c>
      <c r="E30" s="27">
        <f>'Пр.3.1 Рд,пр, ЦС,ВР 23-24'!G344</f>
        <v>8419.9199999999983</v>
      </c>
    </row>
    <row r="31" spans="1:5" ht="15.75" x14ac:dyDescent="0.25">
      <c r="A31" s="93" t="s">
        <v>541</v>
      </c>
      <c r="B31" s="580" t="s">
        <v>234</v>
      </c>
      <c r="C31" s="580" t="s">
        <v>215</v>
      </c>
      <c r="D31" s="27">
        <f>'Пр.3.1 Рд,пр, ЦС,ВР 23-24'!F409</f>
        <v>9635.7199999999993</v>
      </c>
      <c r="E31" s="27">
        <f>'Пр.3.1 Рд,пр, ЦС,ВР 23-24'!G409</f>
        <v>9635.7199999999993</v>
      </c>
    </row>
    <row r="32" spans="1:5" ht="15.75" x14ac:dyDescent="0.25">
      <c r="A32" s="579" t="s">
        <v>569</v>
      </c>
      <c r="B32" s="580" t="s">
        <v>234</v>
      </c>
      <c r="C32" s="580" t="s">
        <v>234</v>
      </c>
      <c r="D32" s="27">
        <f>'Пр.3.1 Рд,пр, ЦС,ВР 23-24'!F471</f>
        <v>30376.5</v>
      </c>
      <c r="E32" s="27">
        <f>'Пр.3.1 Рд,пр, ЦС,ВР 23-24'!G471</f>
        <v>30376.5</v>
      </c>
    </row>
    <row r="33" spans="1:5" ht="15.75" x14ac:dyDescent="0.25">
      <c r="A33" s="47" t="s">
        <v>263</v>
      </c>
      <c r="B33" s="495" t="s">
        <v>264</v>
      </c>
      <c r="C33" s="495"/>
      <c r="D33" s="44">
        <f t="shared" ref="D33:E33" si="4">SUM(D34:D38)</f>
        <v>387492.96</v>
      </c>
      <c r="E33" s="44">
        <f t="shared" si="4"/>
        <v>343510.56</v>
      </c>
    </row>
    <row r="34" spans="1:5" ht="15.75" x14ac:dyDescent="0.25">
      <c r="A34" s="93" t="s">
        <v>404</v>
      </c>
      <c r="B34" s="580" t="s">
        <v>264</v>
      </c>
      <c r="C34" s="580" t="s">
        <v>118</v>
      </c>
      <c r="D34" s="27">
        <f>'Пр.3.1 Рд,пр, ЦС,ВР 23-24'!F518</f>
        <v>89967.299999999988</v>
      </c>
      <c r="E34" s="27">
        <f>'Пр.3.1 Рд,пр, ЦС,ВР 23-24'!G518</f>
        <v>83961.299999999988</v>
      </c>
    </row>
    <row r="35" spans="1:5" ht="15.75" x14ac:dyDescent="0.25">
      <c r="A35" s="93" t="s">
        <v>425</v>
      </c>
      <c r="B35" s="580" t="s">
        <v>264</v>
      </c>
      <c r="C35" s="580" t="s">
        <v>213</v>
      </c>
      <c r="D35" s="27">
        <f>'Пр.3.1 Рд,пр, ЦС,ВР 23-24'!F577</f>
        <v>202752.35</v>
      </c>
      <c r="E35" s="27">
        <f>'Пр.3.1 Рд,пр, ЦС,ВР 23-24'!G577</f>
        <v>164443.15</v>
      </c>
    </row>
    <row r="36" spans="1:5" ht="15.75" x14ac:dyDescent="0.25">
      <c r="A36" s="93" t="s">
        <v>265</v>
      </c>
      <c r="B36" s="580" t="s">
        <v>264</v>
      </c>
      <c r="C36" s="580" t="s">
        <v>215</v>
      </c>
      <c r="D36" s="27">
        <f>'Пр.3.1 Рд,пр, ЦС,ВР 23-24'!F671</f>
        <v>64156.460000000006</v>
      </c>
      <c r="E36" s="27">
        <f>'Пр.3.1 Рд,пр, ЦС,ВР 23-24'!G671</f>
        <v>64156.460000000006</v>
      </c>
    </row>
    <row r="37" spans="1:5" ht="15.75" x14ac:dyDescent="0.25">
      <c r="A37" s="93" t="s">
        <v>466</v>
      </c>
      <c r="B37" s="580" t="s">
        <v>264</v>
      </c>
      <c r="C37" s="580" t="s">
        <v>264</v>
      </c>
      <c r="D37" s="27">
        <f>'Пр.3.1 Рд,пр, ЦС,ВР 23-24'!F740</f>
        <v>8438.6</v>
      </c>
      <c r="E37" s="27">
        <f>'Пр.3.1 Рд,пр, ЦС,ВР 23-24'!G740</f>
        <v>8609.7000000000007</v>
      </c>
    </row>
    <row r="38" spans="1:5" ht="15.75" x14ac:dyDescent="0.25">
      <c r="A38" s="93" t="s">
        <v>295</v>
      </c>
      <c r="B38" s="580" t="s">
        <v>264</v>
      </c>
      <c r="C38" s="580" t="s">
        <v>219</v>
      </c>
      <c r="D38" s="27">
        <f>'Пр.3.1 Рд,пр, ЦС,ВР 23-24'!F765</f>
        <v>22178.25</v>
      </c>
      <c r="E38" s="27">
        <f>'Пр.3.1 Рд,пр, ЦС,ВР 23-24'!G765</f>
        <v>22339.95</v>
      </c>
    </row>
    <row r="39" spans="1:5" ht="15.75" x14ac:dyDescent="0.25">
      <c r="A39" s="96" t="s">
        <v>298</v>
      </c>
      <c r="B39" s="495" t="s">
        <v>299</v>
      </c>
      <c r="C39" s="580"/>
      <c r="D39" s="44">
        <f t="shared" ref="D39:E39" si="5">D40+D41</f>
        <v>82217.399999999994</v>
      </c>
      <c r="E39" s="44">
        <f t="shared" si="5"/>
        <v>82221.399999999994</v>
      </c>
    </row>
    <row r="40" spans="1:5" ht="15.75" x14ac:dyDescent="0.25">
      <c r="A40" s="95" t="s">
        <v>300</v>
      </c>
      <c r="B40" s="580" t="s">
        <v>299</v>
      </c>
      <c r="C40" s="580" t="s">
        <v>118</v>
      </c>
      <c r="D40" s="27">
        <f>'Пр.3.1 Рд,пр, ЦС,ВР 23-24'!F805</f>
        <v>60054.659999999996</v>
      </c>
      <c r="E40" s="27">
        <f>'Пр.3.1 Рд,пр, ЦС,ВР 23-24'!G805</f>
        <v>60054.659999999996</v>
      </c>
    </row>
    <row r="41" spans="1:5" ht="15.75" x14ac:dyDescent="0.25">
      <c r="A41" s="95" t="s">
        <v>333</v>
      </c>
      <c r="B41" s="580" t="s">
        <v>299</v>
      </c>
      <c r="C41" s="580" t="s">
        <v>150</v>
      </c>
      <c r="D41" s="27">
        <f>'Пр.3.1 Рд,пр, ЦС,ВР 23-24'!F870</f>
        <v>22162.739999999998</v>
      </c>
      <c r="E41" s="27">
        <f>'Пр.3.1 Рд,пр, ЦС,ВР 23-24'!G870</f>
        <v>22166.739999999998</v>
      </c>
    </row>
    <row r="42" spans="1:5" ht="15.75" x14ac:dyDescent="0.25">
      <c r="A42" s="47" t="s">
        <v>243</v>
      </c>
      <c r="B42" s="495" t="s">
        <v>244</v>
      </c>
      <c r="C42" s="495"/>
      <c r="D42" s="44">
        <f>SUM(D43:D46)</f>
        <v>15262.41</v>
      </c>
      <c r="E42" s="44">
        <f>SUM(E43:E46)</f>
        <v>15374.51</v>
      </c>
    </row>
    <row r="43" spans="1:5" ht="15.75" x14ac:dyDescent="0.25">
      <c r="A43" s="93" t="s">
        <v>245</v>
      </c>
      <c r="B43" s="580" t="s">
        <v>244</v>
      </c>
      <c r="C43" s="580" t="s">
        <v>118</v>
      </c>
      <c r="D43" s="27">
        <f>'Пр.3.1 Рд,пр, ЦС,ВР 23-24'!F912</f>
        <v>9913.5</v>
      </c>
      <c r="E43" s="27">
        <f>'Пр.3.1 Рд,пр, ЦС,ВР 23-24'!G912</f>
        <v>9913.5</v>
      </c>
    </row>
    <row r="44" spans="1:5" ht="15.75" x14ac:dyDescent="0.25">
      <c r="A44" s="579" t="s">
        <v>252</v>
      </c>
      <c r="B44" s="580" t="s">
        <v>244</v>
      </c>
      <c r="C44" s="580" t="s">
        <v>215</v>
      </c>
      <c r="D44" s="27">
        <f>'Пр.3.1 Рд,пр, ЦС,ВР 23-24'!F918</f>
        <v>1570.1</v>
      </c>
      <c r="E44" s="27">
        <f>'Пр.3.1 Рд,пр, ЦС,ВР 23-24'!G918</f>
        <v>1534.4</v>
      </c>
    </row>
    <row r="45" spans="1:5" ht="15.75" hidden="1" x14ac:dyDescent="0.25">
      <c r="A45" s="579" t="s">
        <v>400</v>
      </c>
      <c r="B45" s="580" t="s">
        <v>244</v>
      </c>
      <c r="C45" s="580" t="s">
        <v>150</v>
      </c>
      <c r="D45" s="27">
        <f>'Пр.3 Рд,пр, ЦС,ВР 22'!F950</f>
        <v>0</v>
      </c>
      <c r="E45" s="27">
        <f>'Пр.3 Рд,пр, ЦС,ВР 22'!G950</f>
        <v>0</v>
      </c>
    </row>
    <row r="46" spans="1:5" ht="15.75" x14ac:dyDescent="0.25">
      <c r="A46" s="579" t="s">
        <v>258</v>
      </c>
      <c r="B46" s="580" t="s">
        <v>244</v>
      </c>
      <c r="C46" s="580" t="s">
        <v>120</v>
      </c>
      <c r="D46" s="27">
        <f>'Пр.3.1 Рд,пр, ЦС,ВР 23-24'!F952</f>
        <v>3778.81</v>
      </c>
      <c r="E46" s="27">
        <f>'Пр.3.1 Рд,пр, ЦС,ВР 23-24'!G952</f>
        <v>3926.61</v>
      </c>
    </row>
    <row r="47" spans="1:5" ht="15.75" x14ac:dyDescent="0.25">
      <c r="A47" s="96" t="s">
        <v>490</v>
      </c>
      <c r="B47" s="495" t="s">
        <v>491</v>
      </c>
      <c r="C47" s="580"/>
      <c r="D47" s="44">
        <f t="shared" ref="D47:E47" si="6">D48+D49</f>
        <v>70328.3</v>
      </c>
      <c r="E47" s="44">
        <f t="shared" si="6"/>
        <v>70328.3</v>
      </c>
    </row>
    <row r="48" spans="1:5" ht="15.75" x14ac:dyDescent="0.25">
      <c r="A48" s="95" t="s">
        <v>492</v>
      </c>
      <c r="B48" s="580" t="s">
        <v>491</v>
      </c>
      <c r="C48" s="580" t="s">
        <v>118</v>
      </c>
      <c r="D48" s="27">
        <f>'Пр.3.1 Рд,пр, ЦС,ВР 23-24'!F966</f>
        <v>56655.199999999997</v>
      </c>
      <c r="E48" s="27">
        <f>'Пр.3.1 Рд,пр, ЦС,ВР 23-24'!G966</f>
        <v>56655.199999999997</v>
      </c>
    </row>
    <row r="49" spans="1:5" ht="15.75" x14ac:dyDescent="0.25">
      <c r="A49" s="95" t="s">
        <v>500</v>
      </c>
      <c r="B49" s="580" t="s">
        <v>491</v>
      </c>
      <c r="C49" s="580" t="s">
        <v>234</v>
      </c>
      <c r="D49" s="27">
        <f>'Пр.3.1 Рд,пр, ЦС,ВР 23-24'!F1013</f>
        <v>13673.1</v>
      </c>
      <c r="E49" s="27">
        <f>'Пр.3.1 Рд,пр, ЦС,ВР 23-24'!G1013</f>
        <v>13673.1</v>
      </c>
    </row>
    <row r="50" spans="1:5" ht="15.75" x14ac:dyDescent="0.25">
      <c r="A50" s="491" t="s">
        <v>582</v>
      </c>
      <c r="B50" s="495" t="s">
        <v>238</v>
      </c>
      <c r="C50" s="580"/>
      <c r="D50" s="44">
        <f t="shared" ref="D50:E50" si="7">D51</f>
        <v>6358.15</v>
      </c>
      <c r="E50" s="44">
        <f t="shared" si="7"/>
        <v>6358.15</v>
      </c>
    </row>
    <row r="51" spans="1:5" ht="15.75" x14ac:dyDescent="0.25">
      <c r="A51" s="31" t="s">
        <v>583</v>
      </c>
      <c r="B51" s="580" t="s">
        <v>238</v>
      </c>
      <c r="C51" s="580" t="s">
        <v>213</v>
      </c>
      <c r="D51" s="27">
        <f>'Пр.3.1 Рд,пр, ЦС,ВР 23-24'!F1048</f>
        <v>6358.15</v>
      </c>
      <c r="E51" s="27">
        <f>'Пр.3.1 Рд,пр, ЦС,ВР 23-24'!G1048</f>
        <v>6358.15</v>
      </c>
    </row>
    <row r="52" spans="1:5" ht="15.75" x14ac:dyDescent="0.25">
      <c r="A52" s="92" t="s">
        <v>678</v>
      </c>
      <c r="B52" s="495"/>
      <c r="C52" s="495"/>
      <c r="D52" s="44">
        <f>D11+D21+D23+D28+D33+D39+D42+D47+D50+D19+D10</f>
        <v>807839.76000000024</v>
      </c>
      <c r="E52" s="44">
        <f>E11+E21+E23+E28+E33+E39+E42+E47+E50+E19+E10</f>
        <v>777654.66000000015</v>
      </c>
    </row>
    <row r="53" spans="1:5" hidden="1" x14ac:dyDescent="0.25">
      <c r="D53" s="22">
        <f>'Пр.4 ведом.22'!G1171</f>
        <v>802553.19000000029</v>
      </c>
      <c r="E53" s="22">
        <f>'Пр.4 ведом.22'!H1171</f>
        <v>2.0000000251457095E-2</v>
      </c>
    </row>
    <row r="54" spans="1:5" hidden="1" x14ac:dyDescent="0.25">
      <c r="D54" s="22">
        <f t="shared" ref="D54:E54" si="8">D53-D52</f>
        <v>-5286.5699999999488</v>
      </c>
      <c r="E54" s="22">
        <f t="shared" si="8"/>
        <v>-777654.6399999999</v>
      </c>
    </row>
    <row r="55" spans="1:5" hidden="1" x14ac:dyDescent="0.25">
      <c r="D55" s="22">
        <f>пр.1дох.22!C197</f>
        <v>802553.17</v>
      </c>
      <c r="E55" s="22">
        <f>пр.1дох.22!D197</f>
        <v>0</v>
      </c>
    </row>
    <row r="56" spans="1:5" hidden="1" x14ac:dyDescent="0.25">
      <c r="D56" s="22">
        <f>D55-D52</f>
        <v>-5286.5900000002002</v>
      </c>
      <c r="E56" s="22">
        <f>E55-E52</f>
        <v>-777654.66000000015</v>
      </c>
    </row>
    <row r="57" spans="1:5" x14ac:dyDescent="0.25">
      <c r="D57" s="22">
        <f>'Пр.4 ведом.22'!G1171</f>
        <v>802553.19000000029</v>
      </c>
      <c r="E57" s="22">
        <f>'Пр.4 ведом.22'!H1171</f>
        <v>2.0000000251457095E-2</v>
      </c>
    </row>
    <row r="58" spans="1:5" x14ac:dyDescent="0.25">
      <c r="D58" s="22">
        <f>D57-D52</f>
        <v>-5286.5699999999488</v>
      </c>
      <c r="E58" s="22">
        <f>E57-E52</f>
        <v>-777654.6399999999</v>
      </c>
    </row>
  </sheetData>
  <mergeCells count="6">
    <mergeCell ref="A7:D7"/>
    <mergeCell ref="B1:D1"/>
    <mergeCell ref="B2:D2"/>
    <mergeCell ref="B3:D3"/>
    <mergeCell ref="A5:D5"/>
    <mergeCell ref="A6:D6"/>
  </mergeCells>
  <pageMargins left="0.23622047244094491" right="0.23622047244094491" top="0.74803149606299213" bottom="0.74803149606299213" header="0.31496062992125984" footer="0.31496062992125984"/>
  <pageSetup paperSize="9" scale="82" orientation="portrait" r:id="rId1"/>
  <rowBreaks count="1" manualBreakCount="1">
    <brk id="52" max="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72"/>
  <sheetViews>
    <sheetView view="pageBreakPreview" zoomScaleNormal="100" zoomScaleSheetLayoutView="100" workbookViewId="0">
      <selection activeCell="A166" sqref="A166"/>
    </sheetView>
  </sheetViews>
  <sheetFormatPr defaultRowHeight="15" x14ac:dyDescent="0.25"/>
  <cols>
    <col min="1" max="1" width="55.140625" style="578" customWidth="1"/>
    <col min="2" max="2" width="5.85546875" style="578" customWidth="1"/>
    <col min="3" max="3" width="5.42578125" style="578" customWidth="1"/>
    <col min="4" max="4" width="15.85546875" style="578" customWidth="1"/>
    <col min="5" max="5" width="7.140625" style="578" customWidth="1"/>
    <col min="6" max="6" width="14.28515625" style="115" customWidth="1"/>
    <col min="7" max="7" width="11.7109375" style="578" hidden="1" customWidth="1"/>
    <col min="8" max="10" width="0" style="578" hidden="1" customWidth="1"/>
    <col min="11" max="11" width="9.85546875" style="578" bestFit="1" customWidth="1"/>
    <col min="12" max="12" width="9.85546875" bestFit="1" customWidth="1"/>
  </cols>
  <sheetData>
    <row r="1" spans="1:12" ht="15.75" x14ac:dyDescent="0.25">
      <c r="A1" s="56"/>
      <c r="B1" s="56"/>
      <c r="C1" s="56"/>
      <c r="E1" s="714" t="s">
        <v>1618</v>
      </c>
      <c r="F1" s="714"/>
    </row>
    <row r="2" spans="1:12" ht="15.75" x14ac:dyDescent="0.25">
      <c r="A2" s="56"/>
      <c r="B2" s="56"/>
      <c r="C2" s="56"/>
      <c r="E2" s="714" t="s">
        <v>0</v>
      </c>
      <c r="F2" s="714"/>
    </row>
    <row r="3" spans="1:12" ht="18.75" customHeight="1" x14ac:dyDescent="0.25">
      <c r="A3" s="56"/>
      <c r="B3" s="56"/>
      <c r="C3" s="56"/>
      <c r="E3" s="714" t="s">
        <v>1816</v>
      </c>
      <c r="F3" s="714"/>
    </row>
    <row r="4" spans="1:12" x14ac:dyDescent="0.25">
      <c r="A4" s="56"/>
      <c r="B4" s="56"/>
      <c r="C4" s="56"/>
      <c r="D4" s="56"/>
      <c r="E4" s="56"/>
    </row>
    <row r="5" spans="1:12" ht="63.75" customHeight="1" x14ac:dyDescent="0.25">
      <c r="A5" s="731" t="s">
        <v>1776</v>
      </c>
      <c r="B5" s="731"/>
      <c r="C5" s="731"/>
      <c r="D5" s="731"/>
      <c r="E5" s="731"/>
      <c r="F5" s="731"/>
    </row>
    <row r="6" spans="1:12" x14ac:dyDescent="0.25">
      <c r="A6" s="56"/>
      <c r="B6" s="56"/>
      <c r="C6" s="56"/>
      <c r="D6" s="56"/>
      <c r="E6" s="56"/>
      <c r="F6" s="275" t="s">
        <v>1</v>
      </c>
    </row>
    <row r="7" spans="1:12" ht="30.2" customHeight="1" x14ac:dyDescent="0.25">
      <c r="A7" s="226" t="s">
        <v>592</v>
      </c>
      <c r="B7" s="227" t="s">
        <v>112</v>
      </c>
      <c r="C7" s="227" t="s">
        <v>113</v>
      </c>
      <c r="D7" s="227" t="s">
        <v>114</v>
      </c>
      <c r="E7" s="227" t="s">
        <v>115</v>
      </c>
      <c r="F7" s="276" t="s">
        <v>1082</v>
      </c>
    </row>
    <row r="8" spans="1:12" ht="15.75" x14ac:dyDescent="0.25">
      <c r="A8" s="572" t="s">
        <v>117</v>
      </c>
      <c r="B8" s="7" t="s">
        <v>118</v>
      </c>
      <c r="C8" s="7"/>
      <c r="D8" s="7"/>
      <c r="E8" s="7"/>
      <c r="F8" s="488">
        <f>F9+F25+F41+F102+F141+F127+F135</f>
        <v>158005.62</v>
      </c>
      <c r="G8" s="115"/>
      <c r="H8" s="115"/>
      <c r="K8" s="230">
        <f>F8-F59-'Пр.4 ведом.22'!K1175-'Пр.4 ведом.22'!X1185</f>
        <v>154318.72</v>
      </c>
      <c r="L8" s="232">
        <f>F22+F59+F99+F215-'Пр.4 ведом.22'!K1174-'Пр.4 ведом.22'!X1184</f>
        <v>3687.9</v>
      </c>
    </row>
    <row r="9" spans="1:12" ht="47.25" x14ac:dyDescent="0.25">
      <c r="A9" s="572" t="s">
        <v>575</v>
      </c>
      <c r="B9" s="7" t="s">
        <v>118</v>
      </c>
      <c r="C9" s="7" t="s">
        <v>213</v>
      </c>
      <c r="D9" s="7"/>
      <c r="E9" s="7"/>
      <c r="F9" s="488">
        <f>F10+F20</f>
        <v>5025</v>
      </c>
      <c r="K9" s="115">
        <f>F9+F41+F104+F472+F770+F875+F1018</f>
        <v>147206.34000000003</v>
      </c>
    </row>
    <row r="10" spans="1:12" ht="31.5" x14ac:dyDescent="0.25">
      <c r="A10" s="494" t="s">
        <v>917</v>
      </c>
      <c r="B10" s="7" t="s">
        <v>118</v>
      </c>
      <c r="C10" s="7" t="s">
        <v>213</v>
      </c>
      <c r="D10" s="7" t="s">
        <v>858</v>
      </c>
      <c r="E10" s="7"/>
      <c r="F10" s="488">
        <f>F11</f>
        <v>5024.5</v>
      </c>
      <c r="K10" s="115">
        <f>F11+F43+F104+F472+F770+F875+F1018</f>
        <v>142915.44000000003</v>
      </c>
    </row>
    <row r="11" spans="1:12" ht="15.75" x14ac:dyDescent="0.25">
      <c r="A11" s="494" t="s">
        <v>918</v>
      </c>
      <c r="B11" s="7" t="s">
        <v>118</v>
      </c>
      <c r="C11" s="7" t="s">
        <v>213</v>
      </c>
      <c r="D11" s="7" t="s">
        <v>859</v>
      </c>
      <c r="E11" s="7"/>
      <c r="F11" s="488">
        <f>F12+F17</f>
        <v>5024.5</v>
      </c>
      <c r="K11" s="115">
        <f>F143+F487+F888</f>
        <v>69930.880000000005</v>
      </c>
    </row>
    <row r="12" spans="1:12" ht="31.5" x14ac:dyDescent="0.25">
      <c r="A12" s="29" t="s">
        <v>576</v>
      </c>
      <c r="B12" s="573" t="s">
        <v>118</v>
      </c>
      <c r="C12" s="573" t="s">
        <v>213</v>
      </c>
      <c r="D12" s="573" t="s">
        <v>1330</v>
      </c>
      <c r="E12" s="573"/>
      <c r="F12" s="489">
        <f t="shared" ref="F12" si="0">F13+F15</f>
        <v>5024.5</v>
      </c>
    </row>
    <row r="13" spans="1:12" ht="78.75" x14ac:dyDescent="0.25">
      <c r="A13" s="29" t="s">
        <v>127</v>
      </c>
      <c r="B13" s="573" t="s">
        <v>118</v>
      </c>
      <c r="C13" s="573" t="s">
        <v>213</v>
      </c>
      <c r="D13" s="573" t="s">
        <v>1330</v>
      </c>
      <c r="E13" s="573" t="s">
        <v>128</v>
      </c>
      <c r="F13" s="386">
        <f t="shared" ref="F13" si="1">F14</f>
        <v>4934.5</v>
      </c>
    </row>
    <row r="14" spans="1:12" ht="31.5" x14ac:dyDescent="0.25">
      <c r="A14" s="29" t="s">
        <v>129</v>
      </c>
      <c r="B14" s="573" t="s">
        <v>118</v>
      </c>
      <c r="C14" s="573" t="s">
        <v>213</v>
      </c>
      <c r="D14" s="573" t="s">
        <v>1330</v>
      </c>
      <c r="E14" s="573" t="s">
        <v>130</v>
      </c>
      <c r="F14" s="386">
        <f>'Пр.4 ведом.22'!G37</f>
        <v>4934.5</v>
      </c>
    </row>
    <row r="15" spans="1:12" ht="31.5" x14ac:dyDescent="0.25">
      <c r="A15" s="29" t="s">
        <v>131</v>
      </c>
      <c r="B15" s="573" t="s">
        <v>118</v>
      </c>
      <c r="C15" s="573" t="s">
        <v>213</v>
      </c>
      <c r="D15" s="573" t="s">
        <v>1330</v>
      </c>
      <c r="E15" s="573" t="s">
        <v>132</v>
      </c>
      <c r="F15" s="28">
        <f t="shared" ref="F15" si="2">F16</f>
        <v>90</v>
      </c>
    </row>
    <row r="16" spans="1:12" ht="31.5" x14ac:dyDescent="0.25">
      <c r="A16" s="29" t="s">
        <v>133</v>
      </c>
      <c r="B16" s="573" t="s">
        <v>118</v>
      </c>
      <c r="C16" s="573" t="s">
        <v>213</v>
      </c>
      <c r="D16" s="573" t="s">
        <v>1330</v>
      </c>
      <c r="E16" s="573" t="s">
        <v>134</v>
      </c>
      <c r="F16" s="28">
        <f>'Пр.4 ведом.22'!G38</f>
        <v>90</v>
      </c>
    </row>
    <row r="17" spans="1:11" s="203" customFormat="1" ht="47.25" hidden="1" x14ac:dyDescent="0.25">
      <c r="A17" s="579" t="s">
        <v>839</v>
      </c>
      <c r="B17" s="573" t="s">
        <v>118</v>
      </c>
      <c r="C17" s="573" t="s">
        <v>213</v>
      </c>
      <c r="D17" s="573" t="s">
        <v>862</v>
      </c>
      <c r="E17" s="573"/>
      <c r="F17" s="28">
        <f>F18</f>
        <v>0</v>
      </c>
      <c r="G17" s="578"/>
      <c r="H17" s="578"/>
      <c r="I17" s="578"/>
      <c r="J17" s="578"/>
      <c r="K17" s="578"/>
    </row>
    <row r="18" spans="1:11" s="203" customFormat="1" ht="78.75" hidden="1" x14ac:dyDescent="0.25">
      <c r="A18" s="579" t="s">
        <v>127</v>
      </c>
      <c r="B18" s="573" t="s">
        <v>118</v>
      </c>
      <c r="C18" s="573" t="s">
        <v>213</v>
      </c>
      <c r="D18" s="573" t="s">
        <v>862</v>
      </c>
      <c r="E18" s="573" t="s">
        <v>128</v>
      </c>
      <c r="F18" s="28">
        <f>F19</f>
        <v>0</v>
      </c>
      <c r="G18" s="578"/>
      <c r="H18" s="578"/>
      <c r="I18" s="578"/>
      <c r="J18" s="578"/>
      <c r="K18" s="578"/>
    </row>
    <row r="19" spans="1:11" s="203" customFormat="1" ht="31.5" hidden="1" x14ac:dyDescent="0.25">
      <c r="A19" s="579" t="s">
        <v>129</v>
      </c>
      <c r="B19" s="573" t="s">
        <v>118</v>
      </c>
      <c r="C19" s="573" t="s">
        <v>213</v>
      </c>
      <c r="D19" s="573" t="s">
        <v>862</v>
      </c>
      <c r="E19" s="573" t="s">
        <v>130</v>
      </c>
      <c r="F19" s="28">
        <f>'Пр.4 ведом.22'!G42</f>
        <v>0</v>
      </c>
      <c r="G19" s="578"/>
      <c r="H19" s="578"/>
      <c r="I19" s="578"/>
      <c r="J19" s="578"/>
      <c r="K19" s="578"/>
    </row>
    <row r="20" spans="1:11" s="203" customFormat="1" ht="47.25" x14ac:dyDescent="0.25">
      <c r="A20" s="494" t="s">
        <v>1338</v>
      </c>
      <c r="B20" s="495" t="s">
        <v>118</v>
      </c>
      <c r="C20" s="7" t="s">
        <v>213</v>
      </c>
      <c r="D20" s="495" t="s">
        <v>162</v>
      </c>
      <c r="E20" s="7"/>
      <c r="F20" s="387">
        <f>F21</f>
        <v>0.5</v>
      </c>
      <c r="G20" s="578"/>
      <c r="H20" s="578"/>
      <c r="I20" s="578"/>
      <c r="J20" s="578"/>
      <c r="K20" s="578"/>
    </row>
    <row r="21" spans="1:11" s="203" customFormat="1" ht="63" x14ac:dyDescent="0.25">
      <c r="A21" s="220" t="s">
        <v>843</v>
      </c>
      <c r="B21" s="495" t="s">
        <v>118</v>
      </c>
      <c r="C21" s="7" t="s">
        <v>213</v>
      </c>
      <c r="D21" s="7" t="s">
        <v>850</v>
      </c>
      <c r="E21" s="7"/>
      <c r="F21" s="387">
        <f>F22</f>
        <v>0.5</v>
      </c>
      <c r="G21" s="578"/>
      <c r="H21" s="578"/>
      <c r="I21" s="578"/>
      <c r="J21" s="578"/>
      <c r="K21" s="578"/>
    </row>
    <row r="22" spans="1:11" s="203" customFormat="1" ht="47.25" x14ac:dyDescent="0.25">
      <c r="A22" s="31" t="s">
        <v>695</v>
      </c>
      <c r="B22" s="580" t="s">
        <v>118</v>
      </c>
      <c r="C22" s="580" t="s">
        <v>213</v>
      </c>
      <c r="D22" s="573" t="s">
        <v>993</v>
      </c>
      <c r="E22" s="580"/>
      <c r="F22" s="497">
        <f>F23</f>
        <v>0.5</v>
      </c>
      <c r="G22" s="578"/>
      <c r="H22" s="578"/>
      <c r="I22" s="578"/>
      <c r="J22" s="578"/>
      <c r="K22" s="578"/>
    </row>
    <row r="23" spans="1:11" s="203" customFormat="1" ht="31.5" x14ac:dyDescent="0.25">
      <c r="A23" s="579" t="s">
        <v>131</v>
      </c>
      <c r="B23" s="580" t="s">
        <v>118</v>
      </c>
      <c r="C23" s="580" t="s">
        <v>213</v>
      </c>
      <c r="D23" s="573" t="s">
        <v>993</v>
      </c>
      <c r="E23" s="580" t="s">
        <v>132</v>
      </c>
      <c r="F23" s="497">
        <f>F24</f>
        <v>0.5</v>
      </c>
      <c r="G23" s="578"/>
      <c r="H23" s="578"/>
      <c r="I23" s="578"/>
      <c r="J23" s="578"/>
      <c r="K23" s="578"/>
    </row>
    <row r="24" spans="1:11" s="203" customFormat="1" ht="31.5" x14ac:dyDescent="0.25">
      <c r="A24" s="579" t="s">
        <v>133</v>
      </c>
      <c r="B24" s="580" t="s">
        <v>118</v>
      </c>
      <c r="C24" s="580" t="s">
        <v>213</v>
      </c>
      <c r="D24" s="573" t="s">
        <v>993</v>
      </c>
      <c r="E24" s="580" t="s">
        <v>134</v>
      </c>
      <c r="F24" s="497">
        <f>'Пр.4 ведом.22'!G47</f>
        <v>0.5</v>
      </c>
      <c r="G24" s="578"/>
      <c r="H24" s="578"/>
      <c r="I24" s="578"/>
      <c r="J24" s="578"/>
      <c r="K24" s="578"/>
    </row>
    <row r="25" spans="1:11" ht="63" x14ac:dyDescent="0.25">
      <c r="A25" s="572" t="s">
        <v>578</v>
      </c>
      <c r="B25" s="7" t="s">
        <v>118</v>
      </c>
      <c r="C25" s="7" t="s">
        <v>215</v>
      </c>
      <c r="D25" s="7"/>
      <c r="E25" s="7"/>
      <c r="F25" s="488">
        <f t="shared" ref="F25:F26" si="3">F26</f>
        <v>5815.08</v>
      </c>
    </row>
    <row r="26" spans="1:11" ht="31.5" x14ac:dyDescent="0.25">
      <c r="A26" s="494" t="s">
        <v>917</v>
      </c>
      <c r="B26" s="7" t="s">
        <v>118</v>
      </c>
      <c r="C26" s="7" t="s">
        <v>215</v>
      </c>
      <c r="D26" s="7" t="s">
        <v>858</v>
      </c>
      <c r="E26" s="7"/>
      <c r="F26" s="488">
        <f t="shared" si="3"/>
        <v>5815.08</v>
      </c>
    </row>
    <row r="27" spans="1:11" ht="31.5" x14ac:dyDescent="0.25">
      <c r="A27" s="494" t="s">
        <v>986</v>
      </c>
      <c r="B27" s="7" t="s">
        <v>118</v>
      </c>
      <c r="C27" s="7" t="s">
        <v>215</v>
      </c>
      <c r="D27" s="7" t="s">
        <v>987</v>
      </c>
      <c r="E27" s="7"/>
      <c r="F27" s="488">
        <f>F33+F38+F28</f>
        <v>5815.08</v>
      </c>
    </row>
    <row r="28" spans="1:11" s="203" customFormat="1" ht="47.25" x14ac:dyDescent="0.25">
      <c r="A28" s="291" t="s">
        <v>1363</v>
      </c>
      <c r="B28" s="580" t="s">
        <v>118</v>
      </c>
      <c r="C28" s="580" t="s">
        <v>215</v>
      </c>
      <c r="D28" s="580" t="s">
        <v>1401</v>
      </c>
      <c r="E28" s="495"/>
      <c r="F28" s="489">
        <f>F29+F31</f>
        <v>4602.43</v>
      </c>
      <c r="G28" s="578"/>
      <c r="H28" s="578"/>
      <c r="I28" s="578"/>
      <c r="J28" s="578"/>
      <c r="K28" s="578"/>
    </row>
    <row r="29" spans="1:11" s="203" customFormat="1" ht="78.75" x14ac:dyDescent="0.25">
      <c r="A29" s="579" t="s">
        <v>127</v>
      </c>
      <c r="B29" s="580" t="s">
        <v>118</v>
      </c>
      <c r="C29" s="580" t="s">
        <v>215</v>
      </c>
      <c r="D29" s="580" t="s">
        <v>1401</v>
      </c>
      <c r="E29" s="580" t="s">
        <v>128</v>
      </c>
      <c r="F29" s="489">
        <f>F30</f>
        <v>4509.43</v>
      </c>
      <c r="G29" s="578"/>
      <c r="H29" s="578"/>
      <c r="I29" s="578"/>
      <c r="J29" s="578"/>
      <c r="K29" s="578"/>
    </row>
    <row r="30" spans="1:11" s="203" customFormat="1" ht="31.5" x14ac:dyDescent="0.25">
      <c r="A30" s="579" t="s">
        <v>129</v>
      </c>
      <c r="B30" s="580" t="s">
        <v>118</v>
      </c>
      <c r="C30" s="580" t="s">
        <v>215</v>
      </c>
      <c r="D30" s="580" t="s">
        <v>1401</v>
      </c>
      <c r="E30" s="580" t="s">
        <v>130</v>
      </c>
      <c r="F30" s="489">
        <f>'Пр.4 ведом.22'!G1160</f>
        <v>4509.43</v>
      </c>
      <c r="G30" s="578"/>
      <c r="H30" s="578"/>
      <c r="I30" s="578"/>
      <c r="J30" s="578"/>
      <c r="K30" s="578"/>
    </row>
    <row r="31" spans="1:11" s="203" customFormat="1" ht="31.5" x14ac:dyDescent="0.25">
      <c r="A31" s="579" t="s">
        <v>198</v>
      </c>
      <c r="B31" s="580" t="s">
        <v>118</v>
      </c>
      <c r="C31" s="580" t="s">
        <v>215</v>
      </c>
      <c r="D31" s="580" t="s">
        <v>1401</v>
      </c>
      <c r="E31" s="580" t="s">
        <v>132</v>
      </c>
      <c r="F31" s="489">
        <f>F32</f>
        <v>93</v>
      </c>
      <c r="G31" s="578"/>
      <c r="H31" s="578"/>
      <c r="I31" s="578"/>
      <c r="J31" s="578"/>
      <c r="K31" s="578"/>
    </row>
    <row r="32" spans="1:11" s="203" customFormat="1" ht="31.5" x14ac:dyDescent="0.25">
      <c r="A32" s="579" t="s">
        <v>133</v>
      </c>
      <c r="B32" s="580" t="s">
        <v>118</v>
      </c>
      <c r="C32" s="580" t="s">
        <v>215</v>
      </c>
      <c r="D32" s="580" t="s">
        <v>1401</v>
      </c>
      <c r="E32" s="580" t="s">
        <v>134</v>
      </c>
      <c r="F32" s="489">
        <f>'Пр.4 ведом.22'!G1162</f>
        <v>93</v>
      </c>
      <c r="G32" s="578"/>
      <c r="H32" s="578"/>
      <c r="I32" s="578"/>
      <c r="J32" s="578"/>
      <c r="K32" s="578"/>
    </row>
    <row r="33" spans="1:11" ht="31.5" x14ac:dyDescent="0.25">
      <c r="A33" s="579" t="s">
        <v>990</v>
      </c>
      <c r="B33" s="573" t="s">
        <v>118</v>
      </c>
      <c r="C33" s="573" t="s">
        <v>215</v>
      </c>
      <c r="D33" s="573" t="s">
        <v>991</v>
      </c>
      <c r="E33" s="573"/>
      <c r="F33" s="489">
        <f t="shared" ref="F33" si="4">F34+F36</f>
        <v>1212.6500000000001</v>
      </c>
    </row>
    <row r="34" spans="1:11" ht="78.75" x14ac:dyDescent="0.25">
      <c r="A34" s="29" t="s">
        <v>127</v>
      </c>
      <c r="B34" s="573" t="s">
        <v>118</v>
      </c>
      <c r="C34" s="573" t="s">
        <v>215</v>
      </c>
      <c r="D34" s="573" t="s">
        <v>991</v>
      </c>
      <c r="E34" s="573" t="s">
        <v>128</v>
      </c>
      <c r="F34" s="386">
        <f t="shared" ref="F34" si="5">F35</f>
        <v>1212.6500000000001</v>
      </c>
    </row>
    <row r="35" spans="1:11" ht="31.5" x14ac:dyDescent="0.25">
      <c r="A35" s="29" t="s">
        <v>129</v>
      </c>
      <c r="B35" s="573" t="s">
        <v>118</v>
      </c>
      <c r="C35" s="573" t="s">
        <v>215</v>
      </c>
      <c r="D35" s="573" t="s">
        <v>991</v>
      </c>
      <c r="E35" s="573" t="s">
        <v>130</v>
      </c>
      <c r="F35" s="386">
        <f>'Пр.4 ведом.22'!G1165</f>
        <v>1212.6500000000001</v>
      </c>
    </row>
    <row r="36" spans="1:11" ht="31.5" hidden="1" x14ac:dyDescent="0.25">
      <c r="A36" s="29" t="s">
        <v>131</v>
      </c>
      <c r="B36" s="573" t="s">
        <v>118</v>
      </c>
      <c r="C36" s="573" t="s">
        <v>215</v>
      </c>
      <c r="D36" s="573" t="s">
        <v>991</v>
      </c>
      <c r="E36" s="573" t="s">
        <v>132</v>
      </c>
      <c r="F36" s="489">
        <f t="shared" ref="F36" si="6">F37</f>
        <v>0</v>
      </c>
    </row>
    <row r="37" spans="1:11" ht="31.5" hidden="1" x14ac:dyDescent="0.25">
      <c r="A37" s="29" t="s">
        <v>133</v>
      </c>
      <c r="B37" s="573" t="s">
        <v>118</v>
      </c>
      <c r="C37" s="573" t="s">
        <v>215</v>
      </c>
      <c r="D37" s="573" t="s">
        <v>991</v>
      </c>
      <c r="E37" s="573" t="s">
        <v>134</v>
      </c>
      <c r="F37" s="489">
        <f>'Пр.4 ведом.22'!G1167</f>
        <v>0</v>
      </c>
    </row>
    <row r="38" spans="1:11" s="203" customFormat="1" ht="30.2" hidden="1" customHeight="1" x14ac:dyDescent="0.25">
      <c r="A38" s="579" t="s">
        <v>839</v>
      </c>
      <c r="B38" s="573" t="s">
        <v>118</v>
      </c>
      <c r="C38" s="573" t="s">
        <v>215</v>
      </c>
      <c r="D38" s="573" t="s">
        <v>989</v>
      </c>
      <c r="E38" s="573"/>
      <c r="F38" s="28">
        <f>F39</f>
        <v>0</v>
      </c>
      <c r="G38" s="578"/>
      <c r="H38" s="578"/>
      <c r="I38" s="578"/>
      <c r="J38" s="578"/>
      <c r="K38" s="578"/>
    </row>
    <row r="39" spans="1:11" s="203" customFormat="1" ht="85.7" hidden="1" customHeight="1" x14ac:dyDescent="0.25">
      <c r="A39" s="579" t="s">
        <v>127</v>
      </c>
      <c r="B39" s="573" t="s">
        <v>118</v>
      </c>
      <c r="C39" s="573" t="s">
        <v>215</v>
      </c>
      <c r="D39" s="573" t="s">
        <v>989</v>
      </c>
      <c r="E39" s="573" t="s">
        <v>128</v>
      </c>
      <c r="F39" s="28">
        <f>F40</f>
        <v>0</v>
      </c>
      <c r="G39" s="578"/>
      <c r="H39" s="578"/>
      <c r="I39" s="578"/>
      <c r="J39" s="578"/>
      <c r="K39" s="578"/>
    </row>
    <row r="40" spans="1:11" s="203" customFormat="1" ht="38.25" hidden="1" customHeight="1" x14ac:dyDescent="0.25">
      <c r="A40" s="579" t="s">
        <v>129</v>
      </c>
      <c r="B40" s="573" t="s">
        <v>118</v>
      </c>
      <c r="C40" s="573" t="s">
        <v>215</v>
      </c>
      <c r="D40" s="573" t="s">
        <v>989</v>
      </c>
      <c r="E40" s="573" t="s">
        <v>130</v>
      </c>
      <c r="F40" s="28">
        <f>'Пр.4 ведом.22'!G1170</f>
        <v>0</v>
      </c>
      <c r="G40" s="578"/>
      <c r="H40" s="578"/>
      <c r="I40" s="578"/>
      <c r="J40" s="578"/>
      <c r="K40" s="578"/>
    </row>
    <row r="41" spans="1:11" ht="70.5" customHeight="1" x14ac:dyDescent="0.25">
      <c r="A41" s="572" t="s">
        <v>149</v>
      </c>
      <c r="B41" s="7" t="s">
        <v>118</v>
      </c>
      <c r="C41" s="7" t="s">
        <v>150</v>
      </c>
      <c r="D41" s="7"/>
      <c r="E41" s="7"/>
      <c r="F41" s="488">
        <f>F42+F84</f>
        <v>70978.63</v>
      </c>
      <c r="H41" s="115"/>
    </row>
    <row r="42" spans="1:11" ht="31.5" x14ac:dyDescent="0.25">
      <c r="A42" s="494" t="s">
        <v>917</v>
      </c>
      <c r="B42" s="7" t="s">
        <v>118</v>
      </c>
      <c r="C42" s="7" t="s">
        <v>150</v>
      </c>
      <c r="D42" s="7" t="s">
        <v>858</v>
      </c>
      <c r="E42" s="7"/>
      <c r="F42" s="488">
        <f>F43+F59</f>
        <v>70375.13</v>
      </c>
    </row>
    <row r="43" spans="1:11" ht="15.75" x14ac:dyDescent="0.25">
      <c r="A43" s="494" t="s">
        <v>918</v>
      </c>
      <c r="B43" s="7" t="s">
        <v>118</v>
      </c>
      <c r="C43" s="7" t="s">
        <v>150</v>
      </c>
      <c r="D43" s="7" t="s">
        <v>859</v>
      </c>
      <c r="E43" s="7"/>
      <c r="F43" s="488">
        <f>F44+F53+F56</f>
        <v>66688.23000000001</v>
      </c>
    </row>
    <row r="44" spans="1:11" ht="31.5" x14ac:dyDescent="0.25">
      <c r="A44" s="29" t="s">
        <v>897</v>
      </c>
      <c r="B44" s="573" t="s">
        <v>118</v>
      </c>
      <c r="C44" s="573" t="s">
        <v>150</v>
      </c>
      <c r="D44" s="573" t="s">
        <v>860</v>
      </c>
      <c r="E44" s="573"/>
      <c r="F44" s="489">
        <f>F45+F47+F51+F49</f>
        <v>62066.700000000004</v>
      </c>
    </row>
    <row r="45" spans="1:11" ht="78.75" x14ac:dyDescent="0.25">
      <c r="A45" s="29" t="s">
        <v>127</v>
      </c>
      <c r="B45" s="573" t="s">
        <v>118</v>
      </c>
      <c r="C45" s="573" t="s">
        <v>150</v>
      </c>
      <c r="D45" s="573" t="s">
        <v>860</v>
      </c>
      <c r="E45" s="573" t="s">
        <v>128</v>
      </c>
      <c r="F45" s="386">
        <f t="shared" ref="F45" si="7">F46</f>
        <v>55790.400000000001</v>
      </c>
    </row>
    <row r="46" spans="1:11" ht="31.5" x14ac:dyDescent="0.25">
      <c r="A46" s="29" t="s">
        <v>129</v>
      </c>
      <c r="B46" s="573" t="s">
        <v>118</v>
      </c>
      <c r="C46" s="573" t="s">
        <v>150</v>
      </c>
      <c r="D46" s="573" t="s">
        <v>860</v>
      </c>
      <c r="E46" s="573" t="s">
        <v>130</v>
      </c>
      <c r="F46" s="386">
        <f>'Пр.4 ведом.22'!G53+'Пр.4 ведом.22'!G541</f>
        <v>55790.400000000001</v>
      </c>
    </row>
    <row r="47" spans="1:11" ht="31.5" x14ac:dyDescent="0.25">
      <c r="A47" s="29" t="s">
        <v>131</v>
      </c>
      <c r="B47" s="573" t="s">
        <v>118</v>
      </c>
      <c r="C47" s="573" t="s">
        <v>150</v>
      </c>
      <c r="D47" s="573" t="s">
        <v>860</v>
      </c>
      <c r="E47" s="573" t="s">
        <v>132</v>
      </c>
      <c r="F47" s="489">
        <f t="shared" ref="F47" si="8">F48</f>
        <v>6070.3</v>
      </c>
    </row>
    <row r="48" spans="1:11" ht="31.5" x14ac:dyDescent="0.25">
      <c r="A48" s="29" t="s">
        <v>133</v>
      </c>
      <c r="B48" s="573" t="s">
        <v>118</v>
      </c>
      <c r="C48" s="573" t="s">
        <v>150</v>
      </c>
      <c r="D48" s="573" t="s">
        <v>860</v>
      </c>
      <c r="E48" s="573" t="s">
        <v>134</v>
      </c>
      <c r="F48" s="489">
        <f>'Пр.4 ведом.22'!G55+'Пр.4 ведом.22'!G543</f>
        <v>6070.3</v>
      </c>
    </row>
    <row r="49" spans="1:11" s="203" customFormat="1" ht="21.2" hidden="1" customHeight="1" x14ac:dyDescent="0.25">
      <c r="A49" s="579" t="s">
        <v>248</v>
      </c>
      <c r="B49" s="573" t="s">
        <v>118</v>
      </c>
      <c r="C49" s="573" t="s">
        <v>150</v>
      </c>
      <c r="D49" s="573" t="s">
        <v>860</v>
      </c>
      <c r="E49" s="573" t="s">
        <v>249</v>
      </c>
      <c r="F49" s="489">
        <f>F50</f>
        <v>0</v>
      </c>
      <c r="G49" s="578"/>
      <c r="H49" s="578"/>
      <c r="I49" s="578"/>
      <c r="J49" s="578"/>
      <c r="K49" s="578"/>
    </row>
    <row r="50" spans="1:11" s="203" customFormat="1" ht="31.5" hidden="1" x14ac:dyDescent="0.25">
      <c r="A50" s="579" t="s">
        <v>250</v>
      </c>
      <c r="B50" s="573" t="s">
        <v>118</v>
      </c>
      <c r="C50" s="573" t="s">
        <v>150</v>
      </c>
      <c r="D50" s="573" t="s">
        <v>860</v>
      </c>
      <c r="E50" s="573" t="s">
        <v>251</v>
      </c>
      <c r="F50" s="489">
        <f>'Пр.4 ведом.22'!G57</f>
        <v>0</v>
      </c>
      <c r="G50" s="578"/>
      <c r="H50" s="578"/>
      <c r="I50" s="578"/>
      <c r="J50" s="578"/>
      <c r="K50" s="578"/>
    </row>
    <row r="51" spans="1:11" ht="15.75" x14ac:dyDescent="0.25">
      <c r="A51" s="29" t="s">
        <v>135</v>
      </c>
      <c r="B51" s="573" t="s">
        <v>118</v>
      </c>
      <c r="C51" s="573" t="s">
        <v>150</v>
      </c>
      <c r="D51" s="573" t="s">
        <v>860</v>
      </c>
      <c r="E51" s="573" t="s">
        <v>145</v>
      </c>
      <c r="F51" s="489">
        <f t="shared" ref="F51" si="9">F52</f>
        <v>206</v>
      </c>
    </row>
    <row r="52" spans="1:11" ht="15.75" x14ac:dyDescent="0.25">
      <c r="A52" s="29" t="s">
        <v>568</v>
      </c>
      <c r="B52" s="573" t="s">
        <v>118</v>
      </c>
      <c r="C52" s="573" t="s">
        <v>150</v>
      </c>
      <c r="D52" s="573" t="s">
        <v>860</v>
      </c>
      <c r="E52" s="573" t="s">
        <v>138</v>
      </c>
      <c r="F52" s="489">
        <f>'Пр.4 ведом.22'!G545+'Пр.4 ведом.22'!G59</f>
        <v>206</v>
      </c>
    </row>
    <row r="53" spans="1:11" ht="31.5" x14ac:dyDescent="0.25">
      <c r="A53" s="579" t="s">
        <v>153</v>
      </c>
      <c r="B53" s="580" t="s">
        <v>118</v>
      </c>
      <c r="C53" s="580" t="s">
        <v>150</v>
      </c>
      <c r="D53" s="573" t="s">
        <v>861</v>
      </c>
      <c r="E53" s="580"/>
      <c r="F53" s="386">
        <f>F54</f>
        <v>2557.5300000000002</v>
      </c>
    </row>
    <row r="54" spans="1:11" ht="78.75" x14ac:dyDescent="0.25">
      <c r="A54" s="579" t="s">
        <v>127</v>
      </c>
      <c r="B54" s="580" t="s">
        <v>118</v>
      </c>
      <c r="C54" s="580" t="s">
        <v>150</v>
      </c>
      <c r="D54" s="573" t="s">
        <v>861</v>
      </c>
      <c r="E54" s="580" t="s">
        <v>128</v>
      </c>
      <c r="F54" s="386">
        <f>F55</f>
        <v>2557.5300000000002</v>
      </c>
    </row>
    <row r="55" spans="1:11" ht="31.5" x14ac:dyDescent="0.25">
      <c r="A55" s="579" t="s">
        <v>129</v>
      </c>
      <c r="B55" s="580" t="s">
        <v>118</v>
      </c>
      <c r="C55" s="580" t="s">
        <v>150</v>
      </c>
      <c r="D55" s="573" t="s">
        <v>861</v>
      </c>
      <c r="E55" s="580" t="s">
        <v>130</v>
      </c>
      <c r="F55" s="386">
        <f>'Пр.4 ведом.22'!G62</f>
        <v>2557.5300000000002</v>
      </c>
    </row>
    <row r="56" spans="1:11" s="203" customFormat="1" ht="47.25" x14ac:dyDescent="0.25">
      <c r="A56" s="579" t="s">
        <v>839</v>
      </c>
      <c r="B56" s="573" t="s">
        <v>118</v>
      </c>
      <c r="C56" s="580" t="s">
        <v>150</v>
      </c>
      <c r="D56" s="573" t="s">
        <v>862</v>
      </c>
      <c r="E56" s="573"/>
      <c r="F56" s="28">
        <f>F57</f>
        <v>2064</v>
      </c>
      <c r="G56" s="578"/>
      <c r="H56" s="578"/>
      <c r="I56" s="578"/>
      <c r="J56" s="578"/>
      <c r="K56" s="578"/>
    </row>
    <row r="57" spans="1:11" s="203" customFormat="1" ht="78.75" x14ac:dyDescent="0.25">
      <c r="A57" s="579" t="s">
        <v>127</v>
      </c>
      <c r="B57" s="573" t="s">
        <v>118</v>
      </c>
      <c r="C57" s="580" t="s">
        <v>150</v>
      </c>
      <c r="D57" s="573" t="s">
        <v>862</v>
      </c>
      <c r="E57" s="573" t="s">
        <v>128</v>
      </c>
      <c r="F57" s="28">
        <f>F58</f>
        <v>2064</v>
      </c>
      <c r="G57" s="578"/>
      <c r="H57" s="578"/>
      <c r="I57" s="578"/>
      <c r="J57" s="578"/>
      <c r="K57" s="578"/>
    </row>
    <row r="58" spans="1:11" s="203" customFormat="1" ht="31.5" x14ac:dyDescent="0.25">
      <c r="A58" s="579" t="s">
        <v>129</v>
      </c>
      <c r="B58" s="573" t="s">
        <v>118</v>
      </c>
      <c r="C58" s="580" t="s">
        <v>150</v>
      </c>
      <c r="D58" s="573" t="s">
        <v>862</v>
      </c>
      <c r="E58" s="573" t="s">
        <v>130</v>
      </c>
      <c r="F58" s="28">
        <f>'Пр.4 ведом.22'!G65+'Пр.4 ведом.22'!G548</f>
        <v>2064</v>
      </c>
      <c r="G58" s="578"/>
      <c r="H58" s="578"/>
      <c r="I58" s="578"/>
      <c r="J58" s="578"/>
      <c r="K58" s="578"/>
    </row>
    <row r="59" spans="1:11" s="203" customFormat="1" ht="31.5" x14ac:dyDescent="0.25">
      <c r="A59" s="494" t="s">
        <v>885</v>
      </c>
      <c r="B59" s="7" t="s">
        <v>118</v>
      </c>
      <c r="C59" s="495" t="s">
        <v>150</v>
      </c>
      <c r="D59" s="7" t="s">
        <v>863</v>
      </c>
      <c r="E59" s="7"/>
      <c r="F59" s="488">
        <f>F66+F71+F76+F79</f>
        <v>3686.9</v>
      </c>
      <c r="G59" s="578"/>
      <c r="H59" s="578"/>
      <c r="I59" s="578"/>
      <c r="J59" s="578"/>
      <c r="K59" s="578"/>
    </row>
    <row r="60" spans="1:11" s="203" customFormat="1" ht="47.25" hidden="1" x14ac:dyDescent="0.25">
      <c r="A60" s="579" t="s">
        <v>187</v>
      </c>
      <c r="B60" s="573" t="s">
        <v>118</v>
      </c>
      <c r="C60" s="580" t="s">
        <v>150</v>
      </c>
      <c r="D60" s="573" t="s">
        <v>1072</v>
      </c>
      <c r="E60" s="7"/>
      <c r="F60" s="10">
        <f>F61</f>
        <v>0</v>
      </c>
      <c r="G60" s="578"/>
      <c r="H60" s="578"/>
      <c r="I60" s="578"/>
      <c r="J60" s="578"/>
      <c r="K60" s="578"/>
    </row>
    <row r="61" spans="1:11" s="203" customFormat="1" ht="31.5" hidden="1" x14ac:dyDescent="0.25">
      <c r="A61" s="579" t="s">
        <v>131</v>
      </c>
      <c r="B61" s="573" t="s">
        <v>118</v>
      </c>
      <c r="C61" s="580" t="s">
        <v>150</v>
      </c>
      <c r="D61" s="573" t="s">
        <v>1072</v>
      </c>
      <c r="E61" s="573" t="s">
        <v>132</v>
      </c>
      <c r="F61" s="10">
        <f t="shared" ref="F61" si="10">F62</f>
        <v>0</v>
      </c>
      <c r="G61" s="578"/>
      <c r="H61" s="578"/>
      <c r="I61" s="578"/>
      <c r="J61" s="578"/>
      <c r="K61" s="578"/>
    </row>
    <row r="62" spans="1:11" s="203" customFormat="1" ht="31.5" hidden="1" x14ac:dyDescent="0.25">
      <c r="A62" s="579" t="s">
        <v>133</v>
      </c>
      <c r="B62" s="573" t="s">
        <v>118</v>
      </c>
      <c r="C62" s="580" t="s">
        <v>150</v>
      </c>
      <c r="D62" s="573" t="s">
        <v>1072</v>
      </c>
      <c r="E62" s="573" t="s">
        <v>134</v>
      </c>
      <c r="F62" s="10">
        <f>'Пр.4 ведом.22'!G69</f>
        <v>0</v>
      </c>
      <c r="G62" s="230">
        <f>F62+F63+F66+F79+F71+F76+F297+F952+F958</f>
        <v>7554.2000000000007</v>
      </c>
      <c r="H62" s="578"/>
      <c r="I62" s="578"/>
      <c r="J62" s="578"/>
      <c r="K62" s="578"/>
    </row>
    <row r="63" spans="1:11" s="203" customFormat="1" ht="47.25" hidden="1" x14ac:dyDescent="0.25">
      <c r="A63" s="31" t="s">
        <v>1174</v>
      </c>
      <c r="B63" s="580" t="s">
        <v>118</v>
      </c>
      <c r="C63" s="580" t="s">
        <v>150</v>
      </c>
      <c r="D63" s="580" t="s">
        <v>1173</v>
      </c>
      <c r="E63" s="580"/>
      <c r="F63" s="497">
        <f>F64</f>
        <v>0</v>
      </c>
      <c r="G63" s="578"/>
      <c r="H63" s="578"/>
      <c r="I63" s="578"/>
      <c r="J63" s="578"/>
      <c r="K63" s="578"/>
    </row>
    <row r="64" spans="1:11" s="203" customFormat="1" ht="31.5" hidden="1" x14ac:dyDescent="0.25">
      <c r="A64" s="29" t="s">
        <v>131</v>
      </c>
      <c r="B64" s="580" t="s">
        <v>118</v>
      </c>
      <c r="C64" s="580" t="s">
        <v>150</v>
      </c>
      <c r="D64" s="580" t="s">
        <v>1173</v>
      </c>
      <c r="E64" s="580" t="s">
        <v>132</v>
      </c>
      <c r="F64" s="497">
        <f>F65</f>
        <v>0</v>
      </c>
      <c r="G64" s="578"/>
      <c r="H64" s="578"/>
      <c r="I64" s="578"/>
      <c r="J64" s="578"/>
      <c r="K64" s="578"/>
    </row>
    <row r="65" spans="1:11" s="203" customFormat="1" ht="31.5" hidden="1" x14ac:dyDescent="0.25">
      <c r="A65" s="29" t="s">
        <v>133</v>
      </c>
      <c r="B65" s="580" t="s">
        <v>118</v>
      </c>
      <c r="C65" s="580" t="s">
        <v>150</v>
      </c>
      <c r="D65" s="580" t="s">
        <v>1173</v>
      </c>
      <c r="E65" s="580" t="s">
        <v>134</v>
      </c>
      <c r="F65" s="497"/>
      <c r="G65" s="578"/>
      <c r="H65" s="578"/>
      <c r="I65" s="578"/>
      <c r="J65" s="578"/>
      <c r="K65" s="578"/>
    </row>
    <row r="66" spans="1:11" s="203" customFormat="1" ht="47.25" x14ac:dyDescent="0.25">
      <c r="A66" s="45" t="s">
        <v>189</v>
      </c>
      <c r="B66" s="573" t="s">
        <v>118</v>
      </c>
      <c r="C66" s="580" t="s">
        <v>150</v>
      </c>
      <c r="D66" s="573" t="s">
        <v>920</v>
      </c>
      <c r="E66" s="573"/>
      <c r="F66" s="489">
        <f>F67+F69</f>
        <v>671</v>
      </c>
      <c r="G66" s="578"/>
      <c r="H66" s="578"/>
      <c r="I66" s="578"/>
      <c r="J66" s="578"/>
      <c r="K66" s="578"/>
    </row>
    <row r="67" spans="1:11" s="203" customFormat="1" ht="78.75" x14ac:dyDescent="0.25">
      <c r="A67" s="29" t="s">
        <v>127</v>
      </c>
      <c r="B67" s="573" t="s">
        <v>118</v>
      </c>
      <c r="C67" s="580" t="s">
        <v>150</v>
      </c>
      <c r="D67" s="573" t="s">
        <v>920</v>
      </c>
      <c r="E67" s="573" t="s">
        <v>128</v>
      </c>
      <c r="F67" s="489">
        <f t="shared" ref="F67" si="11">F68</f>
        <v>671</v>
      </c>
      <c r="G67" s="578"/>
      <c r="H67" s="578"/>
      <c r="I67" s="578"/>
      <c r="J67" s="578"/>
      <c r="K67" s="578"/>
    </row>
    <row r="68" spans="1:11" s="203" customFormat="1" ht="31.5" x14ac:dyDescent="0.25">
      <c r="A68" s="29" t="s">
        <v>129</v>
      </c>
      <c r="B68" s="573" t="s">
        <v>118</v>
      </c>
      <c r="C68" s="580" t="s">
        <v>150</v>
      </c>
      <c r="D68" s="573" t="s">
        <v>920</v>
      </c>
      <c r="E68" s="573" t="s">
        <v>130</v>
      </c>
      <c r="F68" s="489">
        <f>'Пр.4 ведом.22'!G72</f>
        <v>671</v>
      </c>
      <c r="G68" s="578"/>
      <c r="H68" s="578"/>
      <c r="I68" s="578"/>
      <c r="J68" s="578"/>
      <c r="K68" s="578"/>
    </row>
    <row r="69" spans="1:11" s="203" customFormat="1" ht="31.5" hidden="1" x14ac:dyDescent="0.25">
      <c r="A69" s="579" t="s">
        <v>131</v>
      </c>
      <c r="B69" s="573" t="s">
        <v>118</v>
      </c>
      <c r="C69" s="580" t="s">
        <v>150</v>
      </c>
      <c r="D69" s="573" t="s">
        <v>920</v>
      </c>
      <c r="E69" s="573" t="s">
        <v>132</v>
      </c>
      <c r="F69" s="489">
        <f>F70</f>
        <v>0</v>
      </c>
      <c r="G69" s="578"/>
      <c r="H69" s="578"/>
      <c r="I69" s="578"/>
      <c r="J69" s="578"/>
      <c r="K69" s="578"/>
    </row>
    <row r="70" spans="1:11" s="203" customFormat="1" ht="31.5" hidden="1" x14ac:dyDescent="0.25">
      <c r="A70" s="579" t="s">
        <v>133</v>
      </c>
      <c r="B70" s="573" t="s">
        <v>118</v>
      </c>
      <c r="C70" s="580" t="s">
        <v>150</v>
      </c>
      <c r="D70" s="573" t="s">
        <v>920</v>
      </c>
      <c r="E70" s="573" t="s">
        <v>134</v>
      </c>
      <c r="F70" s="489">
        <f>'Пр.4 ведом.22'!G74</f>
        <v>0</v>
      </c>
      <c r="G70" s="578"/>
      <c r="H70" s="578"/>
      <c r="I70" s="578"/>
      <c r="J70" s="578"/>
      <c r="K70" s="578"/>
    </row>
    <row r="71" spans="1:11" ht="47.25" x14ac:dyDescent="0.25">
      <c r="A71" s="45" t="s">
        <v>196</v>
      </c>
      <c r="B71" s="573" t="s">
        <v>118</v>
      </c>
      <c r="C71" s="580" t="s">
        <v>150</v>
      </c>
      <c r="D71" s="573" t="s">
        <v>921</v>
      </c>
      <c r="E71" s="573"/>
      <c r="F71" s="489">
        <f t="shared" ref="F71" si="12">F72+F74</f>
        <v>1420.8</v>
      </c>
    </row>
    <row r="72" spans="1:11" ht="81.75" customHeight="1" x14ac:dyDescent="0.25">
      <c r="A72" s="29" t="s">
        <v>127</v>
      </c>
      <c r="B72" s="573" t="s">
        <v>118</v>
      </c>
      <c r="C72" s="580" t="s">
        <v>150</v>
      </c>
      <c r="D72" s="573" t="s">
        <v>921</v>
      </c>
      <c r="E72" s="573" t="s">
        <v>128</v>
      </c>
      <c r="F72" s="489">
        <f t="shared" ref="F72" si="13">F73</f>
        <v>1340.5</v>
      </c>
    </row>
    <row r="73" spans="1:11" ht="36" customHeight="1" x14ac:dyDescent="0.25">
      <c r="A73" s="29" t="s">
        <v>129</v>
      </c>
      <c r="B73" s="573" t="s">
        <v>118</v>
      </c>
      <c r="C73" s="580" t="s">
        <v>150</v>
      </c>
      <c r="D73" s="573" t="s">
        <v>921</v>
      </c>
      <c r="E73" s="573" t="s">
        <v>130</v>
      </c>
      <c r="F73" s="489">
        <f>'Пр.4 ведом.22'!G77</f>
        <v>1340.5</v>
      </c>
    </row>
    <row r="74" spans="1:11" ht="31.5" x14ac:dyDescent="0.25">
      <c r="A74" s="29" t="s">
        <v>131</v>
      </c>
      <c r="B74" s="573" t="s">
        <v>118</v>
      </c>
      <c r="C74" s="580" t="s">
        <v>150</v>
      </c>
      <c r="D74" s="573" t="s">
        <v>921</v>
      </c>
      <c r="E74" s="573" t="s">
        <v>132</v>
      </c>
      <c r="F74" s="489">
        <f t="shared" ref="F74" si="14">F75</f>
        <v>80.3</v>
      </c>
    </row>
    <row r="75" spans="1:11" ht="31.5" x14ac:dyDescent="0.25">
      <c r="A75" s="29" t="s">
        <v>133</v>
      </c>
      <c r="B75" s="573" t="s">
        <v>118</v>
      </c>
      <c r="C75" s="580" t="s">
        <v>150</v>
      </c>
      <c r="D75" s="573" t="s">
        <v>921</v>
      </c>
      <c r="E75" s="573" t="s">
        <v>134</v>
      </c>
      <c r="F75" s="489">
        <f>'Пр.4 ведом.22'!G79</f>
        <v>80.3</v>
      </c>
    </row>
    <row r="76" spans="1:11" s="203" customFormat="1" ht="94.5" x14ac:dyDescent="0.25">
      <c r="A76" s="31" t="s">
        <v>1169</v>
      </c>
      <c r="B76" s="580" t="s">
        <v>118</v>
      </c>
      <c r="C76" s="580" t="s">
        <v>150</v>
      </c>
      <c r="D76" s="580" t="s">
        <v>1168</v>
      </c>
      <c r="E76" s="580"/>
      <c r="F76" s="497">
        <f>F77</f>
        <v>16.600000000000001</v>
      </c>
      <c r="G76" s="578"/>
      <c r="H76" s="578"/>
      <c r="I76" s="578"/>
      <c r="J76" s="578"/>
      <c r="K76" s="578"/>
    </row>
    <row r="77" spans="1:11" s="203" customFormat="1" ht="78.75" x14ac:dyDescent="0.25">
      <c r="A77" s="579" t="s">
        <v>127</v>
      </c>
      <c r="B77" s="580" t="s">
        <v>118</v>
      </c>
      <c r="C77" s="580" t="s">
        <v>150</v>
      </c>
      <c r="D77" s="580" t="s">
        <v>1168</v>
      </c>
      <c r="E77" s="580" t="s">
        <v>128</v>
      </c>
      <c r="F77" s="497">
        <f>F78</f>
        <v>16.600000000000001</v>
      </c>
      <c r="G77" s="578"/>
      <c r="H77" s="578"/>
      <c r="I77" s="578"/>
      <c r="J77" s="578"/>
      <c r="K77" s="578"/>
    </row>
    <row r="78" spans="1:11" s="203" customFormat="1" ht="31.5" x14ac:dyDescent="0.25">
      <c r="A78" s="579" t="s">
        <v>129</v>
      </c>
      <c r="B78" s="580" t="s">
        <v>118</v>
      </c>
      <c r="C78" s="580" t="s">
        <v>150</v>
      </c>
      <c r="D78" s="580" t="s">
        <v>1168</v>
      </c>
      <c r="E78" s="580" t="s">
        <v>130</v>
      </c>
      <c r="F78" s="497">
        <f>'Пр.4 ведом.22'!G552</f>
        <v>16.600000000000001</v>
      </c>
      <c r="G78" s="578"/>
      <c r="H78" s="578"/>
      <c r="I78" s="578"/>
      <c r="J78" s="578"/>
      <c r="K78" s="578"/>
    </row>
    <row r="79" spans="1:11" s="576" customFormat="1" ht="47.25" x14ac:dyDescent="0.25">
      <c r="A79" s="579" t="s">
        <v>1766</v>
      </c>
      <c r="B79" s="573" t="s">
        <v>118</v>
      </c>
      <c r="C79" s="580" t="s">
        <v>150</v>
      </c>
      <c r="D79" s="573" t="s">
        <v>1777</v>
      </c>
      <c r="E79" s="573"/>
      <c r="F79" s="489">
        <f>F80+F82</f>
        <v>1578.5</v>
      </c>
      <c r="G79" s="578"/>
      <c r="H79" s="578"/>
      <c r="I79" s="578"/>
      <c r="J79" s="578"/>
      <c r="K79" s="578"/>
    </row>
    <row r="80" spans="1:11" s="576" customFormat="1" ht="78.75" x14ac:dyDescent="0.25">
      <c r="A80" s="29" t="s">
        <v>127</v>
      </c>
      <c r="B80" s="573" t="s">
        <v>118</v>
      </c>
      <c r="C80" s="580" t="s">
        <v>150</v>
      </c>
      <c r="D80" s="573" t="s">
        <v>1777</v>
      </c>
      <c r="E80" s="573" t="s">
        <v>128</v>
      </c>
      <c r="F80" s="489">
        <f t="shared" ref="F80" si="15">F81</f>
        <v>1504.1</v>
      </c>
      <c r="G80" s="578"/>
      <c r="H80" s="578"/>
      <c r="I80" s="578"/>
      <c r="J80" s="578"/>
      <c r="K80" s="578"/>
    </row>
    <row r="81" spans="1:11" s="576" customFormat="1" ht="31.5" x14ac:dyDescent="0.25">
      <c r="A81" s="29" t="s">
        <v>129</v>
      </c>
      <c r="B81" s="573" t="s">
        <v>118</v>
      </c>
      <c r="C81" s="580" t="s">
        <v>150</v>
      </c>
      <c r="D81" s="573" t="s">
        <v>1777</v>
      </c>
      <c r="E81" s="573" t="s">
        <v>130</v>
      </c>
      <c r="F81" s="489">
        <f>'Пр.4 ведом.22'!G82</f>
        <v>1504.1</v>
      </c>
      <c r="G81" s="578"/>
      <c r="H81" s="578"/>
      <c r="I81" s="578"/>
      <c r="J81" s="578"/>
      <c r="K81" s="578"/>
    </row>
    <row r="82" spans="1:11" s="576" customFormat="1" ht="31.5" x14ac:dyDescent="0.25">
      <c r="A82" s="579" t="s">
        <v>131</v>
      </c>
      <c r="B82" s="573" t="s">
        <v>118</v>
      </c>
      <c r="C82" s="580" t="s">
        <v>150</v>
      </c>
      <c r="D82" s="573" t="s">
        <v>1777</v>
      </c>
      <c r="E82" s="573" t="s">
        <v>132</v>
      </c>
      <c r="F82" s="489">
        <f>F83</f>
        <v>74.400000000000006</v>
      </c>
      <c r="G82" s="578"/>
      <c r="H82" s="578"/>
      <c r="I82" s="578"/>
      <c r="J82" s="578"/>
      <c r="K82" s="578"/>
    </row>
    <row r="83" spans="1:11" s="576" customFormat="1" ht="31.5" x14ac:dyDescent="0.25">
      <c r="A83" s="579" t="s">
        <v>133</v>
      </c>
      <c r="B83" s="573" t="s">
        <v>118</v>
      </c>
      <c r="C83" s="580" t="s">
        <v>150</v>
      </c>
      <c r="D83" s="573" t="s">
        <v>1777</v>
      </c>
      <c r="E83" s="573" t="s">
        <v>134</v>
      </c>
      <c r="F83" s="489">
        <f>'Пр.4 ведом.22'!G84</f>
        <v>74.400000000000006</v>
      </c>
      <c r="G83" s="578"/>
      <c r="H83" s="578"/>
      <c r="I83" s="578"/>
      <c r="J83" s="578"/>
      <c r="K83" s="578"/>
    </row>
    <row r="84" spans="1:11" s="203" customFormat="1" ht="47.25" x14ac:dyDescent="0.25">
      <c r="A84" s="494" t="s">
        <v>1338</v>
      </c>
      <c r="B84" s="495" t="s">
        <v>118</v>
      </c>
      <c r="C84" s="495" t="s">
        <v>150</v>
      </c>
      <c r="D84" s="495" t="s">
        <v>162</v>
      </c>
      <c r="E84" s="495"/>
      <c r="F84" s="488">
        <f>F85+F89+F98</f>
        <v>603.5</v>
      </c>
      <c r="G84" s="578"/>
      <c r="H84" s="578"/>
      <c r="I84" s="578"/>
      <c r="J84" s="578"/>
      <c r="K84" s="578"/>
    </row>
    <row r="85" spans="1:11" s="203" customFormat="1" ht="63" x14ac:dyDescent="0.25">
      <c r="A85" s="305" t="s">
        <v>1339</v>
      </c>
      <c r="B85" s="495" t="s">
        <v>118</v>
      </c>
      <c r="C85" s="495" t="s">
        <v>150</v>
      </c>
      <c r="D85" s="7" t="s">
        <v>849</v>
      </c>
      <c r="E85" s="495"/>
      <c r="F85" s="488">
        <f>F86</f>
        <v>526</v>
      </c>
      <c r="G85" s="578"/>
      <c r="H85" s="578"/>
      <c r="I85" s="578"/>
      <c r="J85" s="578"/>
      <c r="K85" s="578"/>
    </row>
    <row r="86" spans="1:11" s="203" customFormat="1" ht="47.25" x14ac:dyDescent="0.25">
      <c r="A86" s="29" t="s">
        <v>1308</v>
      </c>
      <c r="B86" s="580" t="s">
        <v>118</v>
      </c>
      <c r="C86" s="580" t="s">
        <v>150</v>
      </c>
      <c r="D86" s="573" t="s">
        <v>841</v>
      </c>
      <c r="E86" s="580"/>
      <c r="F86" s="489">
        <f>F87</f>
        <v>526</v>
      </c>
      <c r="G86" s="578"/>
      <c r="H86" s="578"/>
      <c r="I86" s="578"/>
      <c r="J86" s="578"/>
      <c r="K86" s="578"/>
    </row>
    <row r="87" spans="1:11" s="203" customFormat="1" ht="31.5" x14ac:dyDescent="0.25">
      <c r="A87" s="579" t="s">
        <v>131</v>
      </c>
      <c r="B87" s="580" t="s">
        <v>118</v>
      </c>
      <c r="C87" s="580" t="s">
        <v>150</v>
      </c>
      <c r="D87" s="573" t="s">
        <v>841</v>
      </c>
      <c r="E87" s="580" t="s">
        <v>132</v>
      </c>
      <c r="F87" s="489">
        <f>F88</f>
        <v>526</v>
      </c>
      <c r="G87" s="578"/>
      <c r="H87" s="578"/>
      <c r="I87" s="578"/>
      <c r="J87" s="578"/>
      <c r="K87" s="578"/>
    </row>
    <row r="88" spans="1:11" s="203" customFormat="1" ht="31.5" x14ac:dyDescent="0.25">
      <c r="A88" s="579" t="s">
        <v>133</v>
      </c>
      <c r="B88" s="580" t="s">
        <v>118</v>
      </c>
      <c r="C88" s="580" t="s">
        <v>150</v>
      </c>
      <c r="D88" s="573" t="s">
        <v>841</v>
      </c>
      <c r="E88" s="580" t="s">
        <v>134</v>
      </c>
      <c r="F88" s="489">
        <f>'Пр.4 ведом.22'!G89</f>
        <v>526</v>
      </c>
      <c r="G88" s="578"/>
      <c r="H88" s="578"/>
      <c r="I88" s="578"/>
      <c r="J88" s="578"/>
      <c r="K88" s="578"/>
    </row>
    <row r="89" spans="1:11" s="203" customFormat="1" ht="63" x14ac:dyDescent="0.25">
      <c r="A89" s="220" t="s">
        <v>843</v>
      </c>
      <c r="B89" s="495" t="s">
        <v>118</v>
      </c>
      <c r="C89" s="495" t="s">
        <v>150</v>
      </c>
      <c r="D89" s="7" t="s">
        <v>850</v>
      </c>
      <c r="E89" s="495"/>
      <c r="F89" s="488">
        <f>F90+F95</f>
        <v>77</v>
      </c>
      <c r="G89" s="578"/>
      <c r="H89" s="578"/>
      <c r="I89" s="578"/>
      <c r="J89" s="578"/>
      <c r="K89" s="578"/>
    </row>
    <row r="90" spans="1:11" s="203" customFormat="1" ht="47.25" x14ac:dyDescent="0.25">
      <c r="A90" s="174" t="s">
        <v>165</v>
      </c>
      <c r="B90" s="580" t="s">
        <v>118</v>
      </c>
      <c r="C90" s="580" t="s">
        <v>150</v>
      </c>
      <c r="D90" s="573" t="s">
        <v>842</v>
      </c>
      <c r="E90" s="580"/>
      <c r="F90" s="489">
        <f>F91+F93</f>
        <v>77</v>
      </c>
      <c r="G90" s="578"/>
      <c r="H90" s="578"/>
      <c r="I90" s="578"/>
      <c r="J90" s="578"/>
      <c r="K90" s="578"/>
    </row>
    <row r="91" spans="1:11" s="203" customFormat="1" ht="78.75" x14ac:dyDescent="0.25">
      <c r="A91" s="579" t="s">
        <v>127</v>
      </c>
      <c r="B91" s="580" t="s">
        <v>118</v>
      </c>
      <c r="C91" s="580" t="s">
        <v>150</v>
      </c>
      <c r="D91" s="573" t="s">
        <v>842</v>
      </c>
      <c r="E91" s="580" t="s">
        <v>128</v>
      </c>
      <c r="F91" s="489">
        <f>F92</f>
        <v>37.200000000000003</v>
      </c>
      <c r="G91" s="578"/>
      <c r="H91" s="578"/>
      <c r="I91" s="578"/>
      <c r="J91" s="578"/>
      <c r="K91" s="578"/>
    </row>
    <row r="92" spans="1:11" s="203" customFormat="1" ht="31.5" x14ac:dyDescent="0.25">
      <c r="A92" s="579" t="s">
        <v>129</v>
      </c>
      <c r="B92" s="580" t="s">
        <v>118</v>
      </c>
      <c r="C92" s="580" t="s">
        <v>150</v>
      </c>
      <c r="D92" s="573" t="s">
        <v>842</v>
      </c>
      <c r="E92" s="580" t="s">
        <v>130</v>
      </c>
      <c r="F92" s="489">
        <f>'Пр.4 ведом.22'!G93</f>
        <v>37.200000000000003</v>
      </c>
      <c r="G92" s="578"/>
      <c r="H92" s="578"/>
      <c r="I92" s="578"/>
      <c r="J92" s="578"/>
      <c r="K92" s="578"/>
    </row>
    <row r="93" spans="1:11" s="203" customFormat="1" ht="31.5" x14ac:dyDescent="0.25">
      <c r="A93" s="579" t="s">
        <v>131</v>
      </c>
      <c r="B93" s="580" t="s">
        <v>118</v>
      </c>
      <c r="C93" s="580" t="s">
        <v>150</v>
      </c>
      <c r="D93" s="573" t="s">
        <v>842</v>
      </c>
      <c r="E93" s="580" t="s">
        <v>132</v>
      </c>
      <c r="F93" s="489">
        <f>F94</f>
        <v>39.799999999999997</v>
      </c>
      <c r="G93" s="578"/>
      <c r="H93" s="578"/>
      <c r="I93" s="578"/>
      <c r="J93" s="578"/>
      <c r="K93" s="578"/>
    </row>
    <row r="94" spans="1:11" s="203" customFormat="1" ht="31.5" x14ac:dyDescent="0.25">
      <c r="A94" s="579" t="s">
        <v>133</v>
      </c>
      <c r="B94" s="580" t="s">
        <v>118</v>
      </c>
      <c r="C94" s="580" t="s">
        <v>150</v>
      </c>
      <c r="D94" s="573" t="s">
        <v>842</v>
      </c>
      <c r="E94" s="580" t="s">
        <v>134</v>
      </c>
      <c r="F94" s="489">
        <f>'Пр.4 ведом.22'!G95</f>
        <v>39.799999999999997</v>
      </c>
      <c r="G94" s="578"/>
      <c r="H94" s="578"/>
      <c r="I94" s="578"/>
      <c r="J94" s="578"/>
      <c r="K94" s="578"/>
    </row>
    <row r="95" spans="1:11" s="203" customFormat="1" ht="47.25" x14ac:dyDescent="0.25">
      <c r="A95" s="31" t="s">
        <v>1094</v>
      </c>
      <c r="B95" s="580" t="s">
        <v>118</v>
      </c>
      <c r="C95" s="580" t="s">
        <v>150</v>
      </c>
      <c r="D95" s="573" t="s">
        <v>993</v>
      </c>
      <c r="E95" s="580"/>
      <c r="F95" s="497">
        <f>F96</f>
        <v>0</v>
      </c>
      <c r="G95" s="578"/>
      <c r="H95" s="578"/>
      <c r="I95" s="578"/>
      <c r="J95" s="578"/>
      <c r="K95" s="578"/>
    </row>
    <row r="96" spans="1:11" s="203" customFormat="1" ht="31.5" x14ac:dyDescent="0.25">
      <c r="A96" s="579" t="s">
        <v>131</v>
      </c>
      <c r="B96" s="580" t="s">
        <v>118</v>
      </c>
      <c r="C96" s="580" t="s">
        <v>150</v>
      </c>
      <c r="D96" s="573" t="s">
        <v>993</v>
      </c>
      <c r="E96" s="580" t="s">
        <v>132</v>
      </c>
      <c r="F96" s="497">
        <f>F97</f>
        <v>0</v>
      </c>
      <c r="G96" s="578"/>
      <c r="H96" s="578"/>
      <c r="I96" s="578"/>
      <c r="J96" s="578"/>
      <c r="K96" s="578"/>
    </row>
    <row r="97" spans="1:11" s="203" customFormat="1" ht="31.5" x14ac:dyDescent="0.25">
      <c r="A97" s="579" t="s">
        <v>133</v>
      </c>
      <c r="B97" s="580" t="s">
        <v>118</v>
      </c>
      <c r="C97" s="580" t="s">
        <v>150</v>
      </c>
      <c r="D97" s="573" t="s">
        <v>993</v>
      </c>
      <c r="E97" s="580" t="s">
        <v>134</v>
      </c>
      <c r="F97" s="497"/>
      <c r="G97" s="578"/>
      <c r="H97" s="578"/>
      <c r="I97" s="578"/>
      <c r="J97" s="578"/>
      <c r="K97" s="578"/>
    </row>
    <row r="98" spans="1:11" s="203" customFormat="1" ht="63" x14ac:dyDescent="0.25">
      <c r="A98" s="221" t="s">
        <v>1003</v>
      </c>
      <c r="B98" s="495" t="s">
        <v>118</v>
      </c>
      <c r="C98" s="495" t="s">
        <v>150</v>
      </c>
      <c r="D98" s="7" t="s">
        <v>851</v>
      </c>
      <c r="E98" s="495"/>
      <c r="F98" s="488">
        <f>F99</f>
        <v>0.5</v>
      </c>
      <c r="G98" s="578"/>
      <c r="H98" s="578"/>
      <c r="I98" s="578"/>
      <c r="J98" s="578"/>
      <c r="K98" s="578"/>
    </row>
    <row r="99" spans="1:11" s="203" customFormat="1" ht="47.25" x14ac:dyDescent="0.25">
      <c r="A99" s="33" t="s">
        <v>191</v>
      </c>
      <c r="B99" s="580" t="s">
        <v>118</v>
      </c>
      <c r="C99" s="580" t="s">
        <v>150</v>
      </c>
      <c r="D99" s="573" t="s">
        <v>844</v>
      </c>
      <c r="E99" s="580"/>
      <c r="F99" s="489">
        <f>F100</f>
        <v>0.5</v>
      </c>
      <c r="G99" s="578"/>
      <c r="H99" s="578"/>
      <c r="I99" s="578"/>
      <c r="J99" s="578"/>
      <c r="K99" s="578"/>
    </row>
    <row r="100" spans="1:11" s="203" customFormat="1" ht="31.5" x14ac:dyDescent="0.25">
      <c r="A100" s="579" t="s">
        <v>131</v>
      </c>
      <c r="B100" s="580" t="s">
        <v>118</v>
      </c>
      <c r="C100" s="580" t="s">
        <v>150</v>
      </c>
      <c r="D100" s="573" t="s">
        <v>844</v>
      </c>
      <c r="E100" s="580" t="s">
        <v>132</v>
      </c>
      <c r="F100" s="489">
        <f>F101</f>
        <v>0.5</v>
      </c>
      <c r="G100" s="578"/>
      <c r="H100" s="578"/>
      <c r="I100" s="578"/>
      <c r="J100" s="578"/>
      <c r="K100" s="578"/>
    </row>
    <row r="101" spans="1:11" s="203" customFormat="1" ht="31.5" x14ac:dyDescent="0.25">
      <c r="A101" s="579" t="s">
        <v>133</v>
      </c>
      <c r="B101" s="580" t="s">
        <v>118</v>
      </c>
      <c r="C101" s="580" t="s">
        <v>150</v>
      </c>
      <c r="D101" s="573" t="s">
        <v>844</v>
      </c>
      <c r="E101" s="580" t="s">
        <v>134</v>
      </c>
      <c r="F101" s="489">
        <f>'Пр.4 ведом.22'!G102</f>
        <v>0.5</v>
      </c>
      <c r="G101" s="578"/>
      <c r="H101" s="578"/>
      <c r="I101" s="578"/>
      <c r="J101" s="578"/>
      <c r="K101" s="578"/>
    </row>
    <row r="102" spans="1:11" ht="47.25" x14ac:dyDescent="0.25">
      <c r="A102" s="572" t="s">
        <v>119</v>
      </c>
      <c r="B102" s="7" t="s">
        <v>118</v>
      </c>
      <c r="C102" s="7" t="s">
        <v>120</v>
      </c>
      <c r="D102" s="7"/>
      <c r="E102" s="7"/>
      <c r="F102" s="488">
        <f t="shared" ref="F102" si="16">F103</f>
        <v>18154.27</v>
      </c>
    </row>
    <row r="103" spans="1:11" ht="34.9" customHeight="1" x14ac:dyDescent="0.25">
      <c r="A103" s="494" t="s">
        <v>917</v>
      </c>
      <c r="B103" s="7" t="s">
        <v>118</v>
      </c>
      <c r="C103" s="7" t="s">
        <v>120</v>
      </c>
      <c r="D103" s="7" t="s">
        <v>858</v>
      </c>
      <c r="E103" s="7"/>
      <c r="F103" s="488">
        <f>F104+F115</f>
        <v>18154.27</v>
      </c>
    </row>
    <row r="104" spans="1:11" ht="15.75" x14ac:dyDescent="0.25">
      <c r="A104" s="494" t="s">
        <v>918</v>
      </c>
      <c r="B104" s="7" t="s">
        <v>118</v>
      </c>
      <c r="C104" s="7" t="s">
        <v>120</v>
      </c>
      <c r="D104" s="7" t="s">
        <v>859</v>
      </c>
      <c r="E104" s="7"/>
      <c r="F104" s="488">
        <f>F105+F112</f>
        <v>15332.1</v>
      </c>
    </row>
    <row r="105" spans="1:11" ht="37.5" customHeight="1" x14ac:dyDescent="0.25">
      <c r="A105" s="29" t="s">
        <v>897</v>
      </c>
      <c r="B105" s="573" t="s">
        <v>118</v>
      </c>
      <c r="C105" s="573" t="s">
        <v>120</v>
      </c>
      <c r="D105" s="573" t="s">
        <v>860</v>
      </c>
      <c r="E105" s="573"/>
      <c r="F105" s="489">
        <f t="shared" ref="F105" si="17">F106+F108+F110</f>
        <v>14882.1</v>
      </c>
    </row>
    <row r="106" spans="1:11" ht="78.75" x14ac:dyDescent="0.25">
      <c r="A106" s="29" t="s">
        <v>127</v>
      </c>
      <c r="B106" s="573" t="s">
        <v>118</v>
      </c>
      <c r="C106" s="573" t="s">
        <v>120</v>
      </c>
      <c r="D106" s="573" t="s">
        <v>860</v>
      </c>
      <c r="E106" s="573" t="s">
        <v>128</v>
      </c>
      <c r="F106" s="489">
        <f t="shared" ref="F106" si="18">F107</f>
        <v>13884.6</v>
      </c>
    </row>
    <row r="107" spans="1:11" ht="31.5" x14ac:dyDescent="0.25">
      <c r="A107" s="29" t="s">
        <v>129</v>
      </c>
      <c r="B107" s="573" t="s">
        <v>118</v>
      </c>
      <c r="C107" s="573" t="s">
        <v>120</v>
      </c>
      <c r="D107" s="573" t="s">
        <v>860</v>
      </c>
      <c r="E107" s="573" t="s">
        <v>130</v>
      </c>
      <c r="F107" s="386">
        <f>'Пр.4 ведом.22'!G16+'Пр.4 ведом.22'!G108</f>
        <v>13884.6</v>
      </c>
    </row>
    <row r="108" spans="1:11" ht="31.5" x14ac:dyDescent="0.25">
      <c r="A108" s="29" t="s">
        <v>131</v>
      </c>
      <c r="B108" s="573" t="s">
        <v>118</v>
      </c>
      <c r="C108" s="573" t="s">
        <v>120</v>
      </c>
      <c r="D108" s="573" t="s">
        <v>860</v>
      </c>
      <c r="E108" s="573" t="s">
        <v>132</v>
      </c>
      <c r="F108" s="489">
        <f t="shared" ref="F108" si="19">F109</f>
        <v>969.5</v>
      </c>
    </row>
    <row r="109" spans="1:11" ht="31.5" x14ac:dyDescent="0.25">
      <c r="A109" s="29" t="s">
        <v>133</v>
      </c>
      <c r="B109" s="573" t="s">
        <v>118</v>
      </c>
      <c r="C109" s="573" t="s">
        <v>120</v>
      </c>
      <c r="D109" s="573" t="s">
        <v>860</v>
      </c>
      <c r="E109" s="573" t="s">
        <v>134</v>
      </c>
      <c r="F109" s="489">
        <f>'Пр.4 ведом.22'!G18</f>
        <v>969.5</v>
      </c>
    </row>
    <row r="110" spans="1:11" ht="15.75" x14ac:dyDescent="0.25">
      <c r="A110" s="29" t="s">
        <v>135</v>
      </c>
      <c r="B110" s="573" t="s">
        <v>118</v>
      </c>
      <c r="C110" s="573" t="s">
        <v>120</v>
      </c>
      <c r="D110" s="573" t="s">
        <v>860</v>
      </c>
      <c r="E110" s="573" t="s">
        <v>145</v>
      </c>
      <c r="F110" s="489">
        <f t="shared" ref="F110" si="20">F111</f>
        <v>28</v>
      </c>
    </row>
    <row r="111" spans="1:11" ht="15.75" x14ac:dyDescent="0.25">
      <c r="A111" s="29" t="s">
        <v>568</v>
      </c>
      <c r="B111" s="573" t="s">
        <v>118</v>
      </c>
      <c r="C111" s="573" t="s">
        <v>120</v>
      </c>
      <c r="D111" s="573" t="s">
        <v>860</v>
      </c>
      <c r="E111" s="573" t="s">
        <v>138</v>
      </c>
      <c r="F111" s="489">
        <f>'Пр.4 ведом.22'!G20</f>
        <v>28</v>
      </c>
    </row>
    <row r="112" spans="1:11" s="203" customFormat="1" ht="54" customHeight="1" x14ac:dyDescent="0.25">
      <c r="A112" s="579" t="s">
        <v>839</v>
      </c>
      <c r="B112" s="580" t="s">
        <v>118</v>
      </c>
      <c r="C112" s="580" t="s">
        <v>120</v>
      </c>
      <c r="D112" s="580" t="s">
        <v>862</v>
      </c>
      <c r="E112" s="580"/>
      <c r="F112" s="489">
        <f>F113</f>
        <v>450</v>
      </c>
      <c r="G112" s="578"/>
      <c r="H112" s="578"/>
      <c r="I112" s="578"/>
      <c r="J112" s="578"/>
      <c r="K112" s="578"/>
    </row>
    <row r="113" spans="1:11" s="203" customFormat="1" ht="80.45" customHeight="1" x14ac:dyDescent="0.25">
      <c r="A113" s="579" t="s">
        <v>127</v>
      </c>
      <c r="B113" s="580" t="s">
        <v>118</v>
      </c>
      <c r="C113" s="580" t="s">
        <v>120</v>
      </c>
      <c r="D113" s="580" t="s">
        <v>862</v>
      </c>
      <c r="E113" s="580" t="s">
        <v>128</v>
      </c>
      <c r="F113" s="489">
        <f>F114</f>
        <v>450</v>
      </c>
      <c r="G113" s="578"/>
      <c r="H113" s="578"/>
      <c r="I113" s="578"/>
      <c r="J113" s="578"/>
      <c r="K113" s="578"/>
    </row>
    <row r="114" spans="1:11" s="203" customFormat="1" ht="36" customHeight="1" x14ac:dyDescent="0.25">
      <c r="A114" s="579" t="s">
        <v>129</v>
      </c>
      <c r="B114" s="580" t="s">
        <v>118</v>
      </c>
      <c r="C114" s="580" t="s">
        <v>120</v>
      </c>
      <c r="D114" s="580" t="s">
        <v>862</v>
      </c>
      <c r="E114" s="580" t="s">
        <v>130</v>
      </c>
      <c r="F114" s="489">
        <f>'Пр.4 ведом.22'!G23+'Пр.4 ведом.22'!G111</f>
        <v>450</v>
      </c>
      <c r="G114" s="578"/>
      <c r="H114" s="578"/>
      <c r="I114" s="578"/>
      <c r="J114" s="578"/>
      <c r="K114" s="578"/>
    </row>
    <row r="115" spans="1:11" s="576" customFormat="1" ht="31.5" x14ac:dyDescent="0.25">
      <c r="A115" s="494" t="s">
        <v>1705</v>
      </c>
      <c r="B115" s="7" t="s">
        <v>118</v>
      </c>
      <c r="C115" s="7" t="s">
        <v>120</v>
      </c>
      <c r="D115" s="7" t="s">
        <v>1706</v>
      </c>
      <c r="E115" s="7"/>
      <c r="F115" s="488">
        <f>F116+F121+F124</f>
        <v>2822.17</v>
      </c>
      <c r="G115" s="578"/>
      <c r="H115" s="578"/>
      <c r="I115" s="578"/>
      <c r="J115" s="578"/>
      <c r="K115" s="578"/>
    </row>
    <row r="116" spans="1:11" s="576" customFormat="1" ht="31.5" x14ac:dyDescent="0.25">
      <c r="A116" s="579" t="s">
        <v>897</v>
      </c>
      <c r="B116" s="580" t="s">
        <v>118</v>
      </c>
      <c r="C116" s="580" t="s">
        <v>120</v>
      </c>
      <c r="D116" s="580" t="s">
        <v>1709</v>
      </c>
      <c r="E116" s="580"/>
      <c r="F116" s="489">
        <f>F118+F119</f>
        <v>689.05</v>
      </c>
      <c r="G116" s="578"/>
      <c r="H116" s="578"/>
      <c r="I116" s="578"/>
      <c r="J116" s="578"/>
      <c r="K116" s="578"/>
    </row>
    <row r="117" spans="1:11" s="576" customFormat="1" ht="78.75" x14ac:dyDescent="0.25">
      <c r="A117" s="579" t="s">
        <v>127</v>
      </c>
      <c r="B117" s="580" t="s">
        <v>118</v>
      </c>
      <c r="C117" s="580" t="s">
        <v>120</v>
      </c>
      <c r="D117" s="580" t="s">
        <v>1709</v>
      </c>
      <c r="E117" s="580" t="s">
        <v>128</v>
      </c>
      <c r="F117" s="489">
        <f>F118</f>
        <v>596.04999999999995</v>
      </c>
      <c r="G117" s="578"/>
      <c r="H117" s="578"/>
      <c r="I117" s="578"/>
      <c r="J117" s="578"/>
      <c r="K117" s="578"/>
    </row>
    <row r="118" spans="1:11" s="576" customFormat="1" ht="31.5" x14ac:dyDescent="0.25">
      <c r="A118" s="579" t="s">
        <v>129</v>
      </c>
      <c r="B118" s="580" t="s">
        <v>118</v>
      </c>
      <c r="C118" s="580" t="s">
        <v>120</v>
      </c>
      <c r="D118" s="580" t="s">
        <v>1709</v>
      </c>
      <c r="E118" s="580" t="s">
        <v>130</v>
      </c>
      <c r="F118" s="489">
        <f>'Пр.4 ведом.22'!G525</f>
        <v>596.04999999999995</v>
      </c>
      <c r="G118" s="578"/>
      <c r="H118" s="578"/>
      <c r="I118" s="578"/>
      <c r="J118" s="578"/>
      <c r="K118" s="578"/>
    </row>
    <row r="119" spans="1:11" s="576" customFormat="1" ht="31.5" x14ac:dyDescent="0.25">
      <c r="A119" s="579" t="s">
        <v>198</v>
      </c>
      <c r="B119" s="580" t="s">
        <v>118</v>
      </c>
      <c r="C119" s="580" t="s">
        <v>120</v>
      </c>
      <c r="D119" s="580" t="s">
        <v>1709</v>
      </c>
      <c r="E119" s="580" t="s">
        <v>132</v>
      </c>
      <c r="F119" s="489">
        <f>F120</f>
        <v>93</v>
      </c>
      <c r="G119" s="578"/>
      <c r="H119" s="578"/>
      <c r="I119" s="578"/>
      <c r="J119" s="578"/>
      <c r="K119" s="578"/>
    </row>
    <row r="120" spans="1:11" s="576" customFormat="1" ht="31.5" x14ac:dyDescent="0.25">
      <c r="A120" s="579" t="s">
        <v>133</v>
      </c>
      <c r="B120" s="580" t="s">
        <v>118</v>
      </c>
      <c r="C120" s="580" t="s">
        <v>120</v>
      </c>
      <c r="D120" s="580" t="s">
        <v>1709</v>
      </c>
      <c r="E120" s="580" t="s">
        <v>134</v>
      </c>
      <c r="F120" s="489">
        <f>'Пр.4 ведом.22'!G527</f>
        <v>93</v>
      </c>
      <c r="G120" s="578"/>
      <c r="H120" s="578"/>
      <c r="I120" s="578"/>
      <c r="J120" s="578"/>
      <c r="K120" s="578"/>
    </row>
    <row r="121" spans="1:11" s="576" customFormat="1" ht="47.25" x14ac:dyDescent="0.25">
      <c r="A121" s="579" t="s">
        <v>1707</v>
      </c>
      <c r="B121" s="580" t="s">
        <v>118</v>
      </c>
      <c r="C121" s="580" t="s">
        <v>120</v>
      </c>
      <c r="D121" s="580" t="s">
        <v>1708</v>
      </c>
      <c r="E121" s="580"/>
      <c r="F121" s="489">
        <f>F122</f>
        <v>2133.12</v>
      </c>
      <c r="G121" s="578"/>
      <c r="H121" s="578"/>
      <c r="I121" s="578"/>
      <c r="J121" s="578"/>
      <c r="K121" s="578"/>
    </row>
    <row r="122" spans="1:11" s="576" customFormat="1" ht="78.75" x14ac:dyDescent="0.25">
      <c r="A122" s="579" t="s">
        <v>127</v>
      </c>
      <c r="B122" s="580" t="s">
        <v>118</v>
      </c>
      <c r="C122" s="580" t="s">
        <v>120</v>
      </c>
      <c r="D122" s="580" t="s">
        <v>1708</v>
      </c>
      <c r="E122" s="580" t="s">
        <v>128</v>
      </c>
      <c r="F122" s="489">
        <f>F123</f>
        <v>2133.12</v>
      </c>
      <c r="G122" s="578"/>
      <c r="H122" s="578"/>
      <c r="I122" s="578"/>
      <c r="J122" s="578"/>
      <c r="K122" s="578"/>
    </row>
    <row r="123" spans="1:11" s="576" customFormat="1" ht="31.5" x14ac:dyDescent="0.25">
      <c r="A123" s="579" t="s">
        <v>129</v>
      </c>
      <c r="B123" s="580" t="s">
        <v>118</v>
      </c>
      <c r="C123" s="580" t="s">
        <v>120</v>
      </c>
      <c r="D123" s="580" t="s">
        <v>1708</v>
      </c>
      <c r="E123" s="580" t="s">
        <v>130</v>
      </c>
      <c r="F123" s="489">
        <f>'Пр.4 ведом.22'!G530</f>
        <v>2133.12</v>
      </c>
      <c r="G123" s="578"/>
      <c r="H123" s="578"/>
      <c r="I123" s="578"/>
      <c r="J123" s="578"/>
      <c r="K123" s="578"/>
    </row>
    <row r="124" spans="1:11" s="576" customFormat="1" ht="47.25" hidden="1" x14ac:dyDescent="0.25">
      <c r="A124" s="579" t="s">
        <v>839</v>
      </c>
      <c r="B124" s="580" t="s">
        <v>118</v>
      </c>
      <c r="C124" s="580" t="s">
        <v>120</v>
      </c>
      <c r="D124" s="580" t="s">
        <v>1778</v>
      </c>
      <c r="E124" s="580"/>
      <c r="F124" s="489">
        <f>F125</f>
        <v>0</v>
      </c>
      <c r="G124" s="578"/>
      <c r="H124" s="578"/>
      <c r="I124" s="578"/>
      <c r="J124" s="578"/>
      <c r="K124" s="578"/>
    </row>
    <row r="125" spans="1:11" s="576" customFormat="1" ht="78.75" hidden="1" x14ac:dyDescent="0.25">
      <c r="A125" s="579" t="s">
        <v>127</v>
      </c>
      <c r="B125" s="580" t="s">
        <v>118</v>
      </c>
      <c r="C125" s="580" t="s">
        <v>120</v>
      </c>
      <c r="D125" s="580" t="s">
        <v>1778</v>
      </c>
      <c r="E125" s="580" t="s">
        <v>128</v>
      </c>
      <c r="F125" s="489">
        <f>F126</f>
        <v>0</v>
      </c>
      <c r="G125" s="578"/>
      <c r="H125" s="578"/>
      <c r="I125" s="578"/>
      <c r="J125" s="578"/>
      <c r="K125" s="578"/>
    </row>
    <row r="126" spans="1:11" s="576" customFormat="1" ht="36" hidden="1" customHeight="1" x14ac:dyDescent="0.25">
      <c r="A126" s="579" t="s">
        <v>129</v>
      </c>
      <c r="B126" s="580" t="s">
        <v>118</v>
      </c>
      <c r="C126" s="580" t="s">
        <v>120</v>
      </c>
      <c r="D126" s="580" t="s">
        <v>1778</v>
      </c>
      <c r="E126" s="580" t="s">
        <v>130</v>
      </c>
      <c r="F126" s="489">
        <f>'Пр.4 ведом.22'!G533</f>
        <v>0</v>
      </c>
      <c r="G126" s="578"/>
      <c r="H126" s="578"/>
      <c r="I126" s="578"/>
      <c r="J126" s="578"/>
      <c r="K126" s="578"/>
    </row>
    <row r="127" spans="1:11" s="203" customFormat="1" ht="20.25" hidden="1" customHeight="1" x14ac:dyDescent="0.25">
      <c r="A127" s="494" t="s">
        <v>1147</v>
      </c>
      <c r="B127" s="495" t="s">
        <v>118</v>
      </c>
      <c r="C127" s="495" t="s">
        <v>264</v>
      </c>
      <c r="D127" s="495"/>
      <c r="E127" s="580"/>
      <c r="F127" s="493">
        <f>F128</f>
        <v>0</v>
      </c>
      <c r="G127" s="578"/>
      <c r="H127" s="578"/>
      <c r="I127" s="578"/>
      <c r="J127" s="578"/>
      <c r="K127" s="578"/>
    </row>
    <row r="128" spans="1:11" s="203" customFormat="1" ht="23.25" hidden="1" customHeight="1" x14ac:dyDescent="0.25">
      <c r="A128" s="494" t="s">
        <v>141</v>
      </c>
      <c r="B128" s="495" t="s">
        <v>118</v>
      </c>
      <c r="C128" s="495" t="s">
        <v>264</v>
      </c>
      <c r="D128" s="495" t="s">
        <v>866</v>
      </c>
      <c r="E128" s="580"/>
      <c r="F128" s="493">
        <f>F129</f>
        <v>0</v>
      </c>
      <c r="G128" s="578"/>
      <c r="H128" s="578"/>
      <c r="I128" s="578"/>
      <c r="J128" s="578"/>
      <c r="K128" s="578"/>
    </row>
    <row r="129" spans="1:11" s="203" customFormat="1" ht="36" hidden="1" customHeight="1" x14ac:dyDescent="0.25">
      <c r="A129" s="494" t="s">
        <v>870</v>
      </c>
      <c r="B129" s="495" t="s">
        <v>118</v>
      </c>
      <c r="C129" s="495" t="s">
        <v>264</v>
      </c>
      <c r="D129" s="495" t="s">
        <v>865</v>
      </c>
      <c r="E129" s="580"/>
      <c r="F129" s="493">
        <f>F130</f>
        <v>0</v>
      </c>
      <c r="G129" s="578"/>
      <c r="H129" s="578"/>
      <c r="I129" s="578"/>
      <c r="J129" s="578"/>
      <c r="K129" s="578"/>
    </row>
    <row r="130" spans="1:11" s="203" customFormat="1" ht="24" hidden="1" customHeight="1" x14ac:dyDescent="0.25">
      <c r="A130" s="45" t="s">
        <v>199</v>
      </c>
      <c r="B130" s="580" t="s">
        <v>118</v>
      </c>
      <c r="C130" s="580" t="s">
        <v>264</v>
      </c>
      <c r="D130" s="580" t="s">
        <v>1146</v>
      </c>
      <c r="E130" s="580"/>
      <c r="F130" s="497">
        <f>F131+F133</f>
        <v>0</v>
      </c>
      <c r="G130" s="578"/>
      <c r="H130" s="578"/>
      <c r="I130" s="578"/>
      <c r="J130" s="578"/>
      <c r="K130" s="578"/>
    </row>
    <row r="131" spans="1:11" s="203" customFormat="1" ht="78.75" hidden="1" customHeight="1" x14ac:dyDescent="0.25">
      <c r="A131" s="579" t="s">
        <v>127</v>
      </c>
      <c r="B131" s="580" t="s">
        <v>118</v>
      </c>
      <c r="C131" s="580" t="s">
        <v>264</v>
      </c>
      <c r="D131" s="580" t="s">
        <v>1146</v>
      </c>
      <c r="E131" s="580" t="s">
        <v>128</v>
      </c>
      <c r="F131" s="497">
        <f>F132</f>
        <v>0</v>
      </c>
      <c r="G131" s="578"/>
      <c r="H131" s="578"/>
      <c r="I131" s="578"/>
      <c r="J131" s="578"/>
      <c r="K131" s="578"/>
    </row>
    <row r="132" spans="1:11" s="203" customFormat="1" ht="36" hidden="1" customHeight="1" x14ac:dyDescent="0.25">
      <c r="A132" s="579" t="s">
        <v>129</v>
      </c>
      <c r="B132" s="580" t="s">
        <v>118</v>
      </c>
      <c r="C132" s="580" t="s">
        <v>264</v>
      </c>
      <c r="D132" s="580" t="s">
        <v>1146</v>
      </c>
      <c r="E132" s="580" t="s">
        <v>130</v>
      </c>
      <c r="F132" s="497">
        <f>'Пр.4 ведом.22'!G117</f>
        <v>0</v>
      </c>
      <c r="G132" s="578"/>
      <c r="H132" s="578"/>
      <c r="I132" s="578"/>
      <c r="J132" s="578"/>
      <c r="K132" s="578"/>
    </row>
    <row r="133" spans="1:11" s="203" customFormat="1" ht="36" hidden="1" customHeight="1" x14ac:dyDescent="0.25">
      <c r="A133" s="579" t="s">
        <v>198</v>
      </c>
      <c r="B133" s="580" t="s">
        <v>118</v>
      </c>
      <c r="C133" s="580" t="s">
        <v>264</v>
      </c>
      <c r="D133" s="580" t="s">
        <v>1146</v>
      </c>
      <c r="E133" s="580" t="s">
        <v>132</v>
      </c>
      <c r="F133" s="497">
        <f>F134</f>
        <v>0</v>
      </c>
      <c r="G133" s="578"/>
      <c r="H133" s="578"/>
      <c r="I133" s="578"/>
      <c r="J133" s="578"/>
      <c r="K133" s="578"/>
    </row>
    <row r="134" spans="1:11" s="203" customFormat="1" ht="36" hidden="1" customHeight="1" x14ac:dyDescent="0.25">
      <c r="A134" s="579" t="s">
        <v>133</v>
      </c>
      <c r="B134" s="580" t="s">
        <v>118</v>
      </c>
      <c r="C134" s="580" t="s">
        <v>264</v>
      </c>
      <c r="D134" s="580" t="s">
        <v>1146</v>
      </c>
      <c r="E134" s="580" t="s">
        <v>134</v>
      </c>
      <c r="F134" s="497">
        <f>'Пр.4 ведом.22'!G119</f>
        <v>0</v>
      </c>
      <c r="G134" s="578"/>
      <c r="H134" s="578"/>
      <c r="I134" s="578"/>
      <c r="J134" s="578"/>
      <c r="K134" s="578"/>
    </row>
    <row r="135" spans="1:11" s="203" customFormat="1" ht="22.7" customHeight="1" x14ac:dyDescent="0.25">
      <c r="A135" s="494" t="s">
        <v>1400</v>
      </c>
      <c r="B135" s="495" t="s">
        <v>118</v>
      </c>
      <c r="C135" s="495" t="s">
        <v>491</v>
      </c>
      <c r="D135" s="495"/>
      <c r="E135" s="495"/>
      <c r="F135" s="493">
        <f>F136</f>
        <v>50</v>
      </c>
      <c r="G135" s="578"/>
      <c r="H135" s="578"/>
      <c r="I135" s="578"/>
      <c r="J135" s="578"/>
      <c r="K135" s="578"/>
    </row>
    <row r="136" spans="1:11" s="203" customFormat="1" ht="18.399999999999999" customHeight="1" x14ac:dyDescent="0.25">
      <c r="A136" s="494" t="s">
        <v>141</v>
      </c>
      <c r="B136" s="495" t="s">
        <v>118</v>
      </c>
      <c r="C136" s="495" t="s">
        <v>491</v>
      </c>
      <c r="D136" s="495" t="s">
        <v>866</v>
      </c>
      <c r="E136" s="495"/>
      <c r="F136" s="493">
        <f t="shared" ref="F136:F138" si="21">F137</f>
        <v>50</v>
      </c>
      <c r="G136" s="578"/>
      <c r="H136" s="578"/>
      <c r="I136" s="578"/>
      <c r="J136" s="578"/>
      <c r="K136" s="578"/>
    </row>
    <row r="137" spans="1:11" s="203" customFormat="1" ht="36" customHeight="1" x14ac:dyDescent="0.25">
      <c r="A137" s="494" t="s">
        <v>870</v>
      </c>
      <c r="B137" s="495" t="s">
        <v>118</v>
      </c>
      <c r="C137" s="495" t="s">
        <v>491</v>
      </c>
      <c r="D137" s="495" t="s">
        <v>865</v>
      </c>
      <c r="E137" s="495"/>
      <c r="F137" s="493">
        <f t="shared" si="21"/>
        <v>50</v>
      </c>
      <c r="G137" s="578"/>
      <c r="H137" s="578"/>
      <c r="I137" s="578"/>
      <c r="J137" s="578"/>
      <c r="K137" s="578"/>
    </row>
    <row r="138" spans="1:11" s="203" customFormat="1" ht="16.350000000000001" customHeight="1" x14ac:dyDescent="0.25">
      <c r="A138" s="579" t="s">
        <v>1137</v>
      </c>
      <c r="B138" s="580" t="s">
        <v>118</v>
      </c>
      <c r="C138" s="580" t="s">
        <v>491</v>
      </c>
      <c r="D138" s="580" t="s">
        <v>1138</v>
      </c>
      <c r="E138" s="580"/>
      <c r="F138" s="497">
        <f t="shared" si="21"/>
        <v>50</v>
      </c>
      <c r="G138" s="578"/>
      <c r="H138" s="578"/>
      <c r="I138" s="578"/>
      <c r="J138" s="578"/>
      <c r="K138" s="578"/>
    </row>
    <row r="139" spans="1:11" s="203" customFormat="1" ht="23.85" customHeight="1" x14ac:dyDescent="0.25">
      <c r="A139" s="579" t="s">
        <v>135</v>
      </c>
      <c r="B139" s="580" t="s">
        <v>118</v>
      </c>
      <c r="C139" s="580" t="s">
        <v>491</v>
      </c>
      <c r="D139" s="580" t="s">
        <v>1138</v>
      </c>
      <c r="E139" s="580" t="s">
        <v>145</v>
      </c>
      <c r="F139" s="497">
        <f>F140</f>
        <v>50</v>
      </c>
      <c r="G139" s="578"/>
      <c r="H139" s="578"/>
      <c r="I139" s="578"/>
      <c r="J139" s="578"/>
      <c r="K139" s="578"/>
    </row>
    <row r="140" spans="1:11" s="203" customFormat="1" ht="19.7" customHeight="1" x14ac:dyDescent="0.25">
      <c r="A140" s="579" t="s">
        <v>1137</v>
      </c>
      <c r="B140" s="580" t="s">
        <v>118</v>
      </c>
      <c r="C140" s="580" t="s">
        <v>491</v>
      </c>
      <c r="D140" s="580" t="s">
        <v>1138</v>
      </c>
      <c r="E140" s="580" t="s">
        <v>1139</v>
      </c>
      <c r="F140" s="497">
        <f>'Пр.4 ведом.22'!G29</f>
        <v>50</v>
      </c>
      <c r="G140" s="578"/>
      <c r="H140" s="578"/>
      <c r="I140" s="578"/>
      <c r="J140" s="578"/>
      <c r="K140" s="578"/>
    </row>
    <row r="141" spans="1:11" ht="15.75" x14ac:dyDescent="0.25">
      <c r="A141" s="572" t="s">
        <v>139</v>
      </c>
      <c r="B141" s="7" t="s">
        <v>118</v>
      </c>
      <c r="C141" s="7" t="s">
        <v>140</v>
      </c>
      <c r="D141" s="7"/>
      <c r="E141" s="7"/>
      <c r="F141" s="488">
        <f>F142+F172+F188+F205+F214+F219+F224+F184</f>
        <v>57982.639999999992</v>
      </c>
      <c r="H141" s="115"/>
      <c r="J141" s="115"/>
    </row>
    <row r="142" spans="1:11" s="203" customFormat="1" ht="15.75" x14ac:dyDescent="0.25">
      <c r="A142" s="494" t="s">
        <v>141</v>
      </c>
      <c r="B142" s="495" t="s">
        <v>118</v>
      </c>
      <c r="C142" s="495" t="s">
        <v>140</v>
      </c>
      <c r="D142" s="495" t="s">
        <v>866</v>
      </c>
      <c r="E142" s="495"/>
      <c r="F142" s="488">
        <f>F143+F154+F163</f>
        <v>56902.839999999989</v>
      </c>
      <c r="G142" s="578"/>
      <c r="H142" s="115"/>
      <c r="I142" s="578"/>
      <c r="J142" s="115"/>
      <c r="K142" s="115">
        <f>F142+F486+F887</f>
        <v>82868.279999999984</v>
      </c>
    </row>
    <row r="143" spans="1:11" s="203" customFormat="1" ht="15.75" x14ac:dyDescent="0.25">
      <c r="A143" s="494" t="s">
        <v>954</v>
      </c>
      <c r="B143" s="495" t="s">
        <v>118</v>
      </c>
      <c r="C143" s="495" t="s">
        <v>140</v>
      </c>
      <c r="D143" s="495" t="s">
        <v>953</v>
      </c>
      <c r="E143" s="495"/>
      <c r="F143" s="388">
        <f>F147+F144</f>
        <v>44947.439999999995</v>
      </c>
      <c r="G143" s="578"/>
      <c r="H143" s="115"/>
      <c r="I143" s="578"/>
      <c r="J143" s="115"/>
      <c r="K143" s="578"/>
    </row>
    <row r="144" spans="1:11" s="203" customFormat="1" ht="47.25" x14ac:dyDescent="0.25">
      <c r="A144" s="579" t="s">
        <v>839</v>
      </c>
      <c r="B144" s="580" t="s">
        <v>118</v>
      </c>
      <c r="C144" s="580" t="s">
        <v>140</v>
      </c>
      <c r="D144" s="580" t="s">
        <v>956</v>
      </c>
      <c r="E144" s="580"/>
      <c r="F144" s="489">
        <f>F145</f>
        <v>1118</v>
      </c>
      <c r="G144" s="578"/>
      <c r="H144" s="115"/>
      <c r="I144" s="578"/>
      <c r="J144" s="115"/>
      <c r="K144" s="578"/>
    </row>
    <row r="145" spans="1:11" s="203" customFormat="1" ht="78.75" x14ac:dyDescent="0.25">
      <c r="A145" s="579" t="s">
        <v>127</v>
      </c>
      <c r="B145" s="580" t="s">
        <v>118</v>
      </c>
      <c r="C145" s="580" t="s">
        <v>140</v>
      </c>
      <c r="D145" s="580" t="s">
        <v>956</v>
      </c>
      <c r="E145" s="580" t="s">
        <v>128</v>
      </c>
      <c r="F145" s="489">
        <f>F146</f>
        <v>1118</v>
      </c>
      <c r="G145" s="578"/>
      <c r="H145" s="115"/>
      <c r="I145" s="578"/>
      <c r="J145" s="115"/>
      <c r="K145" s="578"/>
    </row>
    <row r="146" spans="1:11" s="203" customFormat="1" ht="15.75" x14ac:dyDescent="0.25">
      <c r="A146" s="579" t="s">
        <v>208</v>
      </c>
      <c r="B146" s="580" t="s">
        <v>118</v>
      </c>
      <c r="C146" s="580" t="s">
        <v>140</v>
      </c>
      <c r="D146" s="580" t="s">
        <v>956</v>
      </c>
      <c r="E146" s="580" t="s">
        <v>209</v>
      </c>
      <c r="F146" s="489">
        <f>'Пр.4 ведом.22'!G918</f>
        <v>1118</v>
      </c>
      <c r="G146" s="578"/>
      <c r="H146" s="115"/>
      <c r="I146" s="578"/>
      <c r="J146" s="115"/>
      <c r="K146" s="578"/>
    </row>
    <row r="147" spans="1:11" s="203" customFormat="1" ht="15.75" x14ac:dyDescent="0.25">
      <c r="A147" s="579" t="s">
        <v>801</v>
      </c>
      <c r="B147" s="580" t="s">
        <v>118</v>
      </c>
      <c r="C147" s="580" t="s">
        <v>140</v>
      </c>
      <c r="D147" s="580" t="s">
        <v>955</v>
      </c>
      <c r="E147" s="580"/>
      <c r="F147" s="386">
        <f t="shared" ref="F147" si="22">F148+F150+F152</f>
        <v>43829.439999999995</v>
      </c>
      <c r="G147" s="578"/>
      <c r="H147" s="115"/>
      <c r="I147" s="578"/>
      <c r="J147" s="115"/>
      <c r="K147" s="578"/>
    </row>
    <row r="148" spans="1:11" s="203" customFormat="1" ht="78.75" x14ac:dyDescent="0.25">
      <c r="A148" s="579" t="s">
        <v>127</v>
      </c>
      <c r="B148" s="580" t="s">
        <v>118</v>
      </c>
      <c r="C148" s="580" t="s">
        <v>140</v>
      </c>
      <c r="D148" s="580" t="s">
        <v>955</v>
      </c>
      <c r="E148" s="580" t="s">
        <v>128</v>
      </c>
      <c r="F148" s="386">
        <f t="shared" ref="F148" si="23">F149</f>
        <v>34371.339999999997</v>
      </c>
      <c r="G148" s="578"/>
      <c r="H148" s="115"/>
      <c r="I148" s="578"/>
      <c r="J148" s="115"/>
      <c r="K148" s="578"/>
    </row>
    <row r="149" spans="1:11" s="203" customFormat="1" ht="35.25" customHeight="1" x14ac:dyDescent="0.25">
      <c r="A149" s="579" t="s">
        <v>208</v>
      </c>
      <c r="B149" s="580" t="s">
        <v>118</v>
      </c>
      <c r="C149" s="580" t="s">
        <v>140</v>
      </c>
      <c r="D149" s="580" t="s">
        <v>955</v>
      </c>
      <c r="E149" s="580" t="s">
        <v>209</v>
      </c>
      <c r="F149" s="386">
        <f>'Пр.4 ведом.22'!G921</f>
        <v>34371.339999999997</v>
      </c>
      <c r="G149" s="578"/>
      <c r="H149" s="115"/>
      <c r="I149" s="578"/>
      <c r="J149" s="115"/>
      <c r="K149" s="578"/>
    </row>
    <row r="150" spans="1:11" s="203" customFormat="1" ht="31.5" x14ac:dyDescent="0.25">
      <c r="A150" s="579" t="s">
        <v>131</v>
      </c>
      <c r="B150" s="580" t="s">
        <v>118</v>
      </c>
      <c r="C150" s="580" t="s">
        <v>140</v>
      </c>
      <c r="D150" s="580" t="s">
        <v>955</v>
      </c>
      <c r="E150" s="580" t="s">
        <v>132</v>
      </c>
      <c r="F150" s="386">
        <f t="shared" ref="F150" si="24">F151</f>
        <v>9037.0999999999985</v>
      </c>
      <c r="G150" s="578"/>
      <c r="H150" s="115"/>
      <c r="I150" s="578"/>
      <c r="J150" s="115"/>
      <c r="K150" s="578"/>
    </row>
    <row r="151" spans="1:11" s="203" customFormat="1" ht="31.5" x14ac:dyDescent="0.25">
      <c r="A151" s="579" t="s">
        <v>133</v>
      </c>
      <c r="B151" s="580" t="s">
        <v>118</v>
      </c>
      <c r="C151" s="580" t="s">
        <v>140</v>
      </c>
      <c r="D151" s="580" t="s">
        <v>955</v>
      </c>
      <c r="E151" s="580" t="s">
        <v>134</v>
      </c>
      <c r="F151" s="386">
        <f>'Пр.4 ведом.22'!G923</f>
        <v>9037.0999999999985</v>
      </c>
      <c r="G151" s="578"/>
      <c r="H151" s="115"/>
      <c r="I151" s="578"/>
      <c r="J151" s="115"/>
      <c r="K151" s="578"/>
    </row>
    <row r="152" spans="1:11" s="203" customFormat="1" ht="15.75" x14ac:dyDescent="0.25">
      <c r="A152" s="579" t="s">
        <v>135</v>
      </c>
      <c r="B152" s="580" t="s">
        <v>118</v>
      </c>
      <c r="C152" s="580" t="s">
        <v>140</v>
      </c>
      <c r="D152" s="580" t="s">
        <v>955</v>
      </c>
      <c r="E152" s="580" t="s">
        <v>145</v>
      </c>
      <c r="F152" s="386">
        <f t="shared" ref="F152" si="25">F153</f>
        <v>421</v>
      </c>
      <c r="G152" s="578"/>
      <c r="H152" s="115"/>
      <c r="I152" s="578"/>
      <c r="J152" s="115"/>
      <c r="K152" s="578"/>
    </row>
    <row r="153" spans="1:11" s="203" customFormat="1" ht="15.75" x14ac:dyDescent="0.25">
      <c r="A153" s="579" t="s">
        <v>704</v>
      </c>
      <c r="B153" s="580" t="s">
        <v>118</v>
      </c>
      <c r="C153" s="580" t="s">
        <v>140</v>
      </c>
      <c r="D153" s="580" t="s">
        <v>955</v>
      </c>
      <c r="E153" s="580" t="s">
        <v>138</v>
      </c>
      <c r="F153" s="386">
        <f>'Пр.4 ведом.22'!G925</f>
        <v>421</v>
      </c>
      <c r="G153" s="578"/>
      <c r="H153" s="115"/>
      <c r="I153" s="578"/>
      <c r="J153" s="115"/>
      <c r="K153" s="578"/>
    </row>
    <row r="154" spans="1:11" s="203" customFormat="1" ht="31.5" x14ac:dyDescent="0.25">
      <c r="A154" s="494" t="s">
        <v>870</v>
      </c>
      <c r="B154" s="495" t="s">
        <v>118</v>
      </c>
      <c r="C154" s="495" t="s">
        <v>140</v>
      </c>
      <c r="D154" s="495" t="s">
        <v>865</v>
      </c>
      <c r="E154" s="495"/>
      <c r="F154" s="488">
        <f>F155+F160</f>
        <v>5928.7</v>
      </c>
      <c r="G154" s="578"/>
      <c r="H154" s="115"/>
      <c r="I154" s="578"/>
      <c r="J154" s="115"/>
      <c r="K154" s="578"/>
    </row>
    <row r="155" spans="1:11" s="203" customFormat="1" ht="47.25" x14ac:dyDescent="0.25">
      <c r="A155" s="579" t="s">
        <v>388</v>
      </c>
      <c r="B155" s="580" t="s">
        <v>118</v>
      </c>
      <c r="C155" s="580" t="s">
        <v>140</v>
      </c>
      <c r="D155" s="580" t="s">
        <v>1011</v>
      </c>
      <c r="E155" s="580"/>
      <c r="F155" s="489">
        <f>F156+F158</f>
        <v>5928.7</v>
      </c>
      <c r="G155" s="578"/>
      <c r="H155" s="115"/>
      <c r="I155" s="578"/>
      <c r="J155" s="115"/>
      <c r="K155" s="578"/>
    </row>
    <row r="156" spans="1:11" s="203" customFormat="1" ht="31.5" x14ac:dyDescent="0.25">
      <c r="A156" s="579" t="s">
        <v>131</v>
      </c>
      <c r="B156" s="580" t="s">
        <v>118</v>
      </c>
      <c r="C156" s="580" t="s">
        <v>140</v>
      </c>
      <c r="D156" s="580" t="s">
        <v>1011</v>
      </c>
      <c r="E156" s="580" t="s">
        <v>132</v>
      </c>
      <c r="F156" s="489">
        <f>F157</f>
        <v>5928.7</v>
      </c>
      <c r="G156" s="578"/>
      <c r="H156" s="115"/>
      <c r="I156" s="578"/>
      <c r="J156" s="115"/>
      <c r="K156" s="578"/>
    </row>
    <row r="157" spans="1:11" s="203" customFormat="1" ht="31.5" x14ac:dyDescent="0.25">
      <c r="A157" s="579" t="s">
        <v>133</v>
      </c>
      <c r="B157" s="580" t="s">
        <v>118</v>
      </c>
      <c r="C157" s="580" t="s">
        <v>140</v>
      </c>
      <c r="D157" s="580" t="s">
        <v>1011</v>
      </c>
      <c r="E157" s="580" t="s">
        <v>134</v>
      </c>
      <c r="F157" s="489">
        <f>'Пр.4 ведом.22'!G558</f>
        <v>5928.7</v>
      </c>
      <c r="G157" s="578"/>
      <c r="H157" s="115"/>
      <c r="I157" s="578"/>
      <c r="J157" s="115"/>
      <c r="K157" s="578"/>
    </row>
    <row r="158" spans="1:11" s="487" customFormat="1" ht="15.75" hidden="1" x14ac:dyDescent="0.25">
      <c r="A158" s="579" t="s">
        <v>135</v>
      </c>
      <c r="B158" s="580" t="s">
        <v>118</v>
      </c>
      <c r="C158" s="580" t="s">
        <v>140</v>
      </c>
      <c r="D158" s="580" t="s">
        <v>1011</v>
      </c>
      <c r="E158" s="580" t="s">
        <v>145</v>
      </c>
      <c r="F158" s="489">
        <f>F159</f>
        <v>0</v>
      </c>
      <c r="G158" s="578"/>
      <c r="H158" s="115"/>
      <c r="I158" s="578"/>
      <c r="J158" s="115"/>
      <c r="K158" s="578"/>
    </row>
    <row r="159" spans="1:11" s="487" customFormat="1" ht="47.25" hidden="1" x14ac:dyDescent="0.25">
      <c r="A159" s="579" t="s">
        <v>836</v>
      </c>
      <c r="B159" s="580" t="s">
        <v>118</v>
      </c>
      <c r="C159" s="580" t="s">
        <v>140</v>
      </c>
      <c r="D159" s="580" t="s">
        <v>1011</v>
      </c>
      <c r="E159" s="580" t="s">
        <v>147</v>
      </c>
      <c r="F159" s="489">
        <f>'Пр.4 ведом.22'!G560</f>
        <v>0</v>
      </c>
      <c r="G159" s="578"/>
      <c r="H159" s="115"/>
      <c r="I159" s="578"/>
      <c r="J159" s="115"/>
      <c r="K159" s="578"/>
    </row>
    <row r="160" spans="1:11" s="203" customFormat="1" ht="31.5" hidden="1" x14ac:dyDescent="0.25">
      <c r="A160" s="579" t="s">
        <v>931</v>
      </c>
      <c r="B160" s="580" t="s">
        <v>118</v>
      </c>
      <c r="C160" s="580" t="s">
        <v>140</v>
      </c>
      <c r="D160" s="580" t="s">
        <v>1012</v>
      </c>
      <c r="E160" s="580"/>
      <c r="F160" s="489">
        <f>F161</f>
        <v>0</v>
      </c>
      <c r="G160" s="578"/>
      <c r="H160" s="115"/>
      <c r="I160" s="578"/>
      <c r="J160" s="115"/>
      <c r="K160" s="578"/>
    </row>
    <row r="161" spans="1:11" s="203" customFormat="1" ht="31.5" hidden="1" x14ac:dyDescent="0.25">
      <c r="A161" s="579" t="s">
        <v>131</v>
      </c>
      <c r="B161" s="580" t="s">
        <v>118</v>
      </c>
      <c r="C161" s="580" t="s">
        <v>140</v>
      </c>
      <c r="D161" s="580" t="s">
        <v>1012</v>
      </c>
      <c r="E161" s="580" t="s">
        <v>132</v>
      </c>
      <c r="F161" s="489">
        <f>F162</f>
        <v>0</v>
      </c>
      <c r="G161" s="578"/>
      <c r="H161" s="115"/>
      <c r="I161" s="578"/>
      <c r="J161" s="115"/>
      <c r="K161" s="578"/>
    </row>
    <row r="162" spans="1:11" s="203" customFormat="1" ht="31.5" hidden="1" x14ac:dyDescent="0.25">
      <c r="A162" s="579" t="s">
        <v>133</v>
      </c>
      <c r="B162" s="580" t="s">
        <v>118</v>
      </c>
      <c r="C162" s="580" t="s">
        <v>140</v>
      </c>
      <c r="D162" s="580" t="s">
        <v>1012</v>
      </c>
      <c r="E162" s="580" t="s">
        <v>134</v>
      </c>
      <c r="F162" s="489">
        <f>'Пр.4 ведом.22'!G563</f>
        <v>0</v>
      </c>
      <c r="G162" s="578"/>
      <c r="H162" s="115"/>
      <c r="I162" s="578"/>
      <c r="J162" s="115"/>
      <c r="K162" s="578"/>
    </row>
    <row r="163" spans="1:11" s="203" customFormat="1" ht="31.5" x14ac:dyDescent="0.25">
      <c r="A163" s="494" t="s">
        <v>922</v>
      </c>
      <c r="B163" s="495" t="s">
        <v>118</v>
      </c>
      <c r="C163" s="495" t="s">
        <v>140</v>
      </c>
      <c r="D163" s="495" t="s">
        <v>867</v>
      </c>
      <c r="E163" s="495"/>
      <c r="F163" s="488">
        <f>F164+F169</f>
        <v>6026.7</v>
      </c>
      <c r="G163" s="578"/>
      <c r="H163" s="115"/>
      <c r="I163" s="578"/>
      <c r="J163" s="115"/>
      <c r="K163" s="578"/>
    </row>
    <row r="164" spans="1:11" s="203" customFormat="1" ht="31.5" x14ac:dyDescent="0.25">
      <c r="A164" s="579" t="s">
        <v>928</v>
      </c>
      <c r="B164" s="580" t="s">
        <v>118</v>
      </c>
      <c r="C164" s="580" t="s">
        <v>140</v>
      </c>
      <c r="D164" s="580" t="s">
        <v>868</v>
      </c>
      <c r="E164" s="580"/>
      <c r="F164" s="489">
        <f>F165+F167</f>
        <v>5897.7</v>
      </c>
      <c r="G164" s="230">
        <f>F164+F169</f>
        <v>6026.7</v>
      </c>
      <c r="H164" s="115"/>
      <c r="I164" s="578"/>
      <c r="J164" s="115"/>
      <c r="K164" s="578"/>
    </row>
    <row r="165" spans="1:11" s="203" customFormat="1" ht="78.75" x14ac:dyDescent="0.25">
      <c r="A165" s="579" t="s">
        <v>127</v>
      </c>
      <c r="B165" s="580" t="s">
        <v>118</v>
      </c>
      <c r="C165" s="580" t="s">
        <v>140</v>
      </c>
      <c r="D165" s="580" t="s">
        <v>868</v>
      </c>
      <c r="E165" s="580" t="s">
        <v>128</v>
      </c>
      <c r="F165" s="489">
        <f>F166</f>
        <v>4548.3999999999996</v>
      </c>
      <c r="G165" s="578"/>
      <c r="H165" s="115"/>
      <c r="I165" s="578"/>
      <c r="J165" s="115"/>
      <c r="K165" s="578"/>
    </row>
    <row r="166" spans="1:11" s="203" customFormat="1" ht="31.5" x14ac:dyDescent="0.25">
      <c r="A166" s="579" t="s">
        <v>129</v>
      </c>
      <c r="B166" s="580" t="s">
        <v>118</v>
      </c>
      <c r="C166" s="580" t="s">
        <v>140</v>
      </c>
      <c r="D166" s="580" t="s">
        <v>868</v>
      </c>
      <c r="E166" s="580" t="s">
        <v>130</v>
      </c>
      <c r="F166" s="489">
        <f>'Пр.4 ведом.22'!G129</f>
        <v>4548.3999999999996</v>
      </c>
      <c r="G166" s="578"/>
      <c r="H166" s="115"/>
      <c r="I166" s="578"/>
      <c r="J166" s="115"/>
      <c r="K166" s="578"/>
    </row>
    <row r="167" spans="1:11" s="203" customFormat="1" ht="31.5" x14ac:dyDescent="0.25">
      <c r="A167" s="579" t="s">
        <v>198</v>
      </c>
      <c r="B167" s="580" t="s">
        <v>118</v>
      </c>
      <c r="C167" s="580" t="s">
        <v>140</v>
      </c>
      <c r="D167" s="580" t="s">
        <v>868</v>
      </c>
      <c r="E167" s="580" t="s">
        <v>132</v>
      </c>
      <c r="F167" s="489">
        <f>F168</f>
        <v>1349.3</v>
      </c>
      <c r="G167" s="578"/>
      <c r="H167" s="115"/>
      <c r="I167" s="578"/>
      <c r="J167" s="115"/>
      <c r="K167" s="578"/>
    </row>
    <row r="168" spans="1:11" s="203" customFormat="1" ht="31.5" x14ac:dyDescent="0.25">
      <c r="A168" s="579" t="s">
        <v>133</v>
      </c>
      <c r="B168" s="580" t="s">
        <v>118</v>
      </c>
      <c r="C168" s="580" t="s">
        <v>140</v>
      </c>
      <c r="D168" s="580" t="s">
        <v>868</v>
      </c>
      <c r="E168" s="580" t="s">
        <v>134</v>
      </c>
      <c r="F168" s="489">
        <f>'Пр.4 ведом.22'!G131</f>
        <v>1349.3</v>
      </c>
      <c r="G168" s="578"/>
      <c r="H168" s="115"/>
      <c r="I168" s="578"/>
      <c r="J168" s="115"/>
      <c r="K168" s="578"/>
    </row>
    <row r="169" spans="1:11" s="203" customFormat="1" ht="47.25" x14ac:dyDescent="0.25">
      <c r="A169" s="579" t="s">
        <v>839</v>
      </c>
      <c r="B169" s="580" t="s">
        <v>118</v>
      </c>
      <c r="C169" s="580" t="s">
        <v>140</v>
      </c>
      <c r="D169" s="580" t="s">
        <v>869</v>
      </c>
      <c r="E169" s="580"/>
      <c r="F169" s="489">
        <f>F170</f>
        <v>129</v>
      </c>
      <c r="G169" s="578"/>
      <c r="H169" s="115"/>
      <c r="I169" s="578"/>
      <c r="J169" s="115"/>
      <c r="K169" s="578"/>
    </row>
    <row r="170" spans="1:11" s="203" customFormat="1" ht="78.75" x14ac:dyDescent="0.25">
      <c r="A170" s="579" t="s">
        <v>127</v>
      </c>
      <c r="B170" s="580" t="s">
        <v>118</v>
      </c>
      <c r="C170" s="580" t="s">
        <v>140</v>
      </c>
      <c r="D170" s="580" t="s">
        <v>869</v>
      </c>
      <c r="E170" s="580" t="s">
        <v>128</v>
      </c>
      <c r="F170" s="489">
        <f>F171</f>
        <v>129</v>
      </c>
      <c r="G170" s="578"/>
      <c r="H170" s="115"/>
      <c r="I170" s="578"/>
      <c r="J170" s="115"/>
      <c r="K170" s="578"/>
    </row>
    <row r="171" spans="1:11" s="203" customFormat="1" ht="31.5" x14ac:dyDescent="0.25">
      <c r="A171" s="579" t="s">
        <v>129</v>
      </c>
      <c r="B171" s="580" t="s">
        <v>118</v>
      </c>
      <c r="C171" s="580" t="s">
        <v>140</v>
      </c>
      <c r="D171" s="580" t="s">
        <v>869</v>
      </c>
      <c r="E171" s="580" t="s">
        <v>130</v>
      </c>
      <c r="F171" s="489">
        <f>'Пр.4 ведом.22'!G134</f>
        <v>129</v>
      </c>
      <c r="G171" s="578"/>
      <c r="H171" s="115"/>
      <c r="I171" s="578"/>
      <c r="J171" s="115"/>
      <c r="K171" s="578"/>
    </row>
    <row r="172" spans="1:11" ht="47.25" x14ac:dyDescent="0.25">
      <c r="A172" s="494" t="s">
        <v>1372</v>
      </c>
      <c r="B172" s="7" t="s">
        <v>118</v>
      </c>
      <c r="C172" s="7" t="s">
        <v>140</v>
      </c>
      <c r="D172" s="7" t="s">
        <v>344</v>
      </c>
      <c r="E172" s="7"/>
      <c r="F172" s="488">
        <f>F173</f>
        <v>764.8</v>
      </c>
      <c r="G172" s="115"/>
    </row>
    <row r="173" spans="1:11" ht="78.75" x14ac:dyDescent="0.25">
      <c r="A173" s="572" t="s">
        <v>1348</v>
      </c>
      <c r="B173" s="7" t="s">
        <v>118</v>
      </c>
      <c r="C173" s="7" t="s">
        <v>140</v>
      </c>
      <c r="D173" s="7" t="s">
        <v>359</v>
      </c>
      <c r="E173" s="7"/>
      <c r="F173" s="488">
        <f>F174</f>
        <v>764.8</v>
      </c>
      <c r="G173" s="115"/>
    </row>
    <row r="174" spans="1:11" s="203" customFormat="1" ht="63" x14ac:dyDescent="0.25">
      <c r="A174" s="250" t="s">
        <v>1044</v>
      </c>
      <c r="B174" s="7" t="s">
        <v>118</v>
      </c>
      <c r="C174" s="7" t="s">
        <v>140</v>
      </c>
      <c r="D174" s="7" t="s">
        <v>909</v>
      </c>
      <c r="E174" s="7"/>
      <c r="F174" s="488">
        <f>F175+F178+F181</f>
        <v>764.8</v>
      </c>
      <c r="G174" s="115"/>
      <c r="H174" s="578"/>
      <c r="I174" s="578"/>
      <c r="J174" s="578"/>
      <c r="K174" s="578"/>
    </row>
    <row r="175" spans="1:11" ht="31.5" x14ac:dyDescent="0.25">
      <c r="A175" s="98" t="s">
        <v>1095</v>
      </c>
      <c r="B175" s="573" t="s">
        <v>118</v>
      </c>
      <c r="C175" s="573" t="s">
        <v>140</v>
      </c>
      <c r="D175" s="573" t="s">
        <v>1198</v>
      </c>
      <c r="E175" s="573"/>
      <c r="F175" s="489">
        <f t="shared" ref="F175:F176" si="26">F176</f>
        <v>447.3</v>
      </c>
    </row>
    <row r="176" spans="1:11" ht="31.5" x14ac:dyDescent="0.25">
      <c r="A176" s="29" t="s">
        <v>131</v>
      </c>
      <c r="B176" s="573" t="s">
        <v>118</v>
      </c>
      <c r="C176" s="573" t="s">
        <v>140</v>
      </c>
      <c r="D176" s="573" t="s">
        <v>1198</v>
      </c>
      <c r="E176" s="573" t="s">
        <v>132</v>
      </c>
      <c r="F176" s="489">
        <f t="shared" si="26"/>
        <v>447.3</v>
      </c>
    </row>
    <row r="177" spans="1:11" ht="31.5" x14ac:dyDescent="0.25">
      <c r="A177" s="29" t="s">
        <v>133</v>
      </c>
      <c r="B177" s="573" t="s">
        <v>118</v>
      </c>
      <c r="C177" s="573" t="s">
        <v>140</v>
      </c>
      <c r="D177" s="573" t="s">
        <v>1198</v>
      </c>
      <c r="E177" s="573" t="s">
        <v>134</v>
      </c>
      <c r="F177" s="489">
        <f>'Пр.4 ведом.22'!G248</f>
        <v>447.3</v>
      </c>
    </row>
    <row r="178" spans="1:11" s="462" customFormat="1" ht="31.5" x14ac:dyDescent="0.25">
      <c r="A178" s="45" t="s">
        <v>1622</v>
      </c>
      <c r="B178" s="573" t="s">
        <v>118</v>
      </c>
      <c r="C178" s="573" t="s">
        <v>140</v>
      </c>
      <c r="D178" s="573" t="s">
        <v>1656</v>
      </c>
      <c r="E178" s="573"/>
      <c r="F178" s="489">
        <f>F179</f>
        <v>208.6</v>
      </c>
      <c r="G178" s="578"/>
      <c r="H178" s="578"/>
      <c r="I178" s="578"/>
      <c r="J178" s="578"/>
      <c r="K178" s="578"/>
    </row>
    <row r="179" spans="1:11" s="462" customFormat="1" ht="31.5" x14ac:dyDescent="0.25">
      <c r="A179" s="29" t="s">
        <v>131</v>
      </c>
      <c r="B179" s="573" t="s">
        <v>118</v>
      </c>
      <c r="C179" s="573" t="s">
        <v>140</v>
      </c>
      <c r="D179" s="573" t="s">
        <v>1656</v>
      </c>
      <c r="E179" s="573" t="s">
        <v>132</v>
      </c>
      <c r="F179" s="489">
        <f>F180</f>
        <v>208.6</v>
      </c>
      <c r="G179" s="578"/>
      <c r="H179" s="578"/>
      <c r="I179" s="578"/>
      <c r="J179" s="578"/>
      <c r="K179" s="578"/>
    </row>
    <row r="180" spans="1:11" s="462" customFormat="1" ht="31.5" x14ac:dyDescent="0.25">
      <c r="A180" s="29" t="s">
        <v>133</v>
      </c>
      <c r="B180" s="573" t="s">
        <v>118</v>
      </c>
      <c r="C180" s="573" t="s">
        <v>140</v>
      </c>
      <c r="D180" s="573" t="s">
        <v>1656</v>
      </c>
      <c r="E180" s="573" t="s">
        <v>134</v>
      </c>
      <c r="F180" s="489">
        <f>'Пр.4 ведом.22'!G251</f>
        <v>208.6</v>
      </c>
      <c r="G180" s="578"/>
      <c r="H180" s="578"/>
      <c r="I180" s="578"/>
      <c r="J180" s="578"/>
      <c r="K180" s="578"/>
    </row>
    <row r="181" spans="1:11" s="576" customFormat="1" ht="31.5" x14ac:dyDescent="0.25">
      <c r="A181" s="29" t="s">
        <v>1750</v>
      </c>
      <c r="B181" s="573" t="s">
        <v>118</v>
      </c>
      <c r="C181" s="573" t="s">
        <v>140</v>
      </c>
      <c r="D181" s="9" t="s">
        <v>1751</v>
      </c>
      <c r="E181" s="573"/>
      <c r="F181" s="489">
        <f>F182</f>
        <v>108.9</v>
      </c>
      <c r="G181" s="578"/>
      <c r="H181" s="578"/>
      <c r="I181" s="578"/>
      <c r="J181" s="578"/>
      <c r="K181" s="578"/>
    </row>
    <row r="182" spans="1:11" s="576" customFormat="1" ht="31.5" x14ac:dyDescent="0.25">
      <c r="A182" s="29" t="s">
        <v>131</v>
      </c>
      <c r="B182" s="573" t="s">
        <v>118</v>
      </c>
      <c r="C182" s="573" t="s">
        <v>140</v>
      </c>
      <c r="D182" s="9" t="s">
        <v>1751</v>
      </c>
      <c r="E182" s="573" t="s">
        <v>132</v>
      </c>
      <c r="F182" s="489">
        <f>F183</f>
        <v>108.9</v>
      </c>
      <c r="G182" s="578"/>
      <c r="H182" s="578"/>
      <c r="I182" s="578"/>
      <c r="J182" s="578"/>
      <c r="K182" s="578"/>
    </row>
    <row r="183" spans="1:11" s="576" customFormat="1" ht="31.5" x14ac:dyDescent="0.25">
      <c r="A183" s="29" t="s">
        <v>133</v>
      </c>
      <c r="B183" s="573" t="s">
        <v>118</v>
      </c>
      <c r="C183" s="573" t="s">
        <v>140</v>
      </c>
      <c r="D183" s="9" t="s">
        <v>1751</v>
      </c>
      <c r="E183" s="573" t="s">
        <v>134</v>
      </c>
      <c r="F183" s="489">
        <f>'Пр.4 ведом.22'!G254</f>
        <v>108.9</v>
      </c>
      <c r="G183" s="578"/>
      <c r="H183" s="578"/>
      <c r="I183" s="578"/>
      <c r="J183" s="578"/>
      <c r="K183" s="578"/>
    </row>
    <row r="184" spans="1:11" s="576" customFormat="1" ht="47.25" x14ac:dyDescent="0.25">
      <c r="A184" s="494" t="s">
        <v>1357</v>
      </c>
      <c r="B184" s="495" t="s">
        <v>118</v>
      </c>
      <c r="C184" s="495" t="s">
        <v>140</v>
      </c>
      <c r="D184" s="495" t="s">
        <v>324</v>
      </c>
      <c r="E184" s="495"/>
      <c r="F184" s="488">
        <f>F185</f>
        <v>12</v>
      </c>
      <c r="G184" s="578"/>
      <c r="H184" s="578"/>
      <c r="I184" s="578"/>
      <c r="J184" s="578"/>
      <c r="K184" s="578"/>
    </row>
    <row r="185" spans="1:11" s="576" customFormat="1" ht="47.25" x14ac:dyDescent="0.25">
      <c r="A185" s="579" t="s">
        <v>1080</v>
      </c>
      <c r="B185" s="580" t="s">
        <v>118</v>
      </c>
      <c r="C185" s="580" t="s">
        <v>140</v>
      </c>
      <c r="D185" s="580" t="s">
        <v>1026</v>
      </c>
      <c r="E185" s="580"/>
      <c r="F185" s="489">
        <f>F186</f>
        <v>12</v>
      </c>
      <c r="G185" s="578"/>
      <c r="H185" s="578"/>
      <c r="I185" s="578"/>
      <c r="J185" s="578"/>
      <c r="K185" s="578"/>
    </row>
    <row r="186" spans="1:11" s="576" customFormat="1" ht="31.5" x14ac:dyDescent="0.25">
      <c r="A186" s="579" t="s">
        <v>198</v>
      </c>
      <c r="B186" s="580" t="s">
        <v>118</v>
      </c>
      <c r="C186" s="580" t="s">
        <v>140</v>
      </c>
      <c r="D186" s="580" t="s">
        <v>1026</v>
      </c>
      <c r="E186" s="580" t="s">
        <v>132</v>
      </c>
      <c r="F186" s="489">
        <f>F187</f>
        <v>12</v>
      </c>
      <c r="G186" s="578"/>
      <c r="H186" s="578"/>
      <c r="I186" s="578"/>
      <c r="J186" s="578"/>
      <c r="K186" s="578"/>
    </row>
    <row r="187" spans="1:11" s="576" customFormat="1" ht="31.5" x14ac:dyDescent="0.25">
      <c r="A187" s="579" t="s">
        <v>133</v>
      </c>
      <c r="B187" s="580" t="s">
        <v>118</v>
      </c>
      <c r="C187" s="580" t="s">
        <v>140</v>
      </c>
      <c r="D187" s="580" t="s">
        <v>1026</v>
      </c>
      <c r="E187" s="580" t="s">
        <v>134</v>
      </c>
      <c r="F187" s="489">
        <f>'Пр.4 ведом.22'!G138</f>
        <v>12</v>
      </c>
      <c r="G187" s="578"/>
      <c r="H187" s="578"/>
      <c r="I187" s="578"/>
      <c r="J187" s="578"/>
      <c r="K187" s="578"/>
    </row>
    <row r="188" spans="1:11" ht="47.25" x14ac:dyDescent="0.25">
      <c r="A188" s="494" t="s">
        <v>1349</v>
      </c>
      <c r="B188" s="495" t="s">
        <v>118</v>
      </c>
      <c r="C188" s="495" t="s">
        <v>140</v>
      </c>
      <c r="D188" s="495" t="s">
        <v>335</v>
      </c>
      <c r="E188" s="495"/>
      <c r="F188" s="59">
        <f>F189</f>
        <v>120</v>
      </c>
    </row>
    <row r="189" spans="1:11" ht="31.5" x14ac:dyDescent="0.25">
      <c r="A189" s="494" t="s">
        <v>1049</v>
      </c>
      <c r="B189" s="495" t="s">
        <v>118</v>
      </c>
      <c r="C189" s="495" t="s">
        <v>140</v>
      </c>
      <c r="D189" s="495" t="s">
        <v>1050</v>
      </c>
      <c r="E189" s="495"/>
      <c r="F189" s="59">
        <f>F190+F193+F196+F199+F202</f>
        <v>120</v>
      </c>
    </row>
    <row r="190" spans="1:11" ht="31.5" x14ac:dyDescent="0.25">
      <c r="A190" s="97" t="s">
        <v>336</v>
      </c>
      <c r="B190" s="580" t="s">
        <v>118</v>
      </c>
      <c r="C190" s="580" t="s">
        <v>140</v>
      </c>
      <c r="D190" s="580" t="s">
        <v>1051</v>
      </c>
      <c r="E190" s="580"/>
      <c r="F190" s="10">
        <f t="shared" ref="F190" si="27">F191</f>
        <v>100</v>
      </c>
    </row>
    <row r="191" spans="1:11" ht="31.5" x14ac:dyDescent="0.25">
      <c r="A191" s="579" t="s">
        <v>131</v>
      </c>
      <c r="B191" s="580" t="s">
        <v>118</v>
      </c>
      <c r="C191" s="580" t="s">
        <v>140</v>
      </c>
      <c r="D191" s="580" t="s">
        <v>1051</v>
      </c>
      <c r="E191" s="580" t="s">
        <v>132</v>
      </c>
      <c r="F191" s="10">
        <f>F192</f>
        <v>100</v>
      </c>
    </row>
    <row r="192" spans="1:11" ht="31.5" x14ac:dyDescent="0.25">
      <c r="A192" s="579" t="s">
        <v>133</v>
      </c>
      <c r="B192" s="580" t="s">
        <v>118</v>
      </c>
      <c r="C192" s="580" t="s">
        <v>140</v>
      </c>
      <c r="D192" s="580" t="s">
        <v>1051</v>
      </c>
      <c r="E192" s="580" t="s">
        <v>134</v>
      </c>
      <c r="F192" s="10">
        <f>'Пр.4 ведом.22'!G592+'Пр.4 ведом.22'!G259+'Пр.4 ведом.22'!G827</f>
        <v>100</v>
      </c>
    </row>
    <row r="193" spans="1:11" ht="31.5" x14ac:dyDescent="0.25">
      <c r="A193" s="579" t="s">
        <v>338</v>
      </c>
      <c r="B193" s="580" t="s">
        <v>118</v>
      </c>
      <c r="C193" s="580" t="s">
        <v>140</v>
      </c>
      <c r="D193" s="580" t="s">
        <v>1052</v>
      </c>
      <c r="E193" s="580"/>
      <c r="F193" s="10">
        <f>F194</f>
        <v>20</v>
      </c>
    </row>
    <row r="194" spans="1:11" ht="31.5" x14ac:dyDescent="0.25">
      <c r="A194" s="579" t="s">
        <v>131</v>
      </c>
      <c r="B194" s="580" t="s">
        <v>118</v>
      </c>
      <c r="C194" s="580" t="s">
        <v>140</v>
      </c>
      <c r="D194" s="580" t="s">
        <v>1052</v>
      </c>
      <c r="E194" s="580" t="s">
        <v>132</v>
      </c>
      <c r="F194" s="10">
        <f>F195</f>
        <v>20</v>
      </c>
    </row>
    <row r="195" spans="1:11" ht="39.200000000000003" customHeight="1" x14ac:dyDescent="0.25">
      <c r="A195" s="579" t="s">
        <v>133</v>
      </c>
      <c r="B195" s="580" t="s">
        <v>118</v>
      </c>
      <c r="C195" s="580" t="s">
        <v>140</v>
      </c>
      <c r="D195" s="580" t="s">
        <v>1052</v>
      </c>
      <c r="E195" s="580" t="s">
        <v>134</v>
      </c>
      <c r="F195" s="10">
        <f>'Пр.4 ведом.22'!G262</f>
        <v>20</v>
      </c>
    </row>
    <row r="196" spans="1:11" ht="47.25" hidden="1" x14ac:dyDescent="0.25">
      <c r="A196" s="31" t="s">
        <v>771</v>
      </c>
      <c r="B196" s="580" t="s">
        <v>118</v>
      </c>
      <c r="C196" s="580" t="s">
        <v>140</v>
      </c>
      <c r="D196" s="580" t="s">
        <v>1053</v>
      </c>
      <c r="E196" s="580"/>
      <c r="F196" s="10">
        <f t="shared" ref="F196" si="28">F197</f>
        <v>0</v>
      </c>
    </row>
    <row r="197" spans="1:11" ht="31.5" hidden="1" x14ac:dyDescent="0.25">
      <c r="A197" s="579" t="s">
        <v>131</v>
      </c>
      <c r="B197" s="580" t="s">
        <v>118</v>
      </c>
      <c r="C197" s="580" t="s">
        <v>140</v>
      </c>
      <c r="D197" s="580" t="s">
        <v>1053</v>
      </c>
      <c r="E197" s="580" t="s">
        <v>132</v>
      </c>
      <c r="F197" s="10">
        <f>F198</f>
        <v>0</v>
      </c>
    </row>
    <row r="198" spans="1:11" ht="31.5" hidden="1" x14ac:dyDescent="0.25">
      <c r="A198" s="579" t="s">
        <v>133</v>
      </c>
      <c r="B198" s="580" t="s">
        <v>118</v>
      </c>
      <c r="C198" s="580" t="s">
        <v>140</v>
      </c>
      <c r="D198" s="580" t="s">
        <v>1053</v>
      </c>
      <c r="E198" s="580" t="s">
        <v>134</v>
      </c>
      <c r="F198" s="10">
        <f>'Пр.4 ведом.22'!G265</f>
        <v>0</v>
      </c>
    </row>
    <row r="199" spans="1:11" ht="15.75" hidden="1" x14ac:dyDescent="0.25">
      <c r="A199" s="579" t="s">
        <v>994</v>
      </c>
      <c r="B199" s="580" t="s">
        <v>118</v>
      </c>
      <c r="C199" s="580" t="s">
        <v>140</v>
      </c>
      <c r="D199" s="580" t="s">
        <v>1054</v>
      </c>
      <c r="E199" s="580"/>
      <c r="F199" s="10">
        <f t="shared" ref="F199" si="29">F200</f>
        <v>0</v>
      </c>
    </row>
    <row r="200" spans="1:11" ht="31.5" hidden="1" x14ac:dyDescent="0.25">
      <c r="A200" s="579" t="s">
        <v>131</v>
      </c>
      <c r="B200" s="580" t="s">
        <v>118</v>
      </c>
      <c r="C200" s="580" t="s">
        <v>140</v>
      </c>
      <c r="D200" s="580" t="s">
        <v>1054</v>
      </c>
      <c r="E200" s="580" t="s">
        <v>132</v>
      </c>
      <c r="F200" s="10">
        <f>F201</f>
        <v>0</v>
      </c>
    </row>
    <row r="201" spans="1:11" ht="31.5" hidden="1" x14ac:dyDescent="0.25">
      <c r="A201" s="579" t="s">
        <v>133</v>
      </c>
      <c r="B201" s="580" t="s">
        <v>118</v>
      </c>
      <c r="C201" s="580" t="s">
        <v>140</v>
      </c>
      <c r="D201" s="580" t="s">
        <v>1054</v>
      </c>
      <c r="E201" s="580" t="s">
        <v>134</v>
      </c>
      <c r="F201" s="10">
        <f>'Пр.4 ведом.22'!G268</f>
        <v>0</v>
      </c>
    </row>
    <row r="202" spans="1:11" ht="31.5" hidden="1" x14ac:dyDescent="0.25">
      <c r="A202" s="31" t="s">
        <v>772</v>
      </c>
      <c r="B202" s="580" t="s">
        <v>118</v>
      </c>
      <c r="C202" s="580" t="s">
        <v>140</v>
      </c>
      <c r="D202" s="580" t="s">
        <v>1055</v>
      </c>
      <c r="E202" s="580"/>
      <c r="F202" s="10">
        <f>F203</f>
        <v>0</v>
      </c>
    </row>
    <row r="203" spans="1:11" ht="31.5" hidden="1" x14ac:dyDescent="0.25">
      <c r="A203" s="579" t="s">
        <v>131</v>
      </c>
      <c r="B203" s="580" t="s">
        <v>118</v>
      </c>
      <c r="C203" s="580" t="s">
        <v>140</v>
      </c>
      <c r="D203" s="580" t="s">
        <v>1055</v>
      </c>
      <c r="E203" s="580" t="s">
        <v>132</v>
      </c>
      <c r="F203" s="10">
        <f>F204</f>
        <v>0</v>
      </c>
    </row>
    <row r="204" spans="1:11" ht="31.5" hidden="1" x14ac:dyDescent="0.25">
      <c r="A204" s="579" t="s">
        <v>133</v>
      </c>
      <c r="B204" s="580" t="s">
        <v>118</v>
      </c>
      <c r="C204" s="580" t="s">
        <v>140</v>
      </c>
      <c r="D204" s="580" t="s">
        <v>1055</v>
      </c>
      <c r="E204" s="580" t="s">
        <v>134</v>
      </c>
      <c r="F204" s="10">
        <f>'Пр.4 ведом.22'!G271</f>
        <v>0</v>
      </c>
    </row>
    <row r="205" spans="1:11" ht="47.25" x14ac:dyDescent="0.25">
      <c r="A205" s="572" t="s">
        <v>1352</v>
      </c>
      <c r="B205" s="8" t="s">
        <v>118</v>
      </c>
      <c r="C205" s="8" t="s">
        <v>140</v>
      </c>
      <c r="D205" s="495" t="s">
        <v>705</v>
      </c>
      <c r="E205" s="504"/>
      <c r="F205" s="59">
        <f>F206+F210</f>
        <v>58</v>
      </c>
    </row>
    <row r="206" spans="1:11" s="203" customFormat="1" ht="47.25" x14ac:dyDescent="0.25">
      <c r="A206" s="571" t="s">
        <v>846</v>
      </c>
      <c r="B206" s="495" t="s">
        <v>118</v>
      </c>
      <c r="C206" s="495" t="s">
        <v>140</v>
      </c>
      <c r="D206" s="495" t="s">
        <v>852</v>
      </c>
      <c r="E206" s="495"/>
      <c r="F206" s="59">
        <f>F207</f>
        <v>43</v>
      </c>
      <c r="G206" s="578"/>
      <c r="H206" s="578"/>
      <c r="I206" s="578"/>
      <c r="J206" s="578"/>
      <c r="K206" s="578"/>
    </row>
    <row r="207" spans="1:11" ht="39.75" customHeight="1" x14ac:dyDescent="0.25">
      <c r="A207" s="98" t="s">
        <v>776</v>
      </c>
      <c r="B207" s="580" t="s">
        <v>118</v>
      </c>
      <c r="C207" s="580" t="s">
        <v>140</v>
      </c>
      <c r="D207" s="580" t="s">
        <v>847</v>
      </c>
      <c r="E207" s="580"/>
      <c r="F207" s="10">
        <f t="shared" ref="F207:F208" si="30">F208</f>
        <v>43</v>
      </c>
    </row>
    <row r="208" spans="1:11" ht="31.5" x14ac:dyDescent="0.25">
      <c r="A208" s="579" t="s">
        <v>131</v>
      </c>
      <c r="B208" s="580" t="s">
        <v>118</v>
      </c>
      <c r="C208" s="580" t="s">
        <v>140</v>
      </c>
      <c r="D208" s="580" t="s">
        <v>847</v>
      </c>
      <c r="E208" s="580" t="s">
        <v>132</v>
      </c>
      <c r="F208" s="10">
        <f t="shared" si="30"/>
        <v>43</v>
      </c>
    </row>
    <row r="209" spans="1:11" ht="31.5" x14ac:dyDescent="0.25">
      <c r="A209" s="579" t="s">
        <v>133</v>
      </c>
      <c r="B209" s="580" t="s">
        <v>118</v>
      </c>
      <c r="C209" s="580" t="s">
        <v>140</v>
      </c>
      <c r="D209" s="580" t="s">
        <v>847</v>
      </c>
      <c r="E209" s="580" t="s">
        <v>134</v>
      </c>
      <c r="F209" s="10">
        <f>'Пр.4 ведом.22'!G276+'Пр.4 ведом.22'!G143</f>
        <v>43</v>
      </c>
    </row>
    <row r="210" spans="1:11" s="203" customFormat="1" ht="31.5" x14ac:dyDescent="0.25">
      <c r="A210" s="503" t="s">
        <v>1023</v>
      </c>
      <c r="B210" s="495" t="s">
        <v>118</v>
      </c>
      <c r="C210" s="495" t="s">
        <v>140</v>
      </c>
      <c r="D210" s="495" t="s">
        <v>853</v>
      </c>
      <c r="E210" s="504"/>
      <c r="F210" s="59">
        <f>F211</f>
        <v>15</v>
      </c>
      <c r="G210" s="578"/>
      <c r="H210" s="578"/>
      <c r="I210" s="578"/>
      <c r="J210" s="578"/>
      <c r="K210" s="578"/>
    </row>
    <row r="211" spans="1:11" ht="33" customHeight="1" x14ac:dyDescent="0.25">
      <c r="A211" s="98" t="s">
        <v>777</v>
      </c>
      <c r="B211" s="580" t="s">
        <v>118</v>
      </c>
      <c r="C211" s="580" t="s">
        <v>140</v>
      </c>
      <c r="D211" s="580" t="s">
        <v>848</v>
      </c>
      <c r="E211" s="498"/>
      <c r="F211" s="10">
        <f t="shared" ref="F211:F212" si="31">F212</f>
        <v>15</v>
      </c>
    </row>
    <row r="212" spans="1:11" ht="31.7" customHeight="1" x14ac:dyDescent="0.25">
      <c r="A212" s="579" t="s">
        <v>131</v>
      </c>
      <c r="B212" s="580" t="s">
        <v>118</v>
      </c>
      <c r="C212" s="580" t="s">
        <v>140</v>
      </c>
      <c r="D212" s="580" t="s">
        <v>848</v>
      </c>
      <c r="E212" s="498" t="s">
        <v>132</v>
      </c>
      <c r="F212" s="10">
        <f t="shared" si="31"/>
        <v>15</v>
      </c>
    </row>
    <row r="213" spans="1:11" ht="40.700000000000003" customHeight="1" x14ac:dyDescent="0.25">
      <c r="A213" s="579" t="s">
        <v>133</v>
      </c>
      <c r="B213" s="580" t="s">
        <v>118</v>
      </c>
      <c r="C213" s="580" t="s">
        <v>140</v>
      </c>
      <c r="D213" s="580" t="s">
        <v>848</v>
      </c>
      <c r="E213" s="498" t="s">
        <v>134</v>
      </c>
      <c r="F213" s="10">
        <f>'Пр.4 ведом.22'!G147</f>
        <v>15</v>
      </c>
    </row>
    <row r="214" spans="1:11" ht="63" hidden="1" x14ac:dyDescent="0.25">
      <c r="A214" s="217" t="s">
        <v>1529</v>
      </c>
      <c r="B214" s="495" t="s">
        <v>118</v>
      </c>
      <c r="C214" s="495" t="s">
        <v>140</v>
      </c>
      <c r="D214" s="495" t="s">
        <v>782</v>
      </c>
      <c r="E214" s="504"/>
      <c r="F214" s="59">
        <f>F216</f>
        <v>0</v>
      </c>
    </row>
    <row r="215" spans="1:11" s="203" customFormat="1" ht="31.5" hidden="1" x14ac:dyDescent="0.25">
      <c r="A215" s="494" t="s">
        <v>930</v>
      </c>
      <c r="B215" s="495" t="s">
        <v>118</v>
      </c>
      <c r="C215" s="495" t="s">
        <v>140</v>
      </c>
      <c r="D215" s="495" t="s">
        <v>1020</v>
      </c>
      <c r="E215" s="504"/>
      <c r="F215" s="59">
        <f>F216</f>
        <v>0</v>
      </c>
      <c r="G215" s="578"/>
      <c r="H215" s="578"/>
      <c r="I215" s="578"/>
      <c r="J215" s="578"/>
      <c r="K215" s="578"/>
    </row>
    <row r="216" spans="1:11" ht="31.5" hidden="1" x14ac:dyDescent="0.25">
      <c r="A216" s="182" t="s">
        <v>790</v>
      </c>
      <c r="B216" s="580" t="s">
        <v>118</v>
      </c>
      <c r="C216" s="580" t="s">
        <v>140</v>
      </c>
      <c r="D216" s="580" t="s">
        <v>1021</v>
      </c>
      <c r="E216" s="498"/>
      <c r="F216" s="10">
        <f>F217</f>
        <v>0</v>
      </c>
    </row>
    <row r="217" spans="1:11" ht="31.5" hidden="1" x14ac:dyDescent="0.25">
      <c r="A217" s="182" t="s">
        <v>131</v>
      </c>
      <c r="B217" s="580" t="s">
        <v>118</v>
      </c>
      <c r="C217" s="580" t="s">
        <v>140</v>
      </c>
      <c r="D217" s="580" t="s">
        <v>1021</v>
      </c>
      <c r="E217" s="498" t="s">
        <v>132</v>
      </c>
      <c r="F217" s="10">
        <f>F218</f>
        <v>0</v>
      </c>
    </row>
    <row r="218" spans="1:11" ht="31.5" hidden="1" x14ac:dyDescent="0.25">
      <c r="A218" s="182" t="s">
        <v>133</v>
      </c>
      <c r="B218" s="580" t="s">
        <v>118</v>
      </c>
      <c r="C218" s="580" t="s">
        <v>140</v>
      </c>
      <c r="D218" s="580" t="s">
        <v>1021</v>
      </c>
      <c r="E218" s="498" t="s">
        <v>134</v>
      </c>
      <c r="F218" s="10">
        <f>'Пр.4 ведом.22'!G568</f>
        <v>0</v>
      </c>
    </row>
    <row r="219" spans="1:11" ht="78.75" x14ac:dyDescent="0.25">
      <c r="A219" s="572" t="s">
        <v>1373</v>
      </c>
      <c r="B219" s="8" t="s">
        <v>118</v>
      </c>
      <c r="C219" s="8" t="s">
        <v>140</v>
      </c>
      <c r="D219" s="581" t="s">
        <v>817</v>
      </c>
      <c r="E219" s="8"/>
      <c r="F219" s="59">
        <f>F220</f>
        <v>45</v>
      </c>
    </row>
    <row r="220" spans="1:11" s="203" customFormat="1" ht="47.25" x14ac:dyDescent="0.25">
      <c r="A220" s="213" t="s">
        <v>854</v>
      </c>
      <c r="B220" s="8" t="s">
        <v>118</v>
      </c>
      <c r="C220" s="8" t="s">
        <v>140</v>
      </c>
      <c r="D220" s="194" t="s">
        <v>1075</v>
      </c>
      <c r="E220" s="8"/>
      <c r="F220" s="59">
        <f>F221</f>
        <v>45</v>
      </c>
      <c r="G220" s="578"/>
      <c r="H220" s="578"/>
      <c r="I220" s="578"/>
      <c r="J220" s="578"/>
      <c r="K220" s="578"/>
    </row>
    <row r="221" spans="1:11" ht="31.5" x14ac:dyDescent="0.25">
      <c r="A221" s="97" t="s">
        <v>171</v>
      </c>
      <c r="B221" s="9" t="s">
        <v>118</v>
      </c>
      <c r="C221" s="9" t="s">
        <v>140</v>
      </c>
      <c r="D221" s="5" t="s">
        <v>855</v>
      </c>
      <c r="E221" s="9"/>
      <c r="F221" s="10">
        <f>F222</f>
        <v>45</v>
      </c>
    </row>
    <row r="222" spans="1:11" ht="31.5" x14ac:dyDescent="0.25">
      <c r="A222" s="579" t="s">
        <v>131</v>
      </c>
      <c r="B222" s="9" t="s">
        <v>118</v>
      </c>
      <c r="C222" s="9" t="s">
        <v>140</v>
      </c>
      <c r="D222" s="5" t="s">
        <v>855</v>
      </c>
      <c r="E222" s="9" t="s">
        <v>132</v>
      </c>
      <c r="F222" s="10">
        <f>F223</f>
        <v>45</v>
      </c>
    </row>
    <row r="223" spans="1:11" ht="31.5" x14ac:dyDescent="0.25">
      <c r="A223" s="579" t="s">
        <v>133</v>
      </c>
      <c r="B223" s="9" t="s">
        <v>118</v>
      </c>
      <c r="C223" s="9" t="s">
        <v>140</v>
      </c>
      <c r="D223" s="5" t="s">
        <v>855</v>
      </c>
      <c r="E223" s="9" t="s">
        <v>134</v>
      </c>
      <c r="F223" s="10">
        <f>'Пр.4 ведом.22'!G152</f>
        <v>45</v>
      </c>
    </row>
    <row r="224" spans="1:11" ht="63" x14ac:dyDescent="0.25">
      <c r="A224" s="572" t="s">
        <v>1374</v>
      </c>
      <c r="B224" s="8" t="s">
        <v>118</v>
      </c>
      <c r="C224" s="8" t="s">
        <v>140</v>
      </c>
      <c r="D224" s="194" t="s">
        <v>818</v>
      </c>
      <c r="E224" s="8"/>
      <c r="F224" s="488">
        <f>F225</f>
        <v>80</v>
      </c>
    </row>
    <row r="225" spans="1:11" ht="31.5" x14ac:dyDescent="0.25">
      <c r="A225" s="58" t="s">
        <v>856</v>
      </c>
      <c r="B225" s="8" t="s">
        <v>118</v>
      </c>
      <c r="C225" s="8" t="s">
        <v>140</v>
      </c>
      <c r="D225" s="194" t="s">
        <v>864</v>
      </c>
      <c r="E225" s="8"/>
      <c r="F225" s="488">
        <f t="shared" ref="F225:F226" si="32">F226</f>
        <v>80</v>
      </c>
    </row>
    <row r="226" spans="1:11" ht="15.75" x14ac:dyDescent="0.25">
      <c r="A226" s="45" t="s">
        <v>822</v>
      </c>
      <c r="B226" s="9" t="s">
        <v>118</v>
      </c>
      <c r="C226" s="9" t="s">
        <v>140</v>
      </c>
      <c r="D226" s="5" t="s">
        <v>857</v>
      </c>
      <c r="E226" s="9"/>
      <c r="F226" s="386">
        <f t="shared" si="32"/>
        <v>80</v>
      </c>
    </row>
    <row r="227" spans="1:11" ht="39.75" customHeight="1" x14ac:dyDescent="0.25">
      <c r="A227" s="579" t="s">
        <v>131</v>
      </c>
      <c r="B227" s="9" t="s">
        <v>118</v>
      </c>
      <c r="C227" s="9" t="s">
        <v>140</v>
      </c>
      <c r="D227" s="5" t="s">
        <v>857</v>
      </c>
      <c r="E227" s="9" t="s">
        <v>132</v>
      </c>
      <c r="F227" s="386">
        <f>F228</f>
        <v>80</v>
      </c>
      <c r="G227" s="115"/>
    </row>
    <row r="228" spans="1:11" ht="31.5" x14ac:dyDescent="0.25">
      <c r="A228" s="579" t="s">
        <v>133</v>
      </c>
      <c r="B228" s="9" t="s">
        <v>118</v>
      </c>
      <c r="C228" s="9" t="s">
        <v>140</v>
      </c>
      <c r="D228" s="5" t="s">
        <v>857</v>
      </c>
      <c r="E228" s="9" t="s">
        <v>134</v>
      </c>
      <c r="F228" s="489">
        <f>'Пр.4 ведом.22'!G157</f>
        <v>80</v>
      </c>
    </row>
    <row r="229" spans="1:11" s="203" customFormat="1" ht="15.75" hidden="1" x14ac:dyDescent="0.25">
      <c r="A229" s="494" t="s">
        <v>212</v>
      </c>
      <c r="B229" s="495" t="s">
        <v>213</v>
      </c>
      <c r="C229" s="495"/>
      <c r="D229" s="495"/>
      <c r="E229" s="495"/>
      <c r="F229" s="488">
        <f t="shared" ref="F229:F234" si="33">F230</f>
        <v>0</v>
      </c>
      <c r="G229" s="578"/>
      <c r="H229" s="578"/>
      <c r="I229" s="578"/>
      <c r="J229" s="578"/>
      <c r="K229" s="578"/>
    </row>
    <row r="230" spans="1:11" s="203" customFormat="1" ht="19.5" hidden="1" customHeight="1" x14ac:dyDescent="0.25">
      <c r="A230" s="494" t="s">
        <v>218</v>
      </c>
      <c r="B230" s="495" t="s">
        <v>213</v>
      </c>
      <c r="C230" s="495" t="s">
        <v>219</v>
      </c>
      <c r="D230" s="495"/>
      <c r="E230" s="495"/>
      <c r="F230" s="488">
        <f t="shared" si="33"/>
        <v>0</v>
      </c>
      <c r="G230" s="578"/>
      <c r="H230" s="578"/>
      <c r="I230" s="578"/>
      <c r="J230" s="578"/>
      <c r="K230" s="578"/>
    </row>
    <row r="231" spans="1:11" s="203" customFormat="1" ht="15.75" hidden="1" x14ac:dyDescent="0.25">
      <c r="A231" s="494" t="s">
        <v>141</v>
      </c>
      <c r="B231" s="495" t="s">
        <v>213</v>
      </c>
      <c r="C231" s="495" t="s">
        <v>219</v>
      </c>
      <c r="D231" s="495" t="s">
        <v>866</v>
      </c>
      <c r="E231" s="495"/>
      <c r="F231" s="488">
        <f t="shared" si="33"/>
        <v>0</v>
      </c>
      <c r="G231" s="578"/>
      <c r="H231" s="578"/>
      <c r="I231" s="578"/>
      <c r="J231" s="578"/>
      <c r="K231" s="578"/>
    </row>
    <row r="232" spans="1:11" s="203" customFormat="1" ht="31.5" hidden="1" x14ac:dyDescent="0.25">
      <c r="A232" s="494" t="s">
        <v>870</v>
      </c>
      <c r="B232" s="495" t="s">
        <v>213</v>
      </c>
      <c r="C232" s="495" t="s">
        <v>219</v>
      </c>
      <c r="D232" s="495" t="s">
        <v>865</v>
      </c>
      <c r="E232" s="495"/>
      <c r="F232" s="488">
        <f t="shared" si="33"/>
        <v>0</v>
      </c>
      <c r="G232" s="578"/>
      <c r="H232" s="578"/>
      <c r="I232" s="578"/>
      <c r="J232" s="578"/>
      <c r="K232" s="578"/>
    </row>
    <row r="233" spans="1:11" s="203" customFormat="1" ht="15.75" hidden="1" x14ac:dyDescent="0.25">
      <c r="A233" s="579" t="s">
        <v>220</v>
      </c>
      <c r="B233" s="580" t="s">
        <v>213</v>
      </c>
      <c r="C233" s="580" t="s">
        <v>219</v>
      </c>
      <c r="D233" s="580" t="s">
        <v>871</v>
      </c>
      <c r="E233" s="580"/>
      <c r="F233" s="489">
        <f t="shared" si="33"/>
        <v>0</v>
      </c>
      <c r="G233" s="578"/>
      <c r="H233" s="578"/>
      <c r="I233" s="578"/>
      <c r="J233" s="578"/>
      <c r="K233" s="578"/>
    </row>
    <row r="234" spans="1:11" s="203" customFormat="1" ht="31.5" hidden="1" x14ac:dyDescent="0.25">
      <c r="A234" s="579" t="s">
        <v>198</v>
      </c>
      <c r="B234" s="580" t="s">
        <v>213</v>
      </c>
      <c r="C234" s="580" t="s">
        <v>219</v>
      </c>
      <c r="D234" s="580" t="s">
        <v>871</v>
      </c>
      <c r="E234" s="580" t="s">
        <v>132</v>
      </c>
      <c r="F234" s="489">
        <f t="shared" si="33"/>
        <v>0</v>
      </c>
      <c r="G234" s="578"/>
      <c r="H234" s="578"/>
      <c r="I234" s="578"/>
      <c r="J234" s="578"/>
      <c r="K234" s="578"/>
    </row>
    <row r="235" spans="1:11" s="203" customFormat="1" ht="31.5" hidden="1" x14ac:dyDescent="0.25">
      <c r="A235" s="579" t="s">
        <v>133</v>
      </c>
      <c r="B235" s="580" t="s">
        <v>213</v>
      </c>
      <c r="C235" s="580" t="s">
        <v>219</v>
      </c>
      <c r="D235" s="580" t="s">
        <v>871</v>
      </c>
      <c r="E235" s="580" t="s">
        <v>134</v>
      </c>
      <c r="F235" s="489">
        <f>'Пр.4 ведом.22'!G164</f>
        <v>0</v>
      </c>
      <c r="G235" s="578"/>
      <c r="H235" s="578"/>
      <c r="I235" s="578"/>
      <c r="J235" s="578"/>
      <c r="K235" s="578"/>
    </row>
    <row r="236" spans="1:11" ht="31.5" x14ac:dyDescent="0.25">
      <c r="A236" s="494" t="s">
        <v>222</v>
      </c>
      <c r="B236" s="495" t="s">
        <v>215</v>
      </c>
      <c r="C236" s="495"/>
      <c r="D236" s="495"/>
      <c r="E236" s="495"/>
      <c r="F236" s="488">
        <f t="shared" ref="F236" si="34">F237</f>
        <v>7394</v>
      </c>
    </row>
    <row r="237" spans="1:11" ht="47.25" x14ac:dyDescent="0.25">
      <c r="A237" s="494" t="s">
        <v>1345</v>
      </c>
      <c r="B237" s="495" t="s">
        <v>215</v>
      </c>
      <c r="C237" s="495" t="s">
        <v>244</v>
      </c>
      <c r="D237" s="580"/>
      <c r="E237" s="580"/>
      <c r="F237" s="488">
        <f>F238+F256</f>
        <v>7394</v>
      </c>
      <c r="G237" s="115"/>
      <c r="H237" s="115"/>
      <c r="I237" s="115"/>
      <c r="J237" s="115"/>
    </row>
    <row r="238" spans="1:11" ht="15.75" x14ac:dyDescent="0.25">
      <c r="A238" s="494" t="s">
        <v>141</v>
      </c>
      <c r="B238" s="495" t="s">
        <v>215</v>
      </c>
      <c r="C238" s="495" t="s">
        <v>244</v>
      </c>
      <c r="D238" s="495" t="s">
        <v>866</v>
      </c>
      <c r="E238" s="495"/>
      <c r="F238" s="488">
        <f>F239+F246</f>
        <v>7394</v>
      </c>
    </row>
    <row r="239" spans="1:11" ht="31.5" x14ac:dyDescent="0.25">
      <c r="A239" s="494" t="s">
        <v>870</v>
      </c>
      <c r="B239" s="495" t="s">
        <v>215</v>
      </c>
      <c r="C239" s="495" t="s">
        <v>244</v>
      </c>
      <c r="D239" s="495" t="s">
        <v>865</v>
      </c>
      <c r="E239" s="495"/>
      <c r="F239" s="488">
        <f>F240+F243</f>
        <v>1089</v>
      </c>
    </row>
    <row r="240" spans="1:11" ht="47.25" x14ac:dyDescent="0.25">
      <c r="A240" s="579" t="s">
        <v>224</v>
      </c>
      <c r="B240" s="580" t="s">
        <v>215</v>
      </c>
      <c r="C240" s="580" t="s">
        <v>244</v>
      </c>
      <c r="D240" s="580" t="s">
        <v>875</v>
      </c>
      <c r="E240" s="580"/>
      <c r="F240" s="489">
        <f t="shared" ref="F240:F241" si="35">F241</f>
        <v>785</v>
      </c>
    </row>
    <row r="241" spans="1:11" ht="31.5" x14ac:dyDescent="0.25">
      <c r="A241" s="579" t="s">
        <v>198</v>
      </c>
      <c r="B241" s="580" t="s">
        <v>215</v>
      </c>
      <c r="C241" s="580" t="s">
        <v>244</v>
      </c>
      <c r="D241" s="580" t="s">
        <v>875</v>
      </c>
      <c r="E241" s="580" t="s">
        <v>132</v>
      </c>
      <c r="F241" s="489">
        <f t="shared" si="35"/>
        <v>785</v>
      </c>
    </row>
    <row r="242" spans="1:11" ht="31.5" x14ac:dyDescent="0.25">
      <c r="A242" s="579" t="s">
        <v>133</v>
      </c>
      <c r="B242" s="580" t="s">
        <v>215</v>
      </c>
      <c r="C242" s="580" t="s">
        <v>244</v>
      </c>
      <c r="D242" s="580" t="s">
        <v>875</v>
      </c>
      <c r="E242" s="580" t="s">
        <v>134</v>
      </c>
      <c r="F242" s="389">
        <f>'Пр.4 ведом.22'!G171</f>
        <v>785</v>
      </c>
    </row>
    <row r="243" spans="1:11" ht="15.75" x14ac:dyDescent="0.25">
      <c r="A243" s="579" t="s">
        <v>230</v>
      </c>
      <c r="B243" s="580" t="s">
        <v>215</v>
      </c>
      <c r="C243" s="580" t="s">
        <v>244</v>
      </c>
      <c r="D243" s="580" t="s">
        <v>876</v>
      </c>
      <c r="E243" s="580"/>
      <c r="F243" s="389">
        <f t="shared" ref="F243:F244" si="36">F244</f>
        <v>304</v>
      </c>
    </row>
    <row r="244" spans="1:11" ht="31.5" x14ac:dyDescent="0.25">
      <c r="A244" s="579" t="s">
        <v>198</v>
      </c>
      <c r="B244" s="580" t="s">
        <v>215</v>
      </c>
      <c r="C244" s="580" t="s">
        <v>244</v>
      </c>
      <c r="D244" s="580" t="s">
        <v>876</v>
      </c>
      <c r="E244" s="580" t="s">
        <v>132</v>
      </c>
      <c r="F244" s="389">
        <f t="shared" si="36"/>
        <v>304</v>
      </c>
    </row>
    <row r="245" spans="1:11" ht="31.5" x14ac:dyDescent="0.25">
      <c r="A245" s="579" t="s">
        <v>133</v>
      </c>
      <c r="B245" s="580" t="s">
        <v>215</v>
      </c>
      <c r="C245" s="580" t="s">
        <v>244</v>
      </c>
      <c r="D245" s="580" t="s">
        <v>876</v>
      </c>
      <c r="E245" s="580" t="s">
        <v>134</v>
      </c>
      <c r="F245" s="389">
        <f>'Пр.4 ведом.22'!G174+'Пр.4 ведом.22'!G932</f>
        <v>304</v>
      </c>
    </row>
    <row r="246" spans="1:11" ht="31.5" x14ac:dyDescent="0.25">
      <c r="A246" s="494" t="s">
        <v>923</v>
      </c>
      <c r="B246" s="495" t="s">
        <v>215</v>
      </c>
      <c r="C246" s="495" t="s">
        <v>244</v>
      </c>
      <c r="D246" s="495" t="s">
        <v>872</v>
      </c>
      <c r="E246" s="495"/>
      <c r="F246" s="488">
        <f>F247+F252</f>
        <v>6305</v>
      </c>
    </row>
    <row r="247" spans="1:11" ht="31.5" x14ac:dyDescent="0.25">
      <c r="A247" s="579" t="s">
        <v>927</v>
      </c>
      <c r="B247" s="580" t="s">
        <v>215</v>
      </c>
      <c r="C247" s="580" t="s">
        <v>244</v>
      </c>
      <c r="D247" s="580" t="s">
        <v>873</v>
      </c>
      <c r="E247" s="580"/>
      <c r="F247" s="386">
        <f>F248+F250</f>
        <v>6047</v>
      </c>
      <c r="G247" s="230">
        <f>F247+F252</f>
        <v>6305</v>
      </c>
    </row>
    <row r="248" spans="1:11" ht="78.75" x14ac:dyDescent="0.25">
      <c r="A248" s="579" t="s">
        <v>127</v>
      </c>
      <c r="B248" s="580" t="s">
        <v>215</v>
      </c>
      <c r="C248" s="580" t="s">
        <v>244</v>
      </c>
      <c r="D248" s="580" t="s">
        <v>873</v>
      </c>
      <c r="E248" s="580" t="s">
        <v>128</v>
      </c>
      <c r="F248" s="386">
        <f>'Пр.4 ведом.22'!G178</f>
        <v>5884</v>
      </c>
    </row>
    <row r="249" spans="1:11" ht="15.75" x14ac:dyDescent="0.25">
      <c r="A249" s="579" t="s">
        <v>208</v>
      </c>
      <c r="B249" s="580" t="s">
        <v>215</v>
      </c>
      <c r="C249" s="580" t="s">
        <v>244</v>
      </c>
      <c r="D249" s="580" t="s">
        <v>873</v>
      </c>
      <c r="E249" s="580" t="s">
        <v>209</v>
      </c>
      <c r="F249" s="489">
        <f>'Пр.4 ведом.22'!G178</f>
        <v>5884</v>
      </c>
    </row>
    <row r="250" spans="1:11" ht="31.5" x14ac:dyDescent="0.25">
      <c r="A250" s="579" t="s">
        <v>198</v>
      </c>
      <c r="B250" s="580" t="s">
        <v>215</v>
      </c>
      <c r="C250" s="580" t="s">
        <v>244</v>
      </c>
      <c r="D250" s="580" t="s">
        <v>873</v>
      </c>
      <c r="E250" s="580" t="s">
        <v>132</v>
      </c>
      <c r="F250" s="489">
        <f>'Пр.4 ведом.22'!G180</f>
        <v>163</v>
      </c>
    </row>
    <row r="251" spans="1:11" ht="31.5" x14ac:dyDescent="0.25">
      <c r="A251" s="579" t="s">
        <v>133</v>
      </c>
      <c r="B251" s="580" t="s">
        <v>215</v>
      </c>
      <c r="C251" s="580" t="s">
        <v>244</v>
      </c>
      <c r="D251" s="580" t="s">
        <v>873</v>
      </c>
      <c r="E251" s="580" t="s">
        <v>134</v>
      </c>
      <c r="F251" s="489">
        <f>'Пр.4 ведом.22'!G180</f>
        <v>163</v>
      </c>
    </row>
    <row r="252" spans="1:11" ht="47.25" x14ac:dyDescent="0.25">
      <c r="A252" s="579" t="s">
        <v>839</v>
      </c>
      <c r="B252" s="580" t="s">
        <v>215</v>
      </c>
      <c r="C252" s="580" t="s">
        <v>244</v>
      </c>
      <c r="D252" s="580" t="s">
        <v>874</v>
      </c>
      <c r="E252" s="580"/>
      <c r="F252" s="489">
        <f t="shared" ref="F252" si="37">F253</f>
        <v>258</v>
      </c>
    </row>
    <row r="253" spans="1:11" ht="78.75" x14ac:dyDescent="0.25">
      <c r="A253" s="579" t="s">
        <v>127</v>
      </c>
      <c r="B253" s="580" t="s">
        <v>215</v>
      </c>
      <c r="C253" s="580" t="s">
        <v>244</v>
      </c>
      <c r="D253" s="580" t="s">
        <v>874</v>
      </c>
      <c r="E253" s="580" t="s">
        <v>128</v>
      </c>
      <c r="F253" s="489">
        <f>F254</f>
        <v>258</v>
      </c>
    </row>
    <row r="254" spans="1:11" s="203" customFormat="1" ht="31.5" x14ac:dyDescent="0.25">
      <c r="A254" s="579" t="s">
        <v>129</v>
      </c>
      <c r="B254" s="580" t="s">
        <v>215</v>
      </c>
      <c r="C254" s="580" t="s">
        <v>244</v>
      </c>
      <c r="D254" s="580" t="s">
        <v>874</v>
      </c>
      <c r="E254" s="580" t="s">
        <v>130</v>
      </c>
      <c r="F254" s="489">
        <f>'Пр.4 ведом.22'!G183</f>
        <v>258</v>
      </c>
      <c r="G254" s="578"/>
      <c r="H254" s="578"/>
      <c r="I254" s="578"/>
      <c r="J254" s="578"/>
      <c r="K254" s="578"/>
    </row>
    <row r="255" spans="1:11" s="487" customFormat="1" ht="47.25" hidden="1" x14ac:dyDescent="0.25">
      <c r="A255" s="572" t="s">
        <v>1352</v>
      </c>
      <c r="B255" s="8" t="s">
        <v>118</v>
      </c>
      <c r="C255" s="8" t="s">
        <v>140</v>
      </c>
      <c r="D255" s="495" t="s">
        <v>705</v>
      </c>
      <c r="E255" s="580"/>
      <c r="F255" s="488">
        <f>F256</f>
        <v>0</v>
      </c>
      <c r="G255" s="578"/>
      <c r="H255" s="578"/>
      <c r="I255" s="578"/>
      <c r="J255" s="578"/>
      <c r="K255" s="578"/>
    </row>
    <row r="256" spans="1:11" s="487" customFormat="1" ht="31.5" hidden="1" x14ac:dyDescent="0.25">
      <c r="A256" s="494" t="s">
        <v>1624</v>
      </c>
      <c r="B256" s="495" t="s">
        <v>215</v>
      </c>
      <c r="C256" s="495" t="s">
        <v>244</v>
      </c>
      <c r="D256" s="495" t="s">
        <v>1625</v>
      </c>
      <c r="E256" s="504"/>
      <c r="F256" s="488">
        <f>F257+F260</f>
        <v>0</v>
      </c>
      <c r="G256" s="578"/>
      <c r="H256" s="578"/>
      <c r="I256" s="578"/>
      <c r="J256" s="578"/>
      <c r="K256" s="578"/>
    </row>
    <row r="257" spans="1:12" s="487" customFormat="1" ht="15.75" hidden="1" x14ac:dyDescent="0.25">
      <c r="A257" s="579" t="s">
        <v>230</v>
      </c>
      <c r="B257" s="580" t="s">
        <v>215</v>
      </c>
      <c r="C257" s="580" t="s">
        <v>244</v>
      </c>
      <c r="D257" s="580" t="s">
        <v>1626</v>
      </c>
      <c r="E257" s="498"/>
      <c r="F257" s="489">
        <f>F258</f>
        <v>0</v>
      </c>
      <c r="G257" s="578"/>
      <c r="H257" s="578"/>
      <c r="I257" s="578"/>
      <c r="J257" s="578"/>
      <c r="K257" s="578"/>
    </row>
    <row r="258" spans="1:12" s="487" customFormat="1" ht="31.5" hidden="1" x14ac:dyDescent="0.25">
      <c r="A258" s="579" t="s">
        <v>131</v>
      </c>
      <c r="B258" s="580" t="s">
        <v>215</v>
      </c>
      <c r="C258" s="580" t="s">
        <v>244</v>
      </c>
      <c r="D258" s="580" t="s">
        <v>1626</v>
      </c>
      <c r="E258" s="498" t="s">
        <v>132</v>
      </c>
      <c r="F258" s="489">
        <f>F259</f>
        <v>0</v>
      </c>
      <c r="G258" s="578"/>
      <c r="H258" s="578"/>
      <c r="I258" s="578"/>
      <c r="J258" s="578"/>
      <c r="K258" s="578"/>
    </row>
    <row r="259" spans="1:12" s="487" customFormat="1" ht="31.5" hidden="1" x14ac:dyDescent="0.25">
      <c r="A259" s="579" t="s">
        <v>133</v>
      </c>
      <c r="B259" s="580" t="s">
        <v>215</v>
      </c>
      <c r="C259" s="580" t="s">
        <v>244</v>
      </c>
      <c r="D259" s="580" t="s">
        <v>1626</v>
      </c>
      <c r="E259" s="498" t="s">
        <v>134</v>
      </c>
      <c r="F259" s="489">
        <f>'Пр.4 ведом.22'!G188</f>
        <v>0</v>
      </c>
      <c r="G259" s="578"/>
      <c r="H259" s="578"/>
      <c r="I259" s="578"/>
      <c r="J259" s="578"/>
      <c r="K259" s="578"/>
    </row>
    <row r="260" spans="1:12" s="487" customFormat="1" ht="47.25" hidden="1" x14ac:dyDescent="0.25">
      <c r="A260" s="579" t="s">
        <v>1659</v>
      </c>
      <c r="B260" s="580" t="s">
        <v>215</v>
      </c>
      <c r="C260" s="580" t="s">
        <v>244</v>
      </c>
      <c r="D260" s="580" t="s">
        <v>1660</v>
      </c>
      <c r="E260" s="498"/>
      <c r="F260" s="489">
        <f>F261</f>
        <v>0</v>
      </c>
      <c r="G260" s="578"/>
      <c r="H260" s="578"/>
      <c r="I260" s="578"/>
      <c r="J260" s="578"/>
      <c r="K260" s="578"/>
    </row>
    <row r="261" spans="1:12" s="487" customFormat="1" ht="31.5" hidden="1" x14ac:dyDescent="0.25">
      <c r="A261" s="579" t="s">
        <v>248</v>
      </c>
      <c r="B261" s="580" t="s">
        <v>215</v>
      </c>
      <c r="C261" s="580" t="s">
        <v>244</v>
      </c>
      <c r="D261" s="580" t="s">
        <v>1660</v>
      </c>
      <c r="E261" s="498" t="s">
        <v>249</v>
      </c>
      <c r="F261" s="489">
        <f>F262</f>
        <v>0</v>
      </c>
      <c r="G261" s="578"/>
      <c r="H261" s="578"/>
      <c r="I261" s="578"/>
      <c r="J261" s="578"/>
      <c r="K261" s="578"/>
    </row>
    <row r="262" spans="1:12" s="487" customFormat="1" ht="31.5" hidden="1" x14ac:dyDescent="0.25">
      <c r="A262" s="579" t="s">
        <v>250</v>
      </c>
      <c r="B262" s="580" t="s">
        <v>215</v>
      </c>
      <c r="C262" s="580" t="s">
        <v>244</v>
      </c>
      <c r="D262" s="580" t="s">
        <v>1660</v>
      </c>
      <c r="E262" s="498" t="s">
        <v>251</v>
      </c>
      <c r="F262" s="489">
        <f>'Пр.4 ведом.22'!G194</f>
        <v>0</v>
      </c>
      <c r="G262" s="578"/>
      <c r="H262" s="578"/>
      <c r="I262" s="578"/>
      <c r="J262" s="578"/>
      <c r="K262" s="578"/>
    </row>
    <row r="263" spans="1:12" ht="15.75" x14ac:dyDescent="0.25">
      <c r="A263" s="494" t="s">
        <v>232</v>
      </c>
      <c r="B263" s="495" t="s">
        <v>150</v>
      </c>
      <c r="C263" s="495"/>
      <c r="D263" s="495"/>
      <c r="E263" s="580"/>
      <c r="F263" s="488">
        <f>F274+F280+F294+F264</f>
        <v>7329.4000000000005</v>
      </c>
      <c r="K263" s="115">
        <f>F263-F296-'Пр.4 ведом.22'!U1185-'Пр.4 ведом.22'!W1185-'Пр.4 ведом.22'!Z1185</f>
        <v>7013.6</v>
      </c>
      <c r="L263" s="22">
        <f>F296+F309+F322-'Пр.4 ведом.22'!U1184-'Пр.4 ведом.22'!Z1184-'Пр.4 ведом.22'!W1184+F267</f>
        <v>999.8</v>
      </c>
    </row>
    <row r="264" spans="1:12" ht="15.75" x14ac:dyDescent="0.25">
      <c r="A264" s="494" t="s">
        <v>233</v>
      </c>
      <c r="B264" s="495" t="s">
        <v>150</v>
      </c>
      <c r="C264" s="495" t="s">
        <v>234</v>
      </c>
      <c r="D264" s="495"/>
      <c r="E264" s="580"/>
      <c r="F264" s="488">
        <f>F265</f>
        <v>274</v>
      </c>
    </row>
    <row r="265" spans="1:12" ht="31.7" customHeight="1" x14ac:dyDescent="0.25">
      <c r="A265" s="34" t="s">
        <v>1375</v>
      </c>
      <c r="B265" s="495" t="s">
        <v>150</v>
      </c>
      <c r="C265" s="495" t="s">
        <v>234</v>
      </c>
      <c r="D265" s="194" t="s">
        <v>182</v>
      </c>
      <c r="E265" s="504"/>
      <c r="F265" s="488">
        <f>F266+F270</f>
        <v>274</v>
      </c>
    </row>
    <row r="266" spans="1:12" ht="31.5" x14ac:dyDescent="0.25">
      <c r="A266" s="34" t="s">
        <v>1006</v>
      </c>
      <c r="B266" s="495" t="s">
        <v>150</v>
      </c>
      <c r="C266" s="495" t="s">
        <v>234</v>
      </c>
      <c r="D266" s="251" t="s">
        <v>877</v>
      </c>
      <c r="E266" s="504"/>
      <c r="F266" s="488">
        <f>F267</f>
        <v>274</v>
      </c>
    </row>
    <row r="267" spans="1:12" ht="31.5" x14ac:dyDescent="0.25">
      <c r="A267" s="579" t="s">
        <v>235</v>
      </c>
      <c r="B267" s="580" t="s">
        <v>150</v>
      </c>
      <c r="C267" s="580" t="s">
        <v>234</v>
      </c>
      <c r="D267" s="580" t="s">
        <v>898</v>
      </c>
      <c r="E267" s="498"/>
      <c r="F267" s="489">
        <f>F268</f>
        <v>274</v>
      </c>
    </row>
    <row r="268" spans="1:12" ht="15.75" x14ac:dyDescent="0.25">
      <c r="A268" s="29" t="s">
        <v>135</v>
      </c>
      <c r="B268" s="580" t="s">
        <v>150</v>
      </c>
      <c r="C268" s="580" t="s">
        <v>234</v>
      </c>
      <c r="D268" s="580" t="s">
        <v>898</v>
      </c>
      <c r="E268" s="498" t="s">
        <v>145</v>
      </c>
      <c r="F268" s="489">
        <f>F269</f>
        <v>274</v>
      </c>
    </row>
    <row r="269" spans="1:12" ht="47.25" x14ac:dyDescent="0.25">
      <c r="A269" s="29" t="s">
        <v>184</v>
      </c>
      <c r="B269" s="580" t="s">
        <v>150</v>
      </c>
      <c r="C269" s="580" t="s">
        <v>234</v>
      </c>
      <c r="D269" s="580" t="s">
        <v>898</v>
      </c>
      <c r="E269" s="498" t="s">
        <v>160</v>
      </c>
      <c r="F269" s="489">
        <f>'Пр.4 ведом.22'!G201</f>
        <v>274</v>
      </c>
    </row>
    <row r="270" spans="1:12" ht="47.25" hidden="1" x14ac:dyDescent="0.25">
      <c r="A270" s="214" t="s">
        <v>1007</v>
      </c>
      <c r="B270" s="495" t="s">
        <v>150</v>
      </c>
      <c r="C270" s="495" t="s">
        <v>234</v>
      </c>
      <c r="D270" s="194" t="s">
        <v>879</v>
      </c>
      <c r="E270" s="504"/>
      <c r="F270" s="488">
        <f>F271</f>
        <v>0</v>
      </c>
    </row>
    <row r="271" spans="1:12" s="203" customFormat="1" ht="15.75" hidden="1" x14ac:dyDescent="0.25">
      <c r="A271" s="579" t="s">
        <v>878</v>
      </c>
      <c r="B271" s="580" t="s">
        <v>150</v>
      </c>
      <c r="C271" s="580" t="s">
        <v>234</v>
      </c>
      <c r="D271" s="5" t="s">
        <v>899</v>
      </c>
      <c r="E271" s="498"/>
      <c r="F271" s="489">
        <f>F272</f>
        <v>0</v>
      </c>
      <c r="G271" s="578"/>
      <c r="H271" s="578"/>
      <c r="I271" s="578"/>
      <c r="J271" s="578"/>
      <c r="K271" s="578"/>
    </row>
    <row r="272" spans="1:12" s="203" customFormat="1" ht="15.75" hidden="1" x14ac:dyDescent="0.25">
      <c r="A272" s="29" t="s">
        <v>135</v>
      </c>
      <c r="B272" s="580" t="s">
        <v>150</v>
      </c>
      <c r="C272" s="580" t="s">
        <v>234</v>
      </c>
      <c r="D272" s="5" t="s">
        <v>899</v>
      </c>
      <c r="E272" s="498" t="s">
        <v>145</v>
      </c>
      <c r="F272" s="489">
        <f>F273</f>
        <v>0</v>
      </c>
      <c r="G272" s="578"/>
      <c r="H272" s="578"/>
      <c r="I272" s="578"/>
      <c r="J272" s="578"/>
      <c r="K272" s="578"/>
    </row>
    <row r="273" spans="1:11" s="203" customFormat="1" ht="47.25" hidden="1" x14ac:dyDescent="0.25">
      <c r="A273" s="29" t="s">
        <v>184</v>
      </c>
      <c r="B273" s="580" t="s">
        <v>150</v>
      </c>
      <c r="C273" s="580" t="s">
        <v>234</v>
      </c>
      <c r="D273" s="5" t="s">
        <v>899</v>
      </c>
      <c r="E273" s="498" t="s">
        <v>160</v>
      </c>
      <c r="F273" s="489">
        <f>'Пр.4 ведом.22'!G205</f>
        <v>0</v>
      </c>
      <c r="G273" s="578"/>
      <c r="H273" s="578"/>
      <c r="I273" s="578"/>
      <c r="J273" s="578"/>
      <c r="K273" s="578"/>
    </row>
    <row r="274" spans="1:11" ht="15.75" x14ac:dyDescent="0.25">
      <c r="A274" s="494" t="s">
        <v>505</v>
      </c>
      <c r="B274" s="495" t="s">
        <v>150</v>
      </c>
      <c r="C274" s="495" t="s">
        <v>299</v>
      </c>
      <c r="D274" s="495"/>
      <c r="E274" s="495"/>
      <c r="F274" s="488">
        <f t="shared" ref="F274:F278" si="38">F275</f>
        <v>3258</v>
      </c>
    </row>
    <row r="275" spans="1:11" ht="15.75" x14ac:dyDescent="0.25">
      <c r="A275" s="494" t="s">
        <v>141</v>
      </c>
      <c r="B275" s="495" t="s">
        <v>150</v>
      </c>
      <c r="C275" s="495" t="s">
        <v>299</v>
      </c>
      <c r="D275" s="495" t="s">
        <v>866</v>
      </c>
      <c r="E275" s="495"/>
      <c r="F275" s="488">
        <f t="shared" si="38"/>
        <v>3258</v>
      </c>
    </row>
    <row r="276" spans="1:11" ht="31.5" x14ac:dyDescent="0.25">
      <c r="A276" s="494" t="s">
        <v>870</v>
      </c>
      <c r="B276" s="495" t="s">
        <v>150</v>
      </c>
      <c r="C276" s="495" t="s">
        <v>299</v>
      </c>
      <c r="D276" s="495" t="s">
        <v>865</v>
      </c>
      <c r="E276" s="495"/>
      <c r="F276" s="488">
        <f t="shared" si="38"/>
        <v>3258</v>
      </c>
    </row>
    <row r="277" spans="1:11" ht="17.45" customHeight="1" x14ac:dyDescent="0.25">
      <c r="A277" s="579" t="s">
        <v>506</v>
      </c>
      <c r="B277" s="580" t="s">
        <v>150</v>
      </c>
      <c r="C277" s="580" t="s">
        <v>299</v>
      </c>
      <c r="D277" s="580" t="s">
        <v>957</v>
      </c>
      <c r="E277" s="580"/>
      <c r="F277" s="489">
        <f t="shared" si="38"/>
        <v>3258</v>
      </c>
    </row>
    <row r="278" spans="1:11" ht="34.5" customHeight="1" x14ac:dyDescent="0.25">
      <c r="A278" s="579" t="s">
        <v>131</v>
      </c>
      <c r="B278" s="580" t="s">
        <v>150</v>
      </c>
      <c r="C278" s="580" t="s">
        <v>299</v>
      </c>
      <c r="D278" s="580" t="s">
        <v>957</v>
      </c>
      <c r="E278" s="580" t="s">
        <v>132</v>
      </c>
      <c r="F278" s="489">
        <f t="shared" si="38"/>
        <v>3258</v>
      </c>
    </row>
    <row r="279" spans="1:11" ht="38.25" customHeight="1" x14ac:dyDescent="0.25">
      <c r="A279" s="579" t="s">
        <v>133</v>
      </c>
      <c r="B279" s="580" t="s">
        <v>150</v>
      </c>
      <c r="C279" s="580" t="s">
        <v>299</v>
      </c>
      <c r="D279" s="580" t="s">
        <v>957</v>
      </c>
      <c r="E279" s="580" t="s">
        <v>134</v>
      </c>
      <c r="F279" s="386">
        <f>'Пр.4 ведом.22'!G939</f>
        <v>3258</v>
      </c>
    </row>
    <row r="280" spans="1:11" ht="15.75" x14ac:dyDescent="0.25">
      <c r="A280" s="494" t="s">
        <v>508</v>
      </c>
      <c r="B280" s="495" t="s">
        <v>150</v>
      </c>
      <c r="C280" s="495" t="s">
        <v>219</v>
      </c>
      <c r="D280" s="580"/>
      <c r="E280" s="495"/>
      <c r="F280" s="488">
        <f t="shared" ref="F280" si="39">F281</f>
        <v>3071.6000000000004</v>
      </c>
    </row>
    <row r="281" spans="1:11" ht="47.25" x14ac:dyDescent="0.25">
      <c r="A281" s="34" t="s">
        <v>1370</v>
      </c>
      <c r="B281" s="495" t="s">
        <v>150</v>
      </c>
      <c r="C281" s="495" t="s">
        <v>219</v>
      </c>
      <c r="D281" s="495" t="s">
        <v>510</v>
      </c>
      <c r="E281" s="495"/>
      <c r="F281" s="59">
        <f>F282+F286</f>
        <v>3071.6000000000004</v>
      </c>
    </row>
    <row r="282" spans="1:11" ht="31.5" hidden="1" x14ac:dyDescent="0.25">
      <c r="A282" s="34" t="s">
        <v>999</v>
      </c>
      <c r="B282" s="495" t="s">
        <v>150</v>
      </c>
      <c r="C282" s="495" t="s">
        <v>219</v>
      </c>
      <c r="D282" s="7" t="s">
        <v>958</v>
      </c>
      <c r="E282" s="495"/>
      <c r="F282" s="59">
        <f>F283</f>
        <v>0</v>
      </c>
    </row>
    <row r="283" spans="1:11" ht="15.75" hidden="1" x14ac:dyDescent="0.25">
      <c r="A283" s="29" t="s">
        <v>1001</v>
      </c>
      <c r="B283" s="580" t="s">
        <v>150</v>
      </c>
      <c r="C283" s="580" t="s">
        <v>219</v>
      </c>
      <c r="D283" s="573" t="s">
        <v>1000</v>
      </c>
      <c r="E283" s="580"/>
      <c r="F283" s="10">
        <f>F284</f>
        <v>0</v>
      </c>
    </row>
    <row r="284" spans="1:11" ht="31.5" hidden="1" x14ac:dyDescent="0.25">
      <c r="A284" s="579" t="s">
        <v>131</v>
      </c>
      <c r="B284" s="580" t="s">
        <v>150</v>
      </c>
      <c r="C284" s="580" t="s">
        <v>219</v>
      </c>
      <c r="D284" s="573" t="s">
        <v>1000</v>
      </c>
      <c r="E284" s="580" t="s">
        <v>132</v>
      </c>
      <c r="F284" s="386">
        <f>F285</f>
        <v>0</v>
      </c>
    </row>
    <row r="285" spans="1:11" ht="31.5" hidden="1" x14ac:dyDescent="0.25">
      <c r="A285" s="579" t="s">
        <v>133</v>
      </c>
      <c r="B285" s="580" t="s">
        <v>150</v>
      </c>
      <c r="C285" s="580" t="s">
        <v>219</v>
      </c>
      <c r="D285" s="573" t="s">
        <v>1000</v>
      </c>
      <c r="E285" s="580" t="s">
        <v>134</v>
      </c>
      <c r="F285" s="386">
        <f>'Пр.4 ведом.22'!G945</f>
        <v>0</v>
      </c>
    </row>
    <row r="286" spans="1:11" ht="31.5" x14ac:dyDescent="0.25">
      <c r="A286" s="34" t="s">
        <v>1060</v>
      </c>
      <c r="B286" s="495" t="s">
        <v>150</v>
      </c>
      <c r="C286" s="495" t="s">
        <v>219</v>
      </c>
      <c r="D286" s="495" t="s">
        <v>959</v>
      </c>
      <c r="E286" s="495"/>
      <c r="F286" s="388">
        <f>F287</f>
        <v>3071.6000000000004</v>
      </c>
    </row>
    <row r="287" spans="1:11" s="203" customFormat="1" ht="15.75" x14ac:dyDescent="0.25">
      <c r="A287" s="29" t="s">
        <v>511</v>
      </c>
      <c r="B287" s="580" t="s">
        <v>150</v>
      </c>
      <c r="C287" s="580" t="s">
        <v>219</v>
      </c>
      <c r="D287" s="573" t="s">
        <v>1002</v>
      </c>
      <c r="E287" s="580"/>
      <c r="F287" s="386">
        <f>F290+F292+F288</f>
        <v>3071.6000000000004</v>
      </c>
      <c r="G287" s="578"/>
      <c r="H287" s="578"/>
      <c r="I287" s="578"/>
      <c r="J287" s="578"/>
      <c r="K287" s="578"/>
    </row>
    <row r="288" spans="1:11" s="203" customFormat="1" ht="78.75" x14ac:dyDescent="0.25">
      <c r="A288" s="579" t="s">
        <v>127</v>
      </c>
      <c r="B288" s="580" t="s">
        <v>150</v>
      </c>
      <c r="C288" s="580" t="s">
        <v>219</v>
      </c>
      <c r="D288" s="573" t="s">
        <v>1002</v>
      </c>
      <c r="E288" s="580" t="s">
        <v>128</v>
      </c>
      <c r="F288" s="386">
        <f>F289</f>
        <v>1907.4</v>
      </c>
      <c r="G288" s="578"/>
      <c r="H288" s="578"/>
      <c r="I288" s="578"/>
      <c r="J288" s="578"/>
      <c r="K288" s="578"/>
    </row>
    <row r="289" spans="1:11" s="203" customFormat="1" ht="15.75" x14ac:dyDescent="0.25">
      <c r="A289" s="579" t="s">
        <v>208</v>
      </c>
      <c r="B289" s="580" t="s">
        <v>150</v>
      </c>
      <c r="C289" s="580" t="s">
        <v>219</v>
      </c>
      <c r="D289" s="573" t="s">
        <v>1002</v>
      </c>
      <c r="E289" s="580" t="s">
        <v>209</v>
      </c>
      <c r="F289" s="386">
        <f>'Пр.4 ведом.22'!G949</f>
        <v>1907.4</v>
      </c>
      <c r="G289" s="578"/>
      <c r="H289" s="578"/>
      <c r="I289" s="578"/>
      <c r="J289" s="578"/>
      <c r="K289" s="578"/>
    </row>
    <row r="290" spans="1:11" s="203" customFormat="1" ht="31.5" x14ac:dyDescent="0.25">
      <c r="A290" s="579" t="s">
        <v>131</v>
      </c>
      <c r="B290" s="580" t="s">
        <v>150</v>
      </c>
      <c r="C290" s="580" t="s">
        <v>219</v>
      </c>
      <c r="D290" s="573" t="s">
        <v>1002</v>
      </c>
      <c r="E290" s="580" t="s">
        <v>132</v>
      </c>
      <c r="F290" s="386">
        <f>F291</f>
        <v>1164.2</v>
      </c>
      <c r="G290" s="578"/>
      <c r="H290" s="578"/>
      <c r="I290" s="578"/>
      <c r="J290" s="578"/>
      <c r="K290" s="578"/>
    </row>
    <row r="291" spans="1:11" s="203" customFormat="1" ht="35.450000000000003" customHeight="1" x14ac:dyDescent="0.25">
      <c r="A291" s="579" t="s">
        <v>133</v>
      </c>
      <c r="B291" s="580" t="s">
        <v>150</v>
      </c>
      <c r="C291" s="580" t="s">
        <v>219</v>
      </c>
      <c r="D291" s="573" t="s">
        <v>1002</v>
      </c>
      <c r="E291" s="580" t="s">
        <v>134</v>
      </c>
      <c r="F291" s="386">
        <f>'Пр.4 ведом.22'!G951</f>
        <v>1164.2</v>
      </c>
      <c r="G291" s="578"/>
      <c r="H291" s="578"/>
      <c r="I291" s="578"/>
      <c r="J291" s="578"/>
      <c r="K291" s="578"/>
    </row>
    <row r="292" spans="1:11" s="203" customFormat="1" ht="15.75" hidden="1" x14ac:dyDescent="0.25">
      <c r="A292" s="579" t="s">
        <v>135</v>
      </c>
      <c r="B292" s="580" t="s">
        <v>150</v>
      </c>
      <c r="C292" s="580" t="s">
        <v>219</v>
      </c>
      <c r="D292" s="573" t="s">
        <v>1002</v>
      </c>
      <c r="E292" s="580" t="s">
        <v>145</v>
      </c>
      <c r="F292" s="386">
        <f>F293</f>
        <v>0</v>
      </c>
      <c r="G292" s="578"/>
      <c r="H292" s="578"/>
      <c r="I292" s="578"/>
      <c r="J292" s="578"/>
      <c r="K292" s="578"/>
    </row>
    <row r="293" spans="1:11" s="203" customFormat="1" ht="15.75" hidden="1" x14ac:dyDescent="0.25">
      <c r="A293" s="579" t="s">
        <v>568</v>
      </c>
      <c r="B293" s="580" t="s">
        <v>150</v>
      </c>
      <c r="C293" s="580" t="s">
        <v>219</v>
      </c>
      <c r="D293" s="573" t="s">
        <v>1002</v>
      </c>
      <c r="E293" s="580" t="s">
        <v>138</v>
      </c>
      <c r="F293" s="386">
        <f>'Пр.4 ведом.22'!G953</f>
        <v>0</v>
      </c>
      <c r="G293" s="578"/>
      <c r="H293" s="578"/>
      <c r="I293" s="578"/>
      <c r="J293" s="578"/>
      <c r="K293" s="578"/>
    </row>
    <row r="294" spans="1:11" ht="41.45" customHeight="1" x14ac:dyDescent="0.25">
      <c r="A294" s="494" t="s">
        <v>237</v>
      </c>
      <c r="B294" s="495" t="s">
        <v>150</v>
      </c>
      <c r="C294" s="495" t="s">
        <v>238</v>
      </c>
      <c r="D294" s="495"/>
      <c r="E294" s="495"/>
      <c r="F294" s="59">
        <f>F295+F302+F320</f>
        <v>725.8</v>
      </c>
    </row>
    <row r="295" spans="1:11" ht="31.5" x14ac:dyDescent="0.25">
      <c r="A295" s="494" t="s">
        <v>917</v>
      </c>
      <c r="B295" s="495" t="s">
        <v>150</v>
      </c>
      <c r="C295" s="495" t="s">
        <v>238</v>
      </c>
      <c r="D295" s="495" t="s">
        <v>858</v>
      </c>
      <c r="E295" s="495"/>
      <c r="F295" s="59">
        <f>F296</f>
        <v>315.8</v>
      </c>
    </row>
    <row r="296" spans="1:11" ht="31.5" x14ac:dyDescent="0.25">
      <c r="A296" s="494" t="s">
        <v>885</v>
      </c>
      <c r="B296" s="495" t="s">
        <v>150</v>
      </c>
      <c r="C296" s="495" t="s">
        <v>238</v>
      </c>
      <c r="D296" s="495" t="s">
        <v>863</v>
      </c>
      <c r="E296" s="495"/>
      <c r="F296" s="59">
        <f>F297</f>
        <v>315.8</v>
      </c>
    </row>
    <row r="297" spans="1:11" ht="63" x14ac:dyDescent="0.25">
      <c r="A297" s="31" t="s">
        <v>241</v>
      </c>
      <c r="B297" s="580" t="s">
        <v>150</v>
      </c>
      <c r="C297" s="580" t="s">
        <v>238</v>
      </c>
      <c r="D297" s="580" t="s">
        <v>924</v>
      </c>
      <c r="E297" s="580"/>
      <c r="F297" s="10">
        <f>F298+F300</f>
        <v>315.8</v>
      </c>
      <c r="G297" s="230">
        <f>F297+F62+F65+F66+F79+F71+F76+F952+F958</f>
        <v>7554.2000000000007</v>
      </c>
    </row>
    <row r="298" spans="1:11" ht="78.75" x14ac:dyDescent="0.25">
      <c r="A298" s="579" t="s">
        <v>127</v>
      </c>
      <c r="B298" s="580" t="s">
        <v>150</v>
      </c>
      <c r="C298" s="580" t="s">
        <v>238</v>
      </c>
      <c r="D298" s="580" t="s">
        <v>924</v>
      </c>
      <c r="E298" s="580" t="s">
        <v>128</v>
      </c>
      <c r="F298" s="10">
        <f>F299</f>
        <v>287.10000000000002</v>
      </c>
    </row>
    <row r="299" spans="1:11" ht="32.25" customHeight="1" x14ac:dyDescent="0.25">
      <c r="A299" s="579" t="s">
        <v>129</v>
      </c>
      <c r="B299" s="580" t="s">
        <v>150</v>
      </c>
      <c r="C299" s="580" t="s">
        <v>238</v>
      </c>
      <c r="D299" s="580" t="s">
        <v>924</v>
      </c>
      <c r="E299" s="580" t="s">
        <v>130</v>
      </c>
      <c r="F299" s="10">
        <f>'Пр.4 ведом.22'!G211</f>
        <v>287.10000000000002</v>
      </c>
    </row>
    <row r="300" spans="1:11" ht="31.5" x14ac:dyDescent="0.25">
      <c r="A300" s="579" t="s">
        <v>131</v>
      </c>
      <c r="B300" s="580" t="s">
        <v>150</v>
      </c>
      <c r="C300" s="580" t="s">
        <v>238</v>
      </c>
      <c r="D300" s="580" t="s">
        <v>924</v>
      </c>
      <c r="E300" s="580" t="s">
        <v>132</v>
      </c>
      <c r="F300" s="10">
        <f>F301</f>
        <v>28.7</v>
      </c>
    </row>
    <row r="301" spans="1:11" ht="31.5" x14ac:dyDescent="0.25">
      <c r="A301" s="579" t="s">
        <v>133</v>
      </c>
      <c r="B301" s="580" t="s">
        <v>150</v>
      </c>
      <c r="C301" s="580" t="s">
        <v>238</v>
      </c>
      <c r="D301" s="580" t="s">
        <v>924</v>
      </c>
      <c r="E301" s="580" t="s">
        <v>134</v>
      </c>
      <c r="F301" s="10">
        <f>'Пр.4 ведом.22'!G213</f>
        <v>28.7</v>
      </c>
    </row>
    <row r="302" spans="1:11" s="203" customFormat="1" ht="47.25" x14ac:dyDescent="0.25">
      <c r="A302" s="494" t="s">
        <v>1197</v>
      </c>
      <c r="B302" s="495" t="s">
        <v>150</v>
      </c>
      <c r="C302" s="495" t="s">
        <v>238</v>
      </c>
      <c r="D302" s="495" t="s">
        <v>344</v>
      </c>
      <c r="E302" s="504"/>
      <c r="F302" s="59">
        <f>F303</f>
        <v>260</v>
      </c>
      <c r="G302" s="578"/>
      <c r="H302" s="578"/>
      <c r="I302" s="578"/>
      <c r="J302" s="578"/>
      <c r="K302" s="578"/>
    </row>
    <row r="303" spans="1:11" s="203" customFormat="1" ht="63" x14ac:dyDescent="0.25">
      <c r="A303" s="494" t="s">
        <v>367</v>
      </c>
      <c r="B303" s="495" t="s">
        <v>150</v>
      </c>
      <c r="C303" s="495" t="s">
        <v>238</v>
      </c>
      <c r="D303" s="495" t="s">
        <v>356</v>
      </c>
      <c r="E303" s="495"/>
      <c r="F303" s="59">
        <f>F304+F308+F312+F316</f>
        <v>260</v>
      </c>
      <c r="G303" s="578"/>
      <c r="H303" s="578"/>
      <c r="I303" s="578"/>
      <c r="J303" s="578"/>
      <c r="K303" s="578"/>
    </row>
    <row r="304" spans="1:11" s="203" customFormat="1" ht="47.25" hidden="1" x14ac:dyDescent="0.25">
      <c r="A304" s="215" t="s">
        <v>1042</v>
      </c>
      <c r="B304" s="495" t="s">
        <v>150</v>
      </c>
      <c r="C304" s="495" t="s">
        <v>238</v>
      </c>
      <c r="D304" s="495" t="s">
        <v>907</v>
      </c>
      <c r="E304" s="495"/>
      <c r="F304" s="59">
        <f>F305</f>
        <v>0</v>
      </c>
      <c r="G304" s="578"/>
      <c r="H304" s="578"/>
      <c r="I304" s="578"/>
      <c r="J304" s="578"/>
      <c r="K304" s="578"/>
    </row>
    <row r="305" spans="1:11" s="203" customFormat="1" ht="47.25" hidden="1" x14ac:dyDescent="0.25">
      <c r="A305" s="579" t="s">
        <v>375</v>
      </c>
      <c r="B305" s="580" t="s">
        <v>150</v>
      </c>
      <c r="C305" s="580" t="s">
        <v>238</v>
      </c>
      <c r="D305" s="580" t="s">
        <v>1316</v>
      </c>
      <c r="E305" s="580"/>
      <c r="F305" s="10">
        <f>F306</f>
        <v>0</v>
      </c>
      <c r="G305" s="578"/>
      <c r="H305" s="578"/>
      <c r="I305" s="578"/>
      <c r="J305" s="578"/>
      <c r="K305" s="578"/>
    </row>
    <row r="306" spans="1:11" s="203" customFormat="1" ht="21.2" hidden="1" customHeight="1" x14ac:dyDescent="0.25">
      <c r="A306" s="579" t="s">
        <v>248</v>
      </c>
      <c r="B306" s="580" t="s">
        <v>150</v>
      </c>
      <c r="C306" s="580" t="s">
        <v>238</v>
      </c>
      <c r="D306" s="580" t="s">
        <v>1316</v>
      </c>
      <c r="E306" s="580" t="s">
        <v>249</v>
      </c>
      <c r="F306" s="10">
        <f>F307</f>
        <v>0</v>
      </c>
      <c r="G306" s="578"/>
      <c r="H306" s="578"/>
      <c r="I306" s="578"/>
      <c r="J306" s="578"/>
      <c r="K306" s="578"/>
    </row>
    <row r="307" spans="1:11" s="203" customFormat="1" ht="31.5" hidden="1" x14ac:dyDescent="0.25">
      <c r="A307" s="579" t="s">
        <v>250</v>
      </c>
      <c r="B307" s="580" t="s">
        <v>150</v>
      </c>
      <c r="C307" s="580" t="s">
        <v>238</v>
      </c>
      <c r="D307" s="580" t="s">
        <v>1316</v>
      </c>
      <c r="E307" s="580" t="s">
        <v>251</v>
      </c>
      <c r="F307" s="10">
        <f>'Пр.4 ведом.22'!G284</f>
        <v>0</v>
      </c>
      <c r="G307" s="578"/>
      <c r="H307" s="578"/>
      <c r="I307" s="578"/>
      <c r="J307" s="578"/>
      <c r="K307" s="578"/>
    </row>
    <row r="308" spans="1:11" s="203" customFormat="1" ht="31.5" x14ac:dyDescent="0.25">
      <c r="A308" s="494" t="s">
        <v>1041</v>
      </c>
      <c r="B308" s="495" t="s">
        <v>150</v>
      </c>
      <c r="C308" s="495" t="s">
        <v>238</v>
      </c>
      <c r="D308" s="495" t="s">
        <v>1199</v>
      </c>
      <c r="E308" s="495"/>
      <c r="F308" s="59">
        <f>F309</f>
        <v>260</v>
      </c>
      <c r="G308" s="578"/>
      <c r="H308" s="578"/>
      <c r="I308" s="578"/>
      <c r="J308" s="578"/>
      <c r="K308" s="578"/>
    </row>
    <row r="309" spans="1:11" s="203" customFormat="1" ht="110.25" x14ac:dyDescent="0.25">
      <c r="A309" s="579" t="s">
        <v>373</v>
      </c>
      <c r="B309" s="580" t="s">
        <v>150</v>
      </c>
      <c r="C309" s="580" t="s">
        <v>238</v>
      </c>
      <c r="D309" s="580" t="s">
        <v>1200</v>
      </c>
      <c r="E309" s="580"/>
      <c r="F309" s="10">
        <f>F310</f>
        <v>260</v>
      </c>
      <c r="G309" s="578"/>
      <c r="H309" s="578"/>
      <c r="I309" s="578"/>
      <c r="J309" s="578"/>
      <c r="K309" s="578"/>
    </row>
    <row r="310" spans="1:11" s="203" customFormat="1" ht="31.5" x14ac:dyDescent="0.25">
      <c r="A310" s="579" t="s">
        <v>272</v>
      </c>
      <c r="B310" s="580" t="s">
        <v>150</v>
      </c>
      <c r="C310" s="580" t="s">
        <v>238</v>
      </c>
      <c r="D310" s="580" t="s">
        <v>1200</v>
      </c>
      <c r="E310" s="580" t="s">
        <v>273</v>
      </c>
      <c r="F310" s="10">
        <f>F311</f>
        <v>260</v>
      </c>
      <c r="G310" s="578"/>
      <c r="H310" s="578"/>
      <c r="I310" s="578"/>
      <c r="J310" s="578"/>
      <c r="K310" s="578"/>
    </row>
    <row r="311" spans="1:11" s="203" customFormat="1" ht="63" x14ac:dyDescent="0.25">
      <c r="A311" s="579" t="s">
        <v>1089</v>
      </c>
      <c r="B311" s="580" t="s">
        <v>150</v>
      </c>
      <c r="C311" s="580" t="s">
        <v>238</v>
      </c>
      <c r="D311" s="580" t="s">
        <v>1200</v>
      </c>
      <c r="E311" s="580" t="s">
        <v>372</v>
      </c>
      <c r="F311" s="10">
        <f>'Пр.4 ведом.22'!G288</f>
        <v>260</v>
      </c>
      <c r="G311" s="578"/>
      <c r="H311" s="578"/>
      <c r="I311" s="578"/>
      <c r="J311" s="578"/>
      <c r="K311" s="578"/>
    </row>
    <row r="312" spans="1:11" s="203" customFormat="1" ht="31.5" hidden="1" x14ac:dyDescent="0.25">
      <c r="A312" s="494" t="s">
        <v>995</v>
      </c>
      <c r="B312" s="495" t="s">
        <v>150</v>
      </c>
      <c r="C312" s="495" t="s">
        <v>238</v>
      </c>
      <c r="D312" s="495" t="s">
        <v>1309</v>
      </c>
      <c r="E312" s="495"/>
      <c r="F312" s="59">
        <f>F313</f>
        <v>0</v>
      </c>
      <c r="G312" s="578"/>
      <c r="H312" s="578"/>
      <c r="I312" s="578"/>
      <c r="J312" s="578"/>
      <c r="K312" s="578"/>
    </row>
    <row r="313" spans="1:11" s="203" customFormat="1" ht="31.5" hidden="1" x14ac:dyDescent="0.25">
      <c r="A313" s="252" t="s">
        <v>1043</v>
      </c>
      <c r="B313" s="580" t="s">
        <v>150</v>
      </c>
      <c r="C313" s="580" t="s">
        <v>238</v>
      </c>
      <c r="D313" s="580" t="s">
        <v>1310</v>
      </c>
      <c r="E313" s="580"/>
      <c r="F313" s="10">
        <f>F314</f>
        <v>0</v>
      </c>
      <c r="G313" s="578"/>
      <c r="H313" s="578"/>
      <c r="I313" s="578"/>
      <c r="J313" s="578"/>
      <c r="K313" s="578"/>
    </row>
    <row r="314" spans="1:11" s="203" customFormat="1" ht="31.5" hidden="1" x14ac:dyDescent="0.25">
      <c r="A314" s="579" t="s">
        <v>131</v>
      </c>
      <c r="B314" s="580" t="s">
        <v>150</v>
      </c>
      <c r="C314" s="580" t="s">
        <v>238</v>
      </c>
      <c r="D314" s="580" t="s">
        <v>1310</v>
      </c>
      <c r="E314" s="580" t="s">
        <v>132</v>
      </c>
      <c r="F314" s="10">
        <f>F315</f>
        <v>0</v>
      </c>
      <c r="G314" s="578"/>
      <c r="H314" s="578"/>
      <c r="I314" s="578"/>
      <c r="J314" s="578"/>
      <c r="K314" s="578"/>
    </row>
    <row r="315" spans="1:11" s="203" customFormat="1" ht="31.5" hidden="1" x14ac:dyDescent="0.25">
      <c r="A315" s="579" t="s">
        <v>133</v>
      </c>
      <c r="B315" s="580" t="s">
        <v>150</v>
      </c>
      <c r="C315" s="580" t="s">
        <v>238</v>
      </c>
      <c r="D315" s="580" t="s">
        <v>1310</v>
      </c>
      <c r="E315" s="580" t="s">
        <v>134</v>
      </c>
      <c r="F315" s="10">
        <f>'Пр.4 ведом.22'!G292</f>
        <v>0</v>
      </c>
      <c r="G315" s="578"/>
      <c r="H315" s="578"/>
      <c r="I315" s="578"/>
      <c r="J315" s="578"/>
      <c r="K315" s="578"/>
    </row>
    <row r="316" spans="1:11" s="203" customFormat="1" ht="31.5" hidden="1" x14ac:dyDescent="0.25">
      <c r="A316" s="503" t="s">
        <v>1102</v>
      </c>
      <c r="B316" s="495" t="s">
        <v>150</v>
      </c>
      <c r="C316" s="495" t="s">
        <v>238</v>
      </c>
      <c r="D316" s="495" t="s">
        <v>1201</v>
      </c>
      <c r="E316" s="495"/>
      <c r="F316" s="493">
        <f>F317</f>
        <v>0</v>
      </c>
      <c r="G316" s="578"/>
      <c r="H316" s="578"/>
      <c r="I316" s="578"/>
      <c r="J316" s="578"/>
      <c r="K316" s="578"/>
    </row>
    <row r="317" spans="1:11" s="203" customFormat="1" ht="31.5" hidden="1" x14ac:dyDescent="0.25">
      <c r="A317" s="231" t="s">
        <v>1103</v>
      </c>
      <c r="B317" s="580" t="s">
        <v>150</v>
      </c>
      <c r="C317" s="580" t="s">
        <v>238</v>
      </c>
      <c r="D317" s="580" t="s">
        <v>1202</v>
      </c>
      <c r="E317" s="580"/>
      <c r="F317" s="497">
        <f>F318</f>
        <v>0</v>
      </c>
      <c r="G317" s="578"/>
      <c r="H317" s="578"/>
      <c r="I317" s="578"/>
      <c r="J317" s="578"/>
      <c r="K317" s="578"/>
    </row>
    <row r="318" spans="1:11" s="203" customFormat="1" ht="31.5" hidden="1" x14ac:dyDescent="0.25">
      <c r="A318" s="579" t="s">
        <v>131</v>
      </c>
      <c r="B318" s="580" t="s">
        <v>150</v>
      </c>
      <c r="C318" s="580" t="s">
        <v>238</v>
      </c>
      <c r="D318" s="580" t="s">
        <v>1202</v>
      </c>
      <c r="E318" s="580" t="s">
        <v>132</v>
      </c>
      <c r="F318" s="497">
        <f>F319</f>
        <v>0</v>
      </c>
      <c r="G318" s="578"/>
      <c r="H318" s="578"/>
      <c r="I318" s="578"/>
      <c r="J318" s="578"/>
      <c r="K318" s="578"/>
    </row>
    <row r="319" spans="1:11" s="203" customFormat="1" ht="31.5" hidden="1" x14ac:dyDescent="0.25">
      <c r="A319" s="579" t="s">
        <v>133</v>
      </c>
      <c r="B319" s="580" t="s">
        <v>150</v>
      </c>
      <c r="C319" s="580" t="s">
        <v>238</v>
      </c>
      <c r="D319" s="580" t="s">
        <v>1202</v>
      </c>
      <c r="E319" s="580" t="s">
        <v>134</v>
      </c>
      <c r="F319" s="497">
        <f>'Пр.4 ведом.22'!G296</f>
        <v>0</v>
      </c>
      <c r="G319" s="578"/>
      <c r="H319" s="578"/>
      <c r="I319" s="578"/>
      <c r="J319" s="578"/>
      <c r="K319" s="578"/>
    </row>
    <row r="320" spans="1:11" ht="47.25" x14ac:dyDescent="0.25">
      <c r="A320" s="494" t="s">
        <v>1336</v>
      </c>
      <c r="B320" s="495" t="s">
        <v>150</v>
      </c>
      <c r="C320" s="495" t="s">
        <v>238</v>
      </c>
      <c r="D320" s="495" t="s">
        <v>156</v>
      </c>
      <c r="E320" s="495"/>
      <c r="F320" s="59">
        <f>F321</f>
        <v>150</v>
      </c>
    </row>
    <row r="321" spans="1:12" ht="47.25" x14ac:dyDescent="0.25">
      <c r="A321" s="494" t="s">
        <v>1064</v>
      </c>
      <c r="B321" s="495" t="s">
        <v>150</v>
      </c>
      <c r="C321" s="495" t="s">
        <v>238</v>
      </c>
      <c r="D321" s="495" t="s">
        <v>1061</v>
      </c>
      <c r="E321" s="495"/>
      <c r="F321" s="59">
        <f>F322</f>
        <v>150</v>
      </c>
    </row>
    <row r="322" spans="1:12" ht="31.5" x14ac:dyDescent="0.25">
      <c r="A322" s="579" t="s">
        <v>1065</v>
      </c>
      <c r="B322" s="580" t="s">
        <v>150</v>
      </c>
      <c r="C322" s="580" t="s">
        <v>238</v>
      </c>
      <c r="D322" s="580" t="s">
        <v>1062</v>
      </c>
      <c r="E322" s="580"/>
      <c r="F322" s="10">
        <f>F323</f>
        <v>150</v>
      </c>
    </row>
    <row r="323" spans="1:12" ht="15.75" x14ac:dyDescent="0.25">
      <c r="A323" s="579" t="s">
        <v>135</v>
      </c>
      <c r="B323" s="580" t="s">
        <v>150</v>
      </c>
      <c r="C323" s="580" t="s">
        <v>238</v>
      </c>
      <c r="D323" s="580" t="s">
        <v>1062</v>
      </c>
      <c r="E323" s="580" t="s">
        <v>145</v>
      </c>
      <c r="F323" s="10">
        <f>F324</f>
        <v>150</v>
      </c>
    </row>
    <row r="324" spans="1:12" ht="47.25" x14ac:dyDescent="0.25">
      <c r="A324" s="579" t="s">
        <v>184</v>
      </c>
      <c r="B324" s="580" t="s">
        <v>150</v>
      </c>
      <c r="C324" s="580" t="s">
        <v>238</v>
      </c>
      <c r="D324" s="580" t="s">
        <v>1062</v>
      </c>
      <c r="E324" s="580" t="s">
        <v>160</v>
      </c>
      <c r="F324" s="10">
        <f>'Пр.4 ведом.22'!G218</f>
        <v>150</v>
      </c>
    </row>
    <row r="325" spans="1:12" ht="15.75" x14ac:dyDescent="0.25">
      <c r="A325" s="494" t="s">
        <v>390</v>
      </c>
      <c r="B325" s="495" t="s">
        <v>234</v>
      </c>
      <c r="C325" s="495"/>
      <c r="D325" s="495"/>
      <c r="E325" s="495"/>
      <c r="F325" s="488">
        <f>F326++F343+F408+F470</f>
        <v>60306.49</v>
      </c>
      <c r="G325" s="578">
        <v>67341.100000000006</v>
      </c>
      <c r="H325" s="115">
        <f>G325-F325</f>
        <v>7034.6100000000079</v>
      </c>
      <c r="K325" s="230">
        <f>F325-F446-'Пр.4 ведом.22'!J1175-'Пр.4 ведом.22'!P1175</f>
        <v>58160.689999999995</v>
      </c>
      <c r="L325" s="232">
        <f>F446+F463-'Пр.4 ведом.22'!J1174-'Пр.4 ведом.22'!P1174</f>
        <v>2645.8</v>
      </c>
    </row>
    <row r="326" spans="1:12" ht="15.75" x14ac:dyDescent="0.25">
      <c r="A326" s="494" t="s">
        <v>391</v>
      </c>
      <c r="B326" s="495" t="s">
        <v>234</v>
      </c>
      <c r="C326" s="495" t="s">
        <v>118</v>
      </c>
      <c r="D326" s="495"/>
      <c r="E326" s="495"/>
      <c r="F326" s="488">
        <f t="shared" ref="F326:F327" si="40">F327</f>
        <v>13496.099999999999</v>
      </c>
      <c r="G326" s="115"/>
      <c r="H326" s="115"/>
      <c r="I326" s="115"/>
      <c r="L326" s="22"/>
    </row>
    <row r="327" spans="1:12" ht="15.75" x14ac:dyDescent="0.25">
      <c r="A327" s="494" t="s">
        <v>141</v>
      </c>
      <c r="B327" s="495" t="s">
        <v>234</v>
      </c>
      <c r="C327" s="495" t="s">
        <v>118</v>
      </c>
      <c r="D327" s="495" t="s">
        <v>866</v>
      </c>
      <c r="E327" s="495"/>
      <c r="F327" s="488">
        <f t="shared" si="40"/>
        <v>13496.099999999999</v>
      </c>
    </row>
    <row r="328" spans="1:12" ht="31.5" x14ac:dyDescent="0.25">
      <c r="A328" s="494" t="s">
        <v>870</v>
      </c>
      <c r="B328" s="495" t="s">
        <v>234</v>
      </c>
      <c r="C328" s="495" t="s">
        <v>118</v>
      </c>
      <c r="D328" s="495" t="s">
        <v>865</v>
      </c>
      <c r="E328" s="495"/>
      <c r="F328" s="488">
        <f>F329+F334+F337+F340</f>
        <v>13496.099999999999</v>
      </c>
    </row>
    <row r="329" spans="1:12" ht="15.75" hidden="1" x14ac:dyDescent="0.25">
      <c r="A329" s="579" t="s">
        <v>515</v>
      </c>
      <c r="B329" s="580" t="s">
        <v>774</v>
      </c>
      <c r="C329" s="580" t="s">
        <v>118</v>
      </c>
      <c r="D329" s="580" t="s">
        <v>960</v>
      </c>
      <c r="E329" s="495"/>
      <c r="F329" s="489">
        <f t="shared" ref="F329" si="41">F330+F332</f>
        <v>0</v>
      </c>
    </row>
    <row r="330" spans="1:12" ht="31.5" hidden="1" x14ac:dyDescent="0.25">
      <c r="A330" s="579" t="s">
        <v>131</v>
      </c>
      <c r="B330" s="580" t="s">
        <v>234</v>
      </c>
      <c r="C330" s="580" t="s">
        <v>118</v>
      </c>
      <c r="D330" s="580" t="s">
        <v>960</v>
      </c>
      <c r="E330" s="580" t="s">
        <v>132</v>
      </c>
      <c r="F330" s="489">
        <f t="shared" ref="F330" si="42">F331</f>
        <v>0</v>
      </c>
    </row>
    <row r="331" spans="1:12" ht="31.5" hidden="1" x14ac:dyDescent="0.25">
      <c r="A331" s="579" t="s">
        <v>133</v>
      </c>
      <c r="B331" s="580" t="s">
        <v>234</v>
      </c>
      <c r="C331" s="580" t="s">
        <v>118</v>
      </c>
      <c r="D331" s="580" t="s">
        <v>960</v>
      </c>
      <c r="E331" s="580" t="s">
        <v>134</v>
      </c>
      <c r="F331" s="489">
        <f>'Пр.4 ведом.22'!G960</f>
        <v>0</v>
      </c>
    </row>
    <row r="332" spans="1:12" ht="15.75" hidden="1" x14ac:dyDescent="0.25">
      <c r="A332" s="579" t="s">
        <v>135</v>
      </c>
      <c r="B332" s="580" t="s">
        <v>234</v>
      </c>
      <c r="C332" s="580" t="s">
        <v>118</v>
      </c>
      <c r="D332" s="580" t="s">
        <v>960</v>
      </c>
      <c r="E332" s="580" t="s">
        <v>145</v>
      </c>
      <c r="F332" s="489">
        <f t="shared" ref="F332" si="43">F333</f>
        <v>0</v>
      </c>
    </row>
    <row r="333" spans="1:12" ht="47.25" hidden="1" x14ac:dyDescent="0.25">
      <c r="A333" s="579" t="s">
        <v>184</v>
      </c>
      <c r="B333" s="580" t="s">
        <v>234</v>
      </c>
      <c r="C333" s="580" t="s">
        <v>118</v>
      </c>
      <c r="D333" s="580" t="s">
        <v>960</v>
      </c>
      <c r="E333" s="580" t="s">
        <v>160</v>
      </c>
      <c r="F333" s="489">
        <f>'Пр.4 ведом.22'!G962</f>
        <v>0</v>
      </c>
    </row>
    <row r="334" spans="1:12" ht="31.5" x14ac:dyDescent="0.25">
      <c r="A334" s="29" t="s">
        <v>398</v>
      </c>
      <c r="B334" s="580" t="s">
        <v>234</v>
      </c>
      <c r="C334" s="580" t="s">
        <v>118</v>
      </c>
      <c r="D334" s="580" t="s">
        <v>961</v>
      </c>
      <c r="E334" s="495"/>
      <c r="F334" s="489">
        <f t="shared" ref="F334:F335" si="44">F335</f>
        <v>5190.7999999999993</v>
      </c>
    </row>
    <row r="335" spans="1:12" ht="31.5" x14ac:dyDescent="0.25">
      <c r="A335" s="579" t="s">
        <v>131</v>
      </c>
      <c r="B335" s="580" t="s">
        <v>234</v>
      </c>
      <c r="C335" s="580" t="s">
        <v>118</v>
      </c>
      <c r="D335" s="580" t="s">
        <v>961</v>
      </c>
      <c r="E335" s="580" t="s">
        <v>132</v>
      </c>
      <c r="F335" s="489">
        <f t="shared" si="44"/>
        <v>5190.7999999999993</v>
      </c>
    </row>
    <row r="336" spans="1:12" ht="31.5" x14ac:dyDescent="0.25">
      <c r="A336" s="579" t="s">
        <v>133</v>
      </c>
      <c r="B336" s="580" t="s">
        <v>234</v>
      </c>
      <c r="C336" s="580" t="s">
        <v>118</v>
      </c>
      <c r="D336" s="580" t="s">
        <v>961</v>
      </c>
      <c r="E336" s="580" t="s">
        <v>134</v>
      </c>
      <c r="F336" s="489">
        <f>'Пр.4 ведом.22'!G575+'Пр.4 ведом.22'!G965</f>
        <v>5190.7999999999993</v>
      </c>
    </row>
    <row r="337" spans="1:11" ht="31.5" x14ac:dyDescent="0.25">
      <c r="A337" s="29" t="s">
        <v>932</v>
      </c>
      <c r="B337" s="580" t="s">
        <v>234</v>
      </c>
      <c r="C337" s="580" t="s">
        <v>118</v>
      </c>
      <c r="D337" s="580" t="s">
        <v>962</v>
      </c>
      <c r="E337" s="495"/>
      <c r="F337" s="489">
        <f>F338</f>
        <v>1140</v>
      </c>
    </row>
    <row r="338" spans="1:11" ht="31.5" x14ac:dyDescent="0.25">
      <c r="A338" s="579" t="s">
        <v>131</v>
      </c>
      <c r="B338" s="580" t="s">
        <v>234</v>
      </c>
      <c r="C338" s="580" t="s">
        <v>118</v>
      </c>
      <c r="D338" s="580" t="s">
        <v>962</v>
      </c>
      <c r="E338" s="580" t="s">
        <v>132</v>
      </c>
      <c r="F338" s="489">
        <f>F339</f>
        <v>1140</v>
      </c>
    </row>
    <row r="339" spans="1:11" ht="31.5" x14ac:dyDescent="0.25">
      <c r="A339" s="579" t="s">
        <v>133</v>
      </c>
      <c r="B339" s="580" t="s">
        <v>234</v>
      </c>
      <c r="C339" s="580" t="s">
        <v>118</v>
      </c>
      <c r="D339" s="580" t="s">
        <v>962</v>
      </c>
      <c r="E339" s="580" t="s">
        <v>134</v>
      </c>
      <c r="F339" s="489">
        <f>'Пр.4 ведом.22'!G968+'Пр.4 ведом.22'!G578</f>
        <v>1140</v>
      </c>
    </row>
    <row r="340" spans="1:11" s="462" customFormat="1" ht="31.5" x14ac:dyDescent="0.25">
      <c r="A340" s="579" t="s">
        <v>1612</v>
      </c>
      <c r="B340" s="580" t="s">
        <v>234</v>
      </c>
      <c r="C340" s="580" t="s">
        <v>118</v>
      </c>
      <c r="D340" s="580" t="s">
        <v>1613</v>
      </c>
      <c r="E340" s="580"/>
      <c r="F340" s="489">
        <f>F341</f>
        <v>7165.3</v>
      </c>
      <c r="G340" s="578"/>
      <c r="H340" s="578"/>
      <c r="I340" s="578"/>
      <c r="J340" s="578"/>
      <c r="K340" s="578"/>
    </row>
    <row r="341" spans="1:11" s="462" customFormat="1" ht="31.5" x14ac:dyDescent="0.25">
      <c r="A341" s="579" t="s">
        <v>131</v>
      </c>
      <c r="B341" s="580" t="s">
        <v>234</v>
      </c>
      <c r="C341" s="580" t="s">
        <v>118</v>
      </c>
      <c r="D341" s="580" t="s">
        <v>1613</v>
      </c>
      <c r="E341" s="580" t="s">
        <v>132</v>
      </c>
      <c r="F341" s="489">
        <f>F342</f>
        <v>7165.3</v>
      </c>
      <c r="G341" s="578"/>
      <c r="H341" s="578"/>
      <c r="I341" s="578"/>
      <c r="J341" s="578"/>
      <c r="K341" s="578"/>
    </row>
    <row r="342" spans="1:11" s="462" customFormat="1" ht="31.5" x14ac:dyDescent="0.25">
      <c r="A342" s="579" t="s">
        <v>133</v>
      </c>
      <c r="B342" s="580" t="s">
        <v>234</v>
      </c>
      <c r="C342" s="580" t="s">
        <v>118</v>
      </c>
      <c r="D342" s="580" t="s">
        <v>1613</v>
      </c>
      <c r="E342" s="580" t="s">
        <v>134</v>
      </c>
      <c r="F342" s="489">
        <f>'Пр.4 ведом.22'!G971</f>
        <v>7165.3</v>
      </c>
      <c r="G342" s="578"/>
      <c r="H342" s="578"/>
      <c r="I342" s="578"/>
      <c r="J342" s="578"/>
      <c r="K342" s="578"/>
    </row>
    <row r="343" spans="1:11" ht="15.75" x14ac:dyDescent="0.25">
      <c r="A343" s="494" t="s">
        <v>517</v>
      </c>
      <c r="B343" s="495" t="s">
        <v>234</v>
      </c>
      <c r="C343" s="495" t="s">
        <v>213</v>
      </c>
      <c r="D343" s="495"/>
      <c r="E343" s="495"/>
      <c r="F343" s="488">
        <f>F374+F344+F403</f>
        <v>7810.420000000001</v>
      </c>
      <c r="H343" s="115"/>
    </row>
    <row r="344" spans="1:11" ht="15.75" x14ac:dyDescent="0.25">
      <c r="A344" s="494" t="s">
        <v>141</v>
      </c>
      <c r="B344" s="495" t="s">
        <v>234</v>
      </c>
      <c r="C344" s="495" t="s">
        <v>213</v>
      </c>
      <c r="D344" s="495" t="s">
        <v>866</v>
      </c>
      <c r="E344" s="495"/>
      <c r="F344" s="488">
        <f>F345+F357</f>
        <v>6906.420000000001</v>
      </c>
    </row>
    <row r="345" spans="1:11" ht="33" customHeight="1" x14ac:dyDescent="0.25">
      <c r="A345" s="494" t="s">
        <v>870</v>
      </c>
      <c r="B345" s="495" t="s">
        <v>234</v>
      </c>
      <c r="C345" s="495" t="s">
        <v>213</v>
      </c>
      <c r="D345" s="495" t="s">
        <v>865</v>
      </c>
      <c r="E345" s="495"/>
      <c r="F345" s="488">
        <f>F346+F352</f>
        <v>6906.420000000001</v>
      </c>
    </row>
    <row r="346" spans="1:11" ht="17.45" hidden="1" customHeight="1" x14ac:dyDescent="0.25">
      <c r="A346" s="35" t="s">
        <v>537</v>
      </c>
      <c r="B346" s="580" t="s">
        <v>234</v>
      </c>
      <c r="C346" s="580" t="s">
        <v>213</v>
      </c>
      <c r="D346" s="580" t="s">
        <v>979</v>
      </c>
      <c r="E346" s="580"/>
      <c r="F346" s="489">
        <f>F347+F349</f>
        <v>0</v>
      </c>
    </row>
    <row r="347" spans="1:11" ht="35.450000000000003" hidden="1" customHeight="1" x14ac:dyDescent="0.25">
      <c r="A347" s="579" t="s">
        <v>131</v>
      </c>
      <c r="B347" s="580" t="s">
        <v>234</v>
      </c>
      <c r="C347" s="580" t="s">
        <v>213</v>
      </c>
      <c r="D347" s="580" t="s">
        <v>979</v>
      </c>
      <c r="E347" s="580" t="s">
        <v>132</v>
      </c>
      <c r="F347" s="489">
        <f>F348</f>
        <v>0</v>
      </c>
    </row>
    <row r="348" spans="1:11" ht="31.5" hidden="1" x14ac:dyDescent="0.25">
      <c r="A348" s="579" t="s">
        <v>133</v>
      </c>
      <c r="B348" s="580" t="s">
        <v>234</v>
      </c>
      <c r="C348" s="580" t="s">
        <v>213</v>
      </c>
      <c r="D348" s="580" t="s">
        <v>979</v>
      </c>
      <c r="E348" s="580" t="s">
        <v>134</v>
      </c>
      <c r="F348" s="489">
        <f>'Пр.4 ведом.22'!G977</f>
        <v>0</v>
      </c>
    </row>
    <row r="349" spans="1:11" ht="15.75" hidden="1" x14ac:dyDescent="0.25">
      <c r="A349" s="579" t="s">
        <v>135</v>
      </c>
      <c r="B349" s="580" t="s">
        <v>234</v>
      </c>
      <c r="C349" s="580" t="s">
        <v>213</v>
      </c>
      <c r="D349" s="580" t="s">
        <v>979</v>
      </c>
      <c r="E349" s="580" t="s">
        <v>145</v>
      </c>
      <c r="F349" s="489">
        <f>F350+F351</f>
        <v>0</v>
      </c>
    </row>
    <row r="350" spans="1:11" ht="47.25" hidden="1" x14ac:dyDescent="0.25">
      <c r="A350" s="579" t="s">
        <v>184</v>
      </c>
      <c r="B350" s="580" t="s">
        <v>234</v>
      </c>
      <c r="C350" s="580" t="s">
        <v>213</v>
      </c>
      <c r="D350" s="580" t="s">
        <v>979</v>
      </c>
      <c r="E350" s="580" t="s">
        <v>160</v>
      </c>
      <c r="F350" s="489">
        <f>'Пр.4 ведом.22'!G979</f>
        <v>0</v>
      </c>
    </row>
    <row r="351" spans="1:11" s="203" customFormat="1" ht="15.75" hidden="1" x14ac:dyDescent="0.25">
      <c r="A351" s="579" t="s">
        <v>1191</v>
      </c>
      <c r="B351" s="580" t="s">
        <v>234</v>
      </c>
      <c r="C351" s="580" t="s">
        <v>213</v>
      </c>
      <c r="D351" s="580" t="s">
        <v>979</v>
      </c>
      <c r="E351" s="580" t="s">
        <v>147</v>
      </c>
      <c r="F351" s="489">
        <f>'Пр.4 ведом.22'!G980</f>
        <v>0</v>
      </c>
      <c r="G351" s="578"/>
      <c r="H351" s="578"/>
      <c r="I351" s="578"/>
      <c r="J351" s="578"/>
      <c r="K351" s="578"/>
    </row>
    <row r="352" spans="1:11" ht="31.5" x14ac:dyDescent="0.25">
      <c r="A352" s="29" t="s">
        <v>932</v>
      </c>
      <c r="B352" s="580" t="s">
        <v>234</v>
      </c>
      <c r="C352" s="580" t="s">
        <v>213</v>
      </c>
      <c r="D352" s="580" t="s">
        <v>962</v>
      </c>
      <c r="E352" s="580"/>
      <c r="F352" s="489">
        <f>F353+F355</f>
        <v>6906.420000000001</v>
      </c>
    </row>
    <row r="353" spans="1:6" ht="31.5" x14ac:dyDescent="0.25">
      <c r="A353" s="579" t="s">
        <v>131</v>
      </c>
      <c r="B353" s="580" t="s">
        <v>234</v>
      </c>
      <c r="C353" s="580" t="s">
        <v>213</v>
      </c>
      <c r="D353" s="580" t="s">
        <v>962</v>
      </c>
      <c r="E353" s="580" t="s">
        <v>132</v>
      </c>
      <c r="F353" s="489">
        <f t="shared" ref="F353" si="45">F354</f>
        <v>6906.420000000001</v>
      </c>
    </row>
    <row r="354" spans="1:6" ht="31.5" x14ac:dyDescent="0.25">
      <c r="A354" s="579" t="s">
        <v>133</v>
      </c>
      <c r="B354" s="580" t="s">
        <v>234</v>
      </c>
      <c r="C354" s="580" t="s">
        <v>213</v>
      </c>
      <c r="D354" s="580" t="s">
        <v>962</v>
      </c>
      <c r="E354" s="580" t="s">
        <v>134</v>
      </c>
      <c r="F354" s="489">
        <f>'Пр.4 ведом.22'!G983</f>
        <v>6906.420000000001</v>
      </c>
    </row>
    <row r="355" spans="1:6" ht="15.75" hidden="1" x14ac:dyDescent="0.25">
      <c r="A355" s="579" t="s">
        <v>135</v>
      </c>
      <c r="B355" s="580" t="s">
        <v>234</v>
      </c>
      <c r="C355" s="580" t="s">
        <v>213</v>
      </c>
      <c r="D355" s="580" t="s">
        <v>962</v>
      </c>
      <c r="E355" s="580" t="s">
        <v>145</v>
      </c>
      <c r="F355" s="489">
        <f>F356</f>
        <v>0</v>
      </c>
    </row>
    <row r="356" spans="1:6" ht="15.75" hidden="1" x14ac:dyDescent="0.25">
      <c r="A356" s="579" t="s">
        <v>146</v>
      </c>
      <c r="B356" s="580" t="s">
        <v>234</v>
      </c>
      <c r="C356" s="580" t="s">
        <v>213</v>
      </c>
      <c r="D356" s="580" t="s">
        <v>962</v>
      </c>
      <c r="E356" s="580" t="s">
        <v>147</v>
      </c>
      <c r="F356" s="489">
        <f>'Пр.4 ведом.22'!G985</f>
        <v>0</v>
      </c>
    </row>
    <row r="357" spans="1:6" ht="47.25" hidden="1" x14ac:dyDescent="0.25">
      <c r="A357" s="494" t="s">
        <v>1013</v>
      </c>
      <c r="B357" s="495" t="s">
        <v>234</v>
      </c>
      <c r="C357" s="495" t="s">
        <v>213</v>
      </c>
      <c r="D357" s="495" t="s">
        <v>980</v>
      </c>
      <c r="E357" s="495"/>
      <c r="F357" s="488">
        <f>F358+F363+F366+F371</f>
        <v>0</v>
      </c>
    </row>
    <row r="358" spans="1:6" ht="47.25" hidden="1" x14ac:dyDescent="0.25">
      <c r="A358" s="579" t="s">
        <v>827</v>
      </c>
      <c r="B358" s="580" t="s">
        <v>234</v>
      </c>
      <c r="C358" s="580" t="s">
        <v>213</v>
      </c>
      <c r="D358" s="580" t="s">
        <v>981</v>
      </c>
      <c r="E358" s="580"/>
      <c r="F358" s="489">
        <f>F359+F361</f>
        <v>0</v>
      </c>
    </row>
    <row r="359" spans="1:6" ht="31.5" hidden="1" x14ac:dyDescent="0.25">
      <c r="A359" s="579" t="s">
        <v>131</v>
      </c>
      <c r="B359" s="580" t="s">
        <v>234</v>
      </c>
      <c r="C359" s="580" t="s">
        <v>213</v>
      </c>
      <c r="D359" s="580" t="s">
        <v>981</v>
      </c>
      <c r="E359" s="580" t="s">
        <v>132</v>
      </c>
      <c r="F359" s="489">
        <f>F360</f>
        <v>0</v>
      </c>
    </row>
    <row r="360" spans="1:6" ht="31.5" hidden="1" x14ac:dyDescent="0.25">
      <c r="A360" s="579" t="s">
        <v>133</v>
      </c>
      <c r="B360" s="580" t="s">
        <v>234</v>
      </c>
      <c r="C360" s="580" t="s">
        <v>213</v>
      </c>
      <c r="D360" s="580" t="s">
        <v>981</v>
      </c>
      <c r="E360" s="580" t="s">
        <v>134</v>
      </c>
      <c r="F360" s="489">
        <f>'Пр.4 ведом.22'!G989</f>
        <v>0</v>
      </c>
    </row>
    <row r="361" spans="1:6" ht="15.75" hidden="1" x14ac:dyDescent="0.25">
      <c r="A361" s="579" t="s">
        <v>135</v>
      </c>
      <c r="B361" s="580" t="s">
        <v>234</v>
      </c>
      <c r="C361" s="580" t="s">
        <v>213</v>
      </c>
      <c r="D361" s="580" t="s">
        <v>981</v>
      </c>
      <c r="E361" s="580" t="s">
        <v>837</v>
      </c>
      <c r="F361" s="489">
        <f>F362</f>
        <v>0</v>
      </c>
    </row>
    <row r="362" spans="1:6" ht="15.75" hidden="1" x14ac:dyDescent="0.25">
      <c r="A362" s="579" t="s">
        <v>568</v>
      </c>
      <c r="B362" s="580" t="s">
        <v>234</v>
      </c>
      <c r="C362" s="580" t="s">
        <v>213</v>
      </c>
      <c r="D362" s="580" t="s">
        <v>981</v>
      </c>
      <c r="E362" s="580" t="s">
        <v>1067</v>
      </c>
      <c r="F362" s="489">
        <f>'Пр.4 ведом.22'!G991</f>
        <v>0</v>
      </c>
    </row>
    <row r="363" spans="1:6" ht="49.7" hidden="1" customHeight="1" x14ac:dyDescent="0.25">
      <c r="A363" s="579" t="s">
        <v>793</v>
      </c>
      <c r="B363" s="580" t="s">
        <v>234</v>
      </c>
      <c r="C363" s="580" t="s">
        <v>213</v>
      </c>
      <c r="D363" s="580" t="s">
        <v>982</v>
      </c>
      <c r="E363" s="580"/>
      <c r="F363" s="489">
        <f>F364</f>
        <v>0</v>
      </c>
    </row>
    <row r="364" spans="1:6" ht="31.5" hidden="1" x14ac:dyDescent="0.25">
      <c r="A364" s="579" t="s">
        <v>131</v>
      </c>
      <c r="B364" s="580" t="s">
        <v>234</v>
      </c>
      <c r="C364" s="580" t="s">
        <v>213</v>
      </c>
      <c r="D364" s="580" t="s">
        <v>982</v>
      </c>
      <c r="E364" s="580" t="s">
        <v>132</v>
      </c>
      <c r="F364" s="489">
        <f>F365</f>
        <v>0</v>
      </c>
    </row>
    <row r="365" spans="1:6" ht="31.5" hidden="1" x14ac:dyDescent="0.25">
      <c r="A365" s="579" t="s">
        <v>133</v>
      </c>
      <c r="B365" s="580" t="s">
        <v>234</v>
      </c>
      <c r="C365" s="580" t="s">
        <v>213</v>
      </c>
      <c r="D365" s="580" t="s">
        <v>982</v>
      </c>
      <c r="E365" s="580" t="s">
        <v>134</v>
      </c>
      <c r="F365" s="489">
        <f>'Пр.4 ведом.22'!G994</f>
        <v>0</v>
      </c>
    </row>
    <row r="366" spans="1:6" ht="47.25" hidden="1" x14ac:dyDescent="0.25">
      <c r="A366" s="97" t="s">
        <v>833</v>
      </c>
      <c r="B366" s="580" t="s">
        <v>234</v>
      </c>
      <c r="C366" s="580" t="s">
        <v>213</v>
      </c>
      <c r="D366" s="580" t="s">
        <v>983</v>
      </c>
      <c r="E366" s="580"/>
      <c r="F366" s="489">
        <f>F367+F369</f>
        <v>0</v>
      </c>
    </row>
    <row r="367" spans="1:6" ht="31.5" hidden="1" x14ac:dyDescent="0.25">
      <c r="A367" s="579" t="s">
        <v>838</v>
      </c>
      <c r="B367" s="580" t="s">
        <v>234</v>
      </c>
      <c r="C367" s="580" t="s">
        <v>213</v>
      </c>
      <c r="D367" s="580" t="s">
        <v>983</v>
      </c>
      <c r="E367" s="580" t="s">
        <v>837</v>
      </c>
      <c r="F367" s="489">
        <f>F368</f>
        <v>0</v>
      </c>
    </row>
    <row r="368" spans="1:6" ht="31.7" hidden="1" customHeight="1" x14ac:dyDescent="0.25">
      <c r="A368" s="579" t="s">
        <v>1048</v>
      </c>
      <c r="B368" s="580" t="s">
        <v>234</v>
      </c>
      <c r="C368" s="580" t="s">
        <v>213</v>
      </c>
      <c r="D368" s="580" t="s">
        <v>983</v>
      </c>
      <c r="E368" s="580" t="s">
        <v>1067</v>
      </c>
      <c r="F368" s="489">
        <f>'Пр.4 ведом.22'!G997</f>
        <v>0</v>
      </c>
    </row>
    <row r="369" spans="1:6" ht="21.2" hidden="1" customHeight="1" x14ac:dyDescent="0.25">
      <c r="A369" s="579" t="s">
        <v>135</v>
      </c>
      <c r="B369" s="580" t="s">
        <v>234</v>
      </c>
      <c r="C369" s="580" t="s">
        <v>213</v>
      </c>
      <c r="D369" s="580" t="s">
        <v>983</v>
      </c>
      <c r="E369" s="580" t="s">
        <v>145</v>
      </c>
      <c r="F369" s="489">
        <f>F370</f>
        <v>0</v>
      </c>
    </row>
    <row r="370" spans="1:6" ht="21.75" hidden="1" customHeight="1" x14ac:dyDescent="0.25">
      <c r="A370" s="579" t="s">
        <v>704</v>
      </c>
      <c r="B370" s="580" t="s">
        <v>234</v>
      </c>
      <c r="C370" s="580" t="s">
        <v>213</v>
      </c>
      <c r="D370" s="580" t="s">
        <v>983</v>
      </c>
      <c r="E370" s="580" t="s">
        <v>138</v>
      </c>
      <c r="F370" s="489">
        <f>'Пр.4 ведом.22'!G999</f>
        <v>0</v>
      </c>
    </row>
    <row r="371" spans="1:6" ht="31.5" hidden="1" x14ac:dyDescent="0.25">
      <c r="A371" s="579" t="s">
        <v>1068</v>
      </c>
      <c r="B371" s="580" t="s">
        <v>234</v>
      </c>
      <c r="C371" s="580" t="s">
        <v>213</v>
      </c>
      <c r="D371" s="580" t="s">
        <v>1069</v>
      </c>
      <c r="E371" s="580"/>
      <c r="F371" s="489">
        <f t="shared" ref="F371:F372" si="46">F372</f>
        <v>0</v>
      </c>
    </row>
    <row r="372" spans="1:6" ht="31.5" hidden="1" x14ac:dyDescent="0.25">
      <c r="A372" s="579" t="s">
        <v>131</v>
      </c>
      <c r="B372" s="580" t="s">
        <v>234</v>
      </c>
      <c r="C372" s="580" t="s">
        <v>213</v>
      </c>
      <c r="D372" s="580" t="s">
        <v>1069</v>
      </c>
      <c r="E372" s="580" t="s">
        <v>132</v>
      </c>
      <c r="F372" s="489">
        <f t="shared" si="46"/>
        <v>0</v>
      </c>
    </row>
    <row r="373" spans="1:6" ht="31.5" hidden="1" x14ac:dyDescent="0.25">
      <c r="A373" s="579" t="s">
        <v>133</v>
      </c>
      <c r="B373" s="580" t="s">
        <v>234</v>
      </c>
      <c r="C373" s="580" t="s">
        <v>213</v>
      </c>
      <c r="D373" s="580" t="s">
        <v>1069</v>
      </c>
      <c r="E373" s="580" t="s">
        <v>134</v>
      </c>
      <c r="F373" s="489">
        <f>'Пр.4 ведом.22'!G1002</f>
        <v>0</v>
      </c>
    </row>
    <row r="374" spans="1:6" ht="63" x14ac:dyDescent="0.25">
      <c r="A374" s="494" t="s">
        <v>1526</v>
      </c>
      <c r="B374" s="495" t="s">
        <v>234</v>
      </c>
      <c r="C374" s="495" t="s">
        <v>213</v>
      </c>
      <c r="D374" s="495" t="s">
        <v>518</v>
      </c>
      <c r="E374" s="495"/>
      <c r="F374" s="488">
        <f>F375+F379+F383+F387+F391+F395+F399</f>
        <v>700</v>
      </c>
    </row>
    <row r="375" spans="1:6" ht="31.5" x14ac:dyDescent="0.25">
      <c r="A375" s="494" t="s">
        <v>963</v>
      </c>
      <c r="B375" s="495" t="s">
        <v>234</v>
      </c>
      <c r="C375" s="495" t="s">
        <v>213</v>
      </c>
      <c r="D375" s="495" t="s">
        <v>965</v>
      </c>
      <c r="E375" s="495"/>
      <c r="F375" s="488">
        <f>F376</f>
        <v>700</v>
      </c>
    </row>
    <row r="376" spans="1:6" ht="15.75" x14ac:dyDescent="0.25">
      <c r="A376" s="45" t="s">
        <v>964</v>
      </c>
      <c r="B376" s="573" t="s">
        <v>234</v>
      </c>
      <c r="C376" s="573" t="s">
        <v>213</v>
      </c>
      <c r="D376" s="580" t="s">
        <v>966</v>
      </c>
      <c r="E376" s="573"/>
      <c r="F376" s="489">
        <f t="shared" ref="F376:F377" si="47">F377</f>
        <v>700</v>
      </c>
    </row>
    <row r="377" spans="1:6" ht="31.5" x14ac:dyDescent="0.25">
      <c r="A377" s="31" t="s">
        <v>131</v>
      </c>
      <c r="B377" s="573" t="s">
        <v>234</v>
      </c>
      <c r="C377" s="573" t="s">
        <v>213</v>
      </c>
      <c r="D377" s="580" t="s">
        <v>966</v>
      </c>
      <c r="E377" s="573" t="s">
        <v>132</v>
      </c>
      <c r="F377" s="489">
        <f t="shared" si="47"/>
        <v>700</v>
      </c>
    </row>
    <row r="378" spans="1:6" ht="31.5" x14ac:dyDescent="0.25">
      <c r="A378" s="31" t="s">
        <v>133</v>
      </c>
      <c r="B378" s="573" t="s">
        <v>234</v>
      </c>
      <c r="C378" s="573" t="s">
        <v>213</v>
      </c>
      <c r="D378" s="580" t="s">
        <v>966</v>
      </c>
      <c r="E378" s="573" t="s">
        <v>134</v>
      </c>
      <c r="F378" s="489">
        <f>'Пр.4 ведом.22'!G1007</f>
        <v>700</v>
      </c>
    </row>
    <row r="379" spans="1:6" ht="31.5" hidden="1" x14ac:dyDescent="0.25">
      <c r="A379" s="34" t="s">
        <v>967</v>
      </c>
      <c r="B379" s="7" t="s">
        <v>234</v>
      </c>
      <c r="C379" s="7" t="s">
        <v>213</v>
      </c>
      <c r="D379" s="495" t="s">
        <v>968</v>
      </c>
      <c r="E379" s="7"/>
      <c r="F379" s="488">
        <f>F380</f>
        <v>0</v>
      </c>
    </row>
    <row r="380" spans="1:6" ht="15.75" hidden="1" x14ac:dyDescent="0.25">
      <c r="A380" s="45" t="s">
        <v>523</v>
      </c>
      <c r="B380" s="573" t="s">
        <v>234</v>
      </c>
      <c r="C380" s="573" t="s">
        <v>213</v>
      </c>
      <c r="D380" s="580" t="s">
        <v>971</v>
      </c>
      <c r="E380" s="573"/>
      <c r="F380" s="489">
        <f>F381</f>
        <v>0</v>
      </c>
    </row>
    <row r="381" spans="1:6" ht="31.5" hidden="1" x14ac:dyDescent="0.25">
      <c r="A381" s="31" t="s">
        <v>131</v>
      </c>
      <c r="B381" s="573" t="s">
        <v>234</v>
      </c>
      <c r="C381" s="573" t="s">
        <v>213</v>
      </c>
      <c r="D381" s="580" t="s">
        <v>971</v>
      </c>
      <c r="E381" s="573" t="s">
        <v>132</v>
      </c>
      <c r="F381" s="489">
        <f>F382</f>
        <v>0</v>
      </c>
    </row>
    <row r="382" spans="1:6" ht="31.5" hidden="1" x14ac:dyDescent="0.25">
      <c r="A382" s="31" t="s">
        <v>133</v>
      </c>
      <c r="B382" s="573" t="s">
        <v>234</v>
      </c>
      <c r="C382" s="573" t="s">
        <v>213</v>
      </c>
      <c r="D382" s="580" t="s">
        <v>971</v>
      </c>
      <c r="E382" s="573" t="s">
        <v>134</v>
      </c>
      <c r="F382" s="489">
        <f>'Пр.4 ведом.22'!G1011</f>
        <v>0</v>
      </c>
    </row>
    <row r="383" spans="1:6" ht="31.5" hidden="1" x14ac:dyDescent="0.25">
      <c r="A383" s="58" t="s">
        <v>969</v>
      </c>
      <c r="B383" s="7" t="s">
        <v>234</v>
      </c>
      <c r="C383" s="7" t="s">
        <v>213</v>
      </c>
      <c r="D383" s="495" t="s">
        <v>970</v>
      </c>
      <c r="E383" s="7"/>
      <c r="F383" s="488">
        <f>F384</f>
        <v>0</v>
      </c>
    </row>
    <row r="384" spans="1:6" ht="15.75" hidden="1" x14ac:dyDescent="0.25">
      <c r="A384" s="45" t="s">
        <v>525</v>
      </c>
      <c r="B384" s="573" t="s">
        <v>234</v>
      </c>
      <c r="C384" s="573" t="s">
        <v>213</v>
      </c>
      <c r="D384" s="580" t="s">
        <v>972</v>
      </c>
      <c r="E384" s="573"/>
      <c r="F384" s="489">
        <f>F385</f>
        <v>0</v>
      </c>
    </row>
    <row r="385" spans="1:6" ht="31.5" hidden="1" x14ac:dyDescent="0.25">
      <c r="A385" s="31" t="s">
        <v>131</v>
      </c>
      <c r="B385" s="573" t="s">
        <v>234</v>
      </c>
      <c r="C385" s="573" t="s">
        <v>213</v>
      </c>
      <c r="D385" s="580" t="s">
        <v>972</v>
      </c>
      <c r="E385" s="573" t="s">
        <v>132</v>
      </c>
      <c r="F385" s="489">
        <f>F386</f>
        <v>0</v>
      </c>
    </row>
    <row r="386" spans="1:6" ht="31.5" hidden="1" x14ac:dyDescent="0.25">
      <c r="A386" s="31" t="s">
        <v>133</v>
      </c>
      <c r="B386" s="573" t="s">
        <v>234</v>
      </c>
      <c r="C386" s="573" t="s">
        <v>213</v>
      </c>
      <c r="D386" s="580" t="s">
        <v>972</v>
      </c>
      <c r="E386" s="573" t="s">
        <v>134</v>
      </c>
      <c r="F386" s="489">
        <f>'Пр.4 ведом.22'!G1015</f>
        <v>0</v>
      </c>
    </row>
    <row r="387" spans="1:6" ht="31.5" hidden="1" x14ac:dyDescent="0.25">
      <c r="A387" s="58" t="s">
        <v>973</v>
      </c>
      <c r="B387" s="7" t="s">
        <v>234</v>
      </c>
      <c r="C387" s="7" t="s">
        <v>213</v>
      </c>
      <c r="D387" s="495" t="s">
        <v>974</v>
      </c>
      <c r="E387" s="7"/>
      <c r="F387" s="488">
        <f>F388</f>
        <v>0</v>
      </c>
    </row>
    <row r="388" spans="1:6" ht="15.75" hidden="1" x14ac:dyDescent="0.25">
      <c r="A388" s="45" t="s">
        <v>527</v>
      </c>
      <c r="B388" s="573" t="s">
        <v>234</v>
      </c>
      <c r="C388" s="573" t="s">
        <v>213</v>
      </c>
      <c r="D388" s="580" t="s">
        <v>975</v>
      </c>
      <c r="E388" s="573"/>
      <c r="F388" s="489">
        <f>F389</f>
        <v>0</v>
      </c>
    </row>
    <row r="389" spans="1:6" ht="31.5" hidden="1" x14ac:dyDescent="0.25">
      <c r="A389" s="31" t="s">
        <v>131</v>
      </c>
      <c r="B389" s="573" t="s">
        <v>234</v>
      </c>
      <c r="C389" s="573" t="s">
        <v>213</v>
      </c>
      <c r="D389" s="580" t="s">
        <v>975</v>
      </c>
      <c r="E389" s="573" t="s">
        <v>132</v>
      </c>
      <c r="F389" s="489">
        <f>F390</f>
        <v>0</v>
      </c>
    </row>
    <row r="390" spans="1:6" ht="31.5" hidden="1" x14ac:dyDescent="0.25">
      <c r="A390" s="31" t="s">
        <v>133</v>
      </c>
      <c r="B390" s="573" t="s">
        <v>234</v>
      </c>
      <c r="C390" s="573" t="s">
        <v>213</v>
      </c>
      <c r="D390" s="580" t="s">
        <v>975</v>
      </c>
      <c r="E390" s="573" t="s">
        <v>134</v>
      </c>
      <c r="F390" s="489">
        <f>'Пр.4 ведом.22'!G1019</f>
        <v>0</v>
      </c>
    </row>
    <row r="391" spans="1:6" ht="31.5" hidden="1" x14ac:dyDescent="0.25">
      <c r="A391" s="34" t="s">
        <v>1014</v>
      </c>
      <c r="B391" s="7" t="s">
        <v>234</v>
      </c>
      <c r="C391" s="7" t="s">
        <v>213</v>
      </c>
      <c r="D391" s="495" t="s">
        <v>1015</v>
      </c>
      <c r="E391" s="7"/>
      <c r="F391" s="488">
        <f>F392</f>
        <v>0</v>
      </c>
    </row>
    <row r="392" spans="1:6" ht="18" hidden="1" customHeight="1" x14ac:dyDescent="0.25">
      <c r="A392" s="45" t="s">
        <v>529</v>
      </c>
      <c r="B392" s="573" t="s">
        <v>234</v>
      </c>
      <c r="C392" s="573" t="s">
        <v>213</v>
      </c>
      <c r="D392" s="580" t="s">
        <v>1018</v>
      </c>
      <c r="E392" s="573"/>
      <c r="F392" s="489">
        <f>F393</f>
        <v>0</v>
      </c>
    </row>
    <row r="393" spans="1:6" ht="31.5" hidden="1" x14ac:dyDescent="0.25">
      <c r="A393" s="31" t="s">
        <v>131</v>
      </c>
      <c r="B393" s="573" t="s">
        <v>234</v>
      </c>
      <c r="C393" s="573" t="s">
        <v>213</v>
      </c>
      <c r="D393" s="580" t="s">
        <v>1018</v>
      </c>
      <c r="E393" s="573" t="s">
        <v>132</v>
      </c>
      <c r="F393" s="489">
        <f>F394</f>
        <v>0</v>
      </c>
    </row>
    <row r="394" spans="1:6" ht="31.5" hidden="1" x14ac:dyDescent="0.25">
      <c r="A394" s="31" t="s">
        <v>133</v>
      </c>
      <c r="B394" s="573" t="s">
        <v>234</v>
      </c>
      <c r="C394" s="573" t="s">
        <v>213</v>
      </c>
      <c r="D394" s="580" t="s">
        <v>1018</v>
      </c>
      <c r="E394" s="573" t="s">
        <v>134</v>
      </c>
      <c r="F394" s="489">
        <f>'Пр.4 ведом.22'!G1023</f>
        <v>0</v>
      </c>
    </row>
    <row r="395" spans="1:6" ht="31.5" hidden="1" x14ac:dyDescent="0.25">
      <c r="A395" s="220" t="s">
        <v>1016</v>
      </c>
      <c r="B395" s="7" t="s">
        <v>234</v>
      </c>
      <c r="C395" s="7" t="s">
        <v>213</v>
      </c>
      <c r="D395" s="495" t="s">
        <v>1017</v>
      </c>
      <c r="E395" s="7"/>
      <c r="F395" s="488">
        <f>F396</f>
        <v>0</v>
      </c>
    </row>
    <row r="396" spans="1:6" ht="31.5" hidden="1" x14ac:dyDescent="0.25">
      <c r="A396" s="174" t="s">
        <v>531</v>
      </c>
      <c r="B396" s="573" t="s">
        <v>234</v>
      </c>
      <c r="C396" s="573" t="s">
        <v>213</v>
      </c>
      <c r="D396" s="580" t="s">
        <v>1019</v>
      </c>
      <c r="E396" s="573"/>
      <c r="F396" s="489">
        <f>F397</f>
        <v>0</v>
      </c>
    </row>
    <row r="397" spans="1:6" ht="31.5" hidden="1" x14ac:dyDescent="0.25">
      <c r="A397" s="31" t="s">
        <v>131</v>
      </c>
      <c r="B397" s="573" t="s">
        <v>234</v>
      </c>
      <c r="C397" s="573" t="s">
        <v>213</v>
      </c>
      <c r="D397" s="580" t="s">
        <v>1019</v>
      </c>
      <c r="E397" s="573" t="s">
        <v>132</v>
      </c>
      <c r="F397" s="489">
        <f>F398</f>
        <v>0</v>
      </c>
    </row>
    <row r="398" spans="1:6" ht="31.5" hidden="1" x14ac:dyDescent="0.25">
      <c r="A398" s="31" t="s">
        <v>133</v>
      </c>
      <c r="B398" s="573" t="s">
        <v>234</v>
      </c>
      <c r="C398" s="573" t="s">
        <v>213</v>
      </c>
      <c r="D398" s="580" t="s">
        <v>1019</v>
      </c>
      <c r="E398" s="573" t="s">
        <v>134</v>
      </c>
      <c r="F398" s="489">
        <f>'Пр.4 ведом.22'!G1027</f>
        <v>0</v>
      </c>
    </row>
    <row r="399" spans="1:6" ht="31.5" hidden="1" x14ac:dyDescent="0.25">
      <c r="A399" s="220" t="s">
        <v>977</v>
      </c>
      <c r="B399" s="7" t="s">
        <v>234</v>
      </c>
      <c r="C399" s="7" t="s">
        <v>213</v>
      </c>
      <c r="D399" s="495" t="s">
        <v>978</v>
      </c>
      <c r="E399" s="7"/>
      <c r="F399" s="488">
        <f>F400</f>
        <v>0</v>
      </c>
    </row>
    <row r="400" spans="1:6" ht="15.75" hidden="1" x14ac:dyDescent="0.25">
      <c r="A400" s="174" t="s">
        <v>533</v>
      </c>
      <c r="B400" s="573" t="s">
        <v>234</v>
      </c>
      <c r="C400" s="573" t="s">
        <v>213</v>
      </c>
      <c r="D400" s="580" t="s">
        <v>976</v>
      </c>
      <c r="E400" s="573"/>
      <c r="F400" s="489">
        <f>F401</f>
        <v>0</v>
      </c>
    </row>
    <row r="401" spans="1:11" ht="31.5" hidden="1" x14ac:dyDescent="0.25">
      <c r="A401" s="579" t="s">
        <v>131</v>
      </c>
      <c r="B401" s="573" t="s">
        <v>234</v>
      </c>
      <c r="C401" s="573" t="s">
        <v>213</v>
      </c>
      <c r="D401" s="580" t="s">
        <v>976</v>
      </c>
      <c r="E401" s="573" t="s">
        <v>132</v>
      </c>
      <c r="F401" s="489">
        <f>F402</f>
        <v>0</v>
      </c>
    </row>
    <row r="402" spans="1:11" s="203" customFormat="1" ht="31.5" hidden="1" x14ac:dyDescent="0.25">
      <c r="A402" s="579" t="s">
        <v>133</v>
      </c>
      <c r="B402" s="573" t="s">
        <v>234</v>
      </c>
      <c r="C402" s="573" t="s">
        <v>213</v>
      </c>
      <c r="D402" s="580" t="s">
        <v>976</v>
      </c>
      <c r="E402" s="573" t="s">
        <v>134</v>
      </c>
      <c r="F402" s="489">
        <f>'Пр.4 ведом.22'!G1031</f>
        <v>0</v>
      </c>
      <c r="G402" s="578"/>
      <c r="H402" s="578"/>
      <c r="I402" s="578"/>
      <c r="J402" s="578"/>
      <c r="K402" s="578"/>
    </row>
    <row r="403" spans="1:11" s="203" customFormat="1" ht="47.25" x14ac:dyDescent="0.25">
      <c r="A403" s="494" t="s">
        <v>1528</v>
      </c>
      <c r="B403" s="7" t="s">
        <v>234</v>
      </c>
      <c r="C403" s="7" t="s">
        <v>213</v>
      </c>
      <c r="D403" s="495" t="s">
        <v>1141</v>
      </c>
      <c r="E403" s="7"/>
      <c r="F403" s="488">
        <f>F404</f>
        <v>204</v>
      </c>
      <c r="G403" s="578"/>
      <c r="H403" s="578"/>
      <c r="I403" s="578"/>
      <c r="J403" s="578"/>
      <c r="K403" s="578"/>
    </row>
    <row r="404" spans="1:11" s="203" customFormat="1" ht="31.5" x14ac:dyDescent="0.25">
      <c r="A404" s="494" t="s">
        <v>1142</v>
      </c>
      <c r="B404" s="7" t="s">
        <v>234</v>
      </c>
      <c r="C404" s="7" t="s">
        <v>213</v>
      </c>
      <c r="D404" s="495" t="s">
        <v>1143</v>
      </c>
      <c r="E404" s="7"/>
      <c r="F404" s="488">
        <f>F405</f>
        <v>204</v>
      </c>
      <c r="G404" s="578"/>
      <c r="H404" s="578"/>
      <c r="I404" s="578"/>
      <c r="J404" s="578"/>
      <c r="K404" s="578"/>
    </row>
    <row r="405" spans="1:11" s="203" customFormat="1" ht="15.75" x14ac:dyDescent="0.25">
      <c r="A405" s="579" t="s">
        <v>537</v>
      </c>
      <c r="B405" s="573" t="s">
        <v>234</v>
      </c>
      <c r="C405" s="573" t="s">
        <v>213</v>
      </c>
      <c r="D405" s="580" t="s">
        <v>1144</v>
      </c>
      <c r="E405" s="573"/>
      <c r="F405" s="489">
        <f>F406</f>
        <v>204</v>
      </c>
      <c r="G405" s="578"/>
      <c r="H405" s="578"/>
      <c r="I405" s="578"/>
      <c r="J405" s="578"/>
      <c r="K405" s="578"/>
    </row>
    <row r="406" spans="1:11" s="203" customFormat="1" ht="31.5" x14ac:dyDescent="0.25">
      <c r="A406" s="579" t="s">
        <v>131</v>
      </c>
      <c r="B406" s="573" t="s">
        <v>234</v>
      </c>
      <c r="C406" s="573" t="s">
        <v>213</v>
      </c>
      <c r="D406" s="580" t="s">
        <v>1144</v>
      </c>
      <c r="E406" s="573" t="s">
        <v>132</v>
      </c>
      <c r="F406" s="489">
        <f>F407</f>
        <v>204</v>
      </c>
      <c r="G406" s="578"/>
      <c r="H406" s="578"/>
      <c r="I406" s="578"/>
      <c r="J406" s="578"/>
      <c r="K406" s="578"/>
    </row>
    <row r="407" spans="1:11" s="203" customFormat="1" ht="31.5" x14ac:dyDescent="0.25">
      <c r="A407" s="579" t="s">
        <v>133</v>
      </c>
      <c r="B407" s="573" t="s">
        <v>234</v>
      </c>
      <c r="C407" s="573" t="s">
        <v>213</v>
      </c>
      <c r="D407" s="580" t="s">
        <v>1144</v>
      </c>
      <c r="E407" s="573" t="s">
        <v>134</v>
      </c>
      <c r="F407" s="489">
        <f>'Пр.4 ведом.22'!G1036</f>
        <v>204</v>
      </c>
      <c r="G407" s="578"/>
      <c r="H407" s="578"/>
      <c r="I407" s="578"/>
      <c r="J407" s="578"/>
      <c r="K407" s="578"/>
    </row>
    <row r="408" spans="1:11" ht="15.75" x14ac:dyDescent="0.25">
      <c r="A408" s="572" t="s">
        <v>541</v>
      </c>
      <c r="B408" s="7" t="s">
        <v>234</v>
      </c>
      <c r="C408" s="7" t="s">
        <v>215</v>
      </c>
      <c r="D408" s="7"/>
      <c r="E408" s="7"/>
      <c r="F408" s="488">
        <f>F409+F414+F461</f>
        <v>9635.7199999999993</v>
      </c>
      <c r="H408" s="115"/>
    </row>
    <row r="409" spans="1:11" s="203" customFormat="1" ht="15.75" x14ac:dyDescent="0.25">
      <c r="A409" s="494" t="s">
        <v>141</v>
      </c>
      <c r="B409" s="495" t="s">
        <v>234</v>
      </c>
      <c r="C409" s="495" t="s">
        <v>215</v>
      </c>
      <c r="D409" s="495" t="s">
        <v>866</v>
      </c>
      <c r="E409" s="495"/>
      <c r="F409" s="488">
        <f>F410</f>
        <v>390</v>
      </c>
      <c r="G409" s="578"/>
      <c r="H409" s="115"/>
      <c r="I409" s="578"/>
      <c r="J409" s="578"/>
      <c r="K409" s="578"/>
    </row>
    <row r="410" spans="1:11" s="203" customFormat="1" ht="31.5" x14ac:dyDescent="0.25">
      <c r="A410" s="494" t="s">
        <v>870</v>
      </c>
      <c r="B410" s="495" t="s">
        <v>234</v>
      </c>
      <c r="C410" s="495" t="s">
        <v>215</v>
      </c>
      <c r="D410" s="495" t="s">
        <v>865</v>
      </c>
      <c r="E410" s="495"/>
      <c r="F410" s="488">
        <f>F411</f>
        <v>390</v>
      </c>
      <c r="G410" s="578"/>
      <c r="H410" s="115"/>
      <c r="I410" s="578"/>
      <c r="J410" s="578"/>
      <c r="K410" s="578"/>
    </row>
    <row r="411" spans="1:11" s="203" customFormat="1" ht="15.75" x14ac:dyDescent="0.25">
      <c r="A411" s="579" t="s">
        <v>564</v>
      </c>
      <c r="B411" s="580" t="s">
        <v>234</v>
      </c>
      <c r="C411" s="580" t="s">
        <v>215</v>
      </c>
      <c r="D411" s="580" t="s">
        <v>1074</v>
      </c>
      <c r="E411" s="580"/>
      <c r="F411" s="489">
        <f>F412</f>
        <v>390</v>
      </c>
      <c r="G411" s="578"/>
      <c r="H411" s="115"/>
      <c r="I411" s="578"/>
      <c r="J411" s="578"/>
      <c r="K411" s="578"/>
    </row>
    <row r="412" spans="1:11" s="203" customFormat="1" ht="31.5" x14ac:dyDescent="0.25">
      <c r="A412" s="579" t="s">
        <v>131</v>
      </c>
      <c r="B412" s="580" t="s">
        <v>234</v>
      </c>
      <c r="C412" s="580" t="s">
        <v>215</v>
      </c>
      <c r="D412" s="580" t="s">
        <v>1074</v>
      </c>
      <c r="E412" s="580" t="s">
        <v>132</v>
      </c>
      <c r="F412" s="489">
        <f>F413</f>
        <v>390</v>
      </c>
      <c r="G412" s="578"/>
      <c r="H412" s="115"/>
      <c r="I412" s="578"/>
      <c r="J412" s="578"/>
      <c r="K412" s="578"/>
    </row>
    <row r="413" spans="1:11" s="203" customFormat="1" ht="31.5" x14ac:dyDescent="0.25">
      <c r="A413" s="579" t="s">
        <v>133</v>
      </c>
      <c r="B413" s="580" t="s">
        <v>234</v>
      </c>
      <c r="C413" s="580" t="s">
        <v>215</v>
      </c>
      <c r="D413" s="580" t="s">
        <v>1074</v>
      </c>
      <c r="E413" s="580" t="s">
        <v>134</v>
      </c>
      <c r="F413" s="489">
        <f>'Пр.4 ведом.22'!G1042</f>
        <v>390</v>
      </c>
      <c r="G413" s="578"/>
      <c r="H413" s="115"/>
      <c r="I413" s="578"/>
      <c r="J413" s="578"/>
      <c r="K413" s="578"/>
    </row>
    <row r="414" spans="1:11" ht="39.4" customHeight="1" x14ac:dyDescent="0.25">
      <c r="A414" s="494" t="s">
        <v>1362</v>
      </c>
      <c r="B414" s="7" t="s">
        <v>234</v>
      </c>
      <c r="C414" s="7" t="s">
        <v>215</v>
      </c>
      <c r="D414" s="7" t="s">
        <v>543</v>
      </c>
      <c r="E414" s="7"/>
      <c r="F414" s="488">
        <f>F415+F419+F446+F453+F457</f>
        <v>8745.7199999999993</v>
      </c>
    </row>
    <row r="415" spans="1:11" s="203" customFormat="1" ht="47.25" hidden="1" x14ac:dyDescent="0.25">
      <c r="A415" s="494" t="s">
        <v>1430</v>
      </c>
      <c r="B415" s="495" t="s">
        <v>234</v>
      </c>
      <c r="C415" s="495" t="s">
        <v>215</v>
      </c>
      <c r="D415" s="495" t="s">
        <v>1273</v>
      </c>
      <c r="E415" s="495"/>
      <c r="F415" s="488">
        <f>F416</f>
        <v>0</v>
      </c>
      <c r="G415" s="578"/>
      <c r="H415" s="578"/>
      <c r="I415" s="578"/>
      <c r="J415" s="578"/>
      <c r="K415" s="578"/>
    </row>
    <row r="416" spans="1:11" s="203" customFormat="1" ht="31.5" hidden="1" x14ac:dyDescent="0.25">
      <c r="A416" s="327" t="s">
        <v>1431</v>
      </c>
      <c r="B416" s="580" t="s">
        <v>234</v>
      </c>
      <c r="C416" s="580" t="s">
        <v>215</v>
      </c>
      <c r="D416" s="580" t="s">
        <v>1419</v>
      </c>
      <c r="E416" s="580"/>
      <c r="F416" s="497">
        <f>F417</f>
        <v>0</v>
      </c>
      <c r="G416" s="578"/>
      <c r="H416" s="578"/>
      <c r="I416" s="578"/>
      <c r="J416" s="578"/>
      <c r="K416" s="578"/>
    </row>
    <row r="417" spans="1:11" s="203" customFormat="1" ht="31.5" hidden="1" x14ac:dyDescent="0.25">
      <c r="A417" s="579" t="s">
        <v>131</v>
      </c>
      <c r="B417" s="580" t="s">
        <v>234</v>
      </c>
      <c r="C417" s="580" t="s">
        <v>215</v>
      </c>
      <c r="D417" s="580" t="s">
        <v>1419</v>
      </c>
      <c r="E417" s="580" t="s">
        <v>132</v>
      </c>
      <c r="F417" s="497">
        <f>F418</f>
        <v>0</v>
      </c>
      <c r="G417" s="578"/>
      <c r="H417" s="578"/>
      <c r="I417" s="578"/>
      <c r="J417" s="578"/>
      <c r="K417" s="578"/>
    </row>
    <row r="418" spans="1:11" s="203" customFormat="1" ht="31.5" hidden="1" x14ac:dyDescent="0.25">
      <c r="A418" s="579" t="s">
        <v>133</v>
      </c>
      <c r="B418" s="580" t="s">
        <v>234</v>
      </c>
      <c r="C418" s="580" t="s">
        <v>215</v>
      </c>
      <c r="D418" s="580" t="s">
        <v>1419</v>
      </c>
      <c r="E418" s="580" t="s">
        <v>134</v>
      </c>
      <c r="F418" s="497">
        <f>'Пр.4 ведом.22'!G1047</f>
        <v>0</v>
      </c>
      <c r="G418" s="578"/>
      <c r="H418" s="578"/>
      <c r="I418" s="578"/>
      <c r="J418" s="578"/>
      <c r="K418" s="578"/>
    </row>
    <row r="419" spans="1:11" s="203" customFormat="1" ht="31.5" x14ac:dyDescent="0.25">
      <c r="A419" s="494" t="s">
        <v>1433</v>
      </c>
      <c r="B419" s="495" t="s">
        <v>234</v>
      </c>
      <c r="C419" s="495" t="s">
        <v>215</v>
      </c>
      <c r="D419" s="495" t="s">
        <v>1274</v>
      </c>
      <c r="E419" s="495"/>
      <c r="F419" s="488">
        <f>F420+F423+F429+F432+F435+F440+F443</f>
        <v>2248.02</v>
      </c>
      <c r="G419" s="578"/>
      <c r="H419" s="578"/>
      <c r="I419" s="578"/>
      <c r="J419" s="578"/>
      <c r="K419" s="578"/>
    </row>
    <row r="420" spans="1:11" ht="24" customHeight="1" x14ac:dyDescent="0.25">
      <c r="A420" s="579" t="s">
        <v>546</v>
      </c>
      <c r="B420" s="580" t="s">
        <v>234</v>
      </c>
      <c r="C420" s="580" t="s">
        <v>215</v>
      </c>
      <c r="D420" s="580" t="s">
        <v>1429</v>
      </c>
      <c r="E420" s="580"/>
      <c r="F420" s="489">
        <f t="shared" ref="F420:F421" si="48">F421</f>
        <v>365</v>
      </c>
    </row>
    <row r="421" spans="1:11" ht="31.5" x14ac:dyDescent="0.25">
      <c r="A421" s="579" t="s">
        <v>131</v>
      </c>
      <c r="B421" s="580" t="s">
        <v>234</v>
      </c>
      <c r="C421" s="580" t="s">
        <v>215</v>
      </c>
      <c r="D421" s="580" t="s">
        <v>1429</v>
      </c>
      <c r="E421" s="580" t="s">
        <v>132</v>
      </c>
      <c r="F421" s="489">
        <f t="shared" si="48"/>
        <v>365</v>
      </c>
    </row>
    <row r="422" spans="1:11" ht="31.5" x14ac:dyDescent="0.25">
      <c r="A422" s="579" t="s">
        <v>133</v>
      </c>
      <c r="B422" s="580" t="s">
        <v>234</v>
      </c>
      <c r="C422" s="580" t="s">
        <v>215</v>
      </c>
      <c r="D422" s="580" t="s">
        <v>1429</v>
      </c>
      <c r="E422" s="580" t="s">
        <v>134</v>
      </c>
      <c r="F422" s="489">
        <f>'Пр.4 ведом.22'!G1051</f>
        <v>365</v>
      </c>
    </row>
    <row r="423" spans="1:11" ht="15.75" x14ac:dyDescent="0.25">
      <c r="A423" s="579" t="s">
        <v>548</v>
      </c>
      <c r="B423" s="580" t="s">
        <v>234</v>
      </c>
      <c r="C423" s="580" t="s">
        <v>215</v>
      </c>
      <c r="D423" s="580" t="s">
        <v>1418</v>
      </c>
      <c r="E423" s="580"/>
      <c r="F423" s="489">
        <f>F424+F426</f>
        <v>1408.02</v>
      </c>
    </row>
    <row r="424" spans="1:11" ht="31.5" x14ac:dyDescent="0.25">
      <c r="A424" s="579" t="s">
        <v>131</v>
      </c>
      <c r="B424" s="580" t="s">
        <v>234</v>
      </c>
      <c r="C424" s="580" t="s">
        <v>215</v>
      </c>
      <c r="D424" s="580" t="s">
        <v>1418</v>
      </c>
      <c r="E424" s="580" t="s">
        <v>132</v>
      </c>
      <c r="F424" s="489">
        <f t="shared" ref="F424" si="49">F425</f>
        <v>1408.02</v>
      </c>
    </row>
    <row r="425" spans="1:11" ht="31.5" x14ac:dyDescent="0.25">
      <c r="A425" s="579" t="s">
        <v>133</v>
      </c>
      <c r="B425" s="580" t="s">
        <v>234</v>
      </c>
      <c r="C425" s="580" t="s">
        <v>215</v>
      </c>
      <c r="D425" s="580" t="s">
        <v>1418</v>
      </c>
      <c r="E425" s="580" t="s">
        <v>134</v>
      </c>
      <c r="F425" s="489">
        <f>'Пр.4 ведом.22'!G1054</f>
        <v>1408.02</v>
      </c>
    </row>
    <row r="426" spans="1:11" ht="15.75" hidden="1" x14ac:dyDescent="0.25">
      <c r="A426" s="29" t="s">
        <v>135</v>
      </c>
      <c r="B426" s="580" t="s">
        <v>234</v>
      </c>
      <c r="C426" s="580" t="s">
        <v>215</v>
      </c>
      <c r="D426" s="580" t="s">
        <v>1418</v>
      </c>
      <c r="E426" s="580" t="s">
        <v>145</v>
      </c>
      <c r="F426" s="489">
        <f>F428+F427</f>
        <v>0</v>
      </c>
    </row>
    <row r="427" spans="1:11" s="203" customFormat="1" ht="47.25" hidden="1" x14ac:dyDescent="0.25">
      <c r="A427" s="579" t="s">
        <v>836</v>
      </c>
      <c r="B427" s="580" t="s">
        <v>234</v>
      </c>
      <c r="C427" s="580" t="s">
        <v>215</v>
      </c>
      <c r="D427" s="580" t="s">
        <v>1418</v>
      </c>
      <c r="E427" s="580" t="s">
        <v>147</v>
      </c>
      <c r="F427" s="489">
        <f>'Пр.4 ведом.22'!G1056</f>
        <v>0</v>
      </c>
      <c r="G427" s="578"/>
      <c r="H427" s="578"/>
      <c r="I427" s="578"/>
      <c r="J427" s="578"/>
      <c r="K427" s="578"/>
    </row>
    <row r="428" spans="1:11" ht="15.75" hidden="1" x14ac:dyDescent="0.25">
      <c r="A428" s="29" t="s">
        <v>568</v>
      </c>
      <c r="B428" s="580" t="s">
        <v>234</v>
      </c>
      <c r="C428" s="580" t="s">
        <v>215</v>
      </c>
      <c r="D428" s="580" t="s">
        <v>1418</v>
      </c>
      <c r="E428" s="580" t="s">
        <v>138</v>
      </c>
      <c r="F428" s="489">
        <f>'Пр.4 ведом.22'!G1057</f>
        <v>0</v>
      </c>
    </row>
    <row r="429" spans="1:11" ht="15.75" hidden="1" x14ac:dyDescent="0.25">
      <c r="A429" s="579" t="s">
        <v>550</v>
      </c>
      <c r="B429" s="580" t="s">
        <v>234</v>
      </c>
      <c r="C429" s="580" t="s">
        <v>215</v>
      </c>
      <c r="D429" s="580" t="s">
        <v>1298</v>
      </c>
      <c r="E429" s="580"/>
      <c r="F429" s="489">
        <f t="shared" ref="F429:F430" si="50">F430</f>
        <v>0</v>
      </c>
    </row>
    <row r="430" spans="1:11" ht="31.5" hidden="1" x14ac:dyDescent="0.25">
      <c r="A430" s="579" t="s">
        <v>131</v>
      </c>
      <c r="B430" s="580" t="s">
        <v>234</v>
      </c>
      <c r="C430" s="580" t="s">
        <v>215</v>
      </c>
      <c r="D430" s="580" t="s">
        <v>1298</v>
      </c>
      <c r="E430" s="580" t="s">
        <v>132</v>
      </c>
      <c r="F430" s="489">
        <f t="shared" si="50"/>
        <v>0</v>
      </c>
    </row>
    <row r="431" spans="1:11" ht="31.5" hidden="1" x14ac:dyDescent="0.25">
      <c r="A431" s="579" t="s">
        <v>133</v>
      </c>
      <c r="B431" s="580" t="s">
        <v>234</v>
      </c>
      <c r="C431" s="580" t="s">
        <v>215</v>
      </c>
      <c r="D431" s="580" t="s">
        <v>1298</v>
      </c>
      <c r="E431" s="580" t="s">
        <v>134</v>
      </c>
      <c r="F431" s="489">
        <f>'Пр.4 ведом.22'!G1060</f>
        <v>0</v>
      </c>
    </row>
    <row r="432" spans="1:11" ht="15.75" x14ac:dyDescent="0.25">
      <c r="A432" s="579" t="s">
        <v>555</v>
      </c>
      <c r="B432" s="580" t="s">
        <v>234</v>
      </c>
      <c r="C432" s="580" t="s">
        <v>215</v>
      </c>
      <c r="D432" s="580" t="s">
        <v>1275</v>
      </c>
      <c r="E432" s="580"/>
      <c r="F432" s="489">
        <f t="shared" ref="F432:F433" si="51">F433</f>
        <v>50</v>
      </c>
    </row>
    <row r="433" spans="1:11" ht="31.5" x14ac:dyDescent="0.25">
      <c r="A433" s="579" t="s">
        <v>131</v>
      </c>
      <c r="B433" s="580" t="s">
        <v>234</v>
      </c>
      <c r="C433" s="580" t="s">
        <v>215</v>
      </c>
      <c r="D433" s="580" t="s">
        <v>1275</v>
      </c>
      <c r="E433" s="580" t="s">
        <v>132</v>
      </c>
      <c r="F433" s="489">
        <f t="shared" si="51"/>
        <v>50</v>
      </c>
    </row>
    <row r="434" spans="1:11" ht="31.5" x14ac:dyDescent="0.25">
      <c r="A434" s="579" t="s">
        <v>133</v>
      </c>
      <c r="B434" s="580" t="s">
        <v>234</v>
      </c>
      <c r="C434" s="580" t="s">
        <v>215</v>
      </c>
      <c r="D434" s="580" t="s">
        <v>1275</v>
      </c>
      <c r="E434" s="580" t="s">
        <v>134</v>
      </c>
      <c r="F434" s="489">
        <f>'Пр.4 ведом.22'!G1063</f>
        <v>50</v>
      </c>
    </row>
    <row r="435" spans="1:11" ht="31.5" x14ac:dyDescent="0.25">
      <c r="A435" s="325" t="s">
        <v>1432</v>
      </c>
      <c r="B435" s="580" t="s">
        <v>234</v>
      </c>
      <c r="C435" s="580" t="s">
        <v>215</v>
      </c>
      <c r="D435" s="580" t="s">
        <v>1276</v>
      </c>
      <c r="E435" s="580"/>
      <c r="F435" s="489">
        <f>F436+F438</f>
        <v>375</v>
      </c>
    </row>
    <row r="436" spans="1:11" ht="31.5" x14ac:dyDescent="0.25">
      <c r="A436" s="579" t="s">
        <v>131</v>
      </c>
      <c r="B436" s="580" t="s">
        <v>234</v>
      </c>
      <c r="C436" s="580" t="s">
        <v>215</v>
      </c>
      <c r="D436" s="580" t="s">
        <v>1276</v>
      </c>
      <c r="E436" s="580" t="s">
        <v>132</v>
      </c>
      <c r="F436" s="489">
        <f t="shared" ref="F436" si="52">F437</f>
        <v>375</v>
      </c>
    </row>
    <row r="437" spans="1:11" ht="31.5" x14ac:dyDescent="0.25">
      <c r="A437" s="579" t="s">
        <v>133</v>
      </c>
      <c r="B437" s="580" t="s">
        <v>234</v>
      </c>
      <c r="C437" s="580" t="s">
        <v>215</v>
      </c>
      <c r="D437" s="580" t="s">
        <v>1276</v>
      </c>
      <c r="E437" s="580" t="s">
        <v>134</v>
      </c>
      <c r="F437" s="489">
        <f>'Пр.4 ведом.22'!G1066</f>
        <v>375</v>
      </c>
    </row>
    <row r="438" spans="1:11" s="203" customFormat="1" ht="15.75" hidden="1" x14ac:dyDescent="0.25">
      <c r="A438" s="29" t="s">
        <v>135</v>
      </c>
      <c r="B438" s="580" t="s">
        <v>234</v>
      </c>
      <c r="C438" s="580" t="s">
        <v>215</v>
      </c>
      <c r="D438" s="580" t="s">
        <v>1276</v>
      </c>
      <c r="E438" s="580" t="s">
        <v>145</v>
      </c>
      <c r="F438" s="489">
        <f>F439</f>
        <v>0</v>
      </c>
      <c r="G438" s="578"/>
      <c r="H438" s="578"/>
      <c r="I438" s="578"/>
      <c r="J438" s="578"/>
      <c r="K438" s="578"/>
    </row>
    <row r="439" spans="1:11" s="203" customFormat="1" ht="15.75" hidden="1" x14ac:dyDescent="0.25">
      <c r="A439" s="29" t="s">
        <v>568</v>
      </c>
      <c r="B439" s="580" t="s">
        <v>234</v>
      </c>
      <c r="C439" s="580" t="s">
        <v>215</v>
      </c>
      <c r="D439" s="580" t="s">
        <v>1276</v>
      </c>
      <c r="E439" s="580" t="s">
        <v>138</v>
      </c>
      <c r="F439" s="489">
        <f>'Пр.4 ведом.22'!G1068</f>
        <v>0</v>
      </c>
      <c r="G439" s="578"/>
      <c r="H439" s="578"/>
      <c r="I439" s="578"/>
      <c r="J439" s="578"/>
      <c r="K439" s="578"/>
    </row>
    <row r="440" spans="1:11" ht="15.75" hidden="1" x14ac:dyDescent="0.25">
      <c r="A440" s="98" t="s">
        <v>559</v>
      </c>
      <c r="B440" s="580" t="s">
        <v>234</v>
      </c>
      <c r="C440" s="580" t="s">
        <v>215</v>
      </c>
      <c r="D440" s="580" t="s">
        <v>1277</v>
      </c>
      <c r="E440" s="580"/>
      <c r="F440" s="489">
        <f t="shared" ref="F440:F441" si="53">F441</f>
        <v>0</v>
      </c>
    </row>
    <row r="441" spans="1:11" ht="31.5" hidden="1" x14ac:dyDescent="0.25">
      <c r="A441" s="579" t="s">
        <v>131</v>
      </c>
      <c r="B441" s="580" t="s">
        <v>234</v>
      </c>
      <c r="C441" s="580" t="s">
        <v>215</v>
      </c>
      <c r="D441" s="580" t="s">
        <v>1277</v>
      </c>
      <c r="E441" s="580" t="s">
        <v>132</v>
      </c>
      <c r="F441" s="489">
        <f t="shared" si="53"/>
        <v>0</v>
      </c>
    </row>
    <row r="442" spans="1:11" ht="31.5" hidden="1" x14ac:dyDescent="0.25">
      <c r="A442" s="579" t="s">
        <v>133</v>
      </c>
      <c r="B442" s="580" t="s">
        <v>234</v>
      </c>
      <c r="C442" s="580" t="s">
        <v>215</v>
      </c>
      <c r="D442" s="580" t="s">
        <v>1277</v>
      </c>
      <c r="E442" s="580" t="s">
        <v>134</v>
      </c>
      <c r="F442" s="489">
        <f>'Пр.4 ведом.22'!G1071</f>
        <v>0</v>
      </c>
    </row>
    <row r="443" spans="1:11" s="203" customFormat="1" ht="31.5" x14ac:dyDescent="0.25">
      <c r="A443" s="229" t="s">
        <v>1088</v>
      </c>
      <c r="B443" s="580" t="s">
        <v>234</v>
      </c>
      <c r="C443" s="580" t="s">
        <v>215</v>
      </c>
      <c r="D443" s="580" t="s">
        <v>1278</v>
      </c>
      <c r="E443" s="580"/>
      <c r="F443" s="497">
        <f>F444</f>
        <v>50</v>
      </c>
      <c r="G443" s="578"/>
      <c r="H443" s="578"/>
      <c r="I443" s="578"/>
      <c r="J443" s="578"/>
      <c r="K443" s="578"/>
    </row>
    <row r="444" spans="1:11" s="203" customFormat="1" ht="31.5" x14ac:dyDescent="0.25">
      <c r="A444" s="579" t="s">
        <v>131</v>
      </c>
      <c r="B444" s="580" t="s">
        <v>234</v>
      </c>
      <c r="C444" s="580" t="s">
        <v>215</v>
      </c>
      <c r="D444" s="580" t="s">
        <v>1278</v>
      </c>
      <c r="E444" s="580" t="s">
        <v>132</v>
      </c>
      <c r="F444" s="497">
        <f>F445</f>
        <v>50</v>
      </c>
      <c r="G444" s="578"/>
      <c r="H444" s="578"/>
      <c r="I444" s="578"/>
      <c r="J444" s="578"/>
      <c r="K444" s="578"/>
    </row>
    <row r="445" spans="1:11" s="203" customFormat="1" ht="31.5" x14ac:dyDescent="0.25">
      <c r="A445" s="579" t="s">
        <v>133</v>
      </c>
      <c r="B445" s="580" t="s">
        <v>234</v>
      </c>
      <c r="C445" s="580" t="s">
        <v>215</v>
      </c>
      <c r="D445" s="580" t="s">
        <v>1278</v>
      </c>
      <c r="E445" s="580" t="s">
        <v>134</v>
      </c>
      <c r="F445" s="497">
        <f>'Пр.4 ведом.22'!G1074</f>
        <v>50</v>
      </c>
      <c r="G445" s="578"/>
      <c r="H445" s="578"/>
      <c r="I445" s="578"/>
      <c r="J445" s="578"/>
      <c r="K445" s="578"/>
    </row>
    <row r="446" spans="1:11" s="203" customFormat="1" ht="31.5" x14ac:dyDescent="0.25">
      <c r="A446" s="494" t="s">
        <v>891</v>
      </c>
      <c r="B446" s="7" t="s">
        <v>234</v>
      </c>
      <c r="C446" s="7" t="s">
        <v>215</v>
      </c>
      <c r="D446" s="495" t="s">
        <v>1296</v>
      </c>
      <c r="E446" s="495"/>
      <c r="F446" s="488">
        <f>F447+F450</f>
        <v>2145.8000000000002</v>
      </c>
      <c r="G446" s="578"/>
      <c r="H446" s="578"/>
      <c r="I446" s="578"/>
      <c r="J446" s="578"/>
      <c r="K446" s="578"/>
    </row>
    <row r="447" spans="1:11" s="203" customFormat="1" ht="31.5" hidden="1" x14ac:dyDescent="0.25">
      <c r="A447" s="579" t="s">
        <v>690</v>
      </c>
      <c r="B447" s="580" t="s">
        <v>234</v>
      </c>
      <c r="C447" s="580" t="s">
        <v>215</v>
      </c>
      <c r="D447" s="580" t="s">
        <v>1327</v>
      </c>
      <c r="E447" s="580"/>
      <c r="F447" s="489">
        <f t="shared" ref="F447" si="54">F448</f>
        <v>0</v>
      </c>
      <c r="G447" s="578"/>
      <c r="H447" s="578"/>
      <c r="I447" s="578"/>
      <c r="J447" s="578"/>
      <c r="K447" s="578"/>
    </row>
    <row r="448" spans="1:11" s="203" customFormat="1" ht="31.5" hidden="1" x14ac:dyDescent="0.25">
      <c r="A448" s="579" t="s">
        <v>131</v>
      </c>
      <c r="B448" s="580" t="s">
        <v>234</v>
      </c>
      <c r="C448" s="580" t="s">
        <v>215</v>
      </c>
      <c r="D448" s="580" t="s">
        <v>1327</v>
      </c>
      <c r="E448" s="580" t="s">
        <v>132</v>
      </c>
      <c r="F448" s="489">
        <f>F449</f>
        <v>0</v>
      </c>
      <c r="G448" s="578"/>
      <c r="H448" s="578"/>
      <c r="I448" s="578"/>
      <c r="J448" s="578"/>
      <c r="K448" s="578"/>
    </row>
    <row r="449" spans="1:11" s="203" customFormat="1" ht="31.5" hidden="1" x14ac:dyDescent="0.25">
      <c r="A449" s="579" t="s">
        <v>133</v>
      </c>
      <c r="B449" s="580" t="s">
        <v>234</v>
      </c>
      <c r="C449" s="580" t="s">
        <v>215</v>
      </c>
      <c r="D449" s="580" t="s">
        <v>1327</v>
      </c>
      <c r="E449" s="580" t="s">
        <v>134</v>
      </c>
      <c r="F449" s="489">
        <f>'Пр.4 ведом.22'!G1078</f>
        <v>0</v>
      </c>
      <c r="G449" s="578"/>
      <c r="H449" s="578"/>
      <c r="I449" s="578"/>
      <c r="J449" s="578"/>
      <c r="K449" s="578"/>
    </row>
    <row r="450" spans="1:11" s="203" customFormat="1" ht="63" x14ac:dyDescent="0.25">
      <c r="A450" s="579" t="s">
        <v>1070</v>
      </c>
      <c r="B450" s="580" t="s">
        <v>234</v>
      </c>
      <c r="C450" s="580" t="s">
        <v>215</v>
      </c>
      <c r="D450" s="580" t="s">
        <v>1295</v>
      </c>
      <c r="E450" s="580"/>
      <c r="F450" s="489">
        <f>F451</f>
        <v>2145.8000000000002</v>
      </c>
      <c r="G450" s="578"/>
      <c r="H450" s="578"/>
      <c r="I450" s="578"/>
      <c r="J450" s="578"/>
      <c r="K450" s="578"/>
    </row>
    <row r="451" spans="1:11" s="203" customFormat="1" ht="31.5" x14ac:dyDescent="0.25">
      <c r="A451" s="579" t="s">
        <v>131</v>
      </c>
      <c r="B451" s="580" t="s">
        <v>234</v>
      </c>
      <c r="C451" s="580" t="s">
        <v>215</v>
      </c>
      <c r="D451" s="580" t="s">
        <v>1295</v>
      </c>
      <c r="E451" s="580" t="s">
        <v>132</v>
      </c>
      <c r="F451" s="489">
        <f>F452</f>
        <v>2145.8000000000002</v>
      </c>
      <c r="G451" s="578"/>
      <c r="H451" s="578"/>
      <c r="I451" s="578"/>
      <c r="J451" s="578"/>
      <c r="K451" s="578"/>
    </row>
    <row r="452" spans="1:11" s="203" customFormat="1" ht="31.5" x14ac:dyDescent="0.25">
      <c r="A452" s="579" t="s">
        <v>133</v>
      </c>
      <c r="B452" s="580" t="s">
        <v>234</v>
      </c>
      <c r="C452" s="580" t="s">
        <v>215</v>
      </c>
      <c r="D452" s="580" t="s">
        <v>1295</v>
      </c>
      <c r="E452" s="580" t="s">
        <v>134</v>
      </c>
      <c r="F452" s="489">
        <f>'Пр.4 ведом.22'!G1081</f>
        <v>2145.8000000000002</v>
      </c>
      <c r="G452" s="578"/>
      <c r="H452" s="578"/>
      <c r="I452" s="578"/>
      <c r="J452" s="578"/>
      <c r="K452" s="578"/>
    </row>
    <row r="453" spans="1:11" s="487" customFormat="1" ht="31.5" hidden="1" x14ac:dyDescent="0.25">
      <c r="A453" s="34" t="s">
        <v>1651</v>
      </c>
      <c r="B453" s="495" t="s">
        <v>234</v>
      </c>
      <c r="C453" s="495" t="s">
        <v>215</v>
      </c>
      <c r="D453" s="495" t="s">
        <v>1652</v>
      </c>
      <c r="E453" s="495"/>
      <c r="F453" s="488">
        <f>F454</f>
        <v>0</v>
      </c>
      <c r="G453" s="578"/>
      <c r="H453" s="578"/>
      <c r="I453" s="578"/>
      <c r="J453" s="578"/>
      <c r="K453" s="578"/>
    </row>
    <row r="454" spans="1:11" s="487" customFormat="1" ht="31.5" hidden="1" x14ac:dyDescent="0.25">
      <c r="A454" s="31" t="s">
        <v>1650</v>
      </c>
      <c r="B454" s="580" t="s">
        <v>234</v>
      </c>
      <c r="C454" s="580" t="s">
        <v>215</v>
      </c>
      <c r="D454" s="580" t="s">
        <v>1653</v>
      </c>
      <c r="E454" s="580"/>
      <c r="F454" s="489">
        <f>F455</f>
        <v>0</v>
      </c>
      <c r="G454" s="578"/>
      <c r="H454" s="578"/>
      <c r="I454" s="578"/>
      <c r="J454" s="578"/>
      <c r="K454" s="578"/>
    </row>
    <row r="455" spans="1:11" s="487" customFormat="1" ht="31.5" hidden="1" x14ac:dyDescent="0.25">
      <c r="A455" s="579" t="s">
        <v>131</v>
      </c>
      <c r="B455" s="580" t="s">
        <v>234</v>
      </c>
      <c r="C455" s="580" t="s">
        <v>215</v>
      </c>
      <c r="D455" s="580" t="s">
        <v>1653</v>
      </c>
      <c r="E455" s="580" t="s">
        <v>132</v>
      </c>
      <c r="F455" s="489">
        <f>F456</f>
        <v>0</v>
      </c>
      <c r="G455" s="578"/>
      <c r="H455" s="578"/>
      <c r="I455" s="578"/>
      <c r="J455" s="578"/>
      <c r="K455" s="578"/>
    </row>
    <row r="456" spans="1:11" s="487" customFormat="1" ht="31.5" hidden="1" x14ac:dyDescent="0.25">
      <c r="A456" s="579" t="s">
        <v>133</v>
      </c>
      <c r="B456" s="580" t="s">
        <v>234</v>
      </c>
      <c r="C456" s="580" t="s">
        <v>215</v>
      </c>
      <c r="D456" s="580" t="s">
        <v>1653</v>
      </c>
      <c r="E456" s="580" t="s">
        <v>134</v>
      </c>
      <c r="F456" s="489">
        <f>'Пр.4 ведом.22'!G1085</f>
        <v>0</v>
      </c>
      <c r="G456" s="578"/>
      <c r="H456" s="578"/>
      <c r="I456" s="578"/>
      <c r="J456" s="578"/>
      <c r="K456" s="578"/>
    </row>
    <row r="457" spans="1:11" s="487" customFormat="1" ht="47.25" x14ac:dyDescent="0.25">
      <c r="A457" s="34" t="s">
        <v>1678</v>
      </c>
      <c r="B457" s="495" t="s">
        <v>234</v>
      </c>
      <c r="C457" s="495" t="s">
        <v>215</v>
      </c>
      <c r="D457" s="495" t="s">
        <v>1677</v>
      </c>
      <c r="E457" s="495"/>
      <c r="F457" s="488">
        <f>F458</f>
        <v>4351.8999999999996</v>
      </c>
      <c r="G457" s="578"/>
      <c r="H457" s="578"/>
      <c r="I457" s="578"/>
      <c r="J457" s="578"/>
      <c r="K457" s="578"/>
    </row>
    <row r="458" spans="1:11" s="487" customFormat="1" ht="31.5" x14ac:dyDescent="0.25">
      <c r="A458" s="31" t="s">
        <v>1747</v>
      </c>
      <c r="B458" s="580" t="s">
        <v>234</v>
      </c>
      <c r="C458" s="580" t="s">
        <v>215</v>
      </c>
      <c r="D458" s="580" t="s">
        <v>1686</v>
      </c>
      <c r="E458" s="580"/>
      <c r="F458" s="489">
        <f>F459</f>
        <v>4351.8999999999996</v>
      </c>
      <c r="G458" s="578"/>
      <c r="H458" s="578"/>
      <c r="I458" s="578"/>
      <c r="J458" s="578"/>
      <c r="K458" s="578"/>
    </row>
    <row r="459" spans="1:11" s="487" customFormat="1" ht="31.5" x14ac:dyDescent="0.25">
      <c r="A459" s="579" t="s">
        <v>131</v>
      </c>
      <c r="B459" s="580" t="s">
        <v>234</v>
      </c>
      <c r="C459" s="580" t="s">
        <v>215</v>
      </c>
      <c r="D459" s="580" t="s">
        <v>1686</v>
      </c>
      <c r="E459" s="580" t="s">
        <v>132</v>
      </c>
      <c r="F459" s="489">
        <f>F460</f>
        <v>4351.8999999999996</v>
      </c>
      <c r="G459" s="578"/>
      <c r="H459" s="578"/>
      <c r="I459" s="578"/>
      <c r="J459" s="578"/>
      <c r="K459" s="578"/>
    </row>
    <row r="460" spans="1:11" s="487" customFormat="1" ht="33.75" customHeight="1" x14ac:dyDescent="0.25">
      <c r="A460" s="579" t="s">
        <v>133</v>
      </c>
      <c r="B460" s="580" t="s">
        <v>234</v>
      </c>
      <c r="C460" s="580" t="s">
        <v>215</v>
      </c>
      <c r="D460" s="580" t="s">
        <v>1686</v>
      </c>
      <c r="E460" s="580" t="s">
        <v>134</v>
      </c>
      <c r="F460" s="489">
        <f>'Пр.4 ведом.22'!G1089</f>
        <v>4351.8999999999996</v>
      </c>
      <c r="G460" s="578"/>
      <c r="H460" s="578"/>
      <c r="I460" s="578"/>
      <c r="J460" s="578"/>
      <c r="K460" s="578"/>
    </row>
    <row r="461" spans="1:11" ht="63" x14ac:dyDescent="0.25">
      <c r="A461" s="494" t="s">
        <v>1530</v>
      </c>
      <c r="B461" s="495" t="s">
        <v>234</v>
      </c>
      <c r="C461" s="495" t="s">
        <v>215</v>
      </c>
      <c r="D461" s="495" t="s">
        <v>711</v>
      </c>
      <c r="E461" s="495"/>
      <c r="F461" s="488">
        <f>F463+F467</f>
        <v>500</v>
      </c>
    </row>
    <row r="462" spans="1:11" s="203" customFormat="1" ht="31.5" x14ac:dyDescent="0.25">
      <c r="A462" s="494" t="s">
        <v>1066</v>
      </c>
      <c r="B462" s="495" t="s">
        <v>234</v>
      </c>
      <c r="C462" s="495" t="s">
        <v>215</v>
      </c>
      <c r="D462" s="495" t="s">
        <v>835</v>
      </c>
      <c r="E462" s="580"/>
      <c r="F462" s="488">
        <f>F463</f>
        <v>500</v>
      </c>
      <c r="G462" s="578"/>
      <c r="H462" s="578"/>
      <c r="I462" s="578"/>
      <c r="J462" s="578"/>
      <c r="K462" s="578"/>
    </row>
    <row r="463" spans="1:11" ht="31.5" x14ac:dyDescent="0.25">
      <c r="A463" s="253" t="s">
        <v>710</v>
      </c>
      <c r="B463" s="580" t="s">
        <v>234</v>
      </c>
      <c r="C463" s="580" t="s">
        <v>215</v>
      </c>
      <c r="D463" s="580" t="s">
        <v>835</v>
      </c>
      <c r="E463" s="580"/>
      <c r="F463" s="489">
        <f t="shared" ref="F463:F464" si="55">F464</f>
        <v>500</v>
      </c>
    </row>
    <row r="464" spans="1:11" ht="31.5" x14ac:dyDescent="0.25">
      <c r="A464" s="579" t="s">
        <v>131</v>
      </c>
      <c r="B464" s="580" t="s">
        <v>234</v>
      </c>
      <c r="C464" s="580" t="s">
        <v>215</v>
      </c>
      <c r="D464" s="580" t="s">
        <v>835</v>
      </c>
      <c r="E464" s="580" t="s">
        <v>132</v>
      </c>
      <c r="F464" s="489">
        <f t="shared" si="55"/>
        <v>500</v>
      </c>
    </row>
    <row r="465" spans="1:11" ht="31.5" x14ac:dyDescent="0.25">
      <c r="A465" s="579" t="s">
        <v>133</v>
      </c>
      <c r="B465" s="580" t="s">
        <v>234</v>
      </c>
      <c r="C465" s="580" t="s">
        <v>215</v>
      </c>
      <c r="D465" s="580" t="s">
        <v>835</v>
      </c>
      <c r="E465" s="580" t="s">
        <v>134</v>
      </c>
      <c r="F465" s="489">
        <f>'Пр.4 ведом.22'!G1094</f>
        <v>500</v>
      </c>
    </row>
    <row r="466" spans="1:11" s="185" customFormat="1" ht="110.25" hidden="1" x14ac:dyDescent="0.25">
      <c r="A466" s="494" t="s">
        <v>1681</v>
      </c>
      <c r="B466" s="495" t="s">
        <v>234</v>
      </c>
      <c r="C466" s="495" t="s">
        <v>215</v>
      </c>
      <c r="D466" s="495" t="s">
        <v>1682</v>
      </c>
      <c r="E466" s="495"/>
      <c r="F466" s="488">
        <f>F467</f>
        <v>0</v>
      </c>
      <c r="G466" s="207"/>
      <c r="H466" s="207"/>
      <c r="I466" s="207"/>
      <c r="J466" s="207"/>
      <c r="K466" s="207"/>
    </row>
    <row r="467" spans="1:11" s="121" customFormat="1" ht="94.5" hidden="1" x14ac:dyDescent="0.25">
      <c r="A467" s="80" t="s">
        <v>1704</v>
      </c>
      <c r="B467" s="580" t="s">
        <v>234</v>
      </c>
      <c r="C467" s="580" t="s">
        <v>215</v>
      </c>
      <c r="D467" s="580" t="s">
        <v>1683</v>
      </c>
      <c r="E467" s="580"/>
      <c r="F467" s="489">
        <f>F468</f>
        <v>0</v>
      </c>
      <c r="G467" s="206"/>
      <c r="H467" s="206"/>
      <c r="I467" s="206"/>
      <c r="J467" s="206"/>
      <c r="K467" s="206"/>
    </row>
    <row r="468" spans="1:11" s="487" customFormat="1" ht="31.5" hidden="1" x14ac:dyDescent="0.25">
      <c r="A468" s="579" t="s">
        <v>131</v>
      </c>
      <c r="B468" s="580" t="s">
        <v>234</v>
      </c>
      <c r="C468" s="580" t="s">
        <v>215</v>
      </c>
      <c r="D468" s="580" t="s">
        <v>1683</v>
      </c>
      <c r="E468" s="580" t="s">
        <v>132</v>
      </c>
      <c r="F468" s="489">
        <f>F469</f>
        <v>0</v>
      </c>
      <c r="G468" s="578"/>
      <c r="H468" s="578"/>
      <c r="I468" s="578"/>
      <c r="J468" s="578"/>
      <c r="K468" s="578"/>
    </row>
    <row r="469" spans="1:11" s="487" customFormat="1" ht="31.5" hidden="1" x14ac:dyDescent="0.25">
      <c r="A469" s="579" t="s">
        <v>133</v>
      </c>
      <c r="B469" s="580" t="s">
        <v>234</v>
      </c>
      <c r="C469" s="580" t="s">
        <v>215</v>
      </c>
      <c r="D469" s="580" t="s">
        <v>1683</v>
      </c>
      <c r="E469" s="580" t="s">
        <v>134</v>
      </c>
      <c r="F469" s="489">
        <f>'Пр.4 ведом.22'!G1098</f>
        <v>0</v>
      </c>
      <c r="G469" s="578"/>
      <c r="H469" s="578"/>
      <c r="I469" s="578"/>
      <c r="J469" s="578"/>
      <c r="K469" s="578"/>
    </row>
    <row r="470" spans="1:11" ht="31.5" x14ac:dyDescent="0.25">
      <c r="A470" s="572" t="s">
        <v>569</v>
      </c>
      <c r="B470" s="7" t="s">
        <v>234</v>
      </c>
      <c r="C470" s="7" t="s">
        <v>234</v>
      </c>
      <c r="D470" s="7"/>
      <c r="E470" s="7"/>
      <c r="F470" s="488">
        <f>F471+F486+F511</f>
        <v>29364.25</v>
      </c>
      <c r="H470" s="115"/>
    </row>
    <row r="471" spans="1:11" ht="31.5" x14ac:dyDescent="0.25">
      <c r="A471" s="494" t="s">
        <v>917</v>
      </c>
      <c r="B471" s="495" t="s">
        <v>234</v>
      </c>
      <c r="C471" s="495" t="s">
        <v>234</v>
      </c>
      <c r="D471" s="495" t="s">
        <v>858</v>
      </c>
      <c r="E471" s="495"/>
      <c r="F471" s="488">
        <f>F472</f>
        <v>15775.449999999999</v>
      </c>
    </row>
    <row r="472" spans="1:11" ht="15.75" x14ac:dyDescent="0.25">
      <c r="A472" s="494" t="s">
        <v>918</v>
      </c>
      <c r="B472" s="495" t="s">
        <v>234</v>
      </c>
      <c r="C472" s="495" t="s">
        <v>234</v>
      </c>
      <c r="D472" s="495" t="s">
        <v>859</v>
      </c>
      <c r="E472" s="495"/>
      <c r="F472" s="488">
        <f>F473+F483+F480</f>
        <v>15775.449999999999</v>
      </c>
    </row>
    <row r="473" spans="1:11" ht="31.5" x14ac:dyDescent="0.25">
      <c r="A473" s="579" t="s">
        <v>897</v>
      </c>
      <c r="B473" s="580" t="s">
        <v>234</v>
      </c>
      <c r="C473" s="580" t="s">
        <v>234</v>
      </c>
      <c r="D473" s="580" t="s">
        <v>860</v>
      </c>
      <c r="E473" s="580"/>
      <c r="F473" s="489">
        <f t="shared" ref="F473" si="56">F474+F476+F478</f>
        <v>13836.15</v>
      </c>
    </row>
    <row r="474" spans="1:11" ht="81.75" customHeight="1" x14ac:dyDescent="0.25">
      <c r="A474" s="579" t="s">
        <v>127</v>
      </c>
      <c r="B474" s="580" t="s">
        <v>234</v>
      </c>
      <c r="C474" s="580" t="s">
        <v>234</v>
      </c>
      <c r="D474" s="580" t="s">
        <v>860</v>
      </c>
      <c r="E474" s="580" t="s">
        <v>128</v>
      </c>
      <c r="F474" s="386">
        <f t="shared" ref="F474" si="57">F475</f>
        <v>13811.15</v>
      </c>
    </row>
    <row r="475" spans="1:11" ht="31.5" x14ac:dyDescent="0.25">
      <c r="A475" s="579" t="s">
        <v>129</v>
      </c>
      <c r="B475" s="580" t="s">
        <v>234</v>
      </c>
      <c r="C475" s="580" t="s">
        <v>234</v>
      </c>
      <c r="D475" s="580" t="s">
        <v>860</v>
      </c>
      <c r="E475" s="580" t="s">
        <v>130</v>
      </c>
      <c r="F475" s="386">
        <f>'Пр.4 ведом.22'!G1104</f>
        <v>13811.15</v>
      </c>
    </row>
    <row r="476" spans="1:11" ht="31.5" x14ac:dyDescent="0.25">
      <c r="A476" s="579" t="s">
        <v>131</v>
      </c>
      <c r="B476" s="580" t="s">
        <v>234</v>
      </c>
      <c r="C476" s="580" t="s">
        <v>234</v>
      </c>
      <c r="D476" s="580" t="s">
        <v>860</v>
      </c>
      <c r="E476" s="580" t="s">
        <v>132</v>
      </c>
      <c r="F476" s="386">
        <f t="shared" ref="F476" si="58">F477</f>
        <v>25</v>
      </c>
    </row>
    <row r="477" spans="1:11" ht="31.5" x14ac:dyDescent="0.25">
      <c r="A477" s="579" t="s">
        <v>133</v>
      </c>
      <c r="B477" s="580" t="s">
        <v>234</v>
      </c>
      <c r="C477" s="580" t="s">
        <v>234</v>
      </c>
      <c r="D477" s="580" t="s">
        <v>860</v>
      </c>
      <c r="E477" s="580" t="s">
        <v>134</v>
      </c>
      <c r="F477" s="386">
        <f>'Пр.4 ведом.22'!G1106</f>
        <v>25</v>
      </c>
    </row>
    <row r="478" spans="1:11" ht="15.75" hidden="1" x14ac:dyDescent="0.25">
      <c r="A478" s="579" t="s">
        <v>135</v>
      </c>
      <c r="B478" s="580" t="s">
        <v>234</v>
      </c>
      <c r="C478" s="580" t="s">
        <v>234</v>
      </c>
      <c r="D478" s="580" t="s">
        <v>860</v>
      </c>
      <c r="E478" s="580" t="s">
        <v>145</v>
      </c>
      <c r="F478" s="386">
        <f t="shared" ref="F478" si="59">F479</f>
        <v>0</v>
      </c>
    </row>
    <row r="479" spans="1:11" ht="15.75" hidden="1" x14ac:dyDescent="0.25">
      <c r="A479" s="579" t="s">
        <v>568</v>
      </c>
      <c r="B479" s="580" t="s">
        <v>234</v>
      </c>
      <c r="C479" s="580" t="s">
        <v>234</v>
      </c>
      <c r="D479" s="580" t="s">
        <v>860</v>
      </c>
      <c r="E479" s="580" t="s">
        <v>138</v>
      </c>
      <c r="F479" s="386">
        <f>'Пр.4 ведом.22'!G1108</f>
        <v>0</v>
      </c>
    </row>
    <row r="480" spans="1:11" s="576" customFormat="1" ht="31.5" x14ac:dyDescent="0.25">
      <c r="A480" s="579" t="s">
        <v>840</v>
      </c>
      <c r="B480" s="580" t="s">
        <v>234</v>
      </c>
      <c r="C480" s="580" t="s">
        <v>234</v>
      </c>
      <c r="D480" s="580" t="s">
        <v>861</v>
      </c>
      <c r="E480" s="580"/>
      <c r="F480" s="386">
        <f>F481</f>
        <v>1231.3</v>
      </c>
      <c r="G480" s="578"/>
      <c r="H480" s="578"/>
      <c r="I480" s="578"/>
      <c r="J480" s="578"/>
      <c r="K480" s="578"/>
    </row>
    <row r="481" spans="1:11" s="576" customFormat="1" ht="78.75" x14ac:dyDescent="0.25">
      <c r="A481" s="579" t="s">
        <v>127</v>
      </c>
      <c r="B481" s="580" t="s">
        <v>234</v>
      </c>
      <c r="C481" s="580" t="s">
        <v>234</v>
      </c>
      <c r="D481" s="580" t="s">
        <v>861</v>
      </c>
      <c r="E481" s="580" t="s">
        <v>128</v>
      </c>
      <c r="F481" s="386">
        <f>F482</f>
        <v>1231.3</v>
      </c>
      <c r="G481" s="578"/>
      <c r="H481" s="578"/>
      <c r="I481" s="578"/>
      <c r="J481" s="578"/>
      <c r="K481" s="578"/>
    </row>
    <row r="482" spans="1:11" s="576" customFormat="1" ht="31.5" x14ac:dyDescent="0.25">
      <c r="A482" s="579" t="s">
        <v>129</v>
      </c>
      <c r="B482" s="580" t="s">
        <v>234</v>
      </c>
      <c r="C482" s="580" t="s">
        <v>234</v>
      </c>
      <c r="D482" s="580" t="s">
        <v>861</v>
      </c>
      <c r="E482" s="580" t="s">
        <v>130</v>
      </c>
      <c r="F482" s="386">
        <f>'Пр.4 ведом.22'!G1111</f>
        <v>1231.3</v>
      </c>
      <c r="G482" s="578"/>
      <c r="H482" s="578"/>
      <c r="I482" s="578"/>
      <c r="J482" s="578"/>
      <c r="K482" s="578"/>
    </row>
    <row r="483" spans="1:11" s="203" customFormat="1" ht="47.25" x14ac:dyDescent="0.25">
      <c r="A483" s="579" t="s">
        <v>839</v>
      </c>
      <c r="B483" s="580" t="s">
        <v>234</v>
      </c>
      <c r="C483" s="580" t="s">
        <v>234</v>
      </c>
      <c r="D483" s="580" t="s">
        <v>862</v>
      </c>
      <c r="E483" s="580"/>
      <c r="F483" s="386">
        <f>F484</f>
        <v>708</v>
      </c>
      <c r="G483" s="578"/>
      <c r="H483" s="578"/>
      <c r="I483" s="578"/>
      <c r="J483" s="578"/>
      <c r="K483" s="578"/>
    </row>
    <row r="484" spans="1:11" s="203" customFormat="1" ht="78.75" x14ac:dyDescent="0.25">
      <c r="A484" s="579" t="s">
        <v>127</v>
      </c>
      <c r="B484" s="580" t="s">
        <v>234</v>
      </c>
      <c r="C484" s="580" t="s">
        <v>234</v>
      </c>
      <c r="D484" s="580" t="s">
        <v>862</v>
      </c>
      <c r="E484" s="580" t="s">
        <v>128</v>
      </c>
      <c r="F484" s="386">
        <f>F485</f>
        <v>708</v>
      </c>
      <c r="G484" s="578"/>
      <c r="H484" s="578"/>
      <c r="I484" s="578"/>
      <c r="J484" s="578"/>
      <c r="K484" s="578"/>
    </row>
    <row r="485" spans="1:11" s="203" customFormat="1" ht="31.5" x14ac:dyDescent="0.25">
      <c r="A485" s="579" t="s">
        <v>129</v>
      </c>
      <c r="B485" s="580" t="s">
        <v>234</v>
      </c>
      <c r="C485" s="580" t="s">
        <v>234</v>
      </c>
      <c r="D485" s="580" t="s">
        <v>862</v>
      </c>
      <c r="E485" s="580" t="s">
        <v>130</v>
      </c>
      <c r="F485" s="386">
        <f>'Пр.4 ведом.22'!G1114</f>
        <v>708</v>
      </c>
      <c r="G485" s="578"/>
      <c r="H485" s="578"/>
      <c r="I485" s="578"/>
      <c r="J485" s="578"/>
      <c r="K485" s="578"/>
    </row>
    <row r="486" spans="1:11" ht="15.75" x14ac:dyDescent="0.25">
      <c r="A486" s="494" t="s">
        <v>141</v>
      </c>
      <c r="B486" s="495" t="s">
        <v>234</v>
      </c>
      <c r="C486" s="495" t="s">
        <v>234</v>
      </c>
      <c r="D486" s="495" t="s">
        <v>866</v>
      </c>
      <c r="E486" s="495"/>
      <c r="F486" s="488">
        <f>F487+F498</f>
        <v>13588.800000000001</v>
      </c>
    </row>
    <row r="487" spans="1:11" s="576" customFormat="1" ht="15.75" x14ac:dyDescent="0.25">
      <c r="A487" s="494" t="s">
        <v>954</v>
      </c>
      <c r="B487" s="495" t="s">
        <v>234</v>
      </c>
      <c r="C487" s="495" t="s">
        <v>234</v>
      </c>
      <c r="D487" s="495" t="s">
        <v>953</v>
      </c>
      <c r="E487" s="495"/>
      <c r="F487" s="488">
        <f>F488+F491</f>
        <v>12606.800000000001</v>
      </c>
      <c r="G487" s="578"/>
      <c r="H487" s="578"/>
      <c r="I487" s="578"/>
      <c r="J487" s="578"/>
      <c r="K487" s="578"/>
    </row>
    <row r="488" spans="1:11" s="576" customFormat="1" ht="47.25" x14ac:dyDescent="0.25">
      <c r="A488" s="579" t="s">
        <v>839</v>
      </c>
      <c r="B488" s="580" t="s">
        <v>234</v>
      </c>
      <c r="C488" s="580" t="s">
        <v>234</v>
      </c>
      <c r="D488" s="580" t="s">
        <v>956</v>
      </c>
      <c r="E488" s="580"/>
      <c r="F488" s="489">
        <f>F489</f>
        <v>498</v>
      </c>
      <c r="G488" s="578"/>
      <c r="H488" s="578"/>
      <c r="I488" s="578"/>
      <c r="J488" s="578"/>
      <c r="K488" s="578"/>
    </row>
    <row r="489" spans="1:11" s="576" customFormat="1" ht="78.75" x14ac:dyDescent="0.25">
      <c r="A489" s="579" t="s">
        <v>127</v>
      </c>
      <c r="B489" s="580" t="s">
        <v>234</v>
      </c>
      <c r="C489" s="580" t="s">
        <v>234</v>
      </c>
      <c r="D489" s="580" t="s">
        <v>956</v>
      </c>
      <c r="E489" s="580" t="s">
        <v>128</v>
      </c>
      <c r="F489" s="489">
        <f>F490</f>
        <v>498</v>
      </c>
      <c r="G489" s="578"/>
      <c r="H489" s="578"/>
      <c r="I489" s="578"/>
      <c r="J489" s="578"/>
      <c r="K489" s="578"/>
    </row>
    <row r="490" spans="1:11" s="576" customFormat="1" ht="31.5" x14ac:dyDescent="0.25">
      <c r="A490" s="579" t="s">
        <v>342</v>
      </c>
      <c r="B490" s="580" t="s">
        <v>234</v>
      </c>
      <c r="C490" s="580" t="s">
        <v>234</v>
      </c>
      <c r="D490" s="580" t="s">
        <v>956</v>
      </c>
      <c r="E490" s="580" t="s">
        <v>209</v>
      </c>
      <c r="F490" s="489">
        <f>'Пр.4 ведом.22'!G1119</f>
        <v>498</v>
      </c>
      <c r="G490" s="578"/>
      <c r="H490" s="578"/>
      <c r="I490" s="578"/>
      <c r="J490" s="578"/>
      <c r="K490" s="578"/>
    </row>
    <row r="491" spans="1:11" s="576" customFormat="1" ht="15.75" x14ac:dyDescent="0.25">
      <c r="A491" s="579" t="s">
        <v>801</v>
      </c>
      <c r="B491" s="580" t="s">
        <v>234</v>
      </c>
      <c r="C491" s="580" t="s">
        <v>234</v>
      </c>
      <c r="D491" s="580" t="s">
        <v>955</v>
      </c>
      <c r="E491" s="580"/>
      <c r="F491" s="489">
        <f>F492+F495+F497</f>
        <v>12108.800000000001</v>
      </c>
      <c r="G491" s="578"/>
      <c r="H491" s="578"/>
      <c r="I491" s="578"/>
      <c r="J491" s="578"/>
      <c r="K491" s="578"/>
    </row>
    <row r="492" spans="1:11" s="576" customFormat="1" ht="78.75" x14ac:dyDescent="0.25">
      <c r="A492" s="579" t="s">
        <v>127</v>
      </c>
      <c r="B492" s="580" t="s">
        <v>234</v>
      </c>
      <c r="C492" s="580" t="s">
        <v>234</v>
      </c>
      <c r="D492" s="580" t="s">
        <v>955</v>
      </c>
      <c r="E492" s="580" t="s">
        <v>128</v>
      </c>
      <c r="F492" s="489">
        <f>F493</f>
        <v>10270.700000000001</v>
      </c>
      <c r="G492" s="578"/>
      <c r="H492" s="578"/>
      <c r="I492" s="578"/>
      <c r="J492" s="578"/>
      <c r="K492" s="578"/>
    </row>
    <row r="493" spans="1:11" s="576" customFormat="1" ht="31.5" x14ac:dyDescent="0.25">
      <c r="A493" s="579" t="s">
        <v>342</v>
      </c>
      <c r="B493" s="580" t="s">
        <v>234</v>
      </c>
      <c r="C493" s="580" t="s">
        <v>234</v>
      </c>
      <c r="D493" s="580" t="s">
        <v>955</v>
      </c>
      <c r="E493" s="580" t="s">
        <v>209</v>
      </c>
      <c r="F493" s="489">
        <f>'Пр.4 ведом.22'!G1122</f>
        <v>10270.700000000001</v>
      </c>
      <c r="G493" s="578"/>
      <c r="H493" s="578"/>
      <c r="I493" s="578"/>
      <c r="J493" s="578"/>
      <c r="K493" s="578"/>
    </row>
    <row r="494" spans="1:11" s="576" customFormat="1" ht="31.5" x14ac:dyDescent="0.25">
      <c r="A494" s="579" t="s">
        <v>131</v>
      </c>
      <c r="B494" s="580" t="s">
        <v>234</v>
      </c>
      <c r="C494" s="580" t="s">
        <v>234</v>
      </c>
      <c r="D494" s="580" t="s">
        <v>955</v>
      </c>
      <c r="E494" s="580" t="s">
        <v>132</v>
      </c>
      <c r="F494" s="489">
        <f>F495</f>
        <v>1791.1</v>
      </c>
      <c r="G494" s="578"/>
      <c r="H494" s="578"/>
      <c r="I494" s="578"/>
      <c r="J494" s="578"/>
      <c r="K494" s="578"/>
    </row>
    <row r="495" spans="1:11" s="576" customFormat="1" ht="31.5" x14ac:dyDescent="0.25">
      <c r="A495" s="579" t="s">
        <v>133</v>
      </c>
      <c r="B495" s="580" t="s">
        <v>234</v>
      </c>
      <c r="C495" s="580" t="s">
        <v>234</v>
      </c>
      <c r="D495" s="580" t="s">
        <v>955</v>
      </c>
      <c r="E495" s="580" t="s">
        <v>134</v>
      </c>
      <c r="F495" s="489">
        <f>'Пр.4 ведом.22'!G1124</f>
        <v>1791.1</v>
      </c>
      <c r="G495" s="578"/>
      <c r="H495" s="578"/>
      <c r="I495" s="578"/>
      <c r="J495" s="578"/>
      <c r="K495" s="578"/>
    </row>
    <row r="496" spans="1:11" s="576" customFormat="1" ht="15.75" x14ac:dyDescent="0.25">
      <c r="A496" s="579" t="s">
        <v>135</v>
      </c>
      <c r="B496" s="580" t="s">
        <v>234</v>
      </c>
      <c r="C496" s="580" t="s">
        <v>234</v>
      </c>
      <c r="D496" s="580" t="s">
        <v>955</v>
      </c>
      <c r="E496" s="580" t="s">
        <v>145</v>
      </c>
      <c r="F496" s="489">
        <f>F497</f>
        <v>47</v>
      </c>
      <c r="G496" s="578"/>
      <c r="H496" s="578"/>
      <c r="I496" s="578"/>
      <c r="J496" s="578"/>
      <c r="K496" s="578"/>
    </row>
    <row r="497" spans="1:11" s="576" customFormat="1" ht="15.75" x14ac:dyDescent="0.25">
      <c r="A497" s="579" t="s">
        <v>568</v>
      </c>
      <c r="B497" s="580" t="s">
        <v>234</v>
      </c>
      <c r="C497" s="580" t="s">
        <v>234</v>
      </c>
      <c r="D497" s="580" t="s">
        <v>955</v>
      </c>
      <c r="E497" s="580" t="s">
        <v>138</v>
      </c>
      <c r="F497" s="489">
        <f>'Пр.4 ведом.22'!G1126</f>
        <v>47</v>
      </c>
      <c r="G497" s="578"/>
      <c r="H497" s="578"/>
      <c r="I497" s="578"/>
      <c r="J497" s="578"/>
      <c r="K497" s="578"/>
    </row>
    <row r="498" spans="1:11" ht="31.5" x14ac:dyDescent="0.25">
      <c r="A498" s="494" t="s">
        <v>870</v>
      </c>
      <c r="B498" s="495" t="s">
        <v>234</v>
      </c>
      <c r="C498" s="495" t="s">
        <v>234</v>
      </c>
      <c r="D498" s="495" t="s">
        <v>865</v>
      </c>
      <c r="E498" s="495"/>
      <c r="F498" s="388">
        <f>F499+F506</f>
        <v>982</v>
      </c>
    </row>
    <row r="499" spans="1:11" ht="31.5" x14ac:dyDescent="0.25">
      <c r="A499" s="579" t="s">
        <v>570</v>
      </c>
      <c r="B499" s="580" t="s">
        <v>234</v>
      </c>
      <c r="C499" s="580" t="s">
        <v>234</v>
      </c>
      <c r="D499" s="580" t="s">
        <v>984</v>
      </c>
      <c r="E499" s="580"/>
      <c r="F499" s="386">
        <f>F502+F500</f>
        <v>982</v>
      </c>
    </row>
    <row r="500" spans="1:11" s="203" customFormat="1" ht="19.5" customHeight="1" x14ac:dyDescent="0.25">
      <c r="A500" s="31" t="s">
        <v>248</v>
      </c>
      <c r="B500" s="580" t="s">
        <v>234</v>
      </c>
      <c r="C500" s="580" t="s">
        <v>234</v>
      </c>
      <c r="D500" s="580" t="s">
        <v>984</v>
      </c>
      <c r="E500" s="580" t="s">
        <v>249</v>
      </c>
      <c r="F500" s="386">
        <f>F501</f>
        <v>0</v>
      </c>
      <c r="G500" s="578"/>
      <c r="H500" s="578"/>
      <c r="I500" s="578"/>
      <c r="J500" s="578"/>
      <c r="K500" s="578"/>
    </row>
    <row r="501" spans="1:11" s="203" customFormat="1" ht="15.75" x14ac:dyDescent="0.25">
      <c r="A501" s="579" t="s">
        <v>1534</v>
      </c>
      <c r="B501" s="580" t="s">
        <v>234</v>
      </c>
      <c r="C501" s="580" t="s">
        <v>234</v>
      </c>
      <c r="D501" s="580" t="s">
        <v>984</v>
      </c>
      <c r="E501" s="580" t="s">
        <v>1536</v>
      </c>
      <c r="F501" s="386">
        <f>'Пр.4 ведом.22'!G1130</f>
        <v>0</v>
      </c>
      <c r="G501" s="578"/>
      <c r="H501" s="578"/>
      <c r="I501" s="578"/>
      <c r="J501" s="578"/>
      <c r="K501" s="578"/>
    </row>
    <row r="502" spans="1:11" ht="15.75" x14ac:dyDescent="0.25">
      <c r="A502" s="579" t="s">
        <v>135</v>
      </c>
      <c r="B502" s="580" t="s">
        <v>234</v>
      </c>
      <c r="C502" s="580" t="s">
        <v>234</v>
      </c>
      <c r="D502" s="580" t="s">
        <v>984</v>
      </c>
      <c r="E502" s="580" t="s">
        <v>145</v>
      </c>
      <c r="F502" s="386">
        <f>F503+F504+F505</f>
        <v>982</v>
      </c>
    </row>
    <row r="503" spans="1:11" ht="47.25" x14ac:dyDescent="0.25">
      <c r="A503" s="579" t="s">
        <v>184</v>
      </c>
      <c r="B503" s="580" t="s">
        <v>234</v>
      </c>
      <c r="C503" s="580" t="s">
        <v>234</v>
      </c>
      <c r="D503" s="580" t="s">
        <v>984</v>
      </c>
      <c r="E503" s="580" t="s">
        <v>160</v>
      </c>
      <c r="F503" s="489">
        <f>'Пр.4 ведом.22'!G1132</f>
        <v>982</v>
      </c>
    </row>
    <row r="504" spans="1:11" s="487" customFormat="1" ht="15.75" hidden="1" x14ac:dyDescent="0.25">
      <c r="A504" s="579" t="s">
        <v>704</v>
      </c>
      <c r="B504" s="580" t="s">
        <v>234</v>
      </c>
      <c r="C504" s="580" t="s">
        <v>234</v>
      </c>
      <c r="D504" s="580" t="s">
        <v>984</v>
      </c>
      <c r="E504" s="580" t="s">
        <v>138</v>
      </c>
      <c r="F504" s="489">
        <f>'Пр.4 ведом.22'!G1133</f>
        <v>0</v>
      </c>
      <c r="G504" s="578"/>
      <c r="H504" s="578"/>
      <c r="I504" s="578"/>
      <c r="J504" s="578"/>
      <c r="K504" s="578"/>
    </row>
    <row r="505" spans="1:11" s="487" customFormat="1" ht="15.75" hidden="1" x14ac:dyDescent="0.25">
      <c r="A505" s="579" t="s">
        <v>1657</v>
      </c>
      <c r="B505" s="580" t="s">
        <v>234</v>
      </c>
      <c r="C505" s="580" t="s">
        <v>234</v>
      </c>
      <c r="D505" s="580" t="s">
        <v>984</v>
      </c>
      <c r="E505" s="580" t="s">
        <v>1658</v>
      </c>
      <c r="F505" s="489">
        <f>'Пр.4 ведом.22'!G1134</f>
        <v>0</v>
      </c>
      <c r="G505" s="578"/>
      <c r="H505" s="578"/>
      <c r="I505" s="578"/>
      <c r="J505" s="578"/>
      <c r="K505" s="578"/>
    </row>
    <row r="506" spans="1:11" ht="31.5" hidden="1" x14ac:dyDescent="0.25">
      <c r="A506" s="579" t="s">
        <v>1671</v>
      </c>
      <c r="B506" s="580" t="s">
        <v>234</v>
      </c>
      <c r="C506" s="580" t="s">
        <v>234</v>
      </c>
      <c r="D506" s="580" t="s">
        <v>1672</v>
      </c>
      <c r="E506" s="580"/>
      <c r="F506" s="386">
        <f>F507+F509</f>
        <v>0</v>
      </c>
    </row>
    <row r="507" spans="1:11" ht="15.75" hidden="1" x14ac:dyDescent="0.25">
      <c r="A507" s="579" t="s">
        <v>1674</v>
      </c>
      <c r="B507" s="580" t="s">
        <v>234</v>
      </c>
      <c r="C507" s="580" t="s">
        <v>234</v>
      </c>
      <c r="D507" s="580" t="s">
        <v>1672</v>
      </c>
      <c r="E507" s="580" t="s">
        <v>837</v>
      </c>
      <c r="F507" s="386">
        <f>F508</f>
        <v>0</v>
      </c>
    </row>
    <row r="508" spans="1:11" ht="31.5" hidden="1" x14ac:dyDescent="0.25">
      <c r="A508" s="579" t="s">
        <v>838</v>
      </c>
      <c r="B508" s="580" t="s">
        <v>234</v>
      </c>
      <c r="C508" s="580" t="s">
        <v>234</v>
      </c>
      <c r="D508" s="580" t="s">
        <v>1672</v>
      </c>
      <c r="E508" s="580" t="s">
        <v>1675</v>
      </c>
      <c r="F508" s="386">
        <f>'Пр.4 ведом.22'!G1137</f>
        <v>0</v>
      </c>
    </row>
    <row r="509" spans="1:11" s="487" customFormat="1" ht="15.75" hidden="1" x14ac:dyDescent="0.25">
      <c r="A509" s="579" t="s">
        <v>135</v>
      </c>
      <c r="B509" s="580" t="s">
        <v>234</v>
      </c>
      <c r="C509" s="580" t="s">
        <v>234</v>
      </c>
      <c r="D509" s="580" t="s">
        <v>1672</v>
      </c>
      <c r="E509" s="580" t="s">
        <v>145</v>
      </c>
      <c r="F509" s="386">
        <f>F510</f>
        <v>0</v>
      </c>
      <c r="G509" s="578"/>
      <c r="H509" s="578"/>
      <c r="I509" s="578"/>
      <c r="J509" s="578"/>
      <c r="K509" s="578"/>
    </row>
    <row r="510" spans="1:11" s="487" customFormat="1" ht="47.25" hidden="1" x14ac:dyDescent="0.25">
      <c r="A510" s="579" t="s">
        <v>184</v>
      </c>
      <c r="B510" s="580" t="s">
        <v>234</v>
      </c>
      <c r="C510" s="580" t="s">
        <v>234</v>
      </c>
      <c r="D510" s="580" t="s">
        <v>1672</v>
      </c>
      <c r="E510" s="580" t="s">
        <v>160</v>
      </c>
      <c r="F510" s="386">
        <f>'Пр.4 ведом.22'!G1139</f>
        <v>0</v>
      </c>
      <c r="G510" s="578"/>
      <c r="H510" s="578"/>
      <c r="I510" s="578"/>
      <c r="J510" s="578"/>
      <c r="K510" s="578"/>
    </row>
    <row r="511" spans="1:11" s="203" customFormat="1" ht="47.25" hidden="1" x14ac:dyDescent="0.25">
      <c r="A511" s="34" t="s">
        <v>1376</v>
      </c>
      <c r="B511" s="495" t="s">
        <v>234</v>
      </c>
      <c r="C511" s="495" t="s">
        <v>234</v>
      </c>
      <c r="D511" s="495" t="s">
        <v>324</v>
      </c>
      <c r="E511" s="495"/>
      <c r="F511" s="493">
        <f>F512</f>
        <v>0</v>
      </c>
      <c r="G511" s="578"/>
      <c r="H511" s="578"/>
      <c r="I511" s="578"/>
      <c r="J511" s="578"/>
      <c r="K511" s="578"/>
    </row>
    <row r="512" spans="1:11" s="203" customFormat="1" ht="63" hidden="1" x14ac:dyDescent="0.25">
      <c r="A512" s="34" t="s">
        <v>1009</v>
      </c>
      <c r="B512" s="495" t="s">
        <v>234</v>
      </c>
      <c r="C512" s="495" t="s">
        <v>234</v>
      </c>
      <c r="D512" s="495" t="s">
        <v>934</v>
      </c>
      <c r="E512" s="495"/>
      <c r="F512" s="493">
        <f>F513</f>
        <v>0</v>
      </c>
      <c r="G512" s="578"/>
      <c r="H512" s="578"/>
      <c r="I512" s="578"/>
      <c r="J512" s="578"/>
      <c r="K512" s="578"/>
    </row>
    <row r="513" spans="1:12" s="203" customFormat="1" ht="47.25" hidden="1" x14ac:dyDescent="0.25">
      <c r="A513" s="31" t="s">
        <v>1080</v>
      </c>
      <c r="B513" s="580" t="s">
        <v>234</v>
      </c>
      <c r="C513" s="580" t="s">
        <v>234</v>
      </c>
      <c r="D513" s="580" t="s">
        <v>1026</v>
      </c>
      <c r="E513" s="580"/>
      <c r="F513" s="497">
        <f>F514</f>
        <v>0</v>
      </c>
      <c r="G513" s="578"/>
      <c r="H513" s="578"/>
      <c r="I513" s="578"/>
      <c r="J513" s="578"/>
      <c r="K513" s="578"/>
    </row>
    <row r="514" spans="1:12" s="203" customFormat="1" ht="31.5" hidden="1" x14ac:dyDescent="0.25">
      <c r="A514" s="579" t="s">
        <v>131</v>
      </c>
      <c r="B514" s="580" t="s">
        <v>234</v>
      </c>
      <c r="C514" s="580" t="s">
        <v>234</v>
      </c>
      <c r="D514" s="580" t="s">
        <v>1026</v>
      </c>
      <c r="E514" s="580" t="s">
        <v>132</v>
      </c>
      <c r="F514" s="497">
        <f>F515</f>
        <v>0</v>
      </c>
      <c r="G514" s="578"/>
      <c r="H514" s="578"/>
      <c r="I514" s="578"/>
      <c r="J514" s="578"/>
      <c r="K514" s="578"/>
    </row>
    <row r="515" spans="1:12" s="203" customFormat="1" ht="31.5" hidden="1" x14ac:dyDescent="0.25">
      <c r="A515" s="579" t="s">
        <v>133</v>
      </c>
      <c r="B515" s="580" t="s">
        <v>234</v>
      </c>
      <c r="C515" s="580" t="s">
        <v>234</v>
      </c>
      <c r="D515" s="580" t="s">
        <v>1026</v>
      </c>
      <c r="E515" s="580" t="s">
        <v>134</v>
      </c>
      <c r="F515" s="497">
        <f>'Пр.4 ведом.22'!G1144</f>
        <v>0</v>
      </c>
      <c r="G515" s="578"/>
      <c r="H515" s="578"/>
      <c r="I515" s="578"/>
      <c r="J515" s="578"/>
      <c r="K515" s="578"/>
    </row>
    <row r="516" spans="1:12" ht="15.75" x14ac:dyDescent="0.25">
      <c r="A516" s="572" t="s">
        <v>263</v>
      </c>
      <c r="B516" s="7" t="s">
        <v>264</v>
      </c>
      <c r="C516" s="573"/>
      <c r="D516" s="573"/>
      <c r="E516" s="573"/>
      <c r="F516" s="488">
        <f>F517+F576+F768+F670+F743</f>
        <v>384414.46000000008</v>
      </c>
      <c r="G516" s="578">
        <v>405118.01</v>
      </c>
      <c r="H516" s="115">
        <f>G516-F516</f>
        <v>20703.54999999993</v>
      </c>
      <c r="K516" s="230">
        <v>384273.2</v>
      </c>
      <c r="L516" s="232">
        <f>F516-K516</f>
        <v>141.26000000006752</v>
      </c>
    </row>
    <row r="517" spans="1:12" ht="15.75" x14ac:dyDescent="0.25">
      <c r="A517" s="572" t="s">
        <v>404</v>
      </c>
      <c r="B517" s="7" t="s">
        <v>264</v>
      </c>
      <c r="C517" s="7" t="s">
        <v>118</v>
      </c>
      <c r="D517" s="7"/>
      <c r="E517" s="7"/>
      <c r="F517" s="488">
        <f>F518+F566+F571</f>
        <v>89767.090000000011</v>
      </c>
      <c r="H517" s="115"/>
    </row>
    <row r="518" spans="1:12" ht="40.700000000000003" customHeight="1" x14ac:dyDescent="0.25">
      <c r="A518" s="494" t="s">
        <v>1377</v>
      </c>
      <c r="B518" s="495" t="s">
        <v>264</v>
      </c>
      <c r="C518" s="495" t="s">
        <v>118</v>
      </c>
      <c r="D518" s="495" t="s">
        <v>406</v>
      </c>
      <c r="E518" s="495"/>
      <c r="F518" s="488">
        <f>F519+F523+F530+F540+F550+F554+F558+F562</f>
        <v>89115.290000000008</v>
      </c>
    </row>
    <row r="519" spans="1:12" s="203" customFormat="1" ht="31.5" x14ac:dyDescent="0.25">
      <c r="A519" s="494" t="s">
        <v>937</v>
      </c>
      <c r="B519" s="495" t="s">
        <v>264</v>
      </c>
      <c r="C519" s="495" t="s">
        <v>118</v>
      </c>
      <c r="D519" s="495" t="s">
        <v>1230</v>
      </c>
      <c r="E519" s="495"/>
      <c r="F519" s="488">
        <f>F520</f>
        <v>16777.189999999999</v>
      </c>
      <c r="G519" s="578"/>
      <c r="H519" s="578"/>
      <c r="I519" s="578"/>
      <c r="J519" s="578"/>
      <c r="K519" s="578"/>
    </row>
    <row r="520" spans="1:12" ht="42.75" customHeight="1" x14ac:dyDescent="0.25">
      <c r="A520" s="579" t="s">
        <v>1229</v>
      </c>
      <c r="B520" s="580" t="s">
        <v>264</v>
      </c>
      <c r="C520" s="580" t="s">
        <v>118</v>
      </c>
      <c r="D520" s="580" t="s">
        <v>1231</v>
      </c>
      <c r="E520" s="580"/>
      <c r="F520" s="489">
        <f>F521</f>
        <v>16777.189999999999</v>
      </c>
    </row>
    <row r="521" spans="1:12" ht="40.700000000000003" customHeight="1" x14ac:dyDescent="0.25">
      <c r="A521" s="579" t="s">
        <v>272</v>
      </c>
      <c r="B521" s="580" t="s">
        <v>264</v>
      </c>
      <c r="C521" s="580" t="s">
        <v>118</v>
      </c>
      <c r="D521" s="580" t="s">
        <v>1231</v>
      </c>
      <c r="E521" s="580" t="s">
        <v>273</v>
      </c>
      <c r="F521" s="489">
        <f>F522</f>
        <v>16777.189999999999</v>
      </c>
    </row>
    <row r="522" spans="1:12" ht="15.75" x14ac:dyDescent="0.25">
      <c r="A522" s="579" t="s">
        <v>274</v>
      </c>
      <c r="B522" s="580" t="s">
        <v>264</v>
      </c>
      <c r="C522" s="580" t="s">
        <v>118</v>
      </c>
      <c r="D522" s="580" t="s">
        <v>1231</v>
      </c>
      <c r="E522" s="580" t="s">
        <v>275</v>
      </c>
      <c r="F522" s="386">
        <f>'Пр.4 ведом.22'!G599</f>
        <v>16777.189999999999</v>
      </c>
      <c r="H522" s="115"/>
    </row>
    <row r="523" spans="1:12" ht="47.25" x14ac:dyDescent="0.25">
      <c r="A523" s="494" t="s">
        <v>900</v>
      </c>
      <c r="B523" s="495" t="s">
        <v>264</v>
      </c>
      <c r="C523" s="495" t="s">
        <v>118</v>
      </c>
      <c r="D523" s="495" t="s">
        <v>1232</v>
      </c>
      <c r="E523" s="495"/>
      <c r="F523" s="488">
        <f>F524+F527</f>
        <v>62825.8</v>
      </c>
    </row>
    <row r="524" spans="1:12" s="203" customFormat="1" ht="94.5" x14ac:dyDescent="0.25">
      <c r="A524" s="31" t="s">
        <v>293</v>
      </c>
      <c r="B524" s="580" t="s">
        <v>264</v>
      </c>
      <c r="C524" s="580" t="s">
        <v>118</v>
      </c>
      <c r="D524" s="580" t="s">
        <v>1390</v>
      </c>
      <c r="E524" s="580"/>
      <c r="F524" s="489">
        <f t="shared" ref="F524:F525" si="60">F525</f>
        <v>3230</v>
      </c>
      <c r="G524" s="578"/>
      <c r="H524" s="578"/>
      <c r="I524" s="578"/>
      <c r="J524" s="578"/>
      <c r="K524" s="578"/>
    </row>
    <row r="525" spans="1:12" s="203" customFormat="1" ht="31.5" x14ac:dyDescent="0.25">
      <c r="A525" s="579" t="s">
        <v>272</v>
      </c>
      <c r="B525" s="580" t="s">
        <v>264</v>
      </c>
      <c r="C525" s="580" t="s">
        <v>118</v>
      </c>
      <c r="D525" s="580" t="s">
        <v>1390</v>
      </c>
      <c r="E525" s="580" t="s">
        <v>273</v>
      </c>
      <c r="F525" s="489">
        <f t="shared" si="60"/>
        <v>3230</v>
      </c>
      <c r="G525" s="578"/>
      <c r="H525" s="578"/>
      <c r="I525" s="578"/>
      <c r="J525" s="578"/>
      <c r="K525" s="578"/>
    </row>
    <row r="526" spans="1:12" s="203" customFormat="1" ht="15.75" x14ac:dyDescent="0.25">
      <c r="A526" s="579" t="s">
        <v>274</v>
      </c>
      <c r="B526" s="580" t="s">
        <v>264</v>
      </c>
      <c r="C526" s="580" t="s">
        <v>118</v>
      </c>
      <c r="D526" s="580" t="s">
        <v>1390</v>
      </c>
      <c r="E526" s="580" t="s">
        <v>275</v>
      </c>
      <c r="F526" s="489">
        <f>'Пр.4 ведом.22'!G603</f>
        <v>3230</v>
      </c>
      <c r="G526" s="578"/>
      <c r="H526" s="578"/>
      <c r="I526" s="578"/>
      <c r="J526" s="578"/>
      <c r="K526" s="578"/>
    </row>
    <row r="527" spans="1:12" ht="47.25" customHeight="1" x14ac:dyDescent="0.25">
      <c r="A527" s="31" t="s">
        <v>1766</v>
      </c>
      <c r="B527" s="580" t="s">
        <v>264</v>
      </c>
      <c r="C527" s="580" t="s">
        <v>118</v>
      </c>
      <c r="D527" s="580" t="s">
        <v>1767</v>
      </c>
      <c r="E527" s="580"/>
      <c r="F527" s="489">
        <f t="shared" ref="F527:F528" si="61">F528</f>
        <v>59595.8</v>
      </c>
    </row>
    <row r="528" spans="1:12" ht="39.75" customHeight="1" x14ac:dyDescent="0.25">
      <c r="A528" s="579" t="s">
        <v>272</v>
      </c>
      <c r="B528" s="580" t="s">
        <v>264</v>
      </c>
      <c r="C528" s="580" t="s">
        <v>118</v>
      </c>
      <c r="D528" s="580" t="s">
        <v>1767</v>
      </c>
      <c r="E528" s="580" t="s">
        <v>273</v>
      </c>
      <c r="F528" s="489">
        <f t="shared" si="61"/>
        <v>59595.8</v>
      </c>
    </row>
    <row r="529" spans="1:6" ht="15.75" customHeight="1" x14ac:dyDescent="0.25">
      <c r="A529" s="579" t="s">
        <v>274</v>
      </c>
      <c r="B529" s="580" t="s">
        <v>264</v>
      </c>
      <c r="C529" s="580" t="s">
        <v>118</v>
      </c>
      <c r="D529" s="580" t="s">
        <v>1767</v>
      </c>
      <c r="E529" s="580" t="s">
        <v>275</v>
      </c>
      <c r="F529" s="489">
        <f>'Пр.4 ведом.22'!G606</f>
        <v>59595.8</v>
      </c>
    </row>
    <row r="530" spans="1:6" ht="36" customHeight="1" x14ac:dyDescent="0.25">
      <c r="A530" s="494" t="s">
        <v>1292</v>
      </c>
      <c r="B530" s="495" t="s">
        <v>264</v>
      </c>
      <c r="C530" s="495" t="s">
        <v>118</v>
      </c>
      <c r="D530" s="495" t="s">
        <v>1237</v>
      </c>
      <c r="E530" s="495"/>
      <c r="F530" s="488">
        <f>F531+F534+F537</f>
        <v>4556.6000000000004</v>
      </c>
    </row>
    <row r="531" spans="1:6" ht="40.700000000000003" hidden="1" customHeight="1" x14ac:dyDescent="0.25">
      <c r="A531" s="579" t="s">
        <v>278</v>
      </c>
      <c r="B531" s="580" t="s">
        <v>264</v>
      </c>
      <c r="C531" s="580" t="s">
        <v>118</v>
      </c>
      <c r="D531" s="580" t="s">
        <v>1318</v>
      </c>
      <c r="E531" s="580"/>
      <c r="F531" s="489">
        <f>F532</f>
        <v>0</v>
      </c>
    </row>
    <row r="532" spans="1:6" ht="42" hidden="1" customHeight="1" x14ac:dyDescent="0.25">
      <c r="A532" s="579" t="s">
        <v>272</v>
      </c>
      <c r="B532" s="580" t="s">
        <v>264</v>
      </c>
      <c r="C532" s="580" t="s">
        <v>118</v>
      </c>
      <c r="D532" s="580" t="s">
        <v>1318</v>
      </c>
      <c r="E532" s="580" t="s">
        <v>273</v>
      </c>
      <c r="F532" s="489">
        <f t="shared" ref="F532" si="62">F533</f>
        <v>0</v>
      </c>
    </row>
    <row r="533" spans="1:6" ht="20.25" hidden="1" customHeight="1" x14ac:dyDescent="0.25">
      <c r="A533" s="579" t="s">
        <v>274</v>
      </c>
      <c r="B533" s="580" t="s">
        <v>264</v>
      </c>
      <c r="C533" s="580" t="s">
        <v>118</v>
      </c>
      <c r="D533" s="580" t="s">
        <v>1318</v>
      </c>
      <c r="E533" s="580" t="s">
        <v>275</v>
      </c>
      <c r="F533" s="489">
        <f>'Пр.4 ведом.22'!G610</f>
        <v>0</v>
      </c>
    </row>
    <row r="534" spans="1:6" ht="39.200000000000003" hidden="1" customHeight="1" x14ac:dyDescent="0.25">
      <c r="A534" s="579" t="s">
        <v>280</v>
      </c>
      <c r="B534" s="580" t="s">
        <v>264</v>
      </c>
      <c r="C534" s="580" t="s">
        <v>118</v>
      </c>
      <c r="D534" s="580" t="s">
        <v>1319</v>
      </c>
      <c r="E534" s="580"/>
      <c r="F534" s="489">
        <f>F535</f>
        <v>0</v>
      </c>
    </row>
    <row r="535" spans="1:6" ht="35.450000000000003" hidden="1" customHeight="1" x14ac:dyDescent="0.25">
      <c r="A535" s="579" t="s">
        <v>272</v>
      </c>
      <c r="B535" s="580" t="s">
        <v>264</v>
      </c>
      <c r="C535" s="580" t="s">
        <v>118</v>
      </c>
      <c r="D535" s="580" t="s">
        <v>1319</v>
      </c>
      <c r="E535" s="580" t="s">
        <v>273</v>
      </c>
      <c r="F535" s="489">
        <f t="shared" ref="F535" si="63">F536</f>
        <v>0</v>
      </c>
    </row>
    <row r="536" spans="1:6" ht="17.45" hidden="1" customHeight="1" x14ac:dyDescent="0.25">
      <c r="A536" s="579" t="s">
        <v>274</v>
      </c>
      <c r="B536" s="580" t="s">
        <v>264</v>
      </c>
      <c r="C536" s="580" t="s">
        <v>118</v>
      </c>
      <c r="D536" s="580" t="s">
        <v>1319</v>
      </c>
      <c r="E536" s="580" t="s">
        <v>275</v>
      </c>
      <c r="F536" s="489">
        <f>'Пр.4 ведом.22'!G613</f>
        <v>0</v>
      </c>
    </row>
    <row r="537" spans="1:6" ht="38.25" customHeight="1" x14ac:dyDescent="0.25">
      <c r="A537" s="29" t="s">
        <v>415</v>
      </c>
      <c r="B537" s="580" t="s">
        <v>264</v>
      </c>
      <c r="C537" s="580" t="s">
        <v>118</v>
      </c>
      <c r="D537" s="580" t="s">
        <v>1238</v>
      </c>
      <c r="E537" s="580"/>
      <c r="F537" s="489">
        <f>F538</f>
        <v>4556.6000000000004</v>
      </c>
    </row>
    <row r="538" spans="1:6" ht="34.5" customHeight="1" x14ac:dyDescent="0.25">
      <c r="A538" s="579" t="s">
        <v>272</v>
      </c>
      <c r="B538" s="580" t="s">
        <v>264</v>
      </c>
      <c r="C538" s="580" t="s">
        <v>118</v>
      </c>
      <c r="D538" s="580" t="s">
        <v>1238</v>
      </c>
      <c r="E538" s="580" t="s">
        <v>273</v>
      </c>
      <c r="F538" s="489">
        <f>F539</f>
        <v>4556.6000000000004</v>
      </c>
    </row>
    <row r="539" spans="1:6" ht="15.75" x14ac:dyDescent="0.25">
      <c r="A539" s="579" t="s">
        <v>274</v>
      </c>
      <c r="B539" s="580" t="s">
        <v>264</v>
      </c>
      <c r="C539" s="580" t="s">
        <v>118</v>
      </c>
      <c r="D539" s="580" t="s">
        <v>1238</v>
      </c>
      <c r="E539" s="580" t="s">
        <v>275</v>
      </c>
      <c r="F539" s="489">
        <f>'Пр.4 ведом.22'!G616</f>
        <v>4556.6000000000004</v>
      </c>
    </row>
    <row r="540" spans="1:6" ht="31.5" x14ac:dyDescent="0.25">
      <c r="A540" s="219" t="s">
        <v>948</v>
      </c>
      <c r="B540" s="495" t="s">
        <v>264</v>
      </c>
      <c r="C540" s="495" t="s">
        <v>118</v>
      </c>
      <c r="D540" s="495" t="s">
        <v>1240</v>
      </c>
      <c r="E540" s="495"/>
      <c r="F540" s="488">
        <f>F541+F544+F547</f>
        <v>4142</v>
      </c>
    </row>
    <row r="541" spans="1:6" ht="31.5" hidden="1" x14ac:dyDescent="0.25">
      <c r="A541" s="579" t="s">
        <v>284</v>
      </c>
      <c r="B541" s="580" t="s">
        <v>264</v>
      </c>
      <c r="C541" s="580" t="s">
        <v>118</v>
      </c>
      <c r="D541" s="580" t="s">
        <v>1258</v>
      </c>
      <c r="E541" s="580"/>
      <c r="F541" s="489">
        <f>F542</f>
        <v>0</v>
      </c>
    </row>
    <row r="542" spans="1:6" ht="31.5" hidden="1" x14ac:dyDescent="0.25">
      <c r="A542" s="579" t="s">
        <v>272</v>
      </c>
      <c r="B542" s="580" t="s">
        <v>264</v>
      </c>
      <c r="C542" s="580" t="s">
        <v>118</v>
      </c>
      <c r="D542" s="580" t="s">
        <v>1258</v>
      </c>
      <c r="E542" s="580" t="s">
        <v>273</v>
      </c>
      <c r="F542" s="489">
        <f>F543</f>
        <v>0</v>
      </c>
    </row>
    <row r="543" spans="1:6" ht="15.75" hidden="1" x14ac:dyDescent="0.25">
      <c r="A543" s="579" t="s">
        <v>274</v>
      </c>
      <c r="B543" s="580" t="s">
        <v>264</v>
      </c>
      <c r="C543" s="580" t="s">
        <v>118</v>
      </c>
      <c r="D543" s="580" t="s">
        <v>1258</v>
      </c>
      <c r="E543" s="580" t="s">
        <v>275</v>
      </c>
      <c r="F543" s="489">
        <f>'Пр.4 ведом.22'!G620</f>
        <v>0</v>
      </c>
    </row>
    <row r="544" spans="1:6" ht="31.5" x14ac:dyDescent="0.25">
      <c r="A544" s="60" t="s">
        <v>764</v>
      </c>
      <c r="B544" s="580" t="s">
        <v>264</v>
      </c>
      <c r="C544" s="580" t="s">
        <v>118</v>
      </c>
      <c r="D544" s="580" t="s">
        <v>1241</v>
      </c>
      <c r="E544" s="580"/>
      <c r="F544" s="489">
        <f>F545</f>
        <v>2882</v>
      </c>
    </row>
    <row r="545" spans="1:11" ht="31.5" x14ac:dyDescent="0.25">
      <c r="A545" s="29" t="s">
        <v>272</v>
      </c>
      <c r="B545" s="580" t="s">
        <v>264</v>
      </c>
      <c r="C545" s="580" t="s">
        <v>118</v>
      </c>
      <c r="D545" s="580" t="s">
        <v>1241</v>
      </c>
      <c r="E545" s="580" t="s">
        <v>273</v>
      </c>
      <c r="F545" s="489">
        <f>F546</f>
        <v>2882</v>
      </c>
    </row>
    <row r="546" spans="1:11" ht="15.75" x14ac:dyDescent="0.25">
      <c r="A546" s="182" t="s">
        <v>274</v>
      </c>
      <c r="B546" s="580" t="s">
        <v>264</v>
      </c>
      <c r="C546" s="580" t="s">
        <v>118</v>
      </c>
      <c r="D546" s="580" t="s">
        <v>1241</v>
      </c>
      <c r="E546" s="580" t="s">
        <v>275</v>
      </c>
      <c r="F546" s="489">
        <f>'Пр.4 ведом.22'!G623</f>
        <v>2882</v>
      </c>
    </row>
    <row r="547" spans="1:11" ht="47.25" x14ac:dyDescent="0.25">
      <c r="A547" s="60" t="s">
        <v>765</v>
      </c>
      <c r="B547" s="580" t="s">
        <v>264</v>
      </c>
      <c r="C547" s="580" t="s">
        <v>118</v>
      </c>
      <c r="D547" s="580" t="s">
        <v>1242</v>
      </c>
      <c r="E547" s="580"/>
      <c r="F547" s="489">
        <f>F548</f>
        <v>1260</v>
      </c>
    </row>
    <row r="548" spans="1:11" ht="31.5" x14ac:dyDescent="0.25">
      <c r="A548" s="29" t="s">
        <v>272</v>
      </c>
      <c r="B548" s="580" t="s">
        <v>264</v>
      </c>
      <c r="C548" s="580" t="s">
        <v>118</v>
      </c>
      <c r="D548" s="580" t="s">
        <v>1242</v>
      </c>
      <c r="E548" s="580" t="s">
        <v>273</v>
      </c>
      <c r="F548" s="489">
        <f>F549</f>
        <v>1260</v>
      </c>
    </row>
    <row r="549" spans="1:11" ht="15.75" x14ac:dyDescent="0.25">
      <c r="A549" s="182" t="s">
        <v>274</v>
      </c>
      <c r="B549" s="580" t="s">
        <v>264</v>
      </c>
      <c r="C549" s="580" t="s">
        <v>118</v>
      </c>
      <c r="D549" s="580" t="s">
        <v>1242</v>
      </c>
      <c r="E549" s="580" t="s">
        <v>275</v>
      </c>
      <c r="F549" s="489">
        <f>'Пр.4 ведом.22'!G626</f>
        <v>1260</v>
      </c>
    </row>
    <row r="550" spans="1:11" ht="31.5" x14ac:dyDescent="0.25">
      <c r="A550" s="494" t="s">
        <v>1715</v>
      </c>
      <c r="B550" s="495" t="s">
        <v>264</v>
      </c>
      <c r="C550" s="495" t="s">
        <v>118</v>
      </c>
      <c r="D550" s="495" t="s">
        <v>1243</v>
      </c>
      <c r="E550" s="495"/>
      <c r="F550" s="488">
        <f>F551</f>
        <v>133.80000000000001</v>
      </c>
      <c r="H550" s="115"/>
    </row>
    <row r="551" spans="1:11" ht="31.5" x14ac:dyDescent="0.25">
      <c r="A551" s="579" t="s">
        <v>1716</v>
      </c>
      <c r="B551" s="580" t="s">
        <v>264</v>
      </c>
      <c r="C551" s="580" t="s">
        <v>118</v>
      </c>
      <c r="D551" s="580" t="s">
        <v>1717</v>
      </c>
      <c r="E551" s="580"/>
      <c r="F551" s="489">
        <f>F552</f>
        <v>133.80000000000001</v>
      </c>
      <c r="H551" s="115"/>
    </row>
    <row r="552" spans="1:11" ht="31.5" x14ac:dyDescent="0.25">
      <c r="A552" s="29" t="s">
        <v>272</v>
      </c>
      <c r="B552" s="580" t="s">
        <v>264</v>
      </c>
      <c r="C552" s="580" t="s">
        <v>118</v>
      </c>
      <c r="D552" s="580" t="s">
        <v>1717</v>
      </c>
      <c r="E552" s="580" t="s">
        <v>273</v>
      </c>
      <c r="F552" s="489">
        <f>F553</f>
        <v>133.80000000000001</v>
      </c>
      <c r="H552" s="115"/>
    </row>
    <row r="553" spans="1:11" ht="15.75" x14ac:dyDescent="0.25">
      <c r="A553" s="182" t="s">
        <v>274</v>
      </c>
      <c r="B553" s="580" t="s">
        <v>264</v>
      </c>
      <c r="C553" s="580" t="s">
        <v>118</v>
      </c>
      <c r="D553" s="580" t="s">
        <v>1717</v>
      </c>
      <c r="E553" s="580" t="s">
        <v>275</v>
      </c>
      <c r="F553" s="489">
        <f>'Пр.4 ведом.22'!G630</f>
        <v>133.80000000000001</v>
      </c>
      <c r="H553" s="115"/>
    </row>
    <row r="554" spans="1:11" s="203" customFormat="1" ht="94.5" x14ac:dyDescent="0.25">
      <c r="A554" s="494" t="s">
        <v>1166</v>
      </c>
      <c r="B554" s="495" t="s">
        <v>264</v>
      </c>
      <c r="C554" s="495" t="s">
        <v>118</v>
      </c>
      <c r="D554" s="495" t="s">
        <v>1246</v>
      </c>
      <c r="E554" s="495"/>
      <c r="F554" s="493">
        <f>F555</f>
        <v>679.9</v>
      </c>
      <c r="G554" s="578"/>
      <c r="H554" s="578"/>
      <c r="I554" s="578"/>
      <c r="J554" s="578"/>
      <c r="K554" s="578"/>
    </row>
    <row r="555" spans="1:11" s="203" customFormat="1" ht="94.5" x14ac:dyDescent="0.25">
      <c r="A555" s="149" t="s">
        <v>1493</v>
      </c>
      <c r="B555" s="580" t="s">
        <v>264</v>
      </c>
      <c r="C555" s="580" t="s">
        <v>118</v>
      </c>
      <c r="D555" s="580" t="s">
        <v>1247</v>
      </c>
      <c r="E555" s="580"/>
      <c r="F555" s="497">
        <f>F556</f>
        <v>679.9</v>
      </c>
      <c r="G555" s="578"/>
      <c r="H555" s="578"/>
      <c r="I555" s="578"/>
      <c r="J555" s="578"/>
      <c r="K555" s="578"/>
    </row>
    <row r="556" spans="1:11" s="203" customFormat="1" ht="31.5" x14ac:dyDescent="0.25">
      <c r="A556" s="579" t="s">
        <v>272</v>
      </c>
      <c r="B556" s="580" t="s">
        <v>264</v>
      </c>
      <c r="C556" s="580" t="s">
        <v>118</v>
      </c>
      <c r="D556" s="580" t="s">
        <v>1247</v>
      </c>
      <c r="E556" s="580" t="s">
        <v>273</v>
      </c>
      <c r="F556" s="497">
        <f>F557</f>
        <v>679.9</v>
      </c>
      <c r="G556" s="578"/>
      <c r="H556" s="578"/>
      <c r="I556" s="578"/>
      <c r="J556" s="578"/>
      <c r="K556" s="578"/>
    </row>
    <row r="557" spans="1:11" s="203" customFormat="1" ht="15.75" x14ac:dyDescent="0.25">
      <c r="A557" s="579" t="s">
        <v>274</v>
      </c>
      <c r="B557" s="580" t="s">
        <v>264</v>
      </c>
      <c r="C557" s="580" t="s">
        <v>118</v>
      </c>
      <c r="D557" s="580" t="s">
        <v>1247</v>
      </c>
      <c r="E557" s="580" t="s">
        <v>275</v>
      </c>
      <c r="F557" s="497">
        <f>'Пр.4 ведом.22'!G634</f>
        <v>679.9</v>
      </c>
      <c r="G557" s="578"/>
      <c r="H557" s="578"/>
      <c r="I557" s="578"/>
      <c r="J557" s="578"/>
      <c r="K557" s="578"/>
    </row>
    <row r="558" spans="1:11" s="462" customFormat="1" ht="31.5" hidden="1" x14ac:dyDescent="0.25">
      <c r="A558" s="304" t="s">
        <v>1631</v>
      </c>
      <c r="B558" s="495" t="s">
        <v>264</v>
      </c>
      <c r="C558" s="495" t="s">
        <v>118</v>
      </c>
      <c r="D558" s="495" t="s">
        <v>1633</v>
      </c>
      <c r="E558" s="495"/>
      <c r="F558" s="493">
        <f>F559</f>
        <v>0</v>
      </c>
      <c r="G558" s="578"/>
      <c r="H558" s="578"/>
      <c r="I558" s="578"/>
      <c r="J558" s="578"/>
      <c r="K558" s="578"/>
    </row>
    <row r="559" spans="1:11" s="462" customFormat="1" ht="31.5" hidden="1" x14ac:dyDescent="0.25">
      <c r="A559" s="303" t="s">
        <v>1632</v>
      </c>
      <c r="B559" s="580" t="s">
        <v>264</v>
      </c>
      <c r="C559" s="580" t="s">
        <v>118</v>
      </c>
      <c r="D559" s="580" t="s">
        <v>1634</v>
      </c>
      <c r="E559" s="580"/>
      <c r="F559" s="497">
        <f>F560</f>
        <v>0</v>
      </c>
      <c r="G559" s="578"/>
      <c r="H559" s="578"/>
      <c r="I559" s="578"/>
      <c r="J559" s="578"/>
      <c r="K559" s="578"/>
    </row>
    <row r="560" spans="1:11" s="462" customFormat="1" ht="31.5" hidden="1" x14ac:dyDescent="0.25">
      <c r="A560" s="31" t="s">
        <v>272</v>
      </c>
      <c r="B560" s="580" t="s">
        <v>264</v>
      </c>
      <c r="C560" s="580" t="s">
        <v>118</v>
      </c>
      <c r="D560" s="580" t="s">
        <v>1634</v>
      </c>
      <c r="E560" s="580" t="s">
        <v>273</v>
      </c>
      <c r="F560" s="497">
        <f>F561</f>
        <v>0</v>
      </c>
      <c r="G560" s="578"/>
      <c r="H560" s="578"/>
      <c r="I560" s="578"/>
      <c r="J560" s="578"/>
      <c r="K560" s="578"/>
    </row>
    <row r="561" spans="1:11" s="462" customFormat="1" ht="15.75" hidden="1" x14ac:dyDescent="0.25">
      <c r="A561" s="31" t="s">
        <v>274</v>
      </c>
      <c r="B561" s="580" t="s">
        <v>264</v>
      </c>
      <c r="C561" s="580" t="s">
        <v>118</v>
      </c>
      <c r="D561" s="580" t="s">
        <v>1634</v>
      </c>
      <c r="E561" s="580" t="s">
        <v>275</v>
      </c>
      <c r="F561" s="497">
        <f>'Пр.4 ведом.22'!G641</f>
        <v>0</v>
      </c>
      <c r="G561" s="578"/>
      <c r="H561" s="578"/>
      <c r="I561" s="578"/>
      <c r="J561" s="578"/>
      <c r="K561" s="578"/>
    </row>
    <row r="562" spans="1:11" s="487" customFormat="1" ht="47.25" hidden="1" x14ac:dyDescent="0.25">
      <c r="A562" s="304" t="s">
        <v>1635</v>
      </c>
      <c r="B562" s="495" t="s">
        <v>264</v>
      </c>
      <c r="C562" s="495" t="s">
        <v>118</v>
      </c>
      <c r="D562" s="495" t="s">
        <v>1638</v>
      </c>
      <c r="E562" s="495"/>
      <c r="F562" s="493">
        <f>F563</f>
        <v>0</v>
      </c>
      <c r="G562" s="578"/>
      <c r="H562" s="578"/>
      <c r="I562" s="578"/>
      <c r="J562" s="578"/>
      <c r="K562" s="578"/>
    </row>
    <row r="563" spans="1:11" s="487" customFormat="1" ht="47.25" hidden="1" x14ac:dyDescent="0.25">
      <c r="A563" s="303" t="s">
        <v>1636</v>
      </c>
      <c r="B563" s="580" t="s">
        <v>264</v>
      </c>
      <c r="C563" s="580" t="s">
        <v>118</v>
      </c>
      <c r="D563" s="580" t="s">
        <v>1637</v>
      </c>
      <c r="E563" s="580"/>
      <c r="F563" s="497">
        <f>F564</f>
        <v>0</v>
      </c>
      <c r="G563" s="578"/>
      <c r="H563" s="578"/>
      <c r="I563" s="578"/>
      <c r="J563" s="578"/>
      <c r="K563" s="578"/>
    </row>
    <row r="564" spans="1:11" s="487" customFormat="1" ht="31.5" hidden="1" x14ac:dyDescent="0.25">
      <c r="A564" s="31" t="s">
        <v>272</v>
      </c>
      <c r="B564" s="580" t="s">
        <v>264</v>
      </c>
      <c r="C564" s="580" t="s">
        <v>118</v>
      </c>
      <c r="D564" s="580" t="s">
        <v>1637</v>
      </c>
      <c r="E564" s="580" t="s">
        <v>273</v>
      </c>
      <c r="F564" s="497">
        <f>F565</f>
        <v>0</v>
      </c>
      <c r="G564" s="578"/>
      <c r="H564" s="578"/>
      <c r="I564" s="578"/>
      <c r="J564" s="578"/>
      <c r="K564" s="578"/>
    </row>
    <row r="565" spans="1:11" s="487" customFormat="1" ht="15.75" hidden="1" x14ac:dyDescent="0.25">
      <c r="A565" s="31" t="s">
        <v>274</v>
      </c>
      <c r="B565" s="580" t="s">
        <v>264</v>
      </c>
      <c r="C565" s="580" t="s">
        <v>118</v>
      </c>
      <c r="D565" s="580" t="s">
        <v>1637</v>
      </c>
      <c r="E565" s="580" t="s">
        <v>275</v>
      </c>
      <c r="F565" s="497">
        <f>'Пр.4 ведом.22'!G645</f>
        <v>0</v>
      </c>
      <c r="G565" s="578"/>
      <c r="H565" s="578"/>
      <c r="I565" s="578"/>
      <c r="J565" s="578"/>
      <c r="K565" s="578"/>
    </row>
    <row r="566" spans="1:11" ht="53.65" customHeight="1" x14ac:dyDescent="0.25">
      <c r="A566" s="34" t="s">
        <v>1357</v>
      </c>
      <c r="B566" s="495" t="s">
        <v>264</v>
      </c>
      <c r="C566" s="495" t="s">
        <v>118</v>
      </c>
      <c r="D566" s="495" t="s">
        <v>324</v>
      </c>
      <c r="E566" s="495"/>
      <c r="F566" s="488">
        <f>F567</f>
        <v>80</v>
      </c>
    </row>
    <row r="567" spans="1:11" ht="63" x14ac:dyDescent="0.25">
      <c r="A567" s="34" t="s">
        <v>1009</v>
      </c>
      <c r="B567" s="495" t="s">
        <v>264</v>
      </c>
      <c r="C567" s="495" t="s">
        <v>118</v>
      </c>
      <c r="D567" s="495" t="s">
        <v>934</v>
      </c>
      <c r="E567" s="495"/>
      <c r="F567" s="488">
        <f>F568</f>
        <v>80</v>
      </c>
    </row>
    <row r="568" spans="1:11" ht="47.25" x14ac:dyDescent="0.25">
      <c r="A568" s="31" t="s">
        <v>1008</v>
      </c>
      <c r="B568" s="580" t="s">
        <v>264</v>
      </c>
      <c r="C568" s="580" t="s">
        <v>118</v>
      </c>
      <c r="D568" s="580" t="s">
        <v>935</v>
      </c>
      <c r="E568" s="580"/>
      <c r="F568" s="489">
        <f>F569</f>
        <v>80</v>
      </c>
    </row>
    <row r="569" spans="1:11" ht="31.5" x14ac:dyDescent="0.25">
      <c r="A569" s="31" t="s">
        <v>272</v>
      </c>
      <c r="B569" s="580" t="s">
        <v>264</v>
      </c>
      <c r="C569" s="580" t="s">
        <v>118</v>
      </c>
      <c r="D569" s="580" t="s">
        <v>935</v>
      </c>
      <c r="E569" s="580" t="s">
        <v>273</v>
      </c>
      <c r="F569" s="489">
        <f t="shared" ref="F569" si="64">F570</f>
        <v>80</v>
      </c>
    </row>
    <row r="570" spans="1:11" ht="15.75" x14ac:dyDescent="0.25">
      <c r="A570" s="31" t="s">
        <v>274</v>
      </c>
      <c r="B570" s="580" t="s">
        <v>264</v>
      </c>
      <c r="C570" s="580" t="s">
        <v>118</v>
      </c>
      <c r="D570" s="580" t="s">
        <v>935</v>
      </c>
      <c r="E570" s="580" t="s">
        <v>275</v>
      </c>
      <c r="F570" s="489">
        <f>'Пр.4 ведом.22'!G650</f>
        <v>80</v>
      </c>
    </row>
    <row r="571" spans="1:11" ht="47.25" x14ac:dyDescent="0.25">
      <c r="A571" s="572" t="s">
        <v>1352</v>
      </c>
      <c r="B571" s="495" t="s">
        <v>264</v>
      </c>
      <c r="C571" s="495" t="s">
        <v>118</v>
      </c>
      <c r="D571" s="495" t="s">
        <v>705</v>
      </c>
      <c r="E571" s="504"/>
      <c r="F571" s="488">
        <f>F572</f>
        <v>571.79999999999995</v>
      </c>
    </row>
    <row r="572" spans="1:11" ht="47.25" x14ac:dyDescent="0.25">
      <c r="A572" s="572" t="s">
        <v>890</v>
      </c>
      <c r="B572" s="495" t="s">
        <v>264</v>
      </c>
      <c r="C572" s="495" t="s">
        <v>118</v>
      </c>
      <c r="D572" s="495" t="s">
        <v>888</v>
      </c>
      <c r="E572" s="504"/>
      <c r="F572" s="488">
        <f t="shared" ref="F572:F573" si="65">F573</f>
        <v>571.79999999999995</v>
      </c>
    </row>
    <row r="573" spans="1:11" ht="47.25" x14ac:dyDescent="0.25">
      <c r="A573" s="98" t="s">
        <v>780</v>
      </c>
      <c r="B573" s="580" t="s">
        <v>264</v>
      </c>
      <c r="C573" s="580" t="s">
        <v>118</v>
      </c>
      <c r="D573" s="580" t="s">
        <v>936</v>
      </c>
      <c r="E573" s="498"/>
      <c r="F573" s="489">
        <f t="shared" si="65"/>
        <v>571.79999999999995</v>
      </c>
    </row>
    <row r="574" spans="1:11" ht="31.5" x14ac:dyDescent="0.25">
      <c r="A574" s="29" t="s">
        <v>272</v>
      </c>
      <c r="B574" s="580" t="s">
        <v>264</v>
      </c>
      <c r="C574" s="580" t="s">
        <v>118</v>
      </c>
      <c r="D574" s="580" t="s">
        <v>936</v>
      </c>
      <c r="E574" s="498" t="s">
        <v>273</v>
      </c>
      <c r="F574" s="489">
        <f>F575</f>
        <v>571.79999999999995</v>
      </c>
    </row>
    <row r="575" spans="1:11" ht="24.75" customHeight="1" x14ac:dyDescent="0.25">
      <c r="A575" s="182" t="s">
        <v>274</v>
      </c>
      <c r="B575" s="580" t="s">
        <v>264</v>
      </c>
      <c r="C575" s="580" t="s">
        <v>118</v>
      </c>
      <c r="D575" s="580" t="s">
        <v>936</v>
      </c>
      <c r="E575" s="498" t="s">
        <v>275</v>
      </c>
      <c r="F575" s="489">
        <f>'Пр.4 ведом.22'!G655</f>
        <v>571.79999999999995</v>
      </c>
    </row>
    <row r="576" spans="1:11" ht="15.75" x14ac:dyDescent="0.25">
      <c r="A576" s="572" t="s">
        <v>425</v>
      </c>
      <c r="B576" s="7" t="s">
        <v>264</v>
      </c>
      <c r="C576" s="7" t="s">
        <v>213</v>
      </c>
      <c r="D576" s="7"/>
      <c r="E576" s="7"/>
      <c r="F576" s="488">
        <f>F577+F660+F665</f>
        <v>202346.96000000002</v>
      </c>
      <c r="H576" s="115"/>
    </row>
    <row r="577" spans="1:11" ht="34.700000000000003" customHeight="1" x14ac:dyDescent="0.25">
      <c r="A577" s="494" t="s">
        <v>1358</v>
      </c>
      <c r="B577" s="495" t="s">
        <v>264</v>
      </c>
      <c r="C577" s="495" t="s">
        <v>213</v>
      </c>
      <c r="D577" s="495" t="s">
        <v>406</v>
      </c>
      <c r="E577" s="495"/>
      <c r="F577" s="488">
        <f>F578+F582+F595+F608+F615+F619+F623+F627+F631+F647+F643+F635+F639+F656</f>
        <v>201416.12000000002</v>
      </c>
    </row>
    <row r="578" spans="1:11" ht="31.5" x14ac:dyDescent="0.25">
      <c r="A578" s="494" t="s">
        <v>937</v>
      </c>
      <c r="B578" s="495" t="s">
        <v>264</v>
      </c>
      <c r="C578" s="495" t="s">
        <v>213</v>
      </c>
      <c r="D578" s="495" t="s">
        <v>1230</v>
      </c>
      <c r="E578" s="495"/>
      <c r="F578" s="488">
        <f>F579</f>
        <v>30618.41</v>
      </c>
    </row>
    <row r="579" spans="1:11" ht="47.25" x14ac:dyDescent="0.25">
      <c r="A579" s="579" t="s">
        <v>1236</v>
      </c>
      <c r="B579" s="580" t="s">
        <v>264</v>
      </c>
      <c r="C579" s="580" t="s">
        <v>213</v>
      </c>
      <c r="D579" s="580" t="s">
        <v>1249</v>
      </c>
      <c r="E579" s="580"/>
      <c r="F579" s="386">
        <f t="shared" ref="F579" si="66">F580</f>
        <v>30618.41</v>
      </c>
    </row>
    <row r="580" spans="1:11" ht="39.75" customHeight="1" x14ac:dyDescent="0.25">
      <c r="A580" s="579" t="s">
        <v>272</v>
      </c>
      <c r="B580" s="580" t="s">
        <v>264</v>
      </c>
      <c r="C580" s="580" t="s">
        <v>213</v>
      </c>
      <c r="D580" s="580" t="s">
        <v>1249</v>
      </c>
      <c r="E580" s="580" t="s">
        <v>273</v>
      </c>
      <c r="F580" s="386">
        <f>'Пр.4 ведом.22'!G661</f>
        <v>30618.41</v>
      </c>
    </row>
    <row r="581" spans="1:11" ht="15.75" x14ac:dyDescent="0.25">
      <c r="A581" s="579" t="s">
        <v>274</v>
      </c>
      <c r="B581" s="580" t="s">
        <v>264</v>
      </c>
      <c r="C581" s="580" t="s">
        <v>213</v>
      </c>
      <c r="D581" s="580" t="s">
        <v>1249</v>
      </c>
      <c r="E581" s="580" t="s">
        <v>275</v>
      </c>
      <c r="F581" s="489">
        <f>'Пр.4 ведом.22'!G661</f>
        <v>30618.41</v>
      </c>
    </row>
    <row r="582" spans="1:11" ht="48.95" customHeight="1" x14ac:dyDescent="0.25">
      <c r="A582" s="494" t="s">
        <v>900</v>
      </c>
      <c r="B582" s="495" t="s">
        <v>264</v>
      </c>
      <c r="C582" s="495" t="s">
        <v>213</v>
      </c>
      <c r="D582" s="495" t="s">
        <v>1232</v>
      </c>
      <c r="E582" s="495"/>
      <c r="F582" s="488">
        <f>F583+F586+F589+F592</f>
        <v>154661.90000000002</v>
      </c>
    </row>
    <row r="583" spans="1:11" s="203" customFormat="1" ht="67.7" customHeight="1" x14ac:dyDescent="0.25">
      <c r="A583" s="579" t="s">
        <v>1392</v>
      </c>
      <c r="B583" s="580" t="s">
        <v>264</v>
      </c>
      <c r="C583" s="580" t="s">
        <v>213</v>
      </c>
      <c r="D583" s="580" t="s">
        <v>1393</v>
      </c>
      <c r="E583" s="580"/>
      <c r="F583" s="27">
        <f>F584</f>
        <v>7421.4</v>
      </c>
      <c r="G583" s="578"/>
      <c r="H583" s="578"/>
      <c r="I583" s="578"/>
      <c r="J583" s="578"/>
      <c r="K583" s="578"/>
    </row>
    <row r="584" spans="1:11" s="203" customFormat="1" ht="36.75" customHeight="1" x14ac:dyDescent="0.25">
      <c r="A584" s="579" t="s">
        <v>272</v>
      </c>
      <c r="B584" s="580" t="s">
        <v>264</v>
      </c>
      <c r="C584" s="580" t="s">
        <v>213</v>
      </c>
      <c r="D584" s="580" t="s">
        <v>1393</v>
      </c>
      <c r="E584" s="580" t="s">
        <v>273</v>
      </c>
      <c r="F584" s="27">
        <f>F585</f>
        <v>7421.4</v>
      </c>
      <c r="G584" s="578"/>
      <c r="H584" s="578"/>
      <c r="I584" s="578"/>
      <c r="J584" s="578"/>
      <c r="K584" s="578"/>
    </row>
    <row r="585" spans="1:11" s="203" customFormat="1" ht="17.649999999999999" customHeight="1" x14ac:dyDescent="0.25">
      <c r="A585" s="579" t="s">
        <v>274</v>
      </c>
      <c r="B585" s="580" t="s">
        <v>264</v>
      </c>
      <c r="C585" s="580" t="s">
        <v>213</v>
      </c>
      <c r="D585" s="580" t="s">
        <v>1393</v>
      </c>
      <c r="E585" s="580" t="s">
        <v>275</v>
      </c>
      <c r="F585" s="27">
        <f>'Пр.4 ведом.22'!G665</f>
        <v>7421.4</v>
      </c>
      <c r="G585" s="578"/>
      <c r="H585" s="578"/>
      <c r="I585" s="578"/>
      <c r="J585" s="578"/>
      <c r="K585" s="578"/>
    </row>
    <row r="586" spans="1:11" s="203" customFormat="1" ht="95.1" customHeight="1" x14ac:dyDescent="0.25">
      <c r="A586" s="31" t="s">
        <v>464</v>
      </c>
      <c r="B586" s="580" t="s">
        <v>264</v>
      </c>
      <c r="C586" s="580" t="s">
        <v>213</v>
      </c>
      <c r="D586" s="580" t="s">
        <v>1390</v>
      </c>
      <c r="E586" s="580"/>
      <c r="F586" s="489">
        <f>F587</f>
        <v>4520</v>
      </c>
      <c r="G586" s="578"/>
      <c r="H586" s="578"/>
      <c r="I586" s="578"/>
      <c r="J586" s="578"/>
      <c r="K586" s="578"/>
    </row>
    <row r="587" spans="1:11" s="203" customFormat="1" ht="40.15" customHeight="1" x14ac:dyDescent="0.25">
      <c r="A587" s="579" t="s">
        <v>272</v>
      </c>
      <c r="B587" s="580" t="s">
        <v>264</v>
      </c>
      <c r="C587" s="580" t="s">
        <v>213</v>
      </c>
      <c r="D587" s="580" t="s">
        <v>1390</v>
      </c>
      <c r="E587" s="580" t="s">
        <v>273</v>
      </c>
      <c r="F587" s="489">
        <f>F588</f>
        <v>4520</v>
      </c>
      <c r="G587" s="578"/>
      <c r="H587" s="578"/>
      <c r="I587" s="578"/>
      <c r="J587" s="578"/>
      <c r="K587" s="578"/>
    </row>
    <row r="588" spans="1:11" s="203" customFormat="1" ht="17.100000000000001" customHeight="1" x14ac:dyDescent="0.25">
      <c r="A588" s="579" t="s">
        <v>274</v>
      </c>
      <c r="B588" s="580" t="s">
        <v>264</v>
      </c>
      <c r="C588" s="580" t="s">
        <v>213</v>
      </c>
      <c r="D588" s="580" t="s">
        <v>1390</v>
      </c>
      <c r="E588" s="580" t="s">
        <v>275</v>
      </c>
      <c r="F588" s="489">
        <f>'Пр.4 ведом.22'!G668</f>
        <v>4520</v>
      </c>
      <c r="G588" s="578"/>
      <c r="H588" s="578"/>
      <c r="I588" s="578"/>
      <c r="J588" s="578"/>
      <c r="K588" s="578"/>
    </row>
    <row r="589" spans="1:11" ht="47.25" x14ac:dyDescent="0.25">
      <c r="A589" s="31" t="s">
        <v>462</v>
      </c>
      <c r="B589" s="580" t="s">
        <v>264</v>
      </c>
      <c r="C589" s="580" t="s">
        <v>213</v>
      </c>
      <c r="D589" s="580" t="s">
        <v>1251</v>
      </c>
      <c r="E589" s="580"/>
      <c r="F589" s="489">
        <f>F590</f>
        <v>909.3</v>
      </c>
    </row>
    <row r="590" spans="1:11" ht="36" customHeight="1" x14ac:dyDescent="0.25">
      <c r="A590" s="579" t="s">
        <v>272</v>
      </c>
      <c r="B590" s="580" t="s">
        <v>264</v>
      </c>
      <c r="C590" s="580" t="s">
        <v>213</v>
      </c>
      <c r="D590" s="580" t="s">
        <v>1251</v>
      </c>
      <c r="E590" s="580" t="s">
        <v>273</v>
      </c>
      <c r="F590" s="489">
        <f t="shared" ref="F590" si="67">F591</f>
        <v>909.3</v>
      </c>
    </row>
    <row r="591" spans="1:11" ht="15.75" x14ac:dyDescent="0.25">
      <c r="A591" s="579" t="s">
        <v>274</v>
      </c>
      <c r="B591" s="580" t="s">
        <v>264</v>
      </c>
      <c r="C591" s="580" t="s">
        <v>213</v>
      </c>
      <c r="D591" s="580" t="s">
        <v>1251</v>
      </c>
      <c r="E591" s="580" t="s">
        <v>275</v>
      </c>
      <c r="F591" s="489">
        <f>'Пр.4 ведом.22'!G671</f>
        <v>909.3</v>
      </c>
    </row>
    <row r="592" spans="1:11" s="576" customFormat="1" ht="47.25" x14ac:dyDescent="0.25">
      <c r="A592" s="579" t="s">
        <v>1766</v>
      </c>
      <c r="B592" s="580" t="s">
        <v>264</v>
      </c>
      <c r="C592" s="580" t="s">
        <v>213</v>
      </c>
      <c r="D592" s="580" t="s">
        <v>1767</v>
      </c>
      <c r="E592" s="580"/>
      <c r="F592" s="489">
        <f>F593</f>
        <v>141811.20000000001</v>
      </c>
      <c r="G592" s="578"/>
      <c r="H592" s="578"/>
      <c r="I592" s="578"/>
      <c r="J592" s="578"/>
      <c r="K592" s="578"/>
    </row>
    <row r="593" spans="1:11" s="576" customFormat="1" ht="31.5" x14ac:dyDescent="0.25">
      <c r="A593" s="579" t="s">
        <v>272</v>
      </c>
      <c r="B593" s="580" t="s">
        <v>264</v>
      </c>
      <c r="C593" s="580" t="s">
        <v>213</v>
      </c>
      <c r="D593" s="580" t="s">
        <v>1767</v>
      </c>
      <c r="E593" s="580" t="s">
        <v>273</v>
      </c>
      <c r="F593" s="489">
        <f>F594</f>
        <v>141811.20000000001</v>
      </c>
      <c r="G593" s="578"/>
      <c r="H593" s="578"/>
      <c r="I593" s="578"/>
      <c r="J593" s="578"/>
      <c r="K593" s="578"/>
    </row>
    <row r="594" spans="1:11" s="576" customFormat="1" ht="15.75" x14ac:dyDescent="0.25">
      <c r="A594" s="579" t="s">
        <v>274</v>
      </c>
      <c r="B594" s="580" t="s">
        <v>264</v>
      </c>
      <c r="C594" s="580" t="s">
        <v>213</v>
      </c>
      <c r="D594" s="580" t="s">
        <v>1767</v>
      </c>
      <c r="E594" s="580" t="s">
        <v>275</v>
      </c>
      <c r="F594" s="489">
        <f>'Пр.4 ведом.22'!G674</f>
        <v>141811.20000000001</v>
      </c>
      <c r="G594" s="578"/>
      <c r="H594" s="578"/>
      <c r="I594" s="578"/>
      <c r="J594" s="578"/>
      <c r="K594" s="578"/>
    </row>
    <row r="595" spans="1:11" ht="31.5" x14ac:dyDescent="0.25">
      <c r="A595" s="494" t="s">
        <v>1304</v>
      </c>
      <c r="B595" s="495" t="s">
        <v>264</v>
      </c>
      <c r="C595" s="495" t="s">
        <v>213</v>
      </c>
      <c r="D595" s="495" t="s">
        <v>1237</v>
      </c>
      <c r="E595" s="495"/>
      <c r="F595" s="488">
        <f>F596+F599+F602+F605</f>
        <v>208.6</v>
      </c>
    </row>
    <row r="596" spans="1:11" ht="36" hidden="1" customHeight="1" x14ac:dyDescent="0.25">
      <c r="A596" s="579" t="s">
        <v>440</v>
      </c>
      <c r="B596" s="580" t="s">
        <v>264</v>
      </c>
      <c r="C596" s="580" t="s">
        <v>213</v>
      </c>
      <c r="D596" s="580" t="s">
        <v>1317</v>
      </c>
      <c r="E596" s="580"/>
      <c r="F596" s="489">
        <f t="shared" ref="F596" si="68">F597</f>
        <v>0</v>
      </c>
    </row>
    <row r="597" spans="1:11" ht="35.450000000000003" hidden="1" customHeight="1" x14ac:dyDescent="0.25">
      <c r="A597" s="579" t="s">
        <v>272</v>
      </c>
      <c r="B597" s="580" t="s">
        <v>264</v>
      </c>
      <c r="C597" s="580" t="s">
        <v>213</v>
      </c>
      <c r="D597" s="580" t="s">
        <v>1317</v>
      </c>
      <c r="E597" s="580" t="s">
        <v>273</v>
      </c>
      <c r="F597" s="489">
        <f>F598</f>
        <v>0</v>
      </c>
    </row>
    <row r="598" spans="1:11" ht="15.75" hidden="1" x14ac:dyDescent="0.25">
      <c r="A598" s="579" t="s">
        <v>274</v>
      </c>
      <c r="B598" s="580" t="s">
        <v>264</v>
      </c>
      <c r="C598" s="580" t="s">
        <v>213</v>
      </c>
      <c r="D598" s="580" t="s">
        <v>1317</v>
      </c>
      <c r="E598" s="580" t="s">
        <v>275</v>
      </c>
      <c r="F598" s="489">
        <f>'Пр.4 ведом.22'!G678</f>
        <v>0</v>
      </c>
    </row>
    <row r="599" spans="1:11" ht="31.5" hidden="1" x14ac:dyDescent="0.25">
      <c r="A599" s="579" t="s">
        <v>278</v>
      </c>
      <c r="B599" s="580" t="s">
        <v>264</v>
      </c>
      <c r="C599" s="580" t="s">
        <v>213</v>
      </c>
      <c r="D599" s="580" t="s">
        <v>1318</v>
      </c>
      <c r="E599" s="580"/>
      <c r="F599" s="489">
        <f t="shared" ref="F599" si="69">F600</f>
        <v>0</v>
      </c>
    </row>
    <row r="600" spans="1:11" ht="37.5" hidden="1" customHeight="1" x14ac:dyDescent="0.25">
      <c r="A600" s="579" t="s">
        <v>272</v>
      </c>
      <c r="B600" s="580" t="s">
        <v>264</v>
      </c>
      <c r="C600" s="580" t="s">
        <v>213</v>
      </c>
      <c r="D600" s="580" t="s">
        <v>1318</v>
      </c>
      <c r="E600" s="580" t="s">
        <v>273</v>
      </c>
      <c r="F600" s="489">
        <f>F601</f>
        <v>0</v>
      </c>
    </row>
    <row r="601" spans="1:11" ht="15.75" hidden="1" x14ac:dyDescent="0.25">
      <c r="A601" s="579" t="s">
        <v>274</v>
      </c>
      <c r="B601" s="580" t="s">
        <v>264</v>
      </c>
      <c r="C601" s="580" t="s">
        <v>213</v>
      </c>
      <c r="D601" s="580" t="s">
        <v>1318</v>
      </c>
      <c r="E601" s="580" t="s">
        <v>275</v>
      </c>
      <c r="F601" s="489">
        <f>'Пр.4 ведом.22'!G681</f>
        <v>0</v>
      </c>
    </row>
    <row r="602" spans="1:11" ht="31.5" hidden="1" x14ac:dyDescent="0.25">
      <c r="A602" s="579" t="s">
        <v>280</v>
      </c>
      <c r="B602" s="580" t="s">
        <v>264</v>
      </c>
      <c r="C602" s="580" t="s">
        <v>213</v>
      </c>
      <c r="D602" s="580" t="s">
        <v>1319</v>
      </c>
      <c r="E602" s="580"/>
      <c r="F602" s="489">
        <f t="shared" ref="F602" si="70">F603</f>
        <v>0</v>
      </c>
    </row>
    <row r="603" spans="1:11" ht="31.7" hidden="1" customHeight="1" x14ac:dyDescent="0.25">
      <c r="A603" s="579" t="s">
        <v>272</v>
      </c>
      <c r="B603" s="580" t="s">
        <v>264</v>
      </c>
      <c r="C603" s="580" t="s">
        <v>213</v>
      </c>
      <c r="D603" s="580" t="s">
        <v>1319</v>
      </c>
      <c r="E603" s="580" t="s">
        <v>273</v>
      </c>
      <c r="F603" s="489">
        <f>F604</f>
        <v>0</v>
      </c>
    </row>
    <row r="604" spans="1:11" ht="15.75" hidden="1" x14ac:dyDescent="0.25">
      <c r="A604" s="579" t="s">
        <v>274</v>
      </c>
      <c r="B604" s="580" t="s">
        <v>264</v>
      </c>
      <c r="C604" s="580" t="s">
        <v>213</v>
      </c>
      <c r="D604" s="580" t="s">
        <v>1319</v>
      </c>
      <c r="E604" s="580" t="s">
        <v>275</v>
      </c>
      <c r="F604" s="489">
        <f>'Пр.4 ведом.22'!G684</f>
        <v>0</v>
      </c>
    </row>
    <row r="605" spans="1:11" ht="31.5" x14ac:dyDescent="0.25">
      <c r="A605" s="579" t="s">
        <v>282</v>
      </c>
      <c r="B605" s="580" t="s">
        <v>264</v>
      </c>
      <c r="C605" s="580" t="s">
        <v>213</v>
      </c>
      <c r="D605" s="580" t="s">
        <v>1253</v>
      </c>
      <c r="E605" s="580"/>
      <c r="F605" s="489">
        <f t="shared" ref="F605" si="71">F606</f>
        <v>208.6</v>
      </c>
    </row>
    <row r="606" spans="1:11" ht="36" customHeight="1" x14ac:dyDescent="0.25">
      <c r="A606" s="579" t="s">
        <v>272</v>
      </c>
      <c r="B606" s="580" t="s">
        <v>264</v>
      </c>
      <c r="C606" s="580" t="s">
        <v>213</v>
      </c>
      <c r="D606" s="580" t="s">
        <v>1253</v>
      </c>
      <c r="E606" s="580" t="s">
        <v>273</v>
      </c>
      <c r="F606" s="489">
        <f>F607</f>
        <v>208.6</v>
      </c>
    </row>
    <row r="607" spans="1:11" ht="15" customHeight="1" x14ac:dyDescent="0.25">
      <c r="A607" s="579" t="s">
        <v>274</v>
      </c>
      <c r="B607" s="580" t="s">
        <v>264</v>
      </c>
      <c r="C607" s="580" t="s">
        <v>213</v>
      </c>
      <c r="D607" s="580" t="s">
        <v>1253</v>
      </c>
      <c r="E607" s="580" t="s">
        <v>275</v>
      </c>
      <c r="F607" s="489">
        <f>'Пр.4 ведом.22'!G687</f>
        <v>208.6</v>
      </c>
    </row>
    <row r="608" spans="1:11" s="203" customFormat="1" ht="36.75" customHeight="1" x14ac:dyDescent="0.25">
      <c r="A608" s="219" t="s">
        <v>948</v>
      </c>
      <c r="B608" s="495" t="s">
        <v>264</v>
      </c>
      <c r="C608" s="495" t="s">
        <v>213</v>
      </c>
      <c r="D608" s="495" t="s">
        <v>1240</v>
      </c>
      <c r="E608" s="495"/>
      <c r="F608" s="488">
        <f>F609+F612</f>
        <v>2967</v>
      </c>
      <c r="G608" s="578"/>
      <c r="H608" s="578"/>
      <c r="I608" s="578"/>
      <c r="J608" s="578"/>
      <c r="K608" s="578"/>
    </row>
    <row r="609" spans="1:11" s="203" customFormat="1" ht="34.5" hidden="1" customHeight="1" x14ac:dyDescent="0.25">
      <c r="A609" s="579" t="s">
        <v>284</v>
      </c>
      <c r="B609" s="580" t="s">
        <v>264</v>
      </c>
      <c r="C609" s="580" t="s">
        <v>213</v>
      </c>
      <c r="D609" s="580" t="s">
        <v>1258</v>
      </c>
      <c r="E609" s="580"/>
      <c r="F609" s="489">
        <f>F610</f>
        <v>0</v>
      </c>
      <c r="G609" s="578"/>
      <c r="H609" s="578"/>
      <c r="I609" s="578"/>
      <c r="J609" s="578"/>
      <c r="K609" s="578"/>
    </row>
    <row r="610" spans="1:11" s="203" customFormat="1" ht="41.25" hidden="1" customHeight="1" x14ac:dyDescent="0.25">
      <c r="A610" s="579" t="s">
        <v>272</v>
      </c>
      <c r="B610" s="580" t="s">
        <v>264</v>
      </c>
      <c r="C610" s="580" t="s">
        <v>213</v>
      </c>
      <c r="D610" s="580" t="s">
        <v>1258</v>
      </c>
      <c r="E610" s="580" t="s">
        <v>273</v>
      </c>
      <c r="F610" s="489">
        <f>F611</f>
        <v>0</v>
      </c>
      <c r="G610" s="578"/>
      <c r="H610" s="578"/>
      <c r="I610" s="578"/>
      <c r="J610" s="578"/>
      <c r="K610" s="578"/>
    </row>
    <row r="611" spans="1:11" s="203" customFormat="1" ht="15" hidden="1" customHeight="1" x14ac:dyDescent="0.25">
      <c r="A611" s="579" t="s">
        <v>274</v>
      </c>
      <c r="B611" s="580" t="s">
        <v>264</v>
      </c>
      <c r="C611" s="580" t="s">
        <v>213</v>
      </c>
      <c r="D611" s="580" t="s">
        <v>1258</v>
      </c>
      <c r="E611" s="580" t="s">
        <v>275</v>
      </c>
      <c r="F611" s="489">
        <f>'Пр.4 ведом.22'!G691</f>
        <v>0</v>
      </c>
      <c r="G611" s="578"/>
      <c r="H611" s="578"/>
      <c r="I611" s="578"/>
      <c r="J611" s="578"/>
      <c r="K611" s="578"/>
    </row>
    <row r="612" spans="1:11" s="203" customFormat="1" ht="36.75" customHeight="1" x14ac:dyDescent="0.25">
      <c r="A612" s="60" t="s">
        <v>764</v>
      </c>
      <c r="B612" s="580" t="s">
        <v>264</v>
      </c>
      <c r="C612" s="580" t="s">
        <v>213</v>
      </c>
      <c r="D612" s="580" t="s">
        <v>1241</v>
      </c>
      <c r="E612" s="580"/>
      <c r="F612" s="489">
        <f>F613</f>
        <v>2967</v>
      </c>
      <c r="G612" s="578"/>
      <c r="H612" s="578"/>
      <c r="I612" s="578"/>
      <c r="J612" s="578"/>
      <c r="K612" s="578"/>
    </row>
    <row r="613" spans="1:11" s="203" customFormat="1" ht="45.75" customHeight="1" x14ac:dyDescent="0.25">
      <c r="A613" s="29" t="s">
        <v>272</v>
      </c>
      <c r="B613" s="580" t="s">
        <v>264</v>
      </c>
      <c r="C613" s="580" t="s">
        <v>213</v>
      </c>
      <c r="D613" s="580" t="s">
        <v>1241</v>
      </c>
      <c r="E613" s="580" t="s">
        <v>273</v>
      </c>
      <c r="F613" s="489">
        <f>F614</f>
        <v>2967</v>
      </c>
      <c r="G613" s="578"/>
      <c r="H613" s="578"/>
      <c r="I613" s="578"/>
      <c r="J613" s="578"/>
      <c r="K613" s="578"/>
    </row>
    <row r="614" spans="1:11" s="203" customFormat="1" ht="15" customHeight="1" x14ac:dyDescent="0.25">
      <c r="A614" s="182" t="s">
        <v>274</v>
      </c>
      <c r="B614" s="580" t="s">
        <v>264</v>
      </c>
      <c r="C614" s="580" t="s">
        <v>213</v>
      </c>
      <c r="D614" s="580" t="s">
        <v>1241</v>
      </c>
      <c r="E614" s="580" t="s">
        <v>275</v>
      </c>
      <c r="F614" s="489">
        <f>'Пр.4 ведом.22'!G694</f>
        <v>2967</v>
      </c>
      <c r="G614" s="578"/>
      <c r="H614" s="578"/>
      <c r="I614" s="578"/>
      <c r="J614" s="578"/>
      <c r="K614" s="578"/>
    </row>
    <row r="615" spans="1:11" ht="35.450000000000003" customHeight="1" x14ac:dyDescent="0.25">
      <c r="A615" s="494" t="s">
        <v>1715</v>
      </c>
      <c r="B615" s="495" t="s">
        <v>264</v>
      </c>
      <c r="C615" s="495" t="s">
        <v>213</v>
      </c>
      <c r="D615" s="495" t="s">
        <v>1243</v>
      </c>
      <c r="E615" s="495"/>
      <c r="F615" s="488">
        <f>F616</f>
        <v>5400.8099999999995</v>
      </c>
    </row>
    <row r="616" spans="1:11" s="203" customFormat="1" ht="31.5" x14ac:dyDescent="0.25">
      <c r="A616" s="579" t="s">
        <v>1716</v>
      </c>
      <c r="B616" s="580" t="s">
        <v>264</v>
      </c>
      <c r="C616" s="580" t="s">
        <v>213</v>
      </c>
      <c r="D616" s="580" t="s">
        <v>1779</v>
      </c>
      <c r="E616" s="580"/>
      <c r="F616" s="489">
        <f>F617</f>
        <v>5400.8099999999995</v>
      </c>
      <c r="G616" s="578"/>
      <c r="H616" s="578"/>
      <c r="I616" s="578"/>
      <c r="J616" s="578"/>
      <c r="K616" s="578"/>
    </row>
    <row r="617" spans="1:11" s="203" customFormat="1" ht="38.25" customHeight="1" x14ac:dyDescent="0.25">
      <c r="A617" s="579" t="s">
        <v>272</v>
      </c>
      <c r="B617" s="580" t="s">
        <v>264</v>
      </c>
      <c r="C617" s="580" t="s">
        <v>213</v>
      </c>
      <c r="D617" s="580" t="s">
        <v>1779</v>
      </c>
      <c r="E617" s="580" t="s">
        <v>273</v>
      </c>
      <c r="F617" s="489">
        <f>F618</f>
        <v>5400.8099999999995</v>
      </c>
      <c r="G617" s="578"/>
      <c r="H617" s="578"/>
      <c r="I617" s="578"/>
      <c r="J617" s="578"/>
      <c r="K617" s="578"/>
    </row>
    <row r="618" spans="1:11" s="203" customFormat="1" ht="14.25" customHeight="1" x14ac:dyDescent="0.25">
      <c r="A618" s="579" t="s">
        <v>274</v>
      </c>
      <c r="B618" s="580" t="s">
        <v>264</v>
      </c>
      <c r="C618" s="580" t="s">
        <v>213</v>
      </c>
      <c r="D618" s="580" t="s">
        <v>1779</v>
      </c>
      <c r="E618" s="580" t="s">
        <v>275</v>
      </c>
      <c r="F618" s="489">
        <f>'Пр.4 ведом.22'!G698</f>
        <v>5400.8099999999995</v>
      </c>
      <c r="G618" s="578"/>
      <c r="H618" s="578"/>
      <c r="I618" s="578"/>
      <c r="J618" s="578"/>
      <c r="K618" s="578"/>
    </row>
    <row r="619" spans="1:11" ht="32.25" hidden="1" customHeight="1" x14ac:dyDescent="0.25">
      <c r="A619" s="494" t="s">
        <v>939</v>
      </c>
      <c r="B619" s="495" t="s">
        <v>264</v>
      </c>
      <c r="C619" s="495" t="s">
        <v>213</v>
      </c>
      <c r="D619" s="495" t="s">
        <v>1256</v>
      </c>
      <c r="E619" s="495"/>
      <c r="F619" s="488">
        <f>F620</f>
        <v>0</v>
      </c>
    </row>
    <row r="620" spans="1:11" ht="48.75" hidden="1" customHeight="1" x14ac:dyDescent="0.25">
      <c r="A620" s="579" t="s">
        <v>438</v>
      </c>
      <c r="B620" s="580" t="s">
        <v>264</v>
      </c>
      <c r="C620" s="580" t="s">
        <v>213</v>
      </c>
      <c r="D620" s="580" t="s">
        <v>1257</v>
      </c>
      <c r="E620" s="580"/>
      <c r="F620" s="489">
        <f>F621</f>
        <v>0</v>
      </c>
    </row>
    <row r="621" spans="1:11" ht="37.5" hidden="1" customHeight="1" x14ac:dyDescent="0.25">
      <c r="A621" s="579" t="s">
        <v>272</v>
      </c>
      <c r="B621" s="580" t="s">
        <v>264</v>
      </c>
      <c r="C621" s="580" t="s">
        <v>213</v>
      </c>
      <c r="D621" s="580" t="s">
        <v>1257</v>
      </c>
      <c r="E621" s="580" t="s">
        <v>273</v>
      </c>
      <c r="F621" s="489">
        <f>F622</f>
        <v>0</v>
      </c>
    </row>
    <row r="622" spans="1:11" ht="15" hidden="1" customHeight="1" x14ac:dyDescent="0.25">
      <c r="A622" s="579" t="s">
        <v>274</v>
      </c>
      <c r="B622" s="580" t="s">
        <v>264</v>
      </c>
      <c r="C622" s="580" t="s">
        <v>213</v>
      </c>
      <c r="D622" s="580" t="s">
        <v>1257</v>
      </c>
      <c r="E622" s="580" t="s">
        <v>275</v>
      </c>
      <c r="F622" s="489">
        <f>'Пр.4 ведом.22'!G702</f>
        <v>0</v>
      </c>
    </row>
    <row r="623" spans="1:11" ht="31.7" hidden="1" customHeight="1" x14ac:dyDescent="0.25">
      <c r="A623" s="217" t="s">
        <v>940</v>
      </c>
      <c r="B623" s="495" t="s">
        <v>264</v>
      </c>
      <c r="C623" s="495" t="s">
        <v>213</v>
      </c>
      <c r="D623" s="495" t="s">
        <v>1259</v>
      </c>
      <c r="E623" s="495"/>
      <c r="F623" s="488">
        <f>F624</f>
        <v>0</v>
      </c>
    </row>
    <row r="624" spans="1:11" ht="51" hidden="1" customHeight="1" x14ac:dyDescent="0.25">
      <c r="A624" s="182" t="s">
        <v>828</v>
      </c>
      <c r="B624" s="580" t="s">
        <v>264</v>
      </c>
      <c r="C624" s="580" t="s">
        <v>213</v>
      </c>
      <c r="D624" s="580" t="s">
        <v>1425</v>
      </c>
      <c r="E624" s="580"/>
      <c r="F624" s="489">
        <f t="shared" ref="F624" si="72">F625</f>
        <v>0</v>
      </c>
    </row>
    <row r="625" spans="1:11" ht="33" hidden="1" customHeight="1" x14ac:dyDescent="0.25">
      <c r="A625" s="31" t="s">
        <v>272</v>
      </c>
      <c r="B625" s="580" t="s">
        <v>264</v>
      </c>
      <c r="C625" s="580" t="s">
        <v>213</v>
      </c>
      <c r="D625" s="580" t="s">
        <v>1425</v>
      </c>
      <c r="E625" s="580" t="s">
        <v>273</v>
      </c>
      <c r="F625" s="489">
        <f>F626</f>
        <v>0</v>
      </c>
    </row>
    <row r="626" spans="1:11" ht="15.75" hidden="1" x14ac:dyDescent="0.25">
      <c r="A626" s="31" t="s">
        <v>274</v>
      </c>
      <c r="B626" s="580" t="s">
        <v>264</v>
      </c>
      <c r="C626" s="580" t="s">
        <v>213</v>
      </c>
      <c r="D626" s="580" t="s">
        <v>1425</v>
      </c>
      <c r="E626" s="580" t="s">
        <v>275</v>
      </c>
      <c r="F626" s="489">
        <f>'Пр.4 ведом.22'!G706</f>
        <v>0</v>
      </c>
    </row>
    <row r="627" spans="1:11" s="203" customFormat="1" ht="31.5" x14ac:dyDescent="0.25">
      <c r="A627" s="304" t="s">
        <v>1405</v>
      </c>
      <c r="B627" s="495" t="s">
        <v>264</v>
      </c>
      <c r="C627" s="495" t="s">
        <v>213</v>
      </c>
      <c r="D627" s="495" t="s">
        <v>1404</v>
      </c>
      <c r="E627" s="495"/>
      <c r="F627" s="493">
        <f>F628</f>
        <v>5713.5999999999995</v>
      </c>
      <c r="G627" s="578"/>
      <c r="H627" s="578"/>
      <c r="I627" s="578"/>
      <c r="J627" s="578"/>
      <c r="K627" s="578"/>
    </row>
    <row r="628" spans="1:11" ht="63" x14ac:dyDescent="0.25">
      <c r="A628" s="303" t="s">
        <v>1391</v>
      </c>
      <c r="B628" s="580" t="s">
        <v>264</v>
      </c>
      <c r="C628" s="580" t="s">
        <v>213</v>
      </c>
      <c r="D628" s="580" t="s">
        <v>1449</v>
      </c>
      <c r="E628" s="580"/>
      <c r="F628" s="497">
        <f>F629</f>
        <v>5713.5999999999995</v>
      </c>
    </row>
    <row r="629" spans="1:11" ht="31.5" x14ac:dyDescent="0.25">
      <c r="A629" s="31" t="s">
        <v>272</v>
      </c>
      <c r="B629" s="580" t="s">
        <v>264</v>
      </c>
      <c r="C629" s="580" t="s">
        <v>213</v>
      </c>
      <c r="D629" s="580" t="s">
        <v>1449</v>
      </c>
      <c r="E629" s="580" t="s">
        <v>273</v>
      </c>
      <c r="F629" s="497">
        <f>F630</f>
        <v>5713.5999999999995</v>
      </c>
    </row>
    <row r="630" spans="1:11" ht="15.75" x14ac:dyDescent="0.25">
      <c r="A630" s="31" t="s">
        <v>274</v>
      </c>
      <c r="B630" s="580" t="s">
        <v>264</v>
      </c>
      <c r="C630" s="580" t="s">
        <v>213</v>
      </c>
      <c r="D630" s="580" t="s">
        <v>1449</v>
      </c>
      <c r="E630" s="580" t="s">
        <v>275</v>
      </c>
      <c r="F630" s="497">
        <f>'Пр.4 ведом.22'!G710</f>
        <v>5713.5999999999995</v>
      </c>
    </row>
    <row r="631" spans="1:11" s="203" customFormat="1" ht="31.5" hidden="1" x14ac:dyDescent="0.25">
      <c r="A631" s="304" t="s">
        <v>1428</v>
      </c>
      <c r="B631" s="495" t="s">
        <v>264</v>
      </c>
      <c r="C631" s="495" t="s">
        <v>213</v>
      </c>
      <c r="D631" s="495" t="s">
        <v>1414</v>
      </c>
      <c r="E631" s="495"/>
      <c r="F631" s="493">
        <f>F632</f>
        <v>0</v>
      </c>
      <c r="G631" s="578"/>
      <c r="H631" s="578"/>
      <c r="I631" s="578"/>
      <c r="J631" s="578"/>
      <c r="K631" s="578"/>
    </row>
    <row r="632" spans="1:11" s="203" customFormat="1" ht="31.5" hidden="1" x14ac:dyDescent="0.25">
      <c r="A632" s="303" t="s">
        <v>1415</v>
      </c>
      <c r="B632" s="580" t="s">
        <v>264</v>
      </c>
      <c r="C632" s="580" t="s">
        <v>213</v>
      </c>
      <c r="D632" s="580" t="s">
        <v>1417</v>
      </c>
      <c r="E632" s="580"/>
      <c r="F632" s="497">
        <f>F633</f>
        <v>0</v>
      </c>
      <c r="G632" s="578"/>
      <c r="H632" s="578"/>
      <c r="I632" s="578"/>
      <c r="J632" s="578"/>
      <c r="K632" s="578"/>
    </row>
    <row r="633" spans="1:11" s="203" customFormat="1" ht="31.5" hidden="1" x14ac:dyDescent="0.25">
      <c r="A633" s="31" t="s">
        <v>272</v>
      </c>
      <c r="B633" s="580" t="s">
        <v>264</v>
      </c>
      <c r="C633" s="580" t="s">
        <v>213</v>
      </c>
      <c r="D633" s="580" t="s">
        <v>1417</v>
      </c>
      <c r="E633" s="580" t="s">
        <v>273</v>
      </c>
      <c r="F633" s="497">
        <f>F634</f>
        <v>0</v>
      </c>
      <c r="G633" s="578"/>
      <c r="H633" s="578"/>
      <c r="I633" s="578"/>
      <c r="J633" s="578"/>
      <c r="K633" s="578"/>
    </row>
    <row r="634" spans="1:11" s="203" customFormat="1" ht="15.75" hidden="1" x14ac:dyDescent="0.25">
      <c r="A634" s="31" t="s">
        <v>274</v>
      </c>
      <c r="B634" s="580" t="s">
        <v>264</v>
      </c>
      <c r="C634" s="580" t="s">
        <v>213</v>
      </c>
      <c r="D634" s="580" t="s">
        <v>1417</v>
      </c>
      <c r="E634" s="580" t="s">
        <v>275</v>
      </c>
      <c r="F634" s="497">
        <f>'Пр.4 ведом.22'!G714</f>
        <v>0</v>
      </c>
      <c r="G634" s="578"/>
      <c r="H634" s="578"/>
      <c r="I634" s="578"/>
      <c r="J634" s="578"/>
      <c r="K634" s="578"/>
    </row>
    <row r="635" spans="1:11" s="462" customFormat="1" ht="47.25" hidden="1" x14ac:dyDescent="0.25">
      <c r="A635" s="304" t="s">
        <v>1619</v>
      </c>
      <c r="B635" s="495" t="s">
        <v>264</v>
      </c>
      <c r="C635" s="495" t="s">
        <v>213</v>
      </c>
      <c r="D635" s="495" t="s">
        <v>1621</v>
      </c>
      <c r="E635" s="495"/>
      <c r="F635" s="493">
        <f>F636</f>
        <v>0</v>
      </c>
      <c r="G635" s="578"/>
      <c r="H635" s="578"/>
      <c r="I635" s="578"/>
      <c r="J635" s="578"/>
      <c r="K635" s="578"/>
    </row>
    <row r="636" spans="1:11" s="462" customFormat="1" ht="47.25" hidden="1" x14ac:dyDescent="0.25">
      <c r="A636" s="303" t="s">
        <v>450</v>
      </c>
      <c r="B636" s="580" t="s">
        <v>264</v>
      </c>
      <c r="C636" s="580" t="s">
        <v>213</v>
      </c>
      <c r="D636" s="580" t="s">
        <v>1621</v>
      </c>
      <c r="E636" s="580"/>
      <c r="F636" s="497">
        <f>F637</f>
        <v>0</v>
      </c>
      <c r="G636" s="578"/>
      <c r="H636" s="578"/>
      <c r="I636" s="578"/>
      <c r="J636" s="578"/>
      <c r="K636" s="578"/>
    </row>
    <row r="637" spans="1:11" s="462" customFormat="1" ht="31.5" hidden="1" x14ac:dyDescent="0.25">
      <c r="A637" s="31" t="s">
        <v>272</v>
      </c>
      <c r="B637" s="580" t="s">
        <v>264</v>
      </c>
      <c r="C637" s="580" t="s">
        <v>213</v>
      </c>
      <c r="D637" s="580" t="s">
        <v>1621</v>
      </c>
      <c r="E637" s="580" t="s">
        <v>273</v>
      </c>
      <c r="F637" s="497">
        <f>F638</f>
        <v>0</v>
      </c>
      <c r="G637" s="578"/>
      <c r="H637" s="578"/>
      <c r="I637" s="578"/>
      <c r="J637" s="578"/>
      <c r="K637" s="578"/>
    </row>
    <row r="638" spans="1:11" s="462" customFormat="1" ht="15.75" hidden="1" x14ac:dyDescent="0.25">
      <c r="A638" s="31" t="s">
        <v>274</v>
      </c>
      <c r="B638" s="580" t="s">
        <v>264</v>
      </c>
      <c r="C638" s="580" t="s">
        <v>213</v>
      </c>
      <c r="D638" s="580" t="s">
        <v>1621</v>
      </c>
      <c r="E638" s="580" t="s">
        <v>275</v>
      </c>
      <c r="F638" s="497">
        <f>'Пр.4 ведом.22'!G718</f>
        <v>0</v>
      </c>
      <c r="G638" s="578"/>
      <c r="H638" s="578"/>
      <c r="I638" s="578"/>
      <c r="J638" s="578"/>
      <c r="K638" s="578"/>
    </row>
    <row r="639" spans="1:11" s="462" customFormat="1" ht="31.5" hidden="1" x14ac:dyDescent="0.25">
      <c r="A639" s="304" t="s">
        <v>1631</v>
      </c>
      <c r="B639" s="495" t="s">
        <v>264</v>
      </c>
      <c r="C639" s="495" t="s">
        <v>213</v>
      </c>
      <c r="D639" s="495" t="s">
        <v>1633</v>
      </c>
      <c r="E639" s="495"/>
      <c r="F639" s="493">
        <f>F640</f>
        <v>0</v>
      </c>
      <c r="G639" s="578"/>
      <c r="H639" s="578"/>
      <c r="I639" s="578"/>
      <c r="J639" s="578"/>
      <c r="K639" s="578"/>
    </row>
    <row r="640" spans="1:11" s="462" customFormat="1" ht="31.5" hidden="1" x14ac:dyDescent="0.25">
      <c r="A640" s="303" t="s">
        <v>1632</v>
      </c>
      <c r="B640" s="580" t="s">
        <v>264</v>
      </c>
      <c r="C640" s="580" t="s">
        <v>213</v>
      </c>
      <c r="D640" s="580" t="s">
        <v>1634</v>
      </c>
      <c r="E640" s="580"/>
      <c r="F640" s="497">
        <f>F641</f>
        <v>0</v>
      </c>
      <c r="G640" s="578"/>
      <c r="H640" s="578"/>
      <c r="I640" s="578"/>
      <c r="J640" s="578"/>
      <c r="K640" s="578"/>
    </row>
    <row r="641" spans="1:11" s="462" customFormat="1" ht="31.5" hidden="1" x14ac:dyDescent="0.25">
      <c r="A641" s="31" t="s">
        <v>272</v>
      </c>
      <c r="B641" s="580" t="s">
        <v>264</v>
      </c>
      <c r="C641" s="580" t="s">
        <v>213</v>
      </c>
      <c r="D641" s="580" t="s">
        <v>1634</v>
      </c>
      <c r="E641" s="580" t="s">
        <v>273</v>
      </c>
      <c r="F641" s="497">
        <f>F642</f>
        <v>0</v>
      </c>
      <c r="G641" s="578"/>
      <c r="H641" s="578"/>
      <c r="I641" s="578"/>
      <c r="J641" s="578"/>
      <c r="K641" s="578"/>
    </row>
    <row r="642" spans="1:11" s="462" customFormat="1" ht="15.75" hidden="1" x14ac:dyDescent="0.25">
      <c r="A642" s="31" t="s">
        <v>274</v>
      </c>
      <c r="B642" s="580" t="s">
        <v>264</v>
      </c>
      <c r="C642" s="580" t="s">
        <v>213</v>
      </c>
      <c r="D642" s="580" t="s">
        <v>1634</v>
      </c>
      <c r="E642" s="580" t="s">
        <v>275</v>
      </c>
      <c r="F642" s="497">
        <f>'Пр.4 ведом.22'!G722</f>
        <v>0</v>
      </c>
      <c r="G642" s="578"/>
      <c r="H642" s="578"/>
      <c r="I642" s="578"/>
      <c r="J642" s="578"/>
      <c r="K642" s="578"/>
    </row>
    <row r="643" spans="1:11" s="203" customFormat="1" ht="47.25" hidden="1" x14ac:dyDescent="0.25">
      <c r="A643" s="217" t="s">
        <v>1172</v>
      </c>
      <c r="B643" s="495" t="s">
        <v>264</v>
      </c>
      <c r="C643" s="495" t="s">
        <v>213</v>
      </c>
      <c r="D643" s="495" t="s">
        <v>1320</v>
      </c>
      <c r="E643" s="495"/>
      <c r="F643" s="493">
        <f>F644</f>
        <v>0</v>
      </c>
      <c r="G643" s="578"/>
      <c r="H643" s="578"/>
      <c r="I643" s="578"/>
      <c r="J643" s="578"/>
      <c r="K643" s="578"/>
    </row>
    <row r="644" spans="1:11" s="203" customFormat="1" ht="66.599999999999994" hidden="1" customHeight="1" x14ac:dyDescent="0.25">
      <c r="A644" s="182" t="s">
        <v>1522</v>
      </c>
      <c r="B644" s="580" t="s">
        <v>264</v>
      </c>
      <c r="C644" s="580" t="s">
        <v>213</v>
      </c>
      <c r="D644" s="580" t="s">
        <v>1321</v>
      </c>
      <c r="E644" s="580"/>
      <c r="F644" s="497">
        <f>F645</f>
        <v>0</v>
      </c>
      <c r="G644" s="578"/>
      <c r="H644" s="578"/>
      <c r="I644" s="578"/>
      <c r="J644" s="578"/>
      <c r="K644" s="578"/>
    </row>
    <row r="645" spans="1:11" s="203" customFormat="1" ht="31.5" hidden="1" x14ac:dyDescent="0.25">
      <c r="A645" s="31" t="s">
        <v>272</v>
      </c>
      <c r="B645" s="580" t="s">
        <v>264</v>
      </c>
      <c r="C645" s="580" t="s">
        <v>213</v>
      </c>
      <c r="D645" s="580" t="s">
        <v>1321</v>
      </c>
      <c r="E645" s="580" t="s">
        <v>273</v>
      </c>
      <c r="F645" s="497">
        <f>F646</f>
        <v>0</v>
      </c>
      <c r="G645" s="578"/>
      <c r="H645" s="578"/>
      <c r="I645" s="578"/>
      <c r="J645" s="578"/>
      <c r="K645" s="578"/>
    </row>
    <row r="646" spans="1:11" s="203" customFormat="1" ht="15.75" hidden="1" x14ac:dyDescent="0.25">
      <c r="A646" s="31" t="s">
        <v>274</v>
      </c>
      <c r="B646" s="580" t="s">
        <v>264</v>
      </c>
      <c r="C646" s="580" t="s">
        <v>213</v>
      </c>
      <c r="D646" s="580" t="s">
        <v>1321</v>
      </c>
      <c r="E646" s="580" t="s">
        <v>275</v>
      </c>
      <c r="F646" s="497">
        <f>'Пр.4 ведом.22'!G726</f>
        <v>0</v>
      </c>
      <c r="G646" s="578"/>
      <c r="H646" s="578"/>
      <c r="I646" s="578"/>
      <c r="J646" s="578"/>
      <c r="K646" s="578"/>
    </row>
    <row r="647" spans="1:11" s="203" customFormat="1" ht="31.5" hidden="1" x14ac:dyDescent="0.25">
      <c r="A647" s="34" t="s">
        <v>1463</v>
      </c>
      <c r="B647" s="495" t="s">
        <v>264</v>
      </c>
      <c r="C647" s="495" t="s">
        <v>213</v>
      </c>
      <c r="D647" s="495" t="s">
        <v>1464</v>
      </c>
      <c r="E647" s="580"/>
      <c r="F647" s="493">
        <f>F648</f>
        <v>0</v>
      </c>
      <c r="G647" s="578"/>
      <c r="H647" s="578"/>
      <c r="I647" s="578"/>
      <c r="J647" s="578"/>
      <c r="K647" s="578"/>
    </row>
    <row r="648" spans="1:11" s="203" customFormat="1" ht="51" hidden="1" customHeight="1" x14ac:dyDescent="0.25">
      <c r="A648" s="31" t="s">
        <v>1523</v>
      </c>
      <c r="B648" s="580" t="s">
        <v>264</v>
      </c>
      <c r="C648" s="580" t="s">
        <v>213</v>
      </c>
      <c r="D648" s="580" t="s">
        <v>1465</v>
      </c>
      <c r="E648" s="580"/>
      <c r="F648" s="497">
        <f>F649</f>
        <v>0</v>
      </c>
      <c r="G648" s="578"/>
      <c r="H648" s="578"/>
      <c r="I648" s="578"/>
      <c r="J648" s="578"/>
      <c r="K648" s="578"/>
    </row>
    <row r="649" spans="1:11" s="203" customFormat="1" ht="31.5" hidden="1" x14ac:dyDescent="0.25">
      <c r="A649" s="31" t="s">
        <v>272</v>
      </c>
      <c r="B649" s="580" t="s">
        <v>264</v>
      </c>
      <c r="C649" s="580" t="s">
        <v>213</v>
      </c>
      <c r="D649" s="580" t="s">
        <v>1465</v>
      </c>
      <c r="E649" s="580" t="s">
        <v>273</v>
      </c>
      <c r="F649" s="497">
        <f>F650</f>
        <v>0</v>
      </c>
      <c r="G649" s="578"/>
      <c r="H649" s="578"/>
      <c r="I649" s="578"/>
      <c r="J649" s="578"/>
      <c r="K649" s="578"/>
    </row>
    <row r="650" spans="1:11" s="203" customFormat="1" ht="15.75" hidden="1" x14ac:dyDescent="0.25">
      <c r="A650" s="31" t="s">
        <v>274</v>
      </c>
      <c r="B650" s="580" t="s">
        <v>264</v>
      </c>
      <c r="C650" s="580" t="s">
        <v>213</v>
      </c>
      <c r="D650" s="580" t="s">
        <v>1465</v>
      </c>
      <c r="E650" s="580" t="s">
        <v>275</v>
      </c>
      <c r="F650" s="497">
        <f>'Пр.4 ведом.22'!G730</f>
        <v>0</v>
      </c>
      <c r="G650" s="578"/>
      <c r="H650" s="578"/>
      <c r="I650" s="578"/>
      <c r="J650" s="578"/>
      <c r="K650" s="578"/>
    </row>
    <row r="651" spans="1:11" s="203" customFormat="1" ht="47.25" x14ac:dyDescent="0.25">
      <c r="A651" s="34" t="s">
        <v>1357</v>
      </c>
      <c r="B651" s="495" t="s">
        <v>264</v>
      </c>
      <c r="C651" s="495" t="s">
        <v>213</v>
      </c>
      <c r="D651" s="495" t="s">
        <v>324</v>
      </c>
      <c r="E651" s="495"/>
      <c r="F651" s="488">
        <f t="shared" ref="F651" si="73">F652</f>
        <v>60</v>
      </c>
      <c r="G651" s="578"/>
      <c r="H651" s="578"/>
      <c r="I651" s="578"/>
      <c r="J651" s="578"/>
      <c r="K651" s="578"/>
    </row>
    <row r="652" spans="1:11" s="203" customFormat="1" ht="63" x14ac:dyDescent="0.25">
      <c r="A652" s="34" t="s">
        <v>1024</v>
      </c>
      <c r="B652" s="495" t="s">
        <v>264</v>
      </c>
      <c r="C652" s="495" t="s">
        <v>213</v>
      </c>
      <c r="D652" s="495" t="s">
        <v>934</v>
      </c>
      <c r="E652" s="495"/>
      <c r="F652" s="488">
        <f>F653</f>
        <v>60</v>
      </c>
      <c r="G652" s="578"/>
      <c r="H652" s="578"/>
      <c r="I652" s="578"/>
      <c r="J652" s="578"/>
      <c r="K652" s="578"/>
    </row>
    <row r="653" spans="1:11" s="203" customFormat="1" ht="47.25" x14ac:dyDescent="0.25">
      <c r="A653" s="31" t="s">
        <v>1008</v>
      </c>
      <c r="B653" s="580" t="s">
        <v>264</v>
      </c>
      <c r="C653" s="580" t="s">
        <v>213</v>
      </c>
      <c r="D653" s="580" t="s">
        <v>935</v>
      </c>
      <c r="E653" s="580"/>
      <c r="F653" s="489">
        <f t="shared" ref="F653:F654" si="74">F654</f>
        <v>60</v>
      </c>
      <c r="G653" s="578"/>
      <c r="H653" s="578"/>
      <c r="I653" s="578"/>
      <c r="J653" s="578"/>
      <c r="K653" s="578"/>
    </row>
    <row r="654" spans="1:11" s="203" customFormat="1" ht="31.5" x14ac:dyDescent="0.25">
      <c r="A654" s="31" t="s">
        <v>272</v>
      </c>
      <c r="B654" s="580" t="s">
        <v>264</v>
      </c>
      <c r="C654" s="580" t="s">
        <v>213</v>
      </c>
      <c r="D654" s="580" t="s">
        <v>935</v>
      </c>
      <c r="E654" s="580" t="s">
        <v>273</v>
      </c>
      <c r="F654" s="489">
        <f t="shared" si="74"/>
        <v>60</v>
      </c>
      <c r="G654" s="578"/>
      <c r="H654" s="578"/>
      <c r="I654" s="578"/>
      <c r="J654" s="578"/>
      <c r="K654" s="578"/>
    </row>
    <row r="655" spans="1:11" s="203" customFormat="1" ht="15.75" x14ac:dyDescent="0.25">
      <c r="A655" s="31" t="s">
        <v>274</v>
      </c>
      <c r="B655" s="580" t="s">
        <v>264</v>
      </c>
      <c r="C655" s="580" t="s">
        <v>213</v>
      </c>
      <c r="D655" s="580" t="s">
        <v>935</v>
      </c>
      <c r="E655" s="580" t="s">
        <v>275</v>
      </c>
      <c r="F655" s="489">
        <f>'Пр.4 ведом.22'!G739</f>
        <v>60</v>
      </c>
      <c r="G655" s="578"/>
      <c r="H655" s="578"/>
      <c r="I655" s="578"/>
      <c r="J655" s="578"/>
      <c r="K655" s="578"/>
    </row>
    <row r="656" spans="1:11" s="576" customFormat="1" ht="31.5" x14ac:dyDescent="0.25">
      <c r="A656" s="34" t="s">
        <v>1472</v>
      </c>
      <c r="B656" s="495" t="s">
        <v>264</v>
      </c>
      <c r="C656" s="495" t="s">
        <v>213</v>
      </c>
      <c r="D656" s="495" t="s">
        <v>1470</v>
      </c>
      <c r="E656" s="495"/>
      <c r="F656" s="488">
        <f>F657</f>
        <v>1845.8</v>
      </c>
      <c r="G656" s="578"/>
      <c r="H656" s="578"/>
      <c r="I656" s="578"/>
      <c r="J656" s="578"/>
      <c r="K656" s="578"/>
    </row>
    <row r="657" spans="1:12" s="576" customFormat="1" ht="63" x14ac:dyDescent="0.25">
      <c r="A657" s="31" t="s">
        <v>1729</v>
      </c>
      <c r="B657" s="580" t="s">
        <v>264</v>
      </c>
      <c r="C657" s="580" t="s">
        <v>213</v>
      </c>
      <c r="D657" s="580" t="s">
        <v>1471</v>
      </c>
      <c r="E657" s="580"/>
      <c r="F657" s="489">
        <f>F658</f>
        <v>1845.8</v>
      </c>
      <c r="G657" s="578"/>
      <c r="H657" s="578"/>
      <c r="I657" s="578"/>
      <c r="J657" s="578"/>
      <c r="K657" s="578"/>
    </row>
    <row r="658" spans="1:12" s="576" customFormat="1" ht="31.5" x14ac:dyDescent="0.25">
      <c r="A658" s="31" t="s">
        <v>272</v>
      </c>
      <c r="B658" s="580" t="s">
        <v>264</v>
      </c>
      <c r="C658" s="580" t="s">
        <v>213</v>
      </c>
      <c r="D658" s="580" t="s">
        <v>1471</v>
      </c>
      <c r="E658" s="580" t="s">
        <v>273</v>
      </c>
      <c r="F658" s="489">
        <f>F659</f>
        <v>1845.8</v>
      </c>
      <c r="G658" s="578"/>
      <c r="H658" s="578"/>
      <c r="I658" s="578"/>
      <c r="J658" s="578"/>
      <c r="K658" s="578"/>
    </row>
    <row r="659" spans="1:12" s="576" customFormat="1" ht="15.75" x14ac:dyDescent="0.25">
      <c r="A659" s="31" t="s">
        <v>274</v>
      </c>
      <c r="B659" s="580" t="s">
        <v>264</v>
      </c>
      <c r="C659" s="580" t="s">
        <v>213</v>
      </c>
      <c r="D659" s="580" t="s">
        <v>1471</v>
      </c>
      <c r="E659" s="580" t="s">
        <v>275</v>
      </c>
      <c r="F659" s="489">
        <f>'Пр.4 ведом.22'!G734</f>
        <v>1845.8</v>
      </c>
      <c r="G659" s="578"/>
      <c r="H659" s="578"/>
      <c r="I659" s="578"/>
      <c r="J659" s="578"/>
      <c r="K659" s="578"/>
    </row>
    <row r="660" spans="1:12" s="576" customFormat="1" ht="47.25" x14ac:dyDescent="0.25">
      <c r="A660" s="34" t="s">
        <v>1357</v>
      </c>
      <c r="B660" s="495" t="s">
        <v>264</v>
      </c>
      <c r="C660" s="495" t="s">
        <v>213</v>
      </c>
      <c r="D660" s="495" t="s">
        <v>324</v>
      </c>
      <c r="E660" s="495"/>
      <c r="F660" s="488">
        <f>F661</f>
        <v>60</v>
      </c>
      <c r="G660" s="578"/>
      <c r="H660" s="578"/>
      <c r="I660" s="578"/>
      <c r="J660" s="578"/>
      <c r="K660" s="578"/>
    </row>
    <row r="661" spans="1:12" s="576" customFormat="1" ht="63" x14ac:dyDescent="0.25">
      <c r="A661" s="34" t="s">
        <v>1024</v>
      </c>
      <c r="B661" s="495" t="s">
        <v>264</v>
      </c>
      <c r="C661" s="495" t="s">
        <v>213</v>
      </c>
      <c r="D661" s="495" t="s">
        <v>934</v>
      </c>
      <c r="E661" s="495"/>
      <c r="F661" s="488">
        <f>F662</f>
        <v>60</v>
      </c>
      <c r="G661" s="578"/>
      <c r="H661" s="578"/>
      <c r="I661" s="578"/>
      <c r="J661" s="578"/>
      <c r="K661" s="578"/>
    </row>
    <row r="662" spans="1:12" s="576" customFormat="1" ht="47.25" x14ac:dyDescent="0.25">
      <c r="A662" s="31" t="s">
        <v>1081</v>
      </c>
      <c r="B662" s="580" t="s">
        <v>264</v>
      </c>
      <c r="C662" s="580" t="s">
        <v>213</v>
      </c>
      <c r="D662" s="580" t="s">
        <v>935</v>
      </c>
      <c r="E662" s="580"/>
      <c r="F662" s="489">
        <f>F663</f>
        <v>60</v>
      </c>
      <c r="G662" s="578"/>
      <c r="H662" s="578"/>
      <c r="I662" s="578"/>
      <c r="J662" s="578"/>
      <c r="K662" s="578"/>
    </row>
    <row r="663" spans="1:12" s="576" customFormat="1" ht="31.5" x14ac:dyDescent="0.25">
      <c r="A663" s="31" t="s">
        <v>272</v>
      </c>
      <c r="B663" s="580" t="s">
        <v>264</v>
      </c>
      <c r="C663" s="580" t="s">
        <v>213</v>
      </c>
      <c r="D663" s="580" t="s">
        <v>935</v>
      </c>
      <c r="E663" s="580" t="s">
        <v>273</v>
      </c>
      <c r="F663" s="489">
        <f>F664</f>
        <v>60</v>
      </c>
      <c r="G663" s="578"/>
      <c r="H663" s="578"/>
      <c r="I663" s="578"/>
      <c r="J663" s="578"/>
      <c r="K663" s="578"/>
    </row>
    <row r="664" spans="1:12" s="576" customFormat="1" ht="15.75" x14ac:dyDescent="0.25">
      <c r="A664" s="31" t="s">
        <v>274</v>
      </c>
      <c r="B664" s="580" t="s">
        <v>264</v>
      </c>
      <c r="C664" s="580" t="s">
        <v>213</v>
      </c>
      <c r="D664" s="580" t="s">
        <v>935</v>
      </c>
      <c r="E664" s="580" t="s">
        <v>275</v>
      </c>
      <c r="F664" s="489">
        <f>'Пр.4 ведом.22'!G739</f>
        <v>60</v>
      </c>
      <c r="G664" s="578"/>
      <c r="H664" s="578"/>
      <c r="I664" s="578"/>
      <c r="J664" s="578"/>
      <c r="K664" s="578"/>
    </row>
    <row r="665" spans="1:12" ht="47.25" x14ac:dyDescent="0.25">
      <c r="A665" s="572" t="s">
        <v>1352</v>
      </c>
      <c r="B665" s="495" t="s">
        <v>264</v>
      </c>
      <c r="C665" s="495" t="s">
        <v>213</v>
      </c>
      <c r="D665" s="495" t="s">
        <v>705</v>
      </c>
      <c r="E665" s="504"/>
      <c r="F665" s="488">
        <f t="shared" ref="F665:F666" si="75">F666</f>
        <v>870.84</v>
      </c>
    </row>
    <row r="666" spans="1:12" ht="47.25" x14ac:dyDescent="0.25">
      <c r="A666" s="572" t="s">
        <v>890</v>
      </c>
      <c r="B666" s="495" t="s">
        <v>264</v>
      </c>
      <c r="C666" s="495" t="s">
        <v>213</v>
      </c>
      <c r="D666" s="495" t="s">
        <v>888</v>
      </c>
      <c r="E666" s="504"/>
      <c r="F666" s="488">
        <f t="shared" si="75"/>
        <v>870.84</v>
      </c>
    </row>
    <row r="667" spans="1:12" ht="47.25" x14ac:dyDescent="0.25">
      <c r="A667" s="98" t="s">
        <v>780</v>
      </c>
      <c r="B667" s="580" t="s">
        <v>264</v>
      </c>
      <c r="C667" s="580" t="s">
        <v>213</v>
      </c>
      <c r="D667" s="580" t="s">
        <v>936</v>
      </c>
      <c r="E667" s="498"/>
      <c r="F667" s="489">
        <f>F668</f>
        <v>870.84</v>
      </c>
    </row>
    <row r="668" spans="1:12" ht="36.75" customHeight="1" x14ac:dyDescent="0.25">
      <c r="A668" s="29" t="s">
        <v>272</v>
      </c>
      <c r="B668" s="580" t="s">
        <v>264</v>
      </c>
      <c r="C668" s="580" t="s">
        <v>213</v>
      </c>
      <c r="D668" s="580" t="s">
        <v>936</v>
      </c>
      <c r="E668" s="498" t="s">
        <v>273</v>
      </c>
      <c r="F668" s="489">
        <f t="shared" ref="F668" si="76">F669</f>
        <v>870.84</v>
      </c>
    </row>
    <row r="669" spans="1:12" ht="15.75" x14ac:dyDescent="0.25">
      <c r="A669" s="182" t="s">
        <v>274</v>
      </c>
      <c r="B669" s="580" t="s">
        <v>264</v>
      </c>
      <c r="C669" s="580" t="s">
        <v>213</v>
      </c>
      <c r="D669" s="580" t="s">
        <v>936</v>
      </c>
      <c r="E669" s="498" t="s">
        <v>275</v>
      </c>
      <c r="F669" s="489">
        <f>'Пр.4 ведом.22'!G744</f>
        <v>870.84</v>
      </c>
    </row>
    <row r="670" spans="1:12" ht="15.75" x14ac:dyDescent="0.25">
      <c r="A670" s="572" t="s">
        <v>265</v>
      </c>
      <c r="B670" s="7" t="s">
        <v>264</v>
      </c>
      <c r="C670" s="7" t="s">
        <v>215</v>
      </c>
      <c r="D670" s="495"/>
      <c r="E670" s="7"/>
      <c r="F670" s="488">
        <f>F671+F698+F735+F730</f>
        <v>62518.880000000005</v>
      </c>
    </row>
    <row r="671" spans="1:12" ht="39.75" customHeight="1" x14ac:dyDescent="0.25">
      <c r="A671" s="494" t="s">
        <v>1358</v>
      </c>
      <c r="B671" s="495" t="s">
        <v>264</v>
      </c>
      <c r="C671" s="495" t="s">
        <v>215</v>
      </c>
      <c r="D671" s="495" t="s">
        <v>406</v>
      </c>
      <c r="E671" s="495"/>
      <c r="F671" s="488">
        <f>F672+F679+F690+F694</f>
        <v>41465.980000000003</v>
      </c>
      <c r="G671" s="115"/>
      <c r="L671" s="22"/>
    </row>
    <row r="672" spans="1:12" ht="31.5" x14ac:dyDescent="0.25">
      <c r="A672" s="494" t="s">
        <v>937</v>
      </c>
      <c r="B672" s="495" t="s">
        <v>264</v>
      </c>
      <c r="C672" s="495" t="s">
        <v>215</v>
      </c>
      <c r="D672" s="495" t="s">
        <v>1230</v>
      </c>
      <c r="E672" s="495"/>
      <c r="F672" s="488">
        <f>F673+F676</f>
        <v>37018.080000000002</v>
      </c>
    </row>
    <row r="673" spans="1:11" ht="47.25" x14ac:dyDescent="0.25">
      <c r="A673" s="579" t="s">
        <v>270</v>
      </c>
      <c r="B673" s="580" t="s">
        <v>264</v>
      </c>
      <c r="C673" s="580" t="s">
        <v>215</v>
      </c>
      <c r="D673" s="580" t="s">
        <v>1260</v>
      </c>
      <c r="E673" s="580"/>
      <c r="F673" s="489">
        <f t="shared" ref="F673" si="77">F674</f>
        <v>37018.080000000002</v>
      </c>
    </row>
    <row r="674" spans="1:11" ht="40.700000000000003" customHeight="1" x14ac:dyDescent="0.25">
      <c r="A674" s="579" t="s">
        <v>272</v>
      </c>
      <c r="B674" s="580" t="s">
        <v>264</v>
      </c>
      <c r="C674" s="580" t="s">
        <v>215</v>
      </c>
      <c r="D674" s="580" t="s">
        <v>1260</v>
      </c>
      <c r="E674" s="580" t="s">
        <v>273</v>
      </c>
      <c r="F674" s="489">
        <f>'Пр.4 ведом.22'!G750</f>
        <v>37018.080000000002</v>
      </c>
    </row>
    <row r="675" spans="1:11" ht="15.75" x14ac:dyDescent="0.25">
      <c r="A675" s="579" t="s">
        <v>274</v>
      </c>
      <c r="B675" s="580" t="s">
        <v>264</v>
      </c>
      <c r="C675" s="580" t="s">
        <v>215</v>
      </c>
      <c r="D675" s="580" t="s">
        <v>1260</v>
      </c>
      <c r="E675" s="580" t="s">
        <v>275</v>
      </c>
      <c r="F675" s="489">
        <f>'Пр.4 ведом.22'!G750</f>
        <v>37018.080000000002</v>
      </c>
    </row>
    <row r="676" spans="1:11" s="203" customFormat="1" ht="31.5" hidden="1" x14ac:dyDescent="0.25">
      <c r="A676" s="31" t="s">
        <v>1505</v>
      </c>
      <c r="B676" s="580" t="s">
        <v>264</v>
      </c>
      <c r="C676" s="580" t="s">
        <v>215</v>
      </c>
      <c r="D676" s="580" t="s">
        <v>1504</v>
      </c>
      <c r="E676" s="580"/>
      <c r="F676" s="489">
        <f>F677</f>
        <v>0</v>
      </c>
      <c r="G676" s="578"/>
      <c r="H676" s="578"/>
      <c r="I676" s="578"/>
      <c r="J676" s="578"/>
      <c r="K676" s="578"/>
    </row>
    <row r="677" spans="1:11" s="203" customFormat="1" ht="31.5" hidden="1" x14ac:dyDescent="0.25">
      <c r="A677" s="579" t="s">
        <v>272</v>
      </c>
      <c r="B677" s="580" t="s">
        <v>264</v>
      </c>
      <c r="C677" s="580" t="s">
        <v>215</v>
      </c>
      <c r="D677" s="580" t="s">
        <v>1504</v>
      </c>
      <c r="E677" s="580" t="s">
        <v>273</v>
      </c>
      <c r="F677" s="489">
        <f>F678</f>
        <v>0</v>
      </c>
      <c r="G677" s="578"/>
      <c r="H677" s="578"/>
      <c r="I677" s="578"/>
      <c r="J677" s="578"/>
      <c r="K677" s="578"/>
    </row>
    <row r="678" spans="1:11" s="203" customFormat="1" ht="15.75" hidden="1" x14ac:dyDescent="0.25">
      <c r="A678" s="31" t="s">
        <v>274</v>
      </c>
      <c r="B678" s="580" t="s">
        <v>264</v>
      </c>
      <c r="C678" s="580" t="s">
        <v>215</v>
      </c>
      <c r="D678" s="580" t="s">
        <v>1504</v>
      </c>
      <c r="E678" s="580" t="s">
        <v>273</v>
      </c>
      <c r="F678" s="489">
        <f>'Пр.4 ведом.22'!G753</f>
        <v>0</v>
      </c>
      <c r="G678" s="578"/>
      <c r="H678" s="578"/>
      <c r="I678" s="578"/>
      <c r="J678" s="578"/>
      <c r="K678" s="578"/>
    </row>
    <row r="679" spans="1:11" ht="47.25" x14ac:dyDescent="0.25">
      <c r="A679" s="494" t="s">
        <v>900</v>
      </c>
      <c r="B679" s="495" t="s">
        <v>264</v>
      </c>
      <c r="C679" s="495" t="s">
        <v>215</v>
      </c>
      <c r="D679" s="495" t="s">
        <v>1232</v>
      </c>
      <c r="E679" s="495"/>
      <c r="F679" s="488">
        <f>F680+F683</f>
        <v>2243</v>
      </c>
    </row>
    <row r="680" spans="1:11" s="203" customFormat="1" ht="94.5" x14ac:dyDescent="0.25">
      <c r="A680" s="31" t="s">
        <v>293</v>
      </c>
      <c r="B680" s="580" t="s">
        <v>264</v>
      </c>
      <c r="C680" s="580" t="s">
        <v>215</v>
      </c>
      <c r="D680" s="580" t="s">
        <v>1390</v>
      </c>
      <c r="E680" s="580"/>
      <c r="F680" s="489">
        <f>F681</f>
        <v>1400</v>
      </c>
      <c r="G680" s="578"/>
      <c r="H680" s="578"/>
      <c r="I680" s="578"/>
      <c r="J680" s="578"/>
      <c r="K680" s="578"/>
    </row>
    <row r="681" spans="1:11" s="203" customFormat="1" ht="31.5" x14ac:dyDescent="0.25">
      <c r="A681" s="579" t="s">
        <v>272</v>
      </c>
      <c r="B681" s="580" t="s">
        <v>264</v>
      </c>
      <c r="C681" s="580" t="s">
        <v>215</v>
      </c>
      <c r="D681" s="580" t="s">
        <v>1390</v>
      </c>
      <c r="E681" s="580" t="s">
        <v>273</v>
      </c>
      <c r="F681" s="489">
        <f t="shared" ref="F681" si="78">F682</f>
        <v>1400</v>
      </c>
      <c r="G681" s="578"/>
      <c r="H681" s="578"/>
      <c r="I681" s="578"/>
      <c r="J681" s="578"/>
      <c r="K681" s="578"/>
    </row>
    <row r="682" spans="1:11" s="203" customFormat="1" ht="15.75" x14ac:dyDescent="0.25">
      <c r="A682" s="579" t="s">
        <v>274</v>
      </c>
      <c r="B682" s="580" t="s">
        <v>264</v>
      </c>
      <c r="C682" s="580" t="s">
        <v>215</v>
      </c>
      <c r="D682" s="580" t="s">
        <v>1390</v>
      </c>
      <c r="E682" s="580" t="s">
        <v>275</v>
      </c>
      <c r="F682" s="489">
        <f>'Пр.4 ведом.22'!G757</f>
        <v>1400</v>
      </c>
      <c r="G682" s="578"/>
      <c r="H682" s="578"/>
      <c r="I682" s="578"/>
      <c r="J682" s="578"/>
      <c r="K682" s="578"/>
    </row>
    <row r="683" spans="1:11" ht="47.25" x14ac:dyDescent="0.25">
      <c r="A683" s="579" t="s">
        <v>1766</v>
      </c>
      <c r="B683" s="580" t="s">
        <v>264</v>
      </c>
      <c r="C683" s="580" t="s">
        <v>215</v>
      </c>
      <c r="D683" s="580" t="s">
        <v>1767</v>
      </c>
      <c r="E683" s="580"/>
      <c r="F683" s="489">
        <f t="shared" ref="F683" si="79">F684</f>
        <v>843</v>
      </c>
    </row>
    <row r="684" spans="1:11" ht="31.5" x14ac:dyDescent="0.25">
      <c r="A684" s="579" t="s">
        <v>272</v>
      </c>
      <c r="B684" s="580" t="s">
        <v>264</v>
      </c>
      <c r="C684" s="580" t="s">
        <v>215</v>
      </c>
      <c r="D684" s="580" t="s">
        <v>1767</v>
      </c>
      <c r="E684" s="580" t="s">
        <v>273</v>
      </c>
      <c r="F684" s="489">
        <f>F685</f>
        <v>843</v>
      </c>
    </row>
    <row r="685" spans="1:11" ht="15.75" x14ac:dyDescent="0.25">
      <c r="A685" s="579" t="s">
        <v>274</v>
      </c>
      <c r="B685" s="580" t="s">
        <v>264</v>
      </c>
      <c r="C685" s="580" t="s">
        <v>215</v>
      </c>
      <c r="D685" s="580" t="s">
        <v>1767</v>
      </c>
      <c r="E685" s="580" t="s">
        <v>275</v>
      </c>
      <c r="F685" s="489">
        <f>'Пр.4 ведом.22'!G760</f>
        <v>843</v>
      </c>
    </row>
    <row r="686" spans="1:11" ht="31.7" hidden="1" customHeight="1" x14ac:dyDescent="0.25">
      <c r="A686" s="494" t="s">
        <v>1252</v>
      </c>
      <c r="B686" s="495" t="s">
        <v>264</v>
      </c>
      <c r="C686" s="495" t="s">
        <v>215</v>
      </c>
      <c r="D686" s="495" t="s">
        <v>1237</v>
      </c>
      <c r="E686" s="495"/>
      <c r="F686" s="488">
        <f>F687</f>
        <v>0</v>
      </c>
    </row>
    <row r="687" spans="1:11" ht="35.450000000000003" hidden="1" customHeight="1" x14ac:dyDescent="0.25">
      <c r="A687" s="45" t="s">
        <v>766</v>
      </c>
      <c r="B687" s="580" t="s">
        <v>264</v>
      </c>
      <c r="C687" s="580" t="s">
        <v>215</v>
      </c>
      <c r="D687" s="580" t="s">
        <v>1329</v>
      </c>
      <c r="E687" s="580"/>
      <c r="F687" s="489">
        <f>F688</f>
        <v>0</v>
      </c>
    </row>
    <row r="688" spans="1:11" ht="39.75" hidden="1" customHeight="1" x14ac:dyDescent="0.25">
      <c r="A688" s="31" t="s">
        <v>272</v>
      </c>
      <c r="B688" s="580" t="s">
        <v>264</v>
      </c>
      <c r="C688" s="580" t="s">
        <v>215</v>
      </c>
      <c r="D688" s="580" t="s">
        <v>1329</v>
      </c>
      <c r="E688" s="580" t="s">
        <v>273</v>
      </c>
      <c r="F688" s="489">
        <f>F689</f>
        <v>0</v>
      </c>
    </row>
    <row r="689" spans="1:11" ht="19.5" hidden="1" customHeight="1" x14ac:dyDescent="0.25">
      <c r="A689" s="31" t="s">
        <v>274</v>
      </c>
      <c r="B689" s="580" t="s">
        <v>264</v>
      </c>
      <c r="C689" s="580" t="s">
        <v>215</v>
      </c>
      <c r="D689" s="580" t="s">
        <v>1329</v>
      </c>
      <c r="E689" s="580" t="s">
        <v>275</v>
      </c>
      <c r="F689" s="489">
        <f>'Пр.4 ведом.22'!G764</f>
        <v>0</v>
      </c>
    </row>
    <row r="690" spans="1:11" ht="33" customHeight="1" x14ac:dyDescent="0.25">
      <c r="A690" s="219" t="s">
        <v>948</v>
      </c>
      <c r="B690" s="495" t="s">
        <v>264</v>
      </c>
      <c r="C690" s="495" t="s">
        <v>215</v>
      </c>
      <c r="D690" s="495" t="s">
        <v>1240</v>
      </c>
      <c r="E690" s="495"/>
      <c r="F690" s="488">
        <f>F691</f>
        <v>1204</v>
      </c>
    </row>
    <row r="691" spans="1:11" ht="38.1" customHeight="1" x14ac:dyDescent="0.25">
      <c r="A691" s="45" t="s">
        <v>764</v>
      </c>
      <c r="B691" s="580" t="s">
        <v>264</v>
      </c>
      <c r="C691" s="580" t="s">
        <v>215</v>
      </c>
      <c r="D691" s="580" t="s">
        <v>1241</v>
      </c>
      <c r="E691" s="580"/>
      <c r="F691" s="489">
        <f>F692</f>
        <v>1204</v>
      </c>
    </row>
    <row r="692" spans="1:11" ht="31.5" x14ac:dyDescent="0.25">
      <c r="A692" s="579" t="s">
        <v>272</v>
      </c>
      <c r="B692" s="580" t="s">
        <v>264</v>
      </c>
      <c r="C692" s="580" t="s">
        <v>215</v>
      </c>
      <c r="D692" s="580" t="s">
        <v>1241</v>
      </c>
      <c r="E692" s="580" t="s">
        <v>273</v>
      </c>
      <c r="F692" s="489">
        <f t="shared" ref="F692" si="80">F693</f>
        <v>1204</v>
      </c>
    </row>
    <row r="693" spans="1:11" ht="15.75" x14ac:dyDescent="0.25">
      <c r="A693" s="31" t="s">
        <v>274</v>
      </c>
      <c r="B693" s="580" t="s">
        <v>264</v>
      </c>
      <c r="C693" s="580" t="s">
        <v>215</v>
      </c>
      <c r="D693" s="580" t="s">
        <v>1241</v>
      </c>
      <c r="E693" s="580" t="s">
        <v>275</v>
      </c>
      <c r="F693" s="489">
        <f>'Пр.4 ведом.22'!G768</f>
        <v>1204</v>
      </c>
    </row>
    <row r="694" spans="1:11" s="576" customFormat="1" ht="47.25" x14ac:dyDescent="0.25">
      <c r="A694" s="34" t="s">
        <v>1700</v>
      </c>
      <c r="B694" s="495" t="s">
        <v>264</v>
      </c>
      <c r="C694" s="495" t="s">
        <v>215</v>
      </c>
      <c r="D694" s="495" t="s">
        <v>1701</v>
      </c>
      <c r="E694" s="495"/>
      <c r="F694" s="488">
        <f>F695</f>
        <v>1000.9</v>
      </c>
      <c r="G694" s="578"/>
      <c r="H694" s="578"/>
      <c r="I694" s="578"/>
      <c r="J694" s="578"/>
      <c r="K694" s="578"/>
    </row>
    <row r="695" spans="1:11" s="576" customFormat="1" ht="47.25" x14ac:dyDescent="0.25">
      <c r="A695" s="31" t="s">
        <v>1720</v>
      </c>
      <c r="B695" s="580" t="s">
        <v>264</v>
      </c>
      <c r="C695" s="580" t="s">
        <v>215</v>
      </c>
      <c r="D695" s="580" t="s">
        <v>1721</v>
      </c>
      <c r="E695" s="580"/>
      <c r="F695" s="489">
        <f>F696</f>
        <v>1000.9</v>
      </c>
      <c r="G695" s="578"/>
      <c r="H695" s="578"/>
      <c r="I695" s="578"/>
      <c r="J695" s="578"/>
      <c r="K695" s="578"/>
    </row>
    <row r="696" spans="1:11" s="576" customFormat="1" ht="31.5" x14ac:dyDescent="0.25">
      <c r="A696" s="579" t="s">
        <v>272</v>
      </c>
      <c r="B696" s="580" t="s">
        <v>264</v>
      </c>
      <c r="C696" s="580" t="s">
        <v>215</v>
      </c>
      <c r="D696" s="580" t="s">
        <v>1721</v>
      </c>
      <c r="E696" s="580" t="s">
        <v>273</v>
      </c>
      <c r="F696" s="489">
        <f>F697</f>
        <v>1000.9</v>
      </c>
      <c r="G696" s="578"/>
      <c r="H696" s="578"/>
      <c r="I696" s="578"/>
      <c r="J696" s="578"/>
      <c r="K696" s="578"/>
    </row>
    <row r="697" spans="1:11" s="576" customFormat="1" ht="18.600000000000001" customHeight="1" x14ac:dyDescent="0.25">
      <c r="A697" s="188" t="s">
        <v>1702</v>
      </c>
      <c r="B697" s="580" t="s">
        <v>264</v>
      </c>
      <c r="C697" s="580" t="s">
        <v>215</v>
      </c>
      <c r="D697" s="580" t="s">
        <v>1721</v>
      </c>
      <c r="E697" s="580" t="s">
        <v>1703</v>
      </c>
      <c r="F697" s="489">
        <f>'Пр.4 ведом.22'!G772</f>
        <v>1000.9</v>
      </c>
      <c r="G697" s="578"/>
      <c r="H697" s="578"/>
      <c r="I697" s="578"/>
      <c r="J697" s="578"/>
      <c r="K697" s="578"/>
    </row>
    <row r="698" spans="1:11" s="203" customFormat="1" ht="34.5" customHeight="1" x14ac:dyDescent="0.25">
      <c r="A698" s="494" t="s">
        <v>1367</v>
      </c>
      <c r="B698" s="495" t="s">
        <v>264</v>
      </c>
      <c r="C698" s="495" t="s">
        <v>215</v>
      </c>
      <c r="D698" s="495" t="s">
        <v>267</v>
      </c>
      <c r="E698" s="495"/>
      <c r="F698" s="488">
        <f>F699+F710+F719+F723</f>
        <v>20253.600000000002</v>
      </c>
      <c r="G698" s="578"/>
      <c r="H698" s="578"/>
      <c r="I698" s="578"/>
      <c r="J698" s="578"/>
      <c r="K698" s="578"/>
    </row>
    <row r="699" spans="1:11" s="203" customFormat="1" ht="36" customHeight="1" x14ac:dyDescent="0.25">
      <c r="A699" s="494" t="s">
        <v>1299</v>
      </c>
      <c r="B699" s="495" t="s">
        <v>264</v>
      </c>
      <c r="C699" s="495" t="s">
        <v>215</v>
      </c>
      <c r="D699" s="495" t="s">
        <v>1203</v>
      </c>
      <c r="E699" s="495"/>
      <c r="F699" s="488">
        <f>F700+F707</f>
        <v>18323.2</v>
      </c>
      <c r="G699" s="578"/>
      <c r="H699" s="578"/>
      <c r="I699" s="578"/>
      <c r="J699" s="578"/>
      <c r="K699" s="578"/>
    </row>
    <row r="700" spans="1:11" s="203" customFormat="1" ht="15.75" x14ac:dyDescent="0.25">
      <c r="A700" s="579" t="s">
        <v>800</v>
      </c>
      <c r="B700" s="580" t="s">
        <v>264</v>
      </c>
      <c r="C700" s="580" t="s">
        <v>215</v>
      </c>
      <c r="D700" s="580" t="s">
        <v>1204</v>
      </c>
      <c r="E700" s="580"/>
      <c r="F700" s="489">
        <f>F701+F703+F705</f>
        <v>18323.2</v>
      </c>
      <c r="G700" s="578"/>
      <c r="H700" s="578"/>
      <c r="I700" s="578"/>
      <c r="J700" s="578"/>
      <c r="K700" s="578"/>
    </row>
    <row r="701" spans="1:11" s="203" customFormat="1" ht="78.75" x14ac:dyDescent="0.25">
      <c r="A701" s="579" t="s">
        <v>127</v>
      </c>
      <c r="B701" s="580" t="s">
        <v>264</v>
      </c>
      <c r="C701" s="580" t="s">
        <v>215</v>
      </c>
      <c r="D701" s="580" t="s">
        <v>1204</v>
      </c>
      <c r="E701" s="580" t="s">
        <v>128</v>
      </c>
      <c r="F701" s="489">
        <f>F702</f>
        <v>16276.039999999999</v>
      </c>
      <c r="G701" s="578"/>
      <c r="H701" s="578"/>
      <c r="I701" s="578"/>
      <c r="J701" s="578"/>
      <c r="K701" s="578"/>
    </row>
    <row r="702" spans="1:11" s="203" customFormat="1" ht="21.2" customHeight="1" x14ac:dyDescent="0.25">
      <c r="A702" s="46" t="s">
        <v>342</v>
      </c>
      <c r="B702" s="580" t="s">
        <v>264</v>
      </c>
      <c r="C702" s="580" t="s">
        <v>215</v>
      </c>
      <c r="D702" s="580" t="s">
        <v>1204</v>
      </c>
      <c r="E702" s="580" t="s">
        <v>209</v>
      </c>
      <c r="F702" s="489">
        <f>'Пр.4 ведом.22'!G303</f>
        <v>16276.039999999999</v>
      </c>
      <c r="G702" s="578"/>
      <c r="H702" s="578"/>
      <c r="I702" s="578"/>
      <c r="J702" s="578"/>
      <c r="K702" s="578"/>
    </row>
    <row r="703" spans="1:11" s="203" customFormat="1" ht="31.5" x14ac:dyDescent="0.25">
      <c r="A703" s="579" t="s">
        <v>131</v>
      </c>
      <c r="B703" s="580" t="s">
        <v>264</v>
      </c>
      <c r="C703" s="580" t="s">
        <v>215</v>
      </c>
      <c r="D703" s="580" t="s">
        <v>1204</v>
      </c>
      <c r="E703" s="580" t="s">
        <v>132</v>
      </c>
      <c r="F703" s="489">
        <f>F704</f>
        <v>1974.16</v>
      </c>
      <c r="G703" s="578"/>
      <c r="H703" s="578"/>
      <c r="I703" s="578"/>
      <c r="J703" s="578"/>
      <c r="K703" s="578"/>
    </row>
    <row r="704" spans="1:11" s="203" customFormat="1" ht="31.5" x14ac:dyDescent="0.25">
      <c r="A704" s="579" t="s">
        <v>133</v>
      </c>
      <c r="B704" s="580" t="s">
        <v>264</v>
      </c>
      <c r="C704" s="580" t="s">
        <v>215</v>
      </c>
      <c r="D704" s="580" t="s">
        <v>1204</v>
      </c>
      <c r="E704" s="580" t="s">
        <v>134</v>
      </c>
      <c r="F704" s="489">
        <f>'Пр.4 ведом.22'!G305</f>
        <v>1974.16</v>
      </c>
      <c r="G704" s="578"/>
      <c r="H704" s="578"/>
      <c r="I704" s="578"/>
      <c r="J704" s="578"/>
      <c r="K704" s="578"/>
    </row>
    <row r="705" spans="1:11" s="203" customFormat="1" ht="15.75" x14ac:dyDescent="0.25">
      <c r="A705" s="579" t="s">
        <v>135</v>
      </c>
      <c r="B705" s="580" t="s">
        <v>264</v>
      </c>
      <c r="C705" s="580" t="s">
        <v>215</v>
      </c>
      <c r="D705" s="580" t="s">
        <v>1204</v>
      </c>
      <c r="E705" s="580" t="s">
        <v>145</v>
      </c>
      <c r="F705" s="489">
        <f>F706</f>
        <v>73</v>
      </c>
      <c r="G705" s="578"/>
      <c r="H705" s="578"/>
      <c r="I705" s="578"/>
      <c r="J705" s="578"/>
      <c r="K705" s="578"/>
    </row>
    <row r="706" spans="1:11" s="203" customFormat="1" ht="15.75" x14ac:dyDescent="0.25">
      <c r="A706" s="579" t="s">
        <v>704</v>
      </c>
      <c r="B706" s="580" t="s">
        <v>264</v>
      </c>
      <c r="C706" s="580" t="s">
        <v>215</v>
      </c>
      <c r="D706" s="580" t="s">
        <v>1204</v>
      </c>
      <c r="E706" s="580" t="s">
        <v>138</v>
      </c>
      <c r="F706" s="489">
        <f>'Пр.4 ведом.22'!G307</f>
        <v>73</v>
      </c>
      <c r="G706" s="578"/>
      <c r="H706" s="578"/>
      <c r="I706" s="578"/>
      <c r="J706" s="578"/>
      <c r="K706" s="578"/>
    </row>
    <row r="707" spans="1:11" s="203" customFormat="1" ht="31.5" hidden="1" x14ac:dyDescent="0.25">
      <c r="A707" s="31" t="s">
        <v>1505</v>
      </c>
      <c r="B707" s="580" t="s">
        <v>264</v>
      </c>
      <c r="C707" s="580" t="s">
        <v>215</v>
      </c>
      <c r="D707" s="580" t="s">
        <v>1481</v>
      </c>
      <c r="E707" s="580"/>
      <c r="F707" s="489">
        <f>F708</f>
        <v>0</v>
      </c>
      <c r="G707" s="578"/>
      <c r="H707" s="578"/>
      <c r="I707" s="578"/>
      <c r="J707" s="578"/>
      <c r="K707" s="578"/>
    </row>
    <row r="708" spans="1:11" s="203" customFormat="1" ht="78.75" hidden="1" x14ac:dyDescent="0.25">
      <c r="A708" s="579" t="s">
        <v>127</v>
      </c>
      <c r="B708" s="580" t="s">
        <v>264</v>
      </c>
      <c r="C708" s="580" t="s">
        <v>215</v>
      </c>
      <c r="D708" s="580" t="s">
        <v>1481</v>
      </c>
      <c r="E708" s="580" t="s">
        <v>128</v>
      </c>
      <c r="F708" s="489">
        <f>F709</f>
        <v>0</v>
      </c>
      <c r="G708" s="578"/>
      <c r="H708" s="578"/>
      <c r="I708" s="578"/>
      <c r="J708" s="578"/>
      <c r="K708" s="578"/>
    </row>
    <row r="709" spans="1:11" s="203" customFormat="1" ht="15.75" hidden="1" x14ac:dyDescent="0.25">
      <c r="A709" s="579" t="s">
        <v>208</v>
      </c>
      <c r="B709" s="580" t="s">
        <v>264</v>
      </c>
      <c r="C709" s="580" t="s">
        <v>215</v>
      </c>
      <c r="D709" s="580" t="s">
        <v>1481</v>
      </c>
      <c r="E709" s="580" t="s">
        <v>209</v>
      </c>
      <c r="F709" s="489">
        <f>'Пр.4 ведом.22'!G310</f>
        <v>0</v>
      </c>
      <c r="G709" s="578"/>
      <c r="H709" s="578"/>
      <c r="I709" s="578"/>
      <c r="J709" s="578"/>
      <c r="K709" s="578"/>
    </row>
    <row r="710" spans="1:11" s="203" customFormat="1" ht="31.5" x14ac:dyDescent="0.25">
      <c r="A710" s="216" t="s">
        <v>1302</v>
      </c>
      <c r="B710" s="495" t="s">
        <v>264</v>
      </c>
      <c r="C710" s="495" t="s">
        <v>215</v>
      </c>
      <c r="D710" s="495" t="s">
        <v>1205</v>
      </c>
      <c r="E710" s="495"/>
      <c r="F710" s="488">
        <f>F711+F714</f>
        <v>292</v>
      </c>
      <c r="G710" s="578"/>
      <c r="H710" s="578"/>
      <c r="I710" s="578"/>
      <c r="J710" s="578"/>
      <c r="K710" s="578"/>
    </row>
    <row r="711" spans="1:11" s="203" customFormat="1" ht="31.5" x14ac:dyDescent="0.25">
      <c r="A711" s="195" t="s">
        <v>799</v>
      </c>
      <c r="B711" s="580" t="s">
        <v>264</v>
      </c>
      <c r="C711" s="580" t="s">
        <v>215</v>
      </c>
      <c r="D711" s="580" t="s">
        <v>1206</v>
      </c>
      <c r="E711" s="580"/>
      <c r="F711" s="489">
        <f>F712</f>
        <v>42</v>
      </c>
      <c r="G711" s="578"/>
      <c r="H711" s="578"/>
      <c r="I711" s="578"/>
      <c r="J711" s="578"/>
      <c r="K711" s="578"/>
    </row>
    <row r="712" spans="1:11" s="203" customFormat="1" ht="20.25" customHeight="1" x14ac:dyDescent="0.25">
      <c r="A712" s="579" t="s">
        <v>248</v>
      </c>
      <c r="B712" s="580" t="s">
        <v>264</v>
      </c>
      <c r="C712" s="580" t="s">
        <v>215</v>
      </c>
      <c r="D712" s="580" t="s">
        <v>1206</v>
      </c>
      <c r="E712" s="580" t="s">
        <v>249</v>
      </c>
      <c r="F712" s="489">
        <f>F713</f>
        <v>42</v>
      </c>
      <c r="G712" s="578"/>
      <c r="H712" s="578"/>
      <c r="I712" s="578"/>
      <c r="J712" s="578"/>
      <c r="K712" s="578"/>
    </row>
    <row r="713" spans="1:11" s="203" customFormat="1" ht="15.75" x14ac:dyDescent="0.25">
      <c r="A713" s="579" t="s">
        <v>820</v>
      </c>
      <c r="B713" s="580" t="s">
        <v>264</v>
      </c>
      <c r="C713" s="580" t="s">
        <v>215</v>
      </c>
      <c r="D713" s="580" t="s">
        <v>1206</v>
      </c>
      <c r="E713" s="580" t="s">
        <v>819</v>
      </c>
      <c r="F713" s="489">
        <f>'Пр.4 ведом.22'!G314</f>
        <v>42</v>
      </c>
      <c r="G713" s="578"/>
      <c r="H713" s="578"/>
      <c r="I713" s="578"/>
      <c r="J713" s="578"/>
      <c r="K713" s="578"/>
    </row>
    <row r="714" spans="1:11" ht="31.5" x14ac:dyDescent="0.25">
      <c r="A714" s="31" t="s">
        <v>816</v>
      </c>
      <c r="B714" s="580" t="s">
        <v>264</v>
      </c>
      <c r="C714" s="580" t="s">
        <v>215</v>
      </c>
      <c r="D714" s="580" t="s">
        <v>1207</v>
      </c>
      <c r="E714" s="580"/>
      <c r="F714" s="489">
        <f>F715+F717</f>
        <v>250</v>
      </c>
    </row>
    <row r="715" spans="1:11" ht="78.75" x14ac:dyDescent="0.25">
      <c r="A715" s="579" t="s">
        <v>127</v>
      </c>
      <c r="B715" s="580" t="s">
        <v>264</v>
      </c>
      <c r="C715" s="580" t="s">
        <v>215</v>
      </c>
      <c r="D715" s="580" t="s">
        <v>1207</v>
      </c>
      <c r="E715" s="580" t="s">
        <v>128</v>
      </c>
      <c r="F715" s="489">
        <f>F716</f>
        <v>250</v>
      </c>
    </row>
    <row r="716" spans="1:11" s="203" customFormat="1" ht="18.75" customHeight="1" x14ac:dyDescent="0.25">
      <c r="A716" s="46" t="s">
        <v>342</v>
      </c>
      <c r="B716" s="580" t="s">
        <v>264</v>
      </c>
      <c r="C716" s="580" t="s">
        <v>215</v>
      </c>
      <c r="D716" s="580" t="s">
        <v>1207</v>
      </c>
      <c r="E716" s="580" t="s">
        <v>209</v>
      </c>
      <c r="F716" s="489">
        <f>'Пр.4 ведом.22'!G317</f>
        <v>250</v>
      </c>
      <c r="G716" s="578"/>
      <c r="H716" s="578"/>
      <c r="I716" s="578"/>
      <c r="J716" s="578"/>
      <c r="K716" s="578"/>
    </row>
    <row r="717" spans="1:11" s="203" customFormat="1" ht="31.5" hidden="1" x14ac:dyDescent="0.25">
      <c r="A717" s="579" t="s">
        <v>131</v>
      </c>
      <c r="B717" s="580" t="s">
        <v>264</v>
      </c>
      <c r="C717" s="580" t="s">
        <v>215</v>
      </c>
      <c r="D717" s="580" t="s">
        <v>1207</v>
      </c>
      <c r="E717" s="580" t="s">
        <v>132</v>
      </c>
      <c r="F717" s="489">
        <f>F718</f>
        <v>0</v>
      </c>
      <c r="G717" s="578"/>
      <c r="H717" s="578"/>
      <c r="I717" s="578"/>
      <c r="J717" s="578"/>
      <c r="K717" s="578"/>
    </row>
    <row r="718" spans="1:11" s="203" customFormat="1" ht="31.5" hidden="1" x14ac:dyDescent="0.25">
      <c r="A718" s="579" t="s">
        <v>133</v>
      </c>
      <c r="B718" s="580" t="s">
        <v>264</v>
      </c>
      <c r="C718" s="580" t="s">
        <v>215</v>
      </c>
      <c r="D718" s="580" t="s">
        <v>1207</v>
      </c>
      <c r="E718" s="580" t="s">
        <v>134</v>
      </c>
      <c r="F718" s="489">
        <f>'Пр.4 ведом.22'!G319</f>
        <v>0</v>
      </c>
      <c r="G718" s="578"/>
      <c r="H718" s="578"/>
      <c r="I718" s="578"/>
      <c r="J718" s="578"/>
      <c r="K718" s="578"/>
    </row>
    <row r="719" spans="1:11" s="203" customFormat="1" ht="31.5" x14ac:dyDescent="0.25">
      <c r="A719" s="494" t="s">
        <v>947</v>
      </c>
      <c r="B719" s="495" t="s">
        <v>264</v>
      </c>
      <c r="C719" s="495" t="s">
        <v>215</v>
      </c>
      <c r="D719" s="495" t="s">
        <v>1208</v>
      </c>
      <c r="E719" s="495"/>
      <c r="F719" s="488">
        <f>F720</f>
        <v>473</v>
      </c>
      <c r="G719" s="578"/>
      <c r="H719" s="578"/>
      <c r="I719" s="578"/>
      <c r="J719" s="578"/>
      <c r="K719" s="578"/>
    </row>
    <row r="720" spans="1:11" s="203" customFormat="1" ht="47.25" x14ac:dyDescent="0.25">
      <c r="A720" s="579" t="s">
        <v>839</v>
      </c>
      <c r="B720" s="580" t="s">
        <v>264</v>
      </c>
      <c r="C720" s="580" t="s">
        <v>215</v>
      </c>
      <c r="D720" s="580" t="s">
        <v>1209</v>
      </c>
      <c r="E720" s="580"/>
      <c r="F720" s="489">
        <f>F721</f>
        <v>473</v>
      </c>
      <c r="G720" s="578"/>
      <c r="H720" s="578"/>
      <c r="I720" s="578"/>
      <c r="J720" s="578"/>
      <c r="K720" s="578"/>
    </row>
    <row r="721" spans="1:11" s="203" customFormat="1" ht="78.75" x14ac:dyDescent="0.25">
      <c r="A721" s="579" t="s">
        <v>127</v>
      </c>
      <c r="B721" s="580" t="s">
        <v>264</v>
      </c>
      <c r="C721" s="580" t="s">
        <v>215</v>
      </c>
      <c r="D721" s="580" t="s">
        <v>1209</v>
      </c>
      <c r="E721" s="580" t="s">
        <v>128</v>
      </c>
      <c r="F721" s="489">
        <f>F722</f>
        <v>473</v>
      </c>
      <c r="G721" s="578"/>
      <c r="H721" s="578"/>
      <c r="I721" s="578"/>
      <c r="J721" s="578"/>
      <c r="K721" s="578"/>
    </row>
    <row r="722" spans="1:11" s="203" customFormat="1" ht="31.5" x14ac:dyDescent="0.25">
      <c r="A722" s="579" t="s">
        <v>129</v>
      </c>
      <c r="B722" s="580" t="s">
        <v>264</v>
      </c>
      <c r="C722" s="580" t="s">
        <v>215</v>
      </c>
      <c r="D722" s="580" t="s">
        <v>1209</v>
      </c>
      <c r="E722" s="580" t="s">
        <v>209</v>
      </c>
      <c r="F722" s="489">
        <f>'Пр.4 ведом.22'!G323</f>
        <v>473</v>
      </c>
      <c r="G722" s="578"/>
      <c r="H722" s="578"/>
      <c r="I722" s="578"/>
      <c r="J722" s="578"/>
      <c r="K722" s="578"/>
    </row>
    <row r="723" spans="1:11" s="203" customFormat="1" ht="47.25" x14ac:dyDescent="0.25">
      <c r="A723" s="494" t="s">
        <v>900</v>
      </c>
      <c r="B723" s="495" t="s">
        <v>264</v>
      </c>
      <c r="C723" s="495" t="s">
        <v>215</v>
      </c>
      <c r="D723" s="495" t="s">
        <v>1210</v>
      </c>
      <c r="E723" s="495"/>
      <c r="F723" s="488">
        <f>F724+F727</f>
        <v>1165.4000000000001</v>
      </c>
      <c r="G723" s="578"/>
      <c r="H723" s="578"/>
      <c r="I723" s="578"/>
      <c r="J723" s="578"/>
      <c r="K723" s="578"/>
    </row>
    <row r="724" spans="1:11" s="203" customFormat="1" ht="94.5" x14ac:dyDescent="0.25">
      <c r="A724" s="31" t="s">
        <v>293</v>
      </c>
      <c r="B724" s="580" t="s">
        <v>264</v>
      </c>
      <c r="C724" s="580" t="s">
        <v>215</v>
      </c>
      <c r="D724" s="580" t="s">
        <v>1403</v>
      </c>
      <c r="E724" s="580"/>
      <c r="F724" s="489">
        <f>F725</f>
        <v>761</v>
      </c>
      <c r="G724" s="578"/>
      <c r="H724" s="578"/>
      <c r="I724" s="578"/>
      <c r="J724" s="578"/>
      <c r="K724" s="578"/>
    </row>
    <row r="725" spans="1:11" s="203" customFormat="1" ht="78.75" x14ac:dyDescent="0.25">
      <c r="A725" s="579" t="s">
        <v>127</v>
      </c>
      <c r="B725" s="580" t="s">
        <v>264</v>
      </c>
      <c r="C725" s="580" t="s">
        <v>215</v>
      </c>
      <c r="D725" s="580" t="s">
        <v>1403</v>
      </c>
      <c r="E725" s="580" t="s">
        <v>128</v>
      </c>
      <c r="F725" s="489">
        <f>F726</f>
        <v>761</v>
      </c>
      <c r="G725" s="578"/>
      <c r="H725" s="578"/>
      <c r="I725" s="578"/>
      <c r="J725" s="578"/>
      <c r="K725" s="578"/>
    </row>
    <row r="726" spans="1:11" s="203" customFormat="1" ht="22.7" customHeight="1" x14ac:dyDescent="0.25">
      <c r="A726" s="46" t="s">
        <v>342</v>
      </c>
      <c r="B726" s="580" t="s">
        <v>264</v>
      </c>
      <c r="C726" s="580" t="s">
        <v>215</v>
      </c>
      <c r="D726" s="580" t="s">
        <v>1403</v>
      </c>
      <c r="E726" s="580" t="s">
        <v>209</v>
      </c>
      <c r="F726" s="489">
        <f>'Пр.4 ведом.22'!G327</f>
        <v>761</v>
      </c>
      <c r="G726" s="578"/>
      <c r="H726" s="578"/>
      <c r="I726" s="578"/>
      <c r="J726" s="578"/>
      <c r="K726" s="578"/>
    </row>
    <row r="727" spans="1:11" s="203" customFormat="1" ht="47.25" x14ac:dyDescent="0.25">
      <c r="A727" s="579" t="s">
        <v>1766</v>
      </c>
      <c r="B727" s="580" t="s">
        <v>264</v>
      </c>
      <c r="C727" s="580" t="s">
        <v>215</v>
      </c>
      <c r="D727" s="580" t="s">
        <v>1768</v>
      </c>
      <c r="E727" s="580"/>
      <c r="F727" s="489">
        <f>F728</f>
        <v>404.4</v>
      </c>
      <c r="G727" s="578"/>
      <c r="H727" s="578"/>
      <c r="I727" s="578"/>
      <c r="J727" s="578"/>
      <c r="K727" s="578"/>
    </row>
    <row r="728" spans="1:11" s="203" customFormat="1" ht="78.75" x14ac:dyDescent="0.25">
      <c r="A728" s="579" t="s">
        <v>127</v>
      </c>
      <c r="B728" s="580" t="s">
        <v>264</v>
      </c>
      <c r="C728" s="580" t="s">
        <v>215</v>
      </c>
      <c r="D728" s="580" t="s">
        <v>1768</v>
      </c>
      <c r="E728" s="580" t="s">
        <v>128</v>
      </c>
      <c r="F728" s="489">
        <f>F729</f>
        <v>404.4</v>
      </c>
      <c r="G728" s="578"/>
      <c r="H728" s="578"/>
      <c r="I728" s="578"/>
      <c r="J728" s="578"/>
      <c r="K728" s="578"/>
    </row>
    <row r="729" spans="1:11" s="203" customFormat="1" ht="21.2" customHeight="1" x14ac:dyDescent="0.25">
      <c r="A729" s="46" t="s">
        <v>342</v>
      </c>
      <c r="B729" s="580" t="s">
        <v>264</v>
      </c>
      <c r="C729" s="580" t="s">
        <v>215</v>
      </c>
      <c r="D729" s="580" t="s">
        <v>1768</v>
      </c>
      <c r="E729" s="580" t="s">
        <v>209</v>
      </c>
      <c r="F729" s="489">
        <f>'Пр.4 ведом.22'!G330</f>
        <v>404.4</v>
      </c>
      <c r="G729" s="578"/>
      <c r="H729" s="578"/>
      <c r="I729" s="578"/>
      <c r="J729" s="578"/>
      <c r="K729" s="578"/>
    </row>
    <row r="730" spans="1:11" s="203" customFormat="1" ht="45.75" customHeight="1" x14ac:dyDescent="0.25">
      <c r="A730" s="34" t="s">
        <v>1357</v>
      </c>
      <c r="B730" s="495" t="s">
        <v>264</v>
      </c>
      <c r="C730" s="495" t="s">
        <v>215</v>
      </c>
      <c r="D730" s="495" t="s">
        <v>324</v>
      </c>
      <c r="E730" s="495"/>
      <c r="F730" s="493">
        <f>F732</f>
        <v>6</v>
      </c>
      <c r="G730" s="578"/>
      <c r="H730" s="578"/>
      <c r="I730" s="578"/>
      <c r="J730" s="578"/>
      <c r="K730" s="578"/>
    </row>
    <row r="731" spans="1:11" s="203" customFormat="1" ht="63.2" customHeight="1" x14ac:dyDescent="0.25">
      <c r="A731" s="34" t="s">
        <v>1025</v>
      </c>
      <c r="B731" s="495" t="s">
        <v>264</v>
      </c>
      <c r="C731" s="495" t="s">
        <v>215</v>
      </c>
      <c r="D731" s="495" t="s">
        <v>934</v>
      </c>
      <c r="E731" s="495"/>
      <c r="F731" s="493">
        <f>F734</f>
        <v>6</v>
      </c>
      <c r="G731" s="578"/>
      <c r="H731" s="578"/>
      <c r="I731" s="578"/>
      <c r="J731" s="578"/>
      <c r="K731" s="578"/>
    </row>
    <row r="732" spans="1:11" s="203" customFormat="1" ht="51" customHeight="1" x14ac:dyDescent="0.25">
      <c r="A732" s="31" t="s">
        <v>1080</v>
      </c>
      <c r="B732" s="580" t="s">
        <v>264</v>
      </c>
      <c r="C732" s="580" t="s">
        <v>215</v>
      </c>
      <c r="D732" s="580" t="s">
        <v>1026</v>
      </c>
      <c r="E732" s="580"/>
      <c r="F732" s="497">
        <f>F733</f>
        <v>6</v>
      </c>
      <c r="G732" s="578"/>
      <c r="H732" s="578"/>
      <c r="I732" s="578"/>
      <c r="J732" s="578"/>
      <c r="K732" s="578"/>
    </row>
    <row r="733" spans="1:11" s="203" customFormat="1" ht="39.4" customHeight="1" x14ac:dyDescent="0.25">
      <c r="A733" s="579" t="s">
        <v>131</v>
      </c>
      <c r="B733" s="580" t="s">
        <v>264</v>
      </c>
      <c r="C733" s="580" t="s">
        <v>215</v>
      </c>
      <c r="D733" s="580" t="s">
        <v>1026</v>
      </c>
      <c r="E733" s="580" t="s">
        <v>132</v>
      </c>
      <c r="F733" s="497">
        <f>F734</f>
        <v>6</v>
      </c>
      <c r="G733" s="578"/>
      <c r="H733" s="578"/>
      <c r="I733" s="578"/>
      <c r="J733" s="578"/>
      <c r="K733" s="578"/>
    </row>
    <row r="734" spans="1:11" s="203" customFormat="1" ht="35.450000000000003" customHeight="1" x14ac:dyDescent="0.25">
      <c r="A734" s="579" t="s">
        <v>133</v>
      </c>
      <c r="B734" s="580" t="s">
        <v>264</v>
      </c>
      <c r="C734" s="580" t="s">
        <v>215</v>
      </c>
      <c r="D734" s="580" t="s">
        <v>1026</v>
      </c>
      <c r="E734" s="580" t="s">
        <v>134</v>
      </c>
      <c r="F734" s="497">
        <f>'Пр.4 ведом.22'!G335</f>
        <v>6</v>
      </c>
      <c r="G734" s="578"/>
      <c r="H734" s="578"/>
      <c r="I734" s="578"/>
      <c r="J734" s="578"/>
      <c r="K734" s="578"/>
    </row>
    <row r="735" spans="1:11" s="203" customFormat="1" ht="47.25" x14ac:dyDescent="0.25">
      <c r="A735" s="572" t="s">
        <v>1352</v>
      </c>
      <c r="B735" s="495" t="s">
        <v>264</v>
      </c>
      <c r="C735" s="495" t="s">
        <v>215</v>
      </c>
      <c r="D735" s="495" t="s">
        <v>705</v>
      </c>
      <c r="E735" s="495"/>
      <c r="F735" s="488">
        <f>F736</f>
        <v>793.3</v>
      </c>
      <c r="G735" s="578"/>
      <c r="H735" s="578"/>
      <c r="I735" s="578"/>
      <c r="J735" s="578"/>
      <c r="K735" s="578"/>
    </row>
    <row r="736" spans="1:11" s="203" customFormat="1" ht="47.25" x14ac:dyDescent="0.25">
      <c r="A736" s="572" t="s">
        <v>890</v>
      </c>
      <c r="B736" s="495" t="s">
        <v>264</v>
      </c>
      <c r="C736" s="495" t="s">
        <v>215</v>
      </c>
      <c r="D736" s="495" t="s">
        <v>888</v>
      </c>
      <c r="E736" s="495"/>
      <c r="F736" s="488">
        <f>F737+F740</f>
        <v>793.3</v>
      </c>
      <c r="G736" s="578"/>
      <c r="H736" s="578"/>
      <c r="I736" s="578"/>
      <c r="J736" s="578"/>
      <c r="K736" s="578"/>
    </row>
    <row r="737" spans="1:11" s="203" customFormat="1" ht="35.450000000000003" customHeight="1" x14ac:dyDescent="0.25">
      <c r="A737" s="98" t="s">
        <v>1004</v>
      </c>
      <c r="B737" s="580" t="s">
        <v>264</v>
      </c>
      <c r="C737" s="580" t="s">
        <v>215</v>
      </c>
      <c r="D737" s="580" t="s">
        <v>889</v>
      </c>
      <c r="E737" s="498"/>
      <c r="F737" s="489">
        <f>F738</f>
        <v>490.9</v>
      </c>
      <c r="G737" s="578"/>
      <c r="H737" s="578"/>
      <c r="I737" s="578"/>
      <c r="J737" s="578"/>
      <c r="K737" s="578"/>
    </row>
    <row r="738" spans="1:11" s="203" customFormat="1" ht="31.5" x14ac:dyDescent="0.25">
      <c r="A738" s="579" t="s">
        <v>131</v>
      </c>
      <c r="B738" s="580" t="s">
        <v>264</v>
      </c>
      <c r="C738" s="580" t="s">
        <v>215</v>
      </c>
      <c r="D738" s="580" t="s">
        <v>889</v>
      </c>
      <c r="E738" s="498" t="s">
        <v>132</v>
      </c>
      <c r="F738" s="489">
        <f>F739</f>
        <v>490.9</v>
      </c>
      <c r="G738" s="578"/>
      <c r="H738" s="578"/>
      <c r="I738" s="578"/>
      <c r="J738" s="578"/>
      <c r="K738" s="578"/>
    </row>
    <row r="739" spans="1:11" s="203" customFormat="1" ht="36.75" customHeight="1" x14ac:dyDescent="0.25">
      <c r="A739" s="579" t="s">
        <v>133</v>
      </c>
      <c r="B739" s="580" t="s">
        <v>264</v>
      </c>
      <c r="C739" s="580" t="s">
        <v>215</v>
      </c>
      <c r="D739" s="580" t="s">
        <v>889</v>
      </c>
      <c r="E739" s="498" t="s">
        <v>134</v>
      </c>
      <c r="F739" s="489">
        <f>'Пр.4 ведом.22'!G340</f>
        <v>490.9</v>
      </c>
      <c r="G739" s="578"/>
      <c r="H739" s="578"/>
      <c r="I739" s="578"/>
      <c r="J739" s="578"/>
      <c r="K739" s="578"/>
    </row>
    <row r="740" spans="1:11" s="203" customFormat="1" ht="47.25" x14ac:dyDescent="0.25">
      <c r="A740" s="98" t="s">
        <v>780</v>
      </c>
      <c r="B740" s="580" t="s">
        <v>264</v>
      </c>
      <c r="C740" s="580" t="s">
        <v>215</v>
      </c>
      <c r="D740" s="580" t="s">
        <v>936</v>
      </c>
      <c r="E740" s="498"/>
      <c r="F740" s="489">
        <f>F741</f>
        <v>302.39999999999998</v>
      </c>
      <c r="G740" s="578"/>
      <c r="H740" s="578"/>
      <c r="I740" s="578"/>
      <c r="J740" s="578"/>
      <c r="K740" s="578"/>
    </row>
    <row r="741" spans="1:11" s="203" customFormat="1" ht="31.5" x14ac:dyDescent="0.25">
      <c r="A741" s="29" t="s">
        <v>272</v>
      </c>
      <c r="B741" s="580" t="s">
        <v>264</v>
      </c>
      <c r="C741" s="580" t="s">
        <v>215</v>
      </c>
      <c r="D741" s="580" t="s">
        <v>936</v>
      </c>
      <c r="E741" s="498" t="s">
        <v>273</v>
      </c>
      <c r="F741" s="489">
        <f>F742</f>
        <v>302.39999999999998</v>
      </c>
      <c r="G741" s="578"/>
      <c r="H741" s="578"/>
      <c r="I741" s="578"/>
      <c r="J741" s="578"/>
      <c r="K741" s="578"/>
    </row>
    <row r="742" spans="1:11" s="203" customFormat="1" ht="15.75" x14ac:dyDescent="0.25">
      <c r="A742" s="182" t="s">
        <v>274</v>
      </c>
      <c r="B742" s="580" t="s">
        <v>264</v>
      </c>
      <c r="C742" s="580" t="s">
        <v>215</v>
      </c>
      <c r="D742" s="580" t="s">
        <v>936</v>
      </c>
      <c r="E742" s="498" t="s">
        <v>275</v>
      </c>
      <c r="F742" s="489">
        <f>'Пр.4 ведом.22'!G777</f>
        <v>302.39999999999998</v>
      </c>
      <c r="G742" s="578"/>
      <c r="H742" s="578"/>
      <c r="I742" s="578"/>
      <c r="J742" s="578"/>
      <c r="K742" s="578"/>
    </row>
    <row r="743" spans="1:11" s="203" customFormat="1" ht="15.75" x14ac:dyDescent="0.25">
      <c r="A743" s="494" t="s">
        <v>466</v>
      </c>
      <c r="B743" s="495" t="s">
        <v>264</v>
      </c>
      <c r="C743" s="495" t="s">
        <v>264</v>
      </c>
      <c r="D743" s="495"/>
      <c r="E743" s="504"/>
      <c r="F743" s="488">
        <f>F744+F763</f>
        <v>8274</v>
      </c>
      <c r="G743" s="578"/>
      <c r="H743" s="578"/>
      <c r="I743" s="578"/>
      <c r="J743" s="578"/>
      <c r="K743" s="578"/>
    </row>
    <row r="744" spans="1:11" s="203" customFormat="1" ht="47.25" x14ac:dyDescent="0.25">
      <c r="A744" s="494" t="s">
        <v>1378</v>
      </c>
      <c r="B744" s="495" t="s">
        <v>264</v>
      </c>
      <c r="C744" s="495" t="s">
        <v>264</v>
      </c>
      <c r="D744" s="495" t="s">
        <v>344</v>
      </c>
      <c r="E744" s="495"/>
      <c r="F744" s="488">
        <f>F745</f>
        <v>760.1</v>
      </c>
      <c r="G744" s="578"/>
      <c r="H744" s="578"/>
      <c r="I744" s="578"/>
      <c r="J744" s="578"/>
      <c r="K744" s="578"/>
    </row>
    <row r="745" spans="1:11" s="203" customFormat="1" ht="31.5" x14ac:dyDescent="0.25">
      <c r="A745" s="494" t="s">
        <v>345</v>
      </c>
      <c r="B745" s="495" t="s">
        <v>264</v>
      </c>
      <c r="C745" s="495" t="s">
        <v>264</v>
      </c>
      <c r="D745" s="495" t="s">
        <v>346</v>
      </c>
      <c r="E745" s="495"/>
      <c r="F745" s="488">
        <f>F746+F753+F759</f>
        <v>760.1</v>
      </c>
      <c r="G745" s="578"/>
      <c r="H745" s="578"/>
      <c r="I745" s="578"/>
      <c r="J745" s="578"/>
      <c r="K745" s="578"/>
    </row>
    <row r="746" spans="1:11" s="203" customFormat="1" ht="47.25" x14ac:dyDescent="0.25">
      <c r="A746" s="571" t="s">
        <v>1029</v>
      </c>
      <c r="B746" s="495" t="s">
        <v>264</v>
      </c>
      <c r="C746" s="495" t="s">
        <v>264</v>
      </c>
      <c r="D746" s="495" t="s">
        <v>892</v>
      </c>
      <c r="E746" s="495"/>
      <c r="F746" s="488">
        <f>F747+F750</f>
        <v>280</v>
      </c>
      <c r="G746" s="578"/>
      <c r="H746" s="578"/>
      <c r="I746" s="578"/>
      <c r="J746" s="578"/>
      <c r="K746" s="578"/>
    </row>
    <row r="747" spans="1:11" s="203" customFormat="1" ht="31.5" x14ac:dyDescent="0.25">
      <c r="A747" s="98" t="s">
        <v>1035</v>
      </c>
      <c r="B747" s="580" t="s">
        <v>264</v>
      </c>
      <c r="C747" s="580" t="s">
        <v>264</v>
      </c>
      <c r="D747" s="580" t="s">
        <v>893</v>
      </c>
      <c r="E747" s="580"/>
      <c r="F747" s="489">
        <f>F748</f>
        <v>280</v>
      </c>
      <c r="G747" s="578"/>
      <c r="H747" s="578"/>
      <c r="I747" s="578"/>
      <c r="J747" s="578"/>
      <c r="K747" s="578"/>
    </row>
    <row r="748" spans="1:11" s="203" customFormat="1" ht="78.75" x14ac:dyDescent="0.25">
      <c r="A748" s="579" t="s">
        <v>127</v>
      </c>
      <c r="B748" s="580" t="s">
        <v>264</v>
      </c>
      <c r="C748" s="580" t="s">
        <v>264</v>
      </c>
      <c r="D748" s="580" t="s">
        <v>893</v>
      </c>
      <c r="E748" s="580" t="s">
        <v>128</v>
      </c>
      <c r="F748" s="489">
        <f>F749</f>
        <v>280</v>
      </c>
      <c r="G748" s="578"/>
      <c r="H748" s="578"/>
      <c r="I748" s="578"/>
      <c r="J748" s="578"/>
      <c r="K748" s="578"/>
    </row>
    <row r="749" spans="1:11" s="203" customFormat="1" ht="17.45" customHeight="1" x14ac:dyDescent="0.25">
      <c r="A749" s="579" t="s">
        <v>342</v>
      </c>
      <c r="B749" s="580" t="s">
        <v>264</v>
      </c>
      <c r="C749" s="580" t="s">
        <v>264</v>
      </c>
      <c r="D749" s="580" t="s">
        <v>893</v>
      </c>
      <c r="E749" s="580" t="s">
        <v>209</v>
      </c>
      <c r="F749" s="489">
        <f>'Пр.4 ведом.22'!G347</f>
        <v>280</v>
      </c>
      <c r="G749" s="578"/>
      <c r="H749" s="578"/>
      <c r="I749" s="578"/>
      <c r="J749" s="578"/>
      <c r="K749" s="578"/>
    </row>
    <row r="750" spans="1:11" s="203" customFormat="1" ht="19.5" hidden="1" customHeight="1" x14ac:dyDescent="0.25">
      <c r="A750" s="579" t="s">
        <v>1030</v>
      </c>
      <c r="B750" s="580" t="s">
        <v>264</v>
      </c>
      <c r="C750" s="580" t="s">
        <v>264</v>
      </c>
      <c r="D750" s="580" t="s">
        <v>1046</v>
      </c>
      <c r="E750" s="580"/>
      <c r="F750" s="489">
        <f>F751</f>
        <v>0</v>
      </c>
      <c r="G750" s="578"/>
      <c r="H750" s="578"/>
      <c r="I750" s="578"/>
      <c r="J750" s="578"/>
      <c r="K750" s="578"/>
    </row>
    <row r="751" spans="1:11" s="203" customFormat="1" ht="31.5" hidden="1" x14ac:dyDescent="0.25">
      <c r="A751" s="579" t="s">
        <v>131</v>
      </c>
      <c r="B751" s="580" t="s">
        <v>264</v>
      </c>
      <c r="C751" s="580" t="s">
        <v>264</v>
      </c>
      <c r="D751" s="580" t="s">
        <v>1046</v>
      </c>
      <c r="E751" s="580" t="s">
        <v>132</v>
      </c>
      <c r="F751" s="489">
        <f>F752</f>
        <v>0</v>
      </c>
      <c r="G751" s="578"/>
      <c r="H751" s="578"/>
      <c r="I751" s="578"/>
      <c r="J751" s="578"/>
      <c r="K751" s="578"/>
    </row>
    <row r="752" spans="1:11" s="203" customFormat="1" ht="31.5" hidden="1" x14ac:dyDescent="0.25">
      <c r="A752" s="579" t="s">
        <v>133</v>
      </c>
      <c r="B752" s="580" t="s">
        <v>264</v>
      </c>
      <c r="C752" s="580" t="s">
        <v>264</v>
      </c>
      <c r="D752" s="580" t="s">
        <v>1046</v>
      </c>
      <c r="E752" s="580" t="s">
        <v>134</v>
      </c>
      <c r="F752" s="489">
        <f>'Пр.4 ведом.22'!G350</f>
        <v>0</v>
      </c>
      <c r="G752" s="578"/>
      <c r="H752" s="578"/>
      <c r="I752" s="578"/>
      <c r="J752" s="578"/>
      <c r="K752" s="578"/>
    </row>
    <row r="753" spans="1:11" s="203" customFormat="1" ht="63" x14ac:dyDescent="0.25">
      <c r="A753" s="494" t="s">
        <v>1031</v>
      </c>
      <c r="B753" s="495" t="s">
        <v>264</v>
      </c>
      <c r="C753" s="495" t="s">
        <v>264</v>
      </c>
      <c r="D753" s="495" t="s">
        <v>894</v>
      </c>
      <c r="E753" s="495"/>
      <c r="F753" s="488">
        <f>F754</f>
        <v>455.1</v>
      </c>
      <c r="G753" s="578"/>
      <c r="H753" s="578"/>
      <c r="I753" s="578"/>
      <c r="J753" s="578"/>
      <c r="K753" s="578"/>
    </row>
    <row r="754" spans="1:11" s="203" customFormat="1" ht="15.75" x14ac:dyDescent="0.25">
      <c r="A754" s="579" t="s">
        <v>1032</v>
      </c>
      <c r="B754" s="580" t="s">
        <v>264</v>
      </c>
      <c r="C754" s="580" t="s">
        <v>264</v>
      </c>
      <c r="D754" s="580" t="s">
        <v>901</v>
      </c>
      <c r="E754" s="580"/>
      <c r="F754" s="489">
        <f>F755+F757</f>
        <v>455.1</v>
      </c>
      <c r="G754" s="578"/>
      <c r="H754" s="578"/>
      <c r="I754" s="578"/>
      <c r="J754" s="578"/>
      <c r="K754" s="578"/>
    </row>
    <row r="755" spans="1:11" s="203" customFormat="1" ht="78.75" x14ac:dyDescent="0.25">
      <c r="A755" s="579" t="s">
        <v>127</v>
      </c>
      <c r="B755" s="580" t="s">
        <v>264</v>
      </c>
      <c r="C755" s="580" t="s">
        <v>264</v>
      </c>
      <c r="D755" s="580" t="s">
        <v>901</v>
      </c>
      <c r="E755" s="580" t="s">
        <v>128</v>
      </c>
      <c r="F755" s="489">
        <f>F756</f>
        <v>40.1</v>
      </c>
      <c r="G755" s="578"/>
      <c r="H755" s="578"/>
      <c r="I755" s="578"/>
      <c r="J755" s="578"/>
      <c r="K755" s="578"/>
    </row>
    <row r="756" spans="1:11" s="203" customFormat="1" ht="18.75" customHeight="1" x14ac:dyDescent="0.25">
      <c r="A756" s="579" t="s">
        <v>342</v>
      </c>
      <c r="B756" s="580" t="s">
        <v>264</v>
      </c>
      <c r="C756" s="580" t="s">
        <v>264</v>
      </c>
      <c r="D756" s="580" t="s">
        <v>901</v>
      </c>
      <c r="E756" s="580" t="s">
        <v>209</v>
      </c>
      <c r="F756" s="489">
        <f>'Пр.4 ведом.22'!G354</f>
        <v>40.1</v>
      </c>
      <c r="G756" s="578"/>
      <c r="H756" s="578"/>
      <c r="I756" s="578"/>
      <c r="J756" s="578"/>
      <c r="K756" s="578"/>
    </row>
    <row r="757" spans="1:11" s="203" customFormat="1" ht="31.5" x14ac:dyDescent="0.25">
      <c r="A757" s="579" t="s">
        <v>131</v>
      </c>
      <c r="B757" s="580" t="s">
        <v>264</v>
      </c>
      <c r="C757" s="580" t="s">
        <v>264</v>
      </c>
      <c r="D757" s="580" t="s">
        <v>901</v>
      </c>
      <c r="E757" s="580" t="s">
        <v>132</v>
      </c>
      <c r="F757" s="489">
        <f>F758</f>
        <v>415</v>
      </c>
      <c r="G757" s="578"/>
      <c r="H757" s="578"/>
      <c r="I757" s="578"/>
      <c r="J757" s="578"/>
      <c r="K757" s="578"/>
    </row>
    <row r="758" spans="1:11" s="203" customFormat="1" ht="31.5" x14ac:dyDescent="0.25">
      <c r="A758" s="579" t="s">
        <v>133</v>
      </c>
      <c r="B758" s="580" t="s">
        <v>264</v>
      </c>
      <c r="C758" s="580" t="s">
        <v>264</v>
      </c>
      <c r="D758" s="580" t="s">
        <v>901</v>
      </c>
      <c r="E758" s="580" t="s">
        <v>134</v>
      </c>
      <c r="F758" s="489">
        <f>'Пр.4 ведом.22'!G356</f>
        <v>415</v>
      </c>
      <c r="G758" s="578"/>
      <c r="H758" s="578"/>
      <c r="I758" s="578"/>
      <c r="J758" s="578"/>
      <c r="K758" s="578"/>
    </row>
    <row r="759" spans="1:11" s="203" customFormat="1" ht="31.5" x14ac:dyDescent="0.25">
      <c r="A759" s="494" t="s">
        <v>1406</v>
      </c>
      <c r="B759" s="495" t="s">
        <v>264</v>
      </c>
      <c r="C759" s="495" t="s">
        <v>264</v>
      </c>
      <c r="D759" s="495" t="s">
        <v>1033</v>
      </c>
      <c r="E759" s="495"/>
      <c r="F759" s="488">
        <f>F760</f>
        <v>25</v>
      </c>
      <c r="G759" s="578"/>
      <c r="H759" s="578"/>
      <c r="I759" s="578"/>
      <c r="J759" s="578"/>
      <c r="K759" s="578"/>
    </row>
    <row r="760" spans="1:11" s="203" customFormat="1" ht="47.25" x14ac:dyDescent="0.25">
      <c r="A760" s="231" t="s">
        <v>1034</v>
      </c>
      <c r="B760" s="580" t="s">
        <v>264</v>
      </c>
      <c r="C760" s="580" t="s">
        <v>264</v>
      </c>
      <c r="D760" s="580" t="s">
        <v>1047</v>
      </c>
      <c r="E760" s="580"/>
      <c r="F760" s="489">
        <f>F761</f>
        <v>25</v>
      </c>
      <c r="G760" s="578"/>
      <c r="H760" s="578"/>
      <c r="I760" s="578"/>
      <c r="J760" s="578"/>
      <c r="K760" s="578"/>
    </row>
    <row r="761" spans="1:11" s="203" customFormat="1" ht="21.2" customHeight="1" x14ac:dyDescent="0.25">
      <c r="A761" s="579" t="s">
        <v>248</v>
      </c>
      <c r="B761" s="580" t="s">
        <v>264</v>
      </c>
      <c r="C761" s="580" t="s">
        <v>264</v>
      </c>
      <c r="D761" s="580" t="s">
        <v>1047</v>
      </c>
      <c r="E761" s="580" t="s">
        <v>249</v>
      </c>
      <c r="F761" s="489">
        <f>F762</f>
        <v>25</v>
      </c>
      <c r="G761" s="578"/>
      <c r="H761" s="578"/>
      <c r="I761" s="578"/>
      <c r="J761" s="578"/>
      <c r="K761" s="578"/>
    </row>
    <row r="762" spans="1:11" s="203" customFormat="1" ht="31.5" x14ac:dyDescent="0.25">
      <c r="A762" s="579" t="s">
        <v>348</v>
      </c>
      <c r="B762" s="580" t="s">
        <v>264</v>
      </c>
      <c r="C762" s="580" t="s">
        <v>264</v>
      </c>
      <c r="D762" s="580" t="s">
        <v>1047</v>
      </c>
      <c r="E762" s="580" t="s">
        <v>349</v>
      </c>
      <c r="F762" s="489">
        <f>'Пр.4 ведом.22'!G360</f>
        <v>25</v>
      </c>
      <c r="G762" s="578"/>
      <c r="H762" s="578"/>
      <c r="I762" s="578"/>
      <c r="J762" s="578"/>
      <c r="K762" s="578"/>
    </row>
    <row r="763" spans="1:11" ht="36.75" customHeight="1" x14ac:dyDescent="0.25">
      <c r="A763" s="494" t="s">
        <v>1356</v>
      </c>
      <c r="B763" s="495" t="s">
        <v>264</v>
      </c>
      <c r="C763" s="495" t="s">
        <v>264</v>
      </c>
      <c r="D763" s="495" t="s">
        <v>406</v>
      </c>
      <c r="E763" s="495"/>
      <c r="F763" s="488">
        <f>F764</f>
        <v>7513.9</v>
      </c>
    </row>
    <row r="764" spans="1:11" ht="31.5" x14ac:dyDescent="0.25">
      <c r="A764" s="494" t="s">
        <v>943</v>
      </c>
      <c r="B764" s="495" t="s">
        <v>264</v>
      </c>
      <c r="C764" s="495" t="s">
        <v>264</v>
      </c>
      <c r="D764" s="495" t="s">
        <v>1239</v>
      </c>
      <c r="E764" s="495"/>
      <c r="F764" s="488">
        <f>F765</f>
        <v>7513.9</v>
      </c>
    </row>
    <row r="765" spans="1:11" ht="42" customHeight="1" x14ac:dyDescent="0.25">
      <c r="A765" s="31" t="s">
        <v>1059</v>
      </c>
      <c r="B765" s="580" t="s">
        <v>264</v>
      </c>
      <c r="C765" s="580" t="s">
        <v>264</v>
      </c>
      <c r="D765" s="580" t="s">
        <v>1261</v>
      </c>
      <c r="E765" s="580"/>
      <c r="F765" s="489">
        <f>F766</f>
        <v>7513.9</v>
      </c>
    </row>
    <row r="766" spans="1:11" ht="35.450000000000003" customHeight="1" x14ac:dyDescent="0.25">
      <c r="A766" s="579" t="s">
        <v>272</v>
      </c>
      <c r="B766" s="580" t="s">
        <v>264</v>
      </c>
      <c r="C766" s="580" t="s">
        <v>264</v>
      </c>
      <c r="D766" s="580" t="s">
        <v>1261</v>
      </c>
      <c r="E766" s="580" t="s">
        <v>273</v>
      </c>
      <c r="F766" s="489">
        <f>F767</f>
        <v>7513.9</v>
      </c>
    </row>
    <row r="767" spans="1:11" ht="15.75" x14ac:dyDescent="0.25">
      <c r="A767" s="579" t="s">
        <v>274</v>
      </c>
      <c r="B767" s="580" t="s">
        <v>264</v>
      </c>
      <c r="C767" s="580" t="s">
        <v>264</v>
      </c>
      <c r="D767" s="580" t="s">
        <v>1261</v>
      </c>
      <c r="E767" s="580" t="s">
        <v>275</v>
      </c>
      <c r="F767" s="489">
        <f>'Пр.4 ведом.22'!G783</f>
        <v>7513.9</v>
      </c>
    </row>
    <row r="768" spans="1:11" ht="15" customHeight="1" x14ac:dyDescent="0.25">
      <c r="A768" s="494" t="s">
        <v>295</v>
      </c>
      <c r="B768" s="495" t="s">
        <v>264</v>
      </c>
      <c r="C768" s="495" t="s">
        <v>219</v>
      </c>
      <c r="D768" s="495"/>
      <c r="E768" s="495"/>
      <c r="F768" s="488">
        <f>F769+F786</f>
        <v>21507.53</v>
      </c>
    </row>
    <row r="769" spans="1:11" ht="31.5" x14ac:dyDescent="0.25">
      <c r="A769" s="494" t="s">
        <v>917</v>
      </c>
      <c r="B769" s="495" t="s">
        <v>264</v>
      </c>
      <c r="C769" s="495" t="s">
        <v>219</v>
      </c>
      <c r="D769" s="495" t="s">
        <v>858</v>
      </c>
      <c r="E769" s="495"/>
      <c r="F769" s="488">
        <f>F770</f>
        <v>21007.53</v>
      </c>
    </row>
    <row r="770" spans="1:11" ht="15.75" x14ac:dyDescent="0.25">
      <c r="A770" s="494" t="s">
        <v>918</v>
      </c>
      <c r="B770" s="495" t="s">
        <v>264</v>
      </c>
      <c r="C770" s="495" t="s">
        <v>219</v>
      </c>
      <c r="D770" s="495" t="s">
        <v>859</v>
      </c>
      <c r="E770" s="495"/>
      <c r="F770" s="488">
        <f>F771+F783+F776</f>
        <v>21007.53</v>
      </c>
    </row>
    <row r="771" spans="1:11" ht="31.5" x14ac:dyDescent="0.25">
      <c r="A771" s="579" t="s">
        <v>897</v>
      </c>
      <c r="B771" s="580" t="s">
        <v>264</v>
      </c>
      <c r="C771" s="580" t="s">
        <v>219</v>
      </c>
      <c r="D771" s="580" t="s">
        <v>860</v>
      </c>
      <c r="E771" s="580"/>
      <c r="F771" s="489">
        <f>F772+F774</f>
        <v>6039.33</v>
      </c>
    </row>
    <row r="772" spans="1:11" ht="78.75" x14ac:dyDescent="0.25">
      <c r="A772" s="579" t="s">
        <v>127</v>
      </c>
      <c r="B772" s="580" t="s">
        <v>264</v>
      </c>
      <c r="C772" s="580" t="s">
        <v>219</v>
      </c>
      <c r="D772" s="580" t="s">
        <v>860</v>
      </c>
      <c r="E772" s="580" t="s">
        <v>128</v>
      </c>
      <c r="F772" s="489">
        <f>F773</f>
        <v>5789.33</v>
      </c>
    </row>
    <row r="773" spans="1:11" ht="36.75" customHeight="1" x14ac:dyDescent="0.25">
      <c r="A773" s="579" t="s">
        <v>129</v>
      </c>
      <c r="B773" s="580" t="s">
        <v>264</v>
      </c>
      <c r="C773" s="580" t="s">
        <v>219</v>
      </c>
      <c r="D773" s="580" t="s">
        <v>860</v>
      </c>
      <c r="E773" s="580" t="s">
        <v>130</v>
      </c>
      <c r="F773" s="489">
        <f>'Пр.4 ведом.22'!G789</f>
        <v>5789.33</v>
      </c>
    </row>
    <row r="774" spans="1:11" ht="31.5" x14ac:dyDescent="0.25">
      <c r="A774" s="579" t="s">
        <v>131</v>
      </c>
      <c r="B774" s="580" t="s">
        <v>264</v>
      </c>
      <c r="C774" s="580" t="s">
        <v>219</v>
      </c>
      <c r="D774" s="580" t="s">
        <v>860</v>
      </c>
      <c r="E774" s="580" t="s">
        <v>132</v>
      </c>
      <c r="F774" s="489">
        <f>F775</f>
        <v>250</v>
      </c>
    </row>
    <row r="775" spans="1:11" ht="31.5" x14ac:dyDescent="0.25">
      <c r="A775" s="579" t="s">
        <v>133</v>
      </c>
      <c r="B775" s="580" t="s">
        <v>264</v>
      </c>
      <c r="C775" s="580" t="s">
        <v>219</v>
      </c>
      <c r="D775" s="580" t="s">
        <v>860</v>
      </c>
      <c r="E775" s="580" t="s">
        <v>134</v>
      </c>
      <c r="F775" s="489">
        <f>'Пр.4 ведом.22'!G791</f>
        <v>250</v>
      </c>
    </row>
    <row r="776" spans="1:11" s="576" customFormat="1" ht="31.5" x14ac:dyDescent="0.25">
      <c r="A776" s="579" t="s">
        <v>840</v>
      </c>
      <c r="B776" s="580" t="s">
        <v>264</v>
      </c>
      <c r="C776" s="580" t="s">
        <v>219</v>
      </c>
      <c r="D776" s="580" t="s">
        <v>861</v>
      </c>
      <c r="E776" s="580"/>
      <c r="F776" s="489">
        <f>F777+F779+F781</f>
        <v>14493.2</v>
      </c>
      <c r="G776" s="578"/>
      <c r="H776" s="578"/>
      <c r="I776" s="578"/>
      <c r="J776" s="578"/>
      <c r="K776" s="578"/>
    </row>
    <row r="777" spans="1:11" s="576" customFormat="1" ht="78.75" x14ac:dyDescent="0.25">
      <c r="A777" s="579" t="s">
        <v>127</v>
      </c>
      <c r="B777" s="580" t="s">
        <v>264</v>
      </c>
      <c r="C777" s="580" t="s">
        <v>219</v>
      </c>
      <c r="D777" s="580" t="s">
        <v>861</v>
      </c>
      <c r="E777" s="580" t="s">
        <v>128</v>
      </c>
      <c r="F777" s="489">
        <f>F778</f>
        <v>13041.5</v>
      </c>
      <c r="G777" s="578"/>
      <c r="H777" s="578"/>
      <c r="I777" s="578"/>
      <c r="J777" s="578"/>
      <c r="K777" s="578"/>
    </row>
    <row r="778" spans="1:11" s="576" customFormat="1" ht="31.5" x14ac:dyDescent="0.25">
      <c r="A778" s="579" t="s">
        <v>129</v>
      </c>
      <c r="B778" s="580" t="s">
        <v>264</v>
      </c>
      <c r="C778" s="580" t="s">
        <v>219</v>
      </c>
      <c r="D778" s="580" t="s">
        <v>861</v>
      </c>
      <c r="E778" s="580" t="s">
        <v>130</v>
      </c>
      <c r="F778" s="489">
        <f>'Пр.4 ведом.22'!G794</f>
        <v>13041.5</v>
      </c>
      <c r="G778" s="578"/>
      <c r="H778" s="578"/>
      <c r="I778" s="578"/>
      <c r="J778" s="578"/>
      <c r="K778" s="578"/>
    </row>
    <row r="779" spans="1:11" s="576" customFormat="1" ht="31.5" x14ac:dyDescent="0.25">
      <c r="A779" s="579" t="s">
        <v>131</v>
      </c>
      <c r="B779" s="580" t="s">
        <v>264</v>
      </c>
      <c r="C779" s="580" t="s">
        <v>219</v>
      </c>
      <c r="D779" s="580" t="s">
        <v>861</v>
      </c>
      <c r="E779" s="580" t="s">
        <v>132</v>
      </c>
      <c r="F779" s="489">
        <f>F780</f>
        <v>1437.7</v>
      </c>
      <c r="G779" s="578"/>
      <c r="H779" s="578"/>
      <c r="I779" s="578"/>
      <c r="J779" s="578"/>
      <c r="K779" s="578"/>
    </row>
    <row r="780" spans="1:11" s="576" customFormat="1" ht="31.5" x14ac:dyDescent="0.25">
      <c r="A780" s="579" t="s">
        <v>133</v>
      </c>
      <c r="B780" s="580" t="s">
        <v>264</v>
      </c>
      <c r="C780" s="580" t="s">
        <v>219</v>
      </c>
      <c r="D780" s="580" t="s">
        <v>861</v>
      </c>
      <c r="E780" s="580" t="s">
        <v>134</v>
      </c>
      <c r="F780" s="489">
        <f>'Пр.4 ведом.22'!G796</f>
        <v>1437.7</v>
      </c>
      <c r="G780" s="578"/>
      <c r="H780" s="578"/>
      <c r="I780" s="578"/>
      <c r="J780" s="578"/>
      <c r="K780" s="578"/>
    </row>
    <row r="781" spans="1:11" s="576" customFormat="1" ht="15.75" x14ac:dyDescent="0.25">
      <c r="A781" s="579" t="s">
        <v>135</v>
      </c>
      <c r="B781" s="580" t="s">
        <v>264</v>
      </c>
      <c r="C781" s="580" t="s">
        <v>219</v>
      </c>
      <c r="D781" s="580" t="s">
        <v>861</v>
      </c>
      <c r="E781" s="580" t="s">
        <v>145</v>
      </c>
      <c r="F781" s="489">
        <f>F782</f>
        <v>14</v>
      </c>
      <c r="G781" s="578"/>
      <c r="H781" s="578"/>
      <c r="I781" s="578"/>
      <c r="J781" s="578"/>
      <c r="K781" s="578"/>
    </row>
    <row r="782" spans="1:11" s="576" customFormat="1" ht="15.75" x14ac:dyDescent="0.25">
      <c r="A782" s="579" t="s">
        <v>568</v>
      </c>
      <c r="B782" s="580" t="s">
        <v>264</v>
      </c>
      <c r="C782" s="580" t="s">
        <v>219</v>
      </c>
      <c r="D782" s="580" t="s">
        <v>861</v>
      </c>
      <c r="E782" s="580" t="s">
        <v>138</v>
      </c>
      <c r="F782" s="489">
        <f>'Пр.4 ведом.22'!G798</f>
        <v>14</v>
      </c>
      <c r="G782" s="578"/>
      <c r="H782" s="578"/>
      <c r="I782" s="578"/>
      <c r="J782" s="578"/>
      <c r="K782" s="578"/>
    </row>
    <row r="783" spans="1:11" ht="47.25" x14ac:dyDescent="0.25">
      <c r="A783" s="579" t="s">
        <v>839</v>
      </c>
      <c r="B783" s="580" t="s">
        <v>264</v>
      </c>
      <c r="C783" s="580" t="s">
        <v>219</v>
      </c>
      <c r="D783" s="580" t="s">
        <v>862</v>
      </c>
      <c r="E783" s="580"/>
      <c r="F783" s="489">
        <f>F784</f>
        <v>475</v>
      </c>
    </row>
    <row r="784" spans="1:11" ht="78.75" x14ac:dyDescent="0.25">
      <c r="A784" s="579" t="s">
        <v>127</v>
      </c>
      <c r="B784" s="580" t="s">
        <v>264</v>
      </c>
      <c r="C784" s="580" t="s">
        <v>219</v>
      </c>
      <c r="D784" s="580" t="s">
        <v>862</v>
      </c>
      <c r="E784" s="580" t="s">
        <v>128</v>
      </c>
      <c r="F784" s="489">
        <f>F785</f>
        <v>475</v>
      </c>
    </row>
    <row r="785" spans="1:11" ht="31.5" x14ac:dyDescent="0.25">
      <c r="A785" s="579" t="s">
        <v>129</v>
      </c>
      <c r="B785" s="580" t="s">
        <v>264</v>
      </c>
      <c r="C785" s="580" t="s">
        <v>219</v>
      </c>
      <c r="D785" s="580" t="s">
        <v>862</v>
      </c>
      <c r="E785" s="580" t="s">
        <v>130</v>
      </c>
      <c r="F785" s="489">
        <f>'Пр.4 ведом.22'!G801</f>
        <v>475</v>
      </c>
    </row>
    <row r="786" spans="1:11" ht="15.75" x14ac:dyDescent="0.25">
      <c r="A786" s="494" t="s">
        <v>141</v>
      </c>
      <c r="B786" s="495" t="s">
        <v>264</v>
      </c>
      <c r="C786" s="495" t="s">
        <v>219</v>
      </c>
      <c r="D786" s="495" t="s">
        <v>866</v>
      </c>
      <c r="E786" s="495"/>
      <c r="F786" s="488">
        <f>F787+F796</f>
        <v>500</v>
      </c>
    </row>
    <row r="787" spans="1:11" ht="31.5" x14ac:dyDescent="0.25">
      <c r="A787" s="494" t="s">
        <v>870</v>
      </c>
      <c r="B787" s="495" t="s">
        <v>264</v>
      </c>
      <c r="C787" s="495" t="s">
        <v>219</v>
      </c>
      <c r="D787" s="495" t="s">
        <v>865</v>
      </c>
      <c r="E787" s="495"/>
      <c r="F787" s="488">
        <f>F791+F788</f>
        <v>500</v>
      </c>
    </row>
    <row r="788" spans="1:11" s="487" customFormat="1" ht="47.25" hidden="1" x14ac:dyDescent="0.25">
      <c r="A788" s="31" t="s">
        <v>1664</v>
      </c>
      <c r="B788" s="580" t="s">
        <v>264</v>
      </c>
      <c r="C788" s="580" t="s">
        <v>219</v>
      </c>
      <c r="D788" s="580" t="s">
        <v>1663</v>
      </c>
      <c r="E788" s="580"/>
      <c r="F788" s="489">
        <f>F789</f>
        <v>0</v>
      </c>
      <c r="G788" s="578"/>
      <c r="H788" s="578"/>
      <c r="I788" s="578"/>
      <c r="J788" s="578"/>
      <c r="K788" s="578"/>
    </row>
    <row r="789" spans="1:11" s="487" customFormat="1" ht="31.5" hidden="1" x14ac:dyDescent="0.25">
      <c r="A789" s="579" t="s">
        <v>131</v>
      </c>
      <c r="B789" s="580" t="s">
        <v>264</v>
      </c>
      <c r="C789" s="580" t="s">
        <v>219</v>
      </c>
      <c r="D789" s="580" t="s">
        <v>1663</v>
      </c>
      <c r="E789" s="580" t="s">
        <v>132</v>
      </c>
      <c r="F789" s="489">
        <f>F790</f>
        <v>0</v>
      </c>
      <c r="G789" s="578"/>
      <c r="H789" s="578"/>
      <c r="I789" s="578"/>
      <c r="J789" s="578"/>
      <c r="K789" s="578"/>
    </row>
    <row r="790" spans="1:11" s="487" customFormat="1" ht="31.5" hidden="1" x14ac:dyDescent="0.25">
      <c r="A790" s="579" t="s">
        <v>133</v>
      </c>
      <c r="B790" s="580" t="s">
        <v>264</v>
      </c>
      <c r="C790" s="580" t="s">
        <v>219</v>
      </c>
      <c r="D790" s="580" t="s">
        <v>1663</v>
      </c>
      <c r="E790" s="580" t="s">
        <v>134</v>
      </c>
      <c r="F790" s="489">
        <f>'Пр.4 ведом.22'!G365</f>
        <v>0</v>
      </c>
      <c r="G790" s="578"/>
      <c r="H790" s="578"/>
      <c r="I790" s="578"/>
      <c r="J790" s="578"/>
      <c r="K790" s="578"/>
    </row>
    <row r="791" spans="1:11" ht="15.75" x14ac:dyDescent="0.25">
      <c r="A791" s="579" t="s">
        <v>478</v>
      </c>
      <c r="B791" s="580" t="s">
        <v>264</v>
      </c>
      <c r="C791" s="580" t="s">
        <v>219</v>
      </c>
      <c r="D791" s="580" t="s">
        <v>944</v>
      </c>
      <c r="E791" s="580"/>
      <c r="F791" s="489">
        <f>F792+F794</f>
        <v>500</v>
      </c>
    </row>
    <row r="792" spans="1:11" s="487" customFormat="1" ht="78.75" hidden="1" x14ac:dyDescent="0.25">
      <c r="A792" s="579" t="s">
        <v>127</v>
      </c>
      <c r="B792" s="580" t="s">
        <v>264</v>
      </c>
      <c r="C792" s="580" t="s">
        <v>219</v>
      </c>
      <c r="D792" s="580" t="s">
        <v>944</v>
      </c>
      <c r="E792" s="580" t="s">
        <v>128</v>
      </c>
      <c r="F792" s="489">
        <f>F793</f>
        <v>0</v>
      </c>
      <c r="G792" s="578"/>
      <c r="H792" s="578"/>
      <c r="I792" s="578"/>
      <c r="J792" s="578"/>
      <c r="K792" s="578"/>
    </row>
    <row r="793" spans="1:11" s="487" customFormat="1" ht="31.5" hidden="1" x14ac:dyDescent="0.25">
      <c r="A793" s="579" t="s">
        <v>342</v>
      </c>
      <c r="B793" s="580" t="s">
        <v>264</v>
      </c>
      <c r="C793" s="580" t="s">
        <v>219</v>
      </c>
      <c r="D793" s="580" t="s">
        <v>944</v>
      </c>
      <c r="E793" s="580" t="s">
        <v>209</v>
      </c>
      <c r="F793" s="489">
        <f>'Пр.4 ведом.22'!G806</f>
        <v>0</v>
      </c>
      <c r="G793" s="578"/>
      <c r="H793" s="578"/>
      <c r="I793" s="578"/>
      <c r="J793" s="578"/>
      <c r="K793" s="578"/>
    </row>
    <row r="794" spans="1:11" ht="31.5" x14ac:dyDescent="0.25">
      <c r="A794" s="579" t="s">
        <v>131</v>
      </c>
      <c r="B794" s="580" t="s">
        <v>264</v>
      </c>
      <c r="C794" s="580" t="s">
        <v>219</v>
      </c>
      <c r="D794" s="580" t="s">
        <v>944</v>
      </c>
      <c r="E794" s="580" t="s">
        <v>132</v>
      </c>
      <c r="F794" s="489">
        <f>F795</f>
        <v>500</v>
      </c>
    </row>
    <row r="795" spans="1:11" ht="39.75" customHeight="1" x14ac:dyDescent="0.25">
      <c r="A795" s="579" t="s">
        <v>133</v>
      </c>
      <c r="B795" s="580" t="s">
        <v>264</v>
      </c>
      <c r="C795" s="580" t="s">
        <v>219</v>
      </c>
      <c r="D795" s="580" t="s">
        <v>944</v>
      </c>
      <c r="E795" s="580" t="s">
        <v>134</v>
      </c>
      <c r="F795" s="489">
        <f>'Пр.4 ведом.22'!G808</f>
        <v>500</v>
      </c>
    </row>
    <row r="796" spans="1:11" ht="36.75" hidden="1" customHeight="1" x14ac:dyDescent="0.25">
      <c r="A796" s="494" t="s">
        <v>929</v>
      </c>
      <c r="B796" s="495" t="s">
        <v>264</v>
      </c>
      <c r="C796" s="495" t="s">
        <v>219</v>
      </c>
      <c r="D796" s="495" t="s">
        <v>914</v>
      </c>
      <c r="E796" s="495"/>
      <c r="F796" s="488">
        <f>F797+F804</f>
        <v>0</v>
      </c>
    </row>
    <row r="797" spans="1:11" ht="31.5" hidden="1" x14ac:dyDescent="0.25">
      <c r="A797" s="579" t="s">
        <v>903</v>
      </c>
      <c r="B797" s="580" t="s">
        <v>264</v>
      </c>
      <c r="C797" s="580" t="s">
        <v>219</v>
      </c>
      <c r="D797" s="580" t="s">
        <v>915</v>
      </c>
      <c r="E797" s="580"/>
      <c r="F797" s="386">
        <f>F798+F800+F802</f>
        <v>0</v>
      </c>
    </row>
    <row r="798" spans="1:11" ht="78.75" hidden="1" x14ac:dyDescent="0.25">
      <c r="A798" s="579" t="s">
        <v>127</v>
      </c>
      <c r="B798" s="580" t="s">
        <v>264</v>
      </c>
      <c r="C798" s="580" t="s">
        <v>219</v>
      </c>
      <c r="D798" s="580" t="s">
        <v>915</v>
      </c>
      <c r="E798" s="580" t="s">
        <v>128</v>
      </c>
      <c r="F798" s="386">
        <f>F799</f>
        <v>0</v>
      </c>
    </row>
    <row r="799" spans="1:11" ht="24" hidden="1" customHeight="1" x14ac:dyDescent="0.25">
      <c r="A799" s="579" t="s">
        <v>342</v>
      </c>
      <c r="B799" s="580" t="s">
        <v>264</v>
      </c>
      <c r="C799" s="580" t="s">
        <v>219</v>
      </c>
      <c r="D799" s="580" t="s">
        <v>915</v>
      </c>
      <c r="E799" s="580" t="s">
        <v>209</v>
      </c>
      <c r="F799" s="489">
        <f>'Пр.4 ведом.22'!G812</f>
        <v>0</v>
      </c>
    </row>
    <row r="800" spans="1:11" ht="31.5" hidden="1" x14ac:dyDescent="0.25">
      <c r="A800" s="579" t="s">
        <v>131</v>
      </c>
      <c r="B800" s="580" t="s">
        <v>264</v>
      </c>
      <c r="C800" s="580" t="s">
        <v>219</v>
      </c>
      <c r="D800" s="580" t="s">
        <v>915</v>
      </c>
      <c r="E800" s="580" t="s">
        <v>132</v>
      </c>
      <c r="F800" s="489">
        <f>F801</f>
        <v>0</v>
      </c>
    </row>
    <row r="801" spans="1:12" ht="31.7" hidden="1" customHeight="1" x14ac:dyDescent="0.25">
      <c r="A801" s="579" t="s">
        <v>133</v>
      </c>
      <c r="B801" s="580" t="s">
        <v>264</v>
      </c>
      <c r="C801" s="580" t="s">
        <v>219</v>
      </c>
      <c r="D801" s="580" t="s">
        <v>915</v>
      </c>
      <c r="E801" s="580" t="s">
        <v>134</v>
      </c>
      <c r="F801" s="489">
        <f>'Пр.4 ведом.22'!G814</f>
        <v>0</v>
      </c>
    </row>
    <row r="802" spans="1:12" ht="22.7" hidden="1" customHeight="1" x14ac:dyDescent="0.25">
      <c r="A802" s="579" t="s">
        <v>135</v>
      </c>
      <c r="B802" s="580" t="s">
        <v>264</v>
      </c>
      <c r="C802" s="580" t="s">
        <v>219</v>
      </c>
      <c r="D802" s="580" t="s">
        <v>915</v>
      </c>
      <c r="E802" s="580" t="s">
        <v>145</v>
      </c>
      <c r="F802" s="489">
        <f t="shared" ref="F802" si="81">F803</f>
        <v>0</v>
      </c>
    </row>
    <row r="803" spans="1:12" ht="15.75" hidden="1" customHeight="1" x14ac:dyDescent="0.25">
      <c r="A803" s="579" t="s">
        <v>568</v>
      </c>
      <c r="B803" s="580" t="s">
        <v>264</v>
      </c>
      <c r="C803" s="580" t="s">
        <v>219</v>
      </c>
      <c r="D803" s="580" t="s">
        <v>915</v>
      </c>
      <c r="E803" s="580" t="s">
        <v>138</v>
      </c>
      <c r="F803" s="489">
        <f>'Пр.4 ведом.22'!G816</f>
        <v>0</v>
      </c>
    </row>
    <row r="804" spans="1:12" ht="47.25" hidden="1" customHeight="1" x14ac:dyDescent="0.25">
      <c r="A804" s="579" t="s">
        <v>839</v>
      </c>
      <c r="B804" s="580" t="s">
        <v>264</v>
      </c>
      <c r="C804" s="580" t="s">
        <v>219</v>
      </c>
      <c r="D804" s="580" t="s">
        <v>916</v>
      </c>
      <c r="E804" s="580"/>
      <c r="F804" s="489">
        <f>F805</f>
        <v>0</v>
      </c>
    </row>
    <row r="805" spans="1:12" ht="78.75" hidden="1" x14ac:dyDescent="0.25">
      <c r="A805" s="579" t="s">
        <v>127</v>
      </c>
      <c r="B805" s="580" t="s">
        <v>264</v>
      </c>
      <c r="C805" s="580" t="s">
        <v>219</v>
      </c>
      <c r="D805" s="580" t="s">
        <v>916</v>
      </c>
      <c r="E805" s="580" t="s">
        <v>128</v>
      </c>
      <c r="F805" s="489">
        <f>F806</f>
        <v>0</v>
      </c>
    </row>
    <row r="806" spans="1:12" ht="31.5" hidden="1" x14ac:dyDescent="0.25">
      <c r="A806" s="579" t="s">
        <v>129</v>
      </c>
      <c r="B806" s="580" t="s">
        <v>264</v>
      </c>
      <c r="C806" s="580" t="s">
        <v>219</v>
      </c>
      <c r="D806" s="580" t="s">
        <v>916</v>
      </c>
      <c r="E806" s="580" t="s">
        <v>130</v>
      </c>
      <c r="F806" s="489">
        <f>'Пр.4 ведом.22'!G819</f>
        <v>0</v>
      </c>
    </row>
    <row r="807" spans="1:12" ht="15.75" x14ac:dyDescent="0.25">
      <c r="A807" s="572" t="s">
        <v>298</v>
      </c>
      <c r="B807" s="7" t="s">
        <v>299</v>
      </c>
      <c r="C807" s="7"/>
      <c r="D807" s="7"/>
      <c r="E807" s="7"/>
      <c r="F807" s="488">
        <f>F808+F873</f>
        <v>89258.319999999992</v>
      </c>
      <c r="H807" s="115"/>
      <c r="K807" s="230">
        <f>F807-F831-'Пр.4 ведом.22'!L1175-'Пр.4 ведом.22'!N1175-'Пр.4 ведом.22'!J1185-'Пр.4 ведом.22'!T1185</f>
        <v>86773.319999999992</v>
      </c>
      <c r="L807" s="232">
        <f>F818+F831+F843-'Пр.4 ведом.22'!L1174-'Пр.4 ведом.22'!N1174-'Пр.4 ведом.22'!J1184-'Пр.4 ведом.22'!T1184</f>
        <v>2488.5</v>
      </c>
    </row>
    <row r="808" spans="1:12" ht="15.75" x14ac:dyDescent="0.25">
      <c r="A808" s="572" t="s">
        <v>300</v>
      </c>
      <c r="B808" s="7" t="s">
        <v>299</v>
      </c>
      <c r="C808" s="7" t="s">
        <v>118</v>
      </c>
      <c r="D808" s="7"/>
      <c r="E808" s="7"/>
      <c r="F808" s="488">
        <f>F809+F863+F868</f>
        <v>68123.839999999997</v>
      </c>
      <c r="G808" s="115"/>
      <c r="H808" s="115"/>
      <c r="I808" s="115"/>
      <c r="J808" s="115"/>
    </row>
    <row r="809" spans="1:12" ht="34.5" customHeight="1" x14ac:dyDescent="0.25">
      <c r="A809" s="494" t="s">
        <v>1351</v>
      </c>
      <c r="B809" s="495" t="s">
        <v>299</v>
      </c>
      <c r="C809" s="495" t="s">
        <v>118</v>
      </c>
      <c r="D809" s="495" t="s">
        <v>267</v>
      </c>
      <c r="E809" s="495"/>
      <c r="F809" s="488">
        <f>F810+F821+F827+F831+F838+F842+F853</f>
        <v>67235.14</v>
      </c>
      <c r="H809" s="198"/>
    </row>
    <row r="810" spans="1:12" ht="34.5" customHeight="1" x14ac:dyDescent="0.25">
      <c r="A810" s="494" t="s">
        <v>1299</v>
      </c>
      <c r="B810" s="495" t="s">
        <v>299</v>
      </c>
      <c r="C810" s="495" t="s">
        <v>118</v>
      </c>
      <c r="D810" s="495" t="s">
        <v>1203</v>
      </c>
      <c r="E810" s="495"/>
      <c r="F810" s="488">
        <f>F811+F818</f>
        <v>52801.84</v>
      </c>
    </row>
    <row r="811" spans="1:12" ht="15.75" x14ac:dyDescent="0.25">
      <c r="A811" s="579" t="s">
        <v>800</v>
      </c>
      <c r="B811" s="580" t="s">
        <v>299</v>
      </c>
      <c r="C811" s="580" t="s">
        <v>118</v>
      </c>
      <c r="D811" s="580" t="s">
        <v>1204</v>
      </c>
      <c r="E811" s="580"/>
      <c r="F811" s="489">
        <f>F812+F814+F816</f>
        <v>52801.84</v>
      </c>
    </row>
    <row r="812" spans="1:12" ht="78.75" x14ac:dyDescent="0.25">
      <c r="A812" s="579" t="s">
        <v>127</v>
      </c>
      <c r="B812" s="580" t="s">
        <v>299</v>
      </c>
      <c r="C812" s="580" t="s">
        <v>118</v>
      </c>
      <c r="D812" s="580" t="s">
        <v>1204</v>
      </c>
      <c r="E812" s="580" t="s">
        <v>128</v>
      </c>
      <c r="F812" s="489">
        <f>F813</f>
        <v>42283.78</v>
      </c>
    </row>
    <row r="813" spans="1:12" ht="15.75" x14ac:dyDescent="0.25">
      <c r="A813" s="579" t="s">
        <v>208</v>
      </c>
      <c r="B813" s="580" t="s">
        <v>299</v>
      </c>
      <c r="C813" s="580" t="s">
        <v>118</v>
      </c>
      <c r="D813" s="580" t="s">
        <v>1204</v>
      </c>
      <c r="E813" s="580" t="s">
        <v>209</v>
      </c>
      <c r="F813" s="489">
        <f>'Пр.4 ведом.22'!G372</f>
        <v>42283.78</v>
      </c>
    </row>
    <row r="814" spans="1:12" ht="31.5" x14ac:dyDescent="0.25">
      <c r="A814" s="579" t="s">
        <v>131</v>
      </c>
      <c r="B814" s="580" t="s">
        <v>299</v>
      </c>
      <c r="C814" s="580" t="s">
        <v>118</v>
      </c>
      <c r="D814" s="580" t="s">
        <v>1204</v>
      </c>
      <c r="E814" s="580" t="s">
        <v>132</v>
      </c>
      <c r="F814" s="489">
        <f>F815</f>
        <v>10455.060000000001</v>
      </c>
      <c r="G814" s="115"/>
      <c r="L814" s="22"/>
    </row>
    <row r="815" spans="1:12" ht="31.5" x14ac:dyDescent="0.25">
      <c r="A815" s="579" t="s">
        <v>133</v>
      </c>
      <c r="B815" s="580" t="s">
        <v>299</v>
      </c>
      <c r="C815" s="580" t="s">
        <v>118</v>
      </c>
      <c r="D815" s="580" t="s">
        <v>1204</v>
      </c>
      <c r="E815" s="580" t="s">
        <v>134</v>
      </c>
      <c r="F815" s="489">
        <f>'Пр.4 ведом.22'!G374</f>
        <v>10455.060000000001</v>
      </c>
    </row>
    <row r="816" spans="1:12" ht="15.75" x14ac:dyDescent="0.25">
      <c r="A816" s="579" t="s">
        <v>135</v>
      </c>
      <c r="B816" s="580" t="s">
        <v>299</v>
      </c>
      <c r="C816" s="580" t="s">
        <v>118</v>
      </c>
      <c r="D816" s="580" t="s">
        <v>1204</v>
      </c>
      <c r="E816" s="580" t="s">
        <v>145</v>
      </c>
      <c r="F816" s="489">
        <f t="shared" ref="F816" si="82">F817</f>
        <v>63</v>
      </c>
    </row>
    <row r="817" spans="1:11" ht="15.75" x14ac:dyDescent="0.25">
      <c r="A817" s="579" t="s">
        <v>568</v>
      </c>
      <c r="B817" s="580" t="s">
        <v>299</v>
      </c>
      <c r="C817" s="580" t="s">
        <v>118</v>
      </c>
      <c r="D817" s="580" t="s">
        <v>1204</v>
      </c>
      <c r="E817" s="580" t="s">
        <v>138</v>
      </c>
      <c r="F817" s="489">
        <f>'Пр.4 ведом.22'!G376</f>
        <v>63</v>
      </c>
    </row>
    <row r="818" spans="1:11" s="203" customFormat="1" ht="29.85" hidden="1" customHeight="1" x14ac:dyDescent="0.25">
      <c r="A818" s="31" t="s">
        <v>1505</v>
      </c>
      <c r="B818" s="580" t="s">
        <v>299</v>
      </c>
      <c r="C818" s="580" t="s">
        <v>118</v>
      </c>
      <c r="D818" s="580" t="s">
        <v>1481</v>
      </c>
      <c r="E818" s="580"/>
      <c r="F818" s="489">
        <f>F819</f>
        <v>0</v>
      </c>
      <c r="G818" s="578"/>
      <c r="H818" s="578"/>
      <c r="I818" s="578"/>
      <c r="J818" s="578"/>
      <c r="K818" s="578"/>
    </row>
    <row r="819" spans="1:11" s="203" customFormat="1" ht="78.75" hidden="1" x14ac:dyDescent="0.25">
      <c r="A819" s="579" t="s">
        <v>127</v>
      </c>
      <c r="B819" s="580" t="s">
        <v>299</v>
      </c>
      <c r="C819" s="580" t="s">
        <v>118</v>
      </c>
      <c r="D819" s="580" t="s">
        <v>1481</v>
      </c>
      <c r="E819" s="580" t="s">
        <v>128</v>
      </c>
      <c r="F819" s="489">
        <f>F820</f>
        <v>0</v>
      </c>
      <c r="G819" s="578"/>
      <c r="H819" s="578"/>
      <c r="I819" s="578"/>
      <c r="J819" s="578"/>
      <c r="K819" s="578"/>
    </row>
    <row r="820" spans="1:11" s="203" customFormat="1" ht="15.75" hidden="1" x14ac:dyDescent="0.25">
      <c r="A820" s="579" t="s">
        <v>208</v>
      </c>
      <c r="B820" s="580" t="s">
        <v>299</v>
      </c>
      <c r="C820" s="580" t="s">
        <v>118</v>
      </c>
      <c r="D820" s="580" t="s">
        <v>1481</v>
      </c>
      <c r="E820" s="580" t="s">
        <v>209</v>
      </c>
      <c r="F820" s="489">
        <f>'Пр.4 ведом.22'!G379</f>
        <v>0</v>
      </c>
      <c r="G820" s="578"/>
      <c r="H820" s="578"/>
      <c r="I820" s="578"/>
      <c r="J820" s="578"/>
      <c r="K820" s="578"/>
    </row>
    <row r="821" spans="1:11" ht="31.5" x14ac:dyDescent="0.25">
      <c r="A821" s="217" t="s">
        <v>1301</v>
      </c>
      <c r="B821" s="495" t="s">
        <v>299</v>
      </c>
      <c r="C821" s="495" t="s">
        <v>118</v>
      </c>
      <c r="D821" s="495" t="s">
        <v>1205</v>
      </c>
      <c r="E821" s="495"/>
      <c r="F821" s="488">
        <f>F822</f>
        <v>280</v>
      </c>
    </row>
    <row r="822" spans="1:11" ht="31.5" x14ac:dyDescent="0.25">
      <c r="A822" s="31" t="s">
        <v>816</v>
      </c>
      <c r="B822" s="580" t="s">
        <v>299</v>
      </c>
      <c r="C822" s="580" t="s">
        <v>118</v>
      </c>
      <c r="D822" s="580" t="s">
        <v>1207</v>
      </c>
      <c r="E822" s="580"/>
      <c r="F822" s="489">
        <f>F823+F825</f>
        <v>280</v>
      </c>
    </row>
    <row r="823" spans="1:11" ht="78.75" x14ac:dyDescent="0.25">
      <c r="A823" s="579" t="s">
        <v>127</v>
      </c>
      <c r="B823" s="580" t="s">
        <v>299</v>
      </c>
      <c r="C823" s="580" t="s">
        <v>118</v>
      </c>
      <c r="D823" s="580" t="s">
        <v>1207</v>
      </c>
      <c r="E823" s="580" t="s">
        <v>128</v>
      </c>
      <c r="F823" s="489">
        <f>F824</f>
        <v>280</v>
      </c>
    </row>
    <row r="824" spans="1:11" ht="15.75" x14ac:dyDescent="0.25">
      <c r="A824" s="579" t="s">
        <v>208</v>
      </c>
      <c r="B824" s="580" t="s">
        <v>299</v>
      </c>
      <c r="C824" s="580" t="s">
        <v>118</v>
      </c>
      <c r="D824" s="580" t="s">
        <v>1207</v>
      </c>
      <c r="E824" s="580" t="s">
        <v>209</v>
      </c>
      <c r="F824" s="489">
        <f>'Пр.4 ведом.22'!G383</f>
        <v>280</v>
      </c>
    </row>
    <row r="825" spans="1:11" ht="31.5" hidden="1" x14ac:dyDescent="0.25">
      <c r="A825" s="579" t="s">
        <v>131</v>
      </c>
      <c r="B825" s="580" t="s">
        <v>299</v>
      </c>
      <c r="C825" s="580" t="s">
        <v>118</v>
      </c>
      <c r="D825" s="580" t="s">
        <v>1207</v>
      </c>
      <c r="E825" s="580" t="s">
        <v>132</v>
      </c>
      <c r="F825" s="489">
        <f>F826</f>
        <v>0</v>
      </c>
    </row>
    <row r="826" spans="1:11" ht="31.5" hidden="1" x14ac:dyDescent="0.25">
      <c r="A826" s="579" t="s">
        <v>133</v>
      </c>
      <c r="B826" s="580" t="s">
        <v>299</v>
      </c>
      <c r="C826" s="580" t="s">
        <v>118</v>
      </c>
      <c r="D826" s="580" t="s">
        <v>1207</v>
      </c>
      <c r="E826" s="580" t="s">
        <v>134</v>
      </c>
      <c r="F826" s="489">
        <f>'Пр.4 ведом.22'!G385</f>
        <v>0</v>
      </c>
    </row>
    <row r="827" spans="1:11" ht="31.5" x14ac:dyDescent="0.25">
      <c r="A827" s="494" t="s">
        <v>947</v>
      </c>
      <c r="B827" s="495" t="s">
        <v>299</v>
      </c>
      <c r="C827" s="495" t="s">
        <v>118</v>
      </c>
      <c r="D827" s="495" t="s">
        <v>1208</v>
      </c>
      <c r="E827" s="495"/>
      <c r="F827" s="488">
        <f>F828</f>
        <v>903</v>
      </c>
    </row>
    <row r="828" spans="1:11" ht="47.25" x14ac:dyDescent="0.25">
      <c r="A828" s="579" t="s">
        <v>839</v>
      </c>
      <c r="B828" s="580" t="s">
        <v>299</v>
      </c>
      <c r="C828" s="580" t="s">
        <v>118</v>
      </c>
      <c r="D828" s="580" t="s">
        <v>1209</v>
      </c>
      <c r="E828" s="580"/>
      <c r="F828" s="489">
        <f>F829</f>
        <v>903</v>
      </c>
    </row>
    <row r="829" spans="1:11" ht="78.75" x14ac:dyDescent="0.25">
      <c r="A829" s="579" t="s">
        <v>127</v>
      </c>
      <c r="B829" s="580" t="s">
        <v>299</v>
      </c>
      <c r="C829" s="580" t="s">
        <v>118</v>
      </c>
      <c r="D829" s="580" t="s">
        <v>1209</v>
      </c>
      <c r="E829" s="580" t="s">
        <v>128</v>
      </c>
      <c r="F829" s="489">
        <f>F830</f>
        <v>903</v>
      </c>
    </row>
    <row r="830" spans="1:11" ht="31.5" x14ac:dyDescent="0.25">
      <c r="A830" s="579" t="s">
        <v>129</v>
      </c>
      <c r="B830" s="580" t="s">
        <v>299</v>
      </c>
      <c r="C830" s="580" t="s">
        <v>118</v>
      </c>
      <c r="D830" s="580" t="s">
        <v>1209</v>
      </c>
      <c r="E830" s="580" t="s">
        <v>209</v>
      </c>
      <c r="F830" s="489">
        <f>'Пр.4 ведом.22'!G389</f>
        <v>903</v>
      </c>
    </row>
    <row r="831" spans="1:11" ht="47.25" x14ac:dyDescent="0.25">
      <c r="A831" s="218" t="s">
        <v>900</v>
      </c>
      <c r="B831" s="495" t="s">
        <v>299</v>
      </c>
      <c r="C831" s="495" t="s">
        <v>118</v>
      </c>
      <c r="D831" s="495" t="s">
        <v>1210</v>
      </c>
      <c r="E831" s="495"/>
      <c r="F831" s="488">
        <f>F832+F835</f>
        <v>2485</v>
      </c>
    </row>
    <row r="832" spans="1:11" s="203" customFormat="1" ht="94.5" x14ac:dyDescent="0.25">
      <c r="A832" s="31" t="s">
        <v>293</v>
      </c>
      <c r="B832" s="580" t="s">
        <v>299</v>
      </c>
      <c r="C832" s="580" t="s">
        <v>118</v>
      </c>
      <c r="D832" s="580" t="s">
        <v>1403</v>
      </c>
      <c r="E832" s="580"/>
      <c r="F832" s="489">
        <f>F833</f>
        <v>2100.5</v>
      </c>
      <c r="G832" s="578"/>
      <c r="H832" s="578"/>
      <c r="I832" s="578"/>
      <c r="J832" s="578"/>
      <c r="K832" s="578"/>
    </row>
    <row r="833" spans="1:11" s="203" customFormat="1" ht="78.75" x14ac:dyDescent="0.25">
      <c r="A833" s="579" t="s">
        <v>127</v>
      </c>
      <c r="B833" s="580" t="s">
        <v>299</v>
      </c>
      <c r="C833" s="580" t="s">
        <v>118</v>
      </c>
      <c r="D833" s="580" t="s">
        <v>1403</v>
      </c>
      <c r="E833" s="580" t="s">
        <v>128</v>
      </c>
      <c r="F833" s="489">
        <f>F834</f>
        <v>2100.5</v>
      </c>
      <c r="G833" s="578"/>
      <c r="H833" s="578"/>
      <c r="I833" s="578"/>
      <c r="J833" s="578"/>
      <c r="K833" s="578"/>
    </row>
    <row r="834" spans="1:11" s="203" customFormat="1" ht="15.75" x14ac:dyDescent="0.25">
      <c r="A834" s="579" t="s">
        <v>208</v>
      </c>
      <c r="B834" s="580" t="s">
        <v>299</v>
      </c>
      <c r="C834" s="580" t="s">
        <v>118</v>
      </c>
      <c r="D834" s="580" t="s">
        <v>1403</v>
      </c>
      <c r="E834" s="580" t="s">
        <v>209</v>
      </c>
      <c r="F834" s="489">
        <f>'Пр.4 ведом.22'!G393</f>
        <v>2100.5</v>
      </c>
      <c r="G834" s="578"/>
      <c r="H834" s="578"/>
      <c r="I834" s="578"/>
      <c r="J834" s="578"/>
      <c r="K834" s="578"/>
    </row>
    <row r="835" spans="1:11" s="203" customFormat="1" ht="78.75" x14ac:dyDescent="0.25">
      <c r="A835" s="579" t="s">
        <v>331</v>
      </c>
      <c r="B835" s="580" t="s">
        <v>299</v>
      </c>
      <c r="C835" s="580" t="s">
        <v>118</v>
      </c>
      <c r="D835" s="580" t="s">
        <v>1291</v>
      </c>
      <c r="E835" s="580"/>
      <c r="F835" s="497">
        <f>F836</f>
        <v>384.5</v>
      </c>
      <c r="G835" s="578"/>
      <c r="H835" s="578"/>
      <c r="I835" s="578"/>
      <c r="J835" s="578"/>
      <c r="K835" s="578"/>
    </row>
    <row r="836" spans="1:11" s="203" customFormat="1" ht="78.75" x14ac:dyDescent="0.25">
      <c r="A836" s="579" t="s">
        <v>127</v>
      </c>
      <c r="B836" s="580" t="s">
        <v>299</v>
      </c>
      <c r="C836" s="580" t="s">
        <v>118</v>
      </c>
      <c r="D836" s="580" t="s">
        <v>1291</v>
      </c>
      <c r="E836" s="580" t="s">
        <v>128</v>
      </c>
      <c r="F836" s="497">
        <f>F837</f>
        <v>384.5</v>
      </c>
      <c r="G836" s="578"/>
      <c r="H836" s="578"/>
      <c r="I836" s="578"/>
      <c r="J836" s="578"/>
      <c r="K836" s="578"/>
    </row>
    <row r="837" spans="1:11" s="203" customFormat="1" ht="15.75" x14ac:dyDescent="0.25">
      <c r="A837" s="579" t="s">
        <v>208</v>
      </c>
      <c r="B837" s="580" t="s">
        <v>299</v>
      </c>
      <c r="C837" s="580" t="s">
        <v>118</v>
      </c>
      <c r="D837" s="580" t="s">
        <v>1291</v>
      </c>
      <c r="E837" s="580" t="s">
        <v>209</v>
      </c>
      <c r="F837" s="497">
        <f>'Пр.4 ведом.22'!G396</f>
        <v>384.5</v>
      </c>
      <c r="G837" s="578"/>
      <c r="H837" s="578"/>
      <c r="I837" s="578"/>
      <c r="J837" s="578"/>
      <c r="K837" s="578"/>
    </row>
    <row r="838" spans="1:11" s="203" customFormat="1" ht="31.5" x14ac:dyDescent="0.25">
      <c r="A838" s="494" t="s">
        <v>902</v>
      </c>
      <c r="B838" s="495" t="s">
        <v>299</v>
      </c>
      <c r="C838" s="495" t="s">
        <v>118</v>
      </c>
      <c r="D838" s="495" t="s">
        <v>1215</v>
      </c>
      <c r="E838" s="495"/>
      <c r="F838" s="488">
        <f>F839</f>
        <v>50</v>
      </c>
      <c r="G838" s="578"/>
      <c r="H838" s="578"/>
      <c r="I838" s="578"/>
      <c r="J838" s="578"/>
      <c r="K838" s="578"/>
    </row>
    <row r="839" spans="1:11" s="203" customFormat="1" ht="31.5" x14ac:dyDescent="0.25">
      <c r="A839" s="579" t="s">
        <v>821</v>
      </c>
      <c r="B839" s="580" t="s">
        <v>299</v>
      </c>
      <c r="C839" s="580" t="s">
        <v>118</v>
      </c>
      <c r="D839" s="580" t="s">
        <v>1216</v>
      </c>
      <c r="E839" s="580"/>
      <c r="F839" s="489">
        <f>F840</f>
        <v>50</v>
      </c>
      <c r="G839" s="578"/>
      <c r="H839" s="578"/>
      <c r="I839" s="578"/>
      <c r="J839" s="578"/>
      <c r="K839" s="578"/>
    </row>
    <row r="840" spans="1:11" s="203" customFormat="1" ht="31.5" x14ac:dyDescent="0.25">
      <c r="A840" s="579" t="s">
        <v>131</v>
      </c>
      <c r="B840" s="580" t="s">
        <v>299</v>
      </c>
      <c r="C840" s="580" t="s">
        <v>118</v>
      </c>
      <c r="D840" s="580" t="s">
        <v>1216</v>
      </c>
      <c r="E840" s="580" t="s">
        <v>132</v>
      </c>
      <c r="F840" s="489">
        <f>F841</f>
        <v>50</v>
      </c>
      <c r="G840" s="578"/>
      <c r="H840" s="578"/>
      <c r="I840" s="578"/>
      <c r="J840" s="578"/>
      <c r="K840" s="578"/>
    </row>
    <row r="841" spans="1:11" s="203" customFormat="1" ht="31.5" x14ac:dyDescent="0.25">
      <c r="A841" s="579" t="s">
        <v>133</v>
      </c>
      <c r="B841" s="580" t="s">
        <v>299</v>
      </c>
      <c r="C841" s="580" t="s">
        <v>118</v>
      </c>
      <c r="D841" s="580" t="s">
        <v>1216</v>
      </c>
      <c r="E841" s="580" t="s">
        <v>134</v>
      </c>
      <c r="F841" s="489">
        <f>'Пр.4 ведом.22'!G400</f>
        <v>50</v>
      </c>
      <c r="G841" s="578"/>
      <c r="H841" s="578"/>
      <c r="I841" s="578"/>
      <c r="J841" s="578"/>
      <c r="K841" s="578"/>
    </row>
    <row r="842" spans="1:11" s="203" customFormat="1" ht="31.5" x14ac:dyDescent="0.25">
      <c r="A842" s="494" t="s">
        <v>1010</v>
      </c>
      <c r="B842" s="495" t="s">
        <v>299</v>
      </c>
      <c r="C842" s="495" t="s">
        <v>118</v>
      </c>
      <c r="D842" s="495" t="s">
        <v>1217</v>
      </c>
      <c r="E842" s="495"/>
      <c r="F842" s="488">
        <f>F843+F846</f>
        <v>65.300000000000011</v>
      </c>
      <c r="G842" s="578"/>
      <c r="H842" s="578"/>
      <c r="I842" s="578"/>
      <c r="J842" s="578"/>
      <c r="K842" s="578"/>
    </row>
    <row r="843" spans="1:11" s="203" customFormat="1" ht="31.5" x14ac:dyDescent="0.25">
      <c r="A843" s="579" t="s">
        <v>1484</v>
      </c>
      <c r="B843" s="580" t="s">
        <v>299</v>
      </c>
      <c r="C843" s="580" t="s">
        <v>118</v>
      </c>
      <c r="D843" s="580" t="s">
        <v>1218</v>
      </c>
      <c r="E843" s="580"/>
      <c r="F843" s="489">
        <f>F844</f>
        <v>3.5</v>
      </c>
      <c r="G843" s="578"/>
      <c r="H843" s="578"/>
      <c r="I843" s="578"/>
      <c r="J843" s="578"/>
      <c r="K843" s="578"/>
    </row>
    <row r="844" spans="1:11" s="203" customFormat="1" ht="31.5" x14ac:dyDescent="0.25">
      <c r="A844" s="579" t="s">
        <v>131</v>
      </c>
      <c r="B844" s="580" t="s">
        <v>299</v>
      </c>
      <c r="C844" s="580" t="s">
        <v>118</v>
      </c>
      <c r="D844" s="580" t="s">
        <v>1218</v>
      </c>
      <c r="E844" s="580" t="s">
        <v>132</v>
      </c>
      <c r="F844" s="489">
        <f>F845</f>
        <v>3.5</v>
      </c>
      <c r="G844" s="578"/>
      <c r="H844" s="578"/>
      <c r="I844" s="578"/>
      <c r="J844" s="578"/>
      <c r="K844" s="578"/>
    </row>
    <row r="845" spans="1:11" s="203" customFormat="1" ht="31.5" x14ac:dyDescent="0.25">
      <c r="A845" s="579" t="s">
        <v>133</v>
      </c>
      <c r="B845" s="580" t="s">
        <v>299</v>
      </c>
      <c r="C845" s="580" t="s">
        <v>118</v>
      </c>
      <c r="D845" s="580" t="s">
        <v>1218</v>
      </c>
      <c r="E845" s="580" t="s">
        <v>134</v>
      </c>
      <c r="F845" s="489">
        <f>'Пр.4 ведом.22'!G404</f>
        <v>3.5</v>
      </c>
      <c r="G845" s="578"/>
      <c r="H845" s="578"/>
      <c r="I845" s="578"/>
      <c r="J845" s="578"/>
      <c r="K845" s="578"/>
    </row>
    <row r="846" spans="1:11" s="576" customFormat="1" ht="31.5" x14ac:dyDescent="0.25">
      <c r="A846" s="579" t="s">
        <v>1756</v>
      </c>
      <c r="B846" s="580" t="s">
        <v>299</v>
      </c>
      <c r="C846" s="580" t="s">
        <v>118</v>
      </c>
      <c r="D846" s="580" t="s">
        <v>1757</v>
      </c>
      <c r="E846" s="580"/>
      <c r="F846" s="489">
        <f>F847</f>
        <v>61.800000000000004</v>
      </c>
      <c r="G846" s="578"/>
      <c r="H846" s="578"/>
      <c r="I846" s="578"/>
      <c r="J846" s="578"/>
      <c r="K846" s="578"/>
    </row>
    <row r="847" spans="1:11" s="576" customFormat="1" ht="31.5" x14ac:dyDescent="0.25">
      <c r="A847" s="579" t="s">
        <v>131</v>
      </c>
      <c r="B847" s="580" t="s">
        <v>299</v>
      </c>
      <c r="C847" s="580" t="s">
        <v>118</v>
      </c>
      <c r="D847" s="580" t="s">
        <v>1757</v>
      </c>
      <c r="E847" s="580" t="s">
        <v>132</v>
      </c>
      <c r="F847" s="489">
        <f>F848</f>
        <v>61.800000000000004</v>
      </c>
      <c r="G847" s="578"/>
      <c r="H847" s="578"/>
      <c r="I847" s="578"/>
      <c r="J847" s="578"/>
      <c r="K847" s="578"/>
    </row>
    <row r="848" spans="1:11" s="576" customFormat="1" ht="31.5" x14ac:dyDescent="0.25">
      <c r="A848" s="579" t="s">
        <v>133</v>
      </c>
      <c r="B848" s="580" t="s">
        <v>299</v>
      </c>
      <c r="C848" s="580" t="s">
        <v>118</v>
      </c>
      <c r="D848" s="580" t="s">
        <v>1757</v>
      </c>
      <c r="E848" s="580" t="s">
        <v>134</v>
      </c>
      <c r="F848" s="489">
        <f>'Пр.4 ведом.22'!G407</f>
        <v>61.800000000000004</v>
      </c>
      <c r="G848" s="578"/>
      <c r="H848" s="578"/>
      <c r="I848" s="578"/>
      <c r="J848" s="578"/>
      <c r="K848" s="578"/>
    </row>
    <row r="849" spans="1:11" s="487" customFormat="1" ht="31.5" hidden="1" x14ac:dyDescent="0.25">
      <c r="A849" s="34" t="s">
        <v>1646</v>
      </c>
      <c r="B849" s="495" t="s">
        <v>299</v>
      </c>
      <c r="C849" s="495" t="s">
        <v>118</v>
      </c>
      <c r="D849" s="495" t="s">
        <v>1648</v>
      </c>
      <c r="E849" s="495"/>
      <c r="F849" s="488">
        <f>F850</f>
        <v>0</v>
      </c>
      <c r="G849" s="578"/>
      <c r="H849" s="578"/>
      <c r="I849" s="578"/>
      <c r="J849" s="578"/>
      <c r="K849" s="578"/>
    </row>
    <row r="850" spans="1:11" s="487" customFormat="1" ht="63" hidden="1" x14ac:dyDescent="0.25">
      <c r="A850" s="31" t="s">
        <v>1647</v>
      </c>
      <c r="B850" s="580" t="s">
        <v>299</v>
      </c>
      <c r="C850" s="580" t="s">
        <v>118</v>
      </c>
      <c r="D850" s="580" t="s">
        <v>1649</v>
      </c>
      <c r="E850" s="580"/>
      <c r="F850" s="489">
        <f>F851</f>
        <v>0</v>
      </c>
      <c r="G850" s="578"/>
      <c r="H850" s="578"/>
      <c r="I850" s="578"/>
      <c r="J850" s="578"/>
      <c r="K850" s="578"/>
    </row>
    <row r="851" spans="1:11" s="487" customFormat="1" ht="31.5" hidden="1" x14ac:dyDescent="0.25">
      <c r="A851" s="579" t="s">
        <v>131</v>
      </c>
      <c r="B851" s="580" t="s">
        <v>299</v>
      </c>
      <c r="C851" s="580" t="s">
        <v>118</v>
      </c>
      <c r="D851" s="580" t="s">
        <v>1649</v>
      </c>
      <c r="E851" s="580" t="s">
        <v>132</v>
      </c>
      <c r="F851" s="489">
        <f>F852</f>
        <v>0</v>
      </c>
      <c r="G851" s="578"/>
      <c r="H851" s="578"/>
      <c r="I851" s="578"/>
      <c r="J851" s="578"/>
      <c r="K851" s="578"/>
    </row>
    <row r="852" spans="1:11" s="487" customFormat="1" ht="31.5" hidden="1" x14ac:dyDescent="0.25">
      <c r="A852" s="579" t="s">
        <v>133</v>
      </c>
      <c r="B852" s="580" t="s">
        <v>299</v>
      </c>
      <c r="C852" s="580" t="s">
        <v>118</v>
      </c>
      <c r="D852" s="580" t="s">
        <v>1649</v>
      </c>
      <c r="E852" s="580" t="s">
        <v>134</v>
      </c>
      <c r="F852" s="489">
        <f>'Пр.4 ведом.22'!G411</f>
        <v>0</v>
      </c>
      <c r="G852" s="578"/>
      <c r="H852" s="578"/>
      <c r="I852" s="578"/>
      <c r="J852" s="578"/>
      <c r="K852" s="578"/>
    </row>
    <row r="853" spans="1:11" s="203" customFormat="1" ht="31.5" x14ac:dyDescent="0.25">
      <c r="A853" s="571" t="s">
        <v>1179</v>
      </c>
      <c r="B853" s="495" t="s">
        <v>299</v>
      </c>
      <c r="C853" s="495" t="s">
        <v>118</v>
      </c>
      <c r="D853" s="495" t="s">
        <v>1213</v>
      </c>
      <c r="E853" s="495"/>
      <c r="F853" s="493">
        <f>F857+F860+F854</f>
        <v>10650.000000000002</v>
      </c>
      <c r="G853" s="578"/>
      <c r="H853" s="578"/>
      <c r="I853" s="578"/>
      <c r="J853" s="578"/>
      <c r="K853" s="578"/>
    </row>
    <row r="854" spans="1:11" s="576" customFormat="1" ht="47.25" hidden="1" x14ac:dyDescent="0.25">
      <c r="A854" s="557" t="s">
        <v>1711</v>
      </c>
      <c r="B854" s="580" t="s">
        <v>299</v>
      </c>
      <c r="C854" s="580" t="s">
        <v>118</v>
      </c>
      <c r="D854" s="580" t="s">
        <v>1710</v>
      </c>
      <c r="E854" s="580"/>
      <c r="F854" s="497">
        <f>F855</f>
        <v>0</v>
      </c>
      <c r="G854" s="578"/>
      <c r="H854" s="578"/>
      <c r="I854" s="578"/>
      <c r="J854" s="578"/>
      <c r="K854" s="578"/>
    </row>
    <row r="855" spans="1:11" s="576" customFormat="1" ht="31.5" hidden="1" x14ac:dyDescent="0.25">
      <c r="A855" s="579" t="s">
        <v>131</v>
      </c>
      <c r="B855" s="580" t="s">
        <v>299</v>
      </c>
      <c r="C855" s="580" t="s">
        <v>118</v>
      </c>
      <c r="D855" s="580" t="s">
        <v>1710</v>
      </c>
      <c r="E855" s="580" t="s">
        <v>132</v>
      </c>
      <c r="F855" s="497">
        <f>F856</f>
        <v>0</v>
      </c>
      <c r="G855" s="578"/>
      <c r="H855" s="578"/>
      <c r="I855" s="578"/>
      <c r="J855" s="578"/>
      <c r="K855" s="578"/>
    </row>
    <row r="856" spans="1:11" s="576" customFormat="1" ht="31.5" hidden="1" x14ac:dyDescent="0.25">
      <c r="A856" s="579" t="s">
        <v>133</v>
      </c>
      <c r="B856" s="580" t="s">
        <v>299</v>
      </c>
      <c r="C856" s="580" t="s">
        <v>118</v>
      </c>
      <c r="D856" s="580" t="s">
        <v>1710</v>
      </c>
      <c r="E856" s="580" t="s">
        <v>134</v>
      </c>
      <c r="F856" s="497">
        <f>'Пр.4 ведом.22'!G415</f>
        <v>0</v>
      </c>
      <c r="G856" s="578"/>
      <c r="H856" s="578"/>
      <c r="I856" s="578"/>
      <c r="J856" s="578"/>
      <c r="K856" s="578"/>
    </row>
    <row r="857" spans="1:11" s="576" customFormat="1" ht="15.75" x14ac:dyDescent="0.25">
      <c r="A857" s="575" t="s">
        <v>1753</v>
      </c>
      <c r="B857" s="580" t="s">
        <v>299</v>
      </c>
      <c r="C857" s="580" t="s">
        <v>118</v>
      </c>
      <c r="D857" s="580" t="s">
        <v>1754</v>
      </c>
      <c r="E857" s="495"/>
      <c r="F857" s="497">
        <f>F858</f>
        <v>10526.300000000001</v>
      </c>
      <c r="G857" s="578"/>
      <c r="H857" s="578"/>
      <c r="I857" s="578"/>
      <c r="J857" s="578"/>
      <c r="K857" s="578"/>
    </row>
    <row r="858" spans="1:11" s="576" customFormat="1" ht="31.5" x14ac:dyDescent="0.25">
      <c r="A858" s="579" t="s">
        <v>131</v>
      </c>
      <c r="B858" s="580" t="s">
        <v>299</v>
      </c>
      <c r="C858" s="580" t="s">
        <v>118</v>
      </c>
      <c r="D858" s="580" t="s">
        <v>1754</v>
      </c>
      <c r="E858" s="580" t="s">
        <v>132</v>
      </c>
      <c r="F858" s="497">
        <f>F859</f>
        <v>10526.300000000001</v>
      </c>
      <c r="G858" s="578"/>
      <c r="H858" s="578"/>
      <c r="I858" s="578"/>
      <c r="J858" s="578"/>
      <c r="K858" s="578"/>
    </row>
    <row r="859" spans="1:11" s="576" customFormat="1" ht="31.5" x14ac:dyDescent="0.25">
      <c r="A859" s="579" t="s">
        <v>133</v>
      </c>
      <c r="B859" s="580" t="s">
        <v>299</v>
      </c>
      <c r="C859" s="580" t="s">
        <v>118</v>
      </c>
      <c r="D859" s="580" t="s">
        <v>1754</v>
      </c>
      <c r="E859" s="580" t="s">
        <v>134</v>
      </c>
      <c r="F859" s="497">
        <f>'Пр.4 ведом.22'!G418</f>
        <v>10526.300000000001</v>
      </c>
      <c r="G859" s="578"/>
      <c r="H859" s="578"/>
      <c r="I859" s="578"/>
      <c r="J859" s="578"/>
      <c r="K859" s="578"/>
    </row>
    <row r="860" spans="1:11" s="203" customFormat="1" ht="15.75" x14ac:dyDescent="0.25">
      <c r="A860" s="98" t="s">
        <v>1186</v>
      </c>
      <c r="B860" s="580" t="s">
        <v>299</v>
      </c>
      <c r="C860" s="580" t="s">
        <v>118</v>
      </c>
      <c r="D860" s="580" t="s">
        <v>1214</v>
      </c>
      <c r="E860" s="580"/>
      <c r="F860" s="497">
        <f t="shared" ref="F860" si="83">F861</f>
        <v>123.7</v>
      </c>
      <c r="G860" s="578"/>
      <c r="H860" s="578"/>
      <c r="I860" s="578"/>
      <c r="J860" s="578"/>
      <c r="K860" s="578"/>
    </row>
    <row r="861" spans="1:11" s="203" customFormat="1" ht="31.5" x14ac:dyDescent="0.25">
      <c r="A861" s="579" t="s">
        <v>131</v>
      </c>
      <c r="B861" s="580" t="s">
        <v>299</v>
      </c>
      <c r="C861" s="580" t="s">
        <v>118</v>
      </c>
      <c r="D861" s="580" t="s">
        <v>1214</v>
      </c>
      <c r="E861" s="580" t="s">
        <v>132</v>
      </c>
      <c r="F861" s="497">
        <f>F862</f>
        <v>123.7</v>
      </c>
      <c r="G861" s="578"/>
      <c r="H861" s="578"/>
      <c r="I861" s="578"/>
      <c r="J861" s="578"/>
      <c r="K861" s="578"/>
    </row>
    <row r="862" spans="1:11" s="203" customFormat="1" ht="31.5" x14ac:dyDescent="0.25">
      <c r="A862" s="579" t="s">
        <v>133</v>
      </c>
      <c r="B862" s="580" t="s">
        <v>299</v>
      </c>
      <c r="C862" s="580" t="s">
        <v>118</v>
      </c>
      <c r="D862" s="580" t="s">
        <v>1214</v>
      </c>
      <c r="E862" s="580" t="s">
        <v>134</v>
      </c>
      <c r="F862" s="497">
        <f>'Пр.4 ведом.22'!G421</f>
        <v>123.7</v>
      </c>
      <c r="G862" s="578"/>
      <c r="H862" s="578"/>
      <c r="I862" s="578"/>
      <c r="J862" s="578"/>
      <c r="K862" s="578"/>
    </row>
    <row r="863" spans="1:11" ht="47.25" x14ac:dyDescent="0.25">
      <c r="A863" s="34" t="s">
        <v>1357</v>
      </c>
      <c r="B863" s="495" t="s">
        <v>299</v>
      </c>
      <c r="C863" s="495" t="s">
        <v>118</v>
      </c>
      <c r="D863" s="495" t="s">
        <v>324</v>
      </c>
      <c r="E863" s="495"/>
      <c r="F863" s="388">
        <f>F864</f>
        <v>10</v>
      </c>
    </row>
    <row r="864" spans="1:11" ht="63" x14ac:dyDescent="0.25">
      <c r="A864" s="34" t="s">
        <v>1025</v>
      </c>
      <c r="B864" s="495" t="s">
        <v>299</v>
      </c>
      <c r="C864" s="495" t="s">
        <v>118</v>
      </c>
      <c r="D864" s="495" t="s">
        <v>934</v>
      </c>
      <c r="E864" s="495"/>
      <c r="F864" s="488">
        <f>F865</f>
        <v>10</v>
      </c>
      <c r="H864" s="115"/>
    </row>
    <row r="865" spans="1:11" ht="47.25" x14ac:dyDescent="0.25">
      <c r="A865" s="31" t="s">
        <v>1079</v>
      </c>
      <c r="B865" s="580" t="s">
        <v>299</v>
      </c>
      <c r="C865" s="580" t="s">
        <v>118</v>
      </c>
      <c r="D865" s="580" t="s">
        <v>1026</v>
      </c>
      <c r="E865" s="580"/>
      <c r="F865" s="489">
        <f>F866</f>
        <v>10</v>
      </c>
    </row>
    <row r="866" spans="1:11" ht="31.5" x14ac:dyDescent="0.25">
      <c r="A866" s="579" t="s">
        <v>131</v>
      </c>
      <c r="B866" s="580" t="s">
        <v>299</v>
      </c>
      <c r="C866" s="580" t="s">
        <v>118</v>
      </c>
      <c r="D866" s="580" t="s">
        <v>1026</v>
      </c>
      <c r="E866" s="580" t="s">
        <v>132</v>
      </c>
      <c r="F866" s="489">
        <f>F867</f>
        <v>10</v>
      </c>
    </row>
    <row r="867" spans="1:11" ht="31.5" x14ac:dyDescent="0.25">
      <c r="A867" s="579" t="s">
        <v>133</v>
      </c>
      <c r="B867" s="580" t="s">
        <v>299</v>
      </c>
      <c r="C867" s="580" t="s">
        <v>118</v>
      </c>
      <c r="D867" s="580" t="s">
        <v>1026</v>
      </c>
      <c r="E867" s="580" t="s">
        <v>134</v>
      </c>
      <c r="F867" s="489">
        <f>'Пр.4 ведом.22'!G426</f>
        <v>10</v>
      </c>
    </row>
    <row r="868" spans="1:11" ht="47.25" x14ac:dyDescent="0.25">
      <c r="A868" s="572" t="s">
        <v>1352</v>
      </c>
      <c r="B868" s="495" t="s">
        <v>299</v>
      </c>
      <c r="C868" s="495" t="s">
        <v>118</v>
      </c>
      <c r="D868" s="495" t="s">
        <v>705</v>
      </c>
      <c r="E868" s="504"/>
      <c r="F868" s="488">
        <f t="shared" ref="F868" si="84">F869</f>
        <v>878.7</v>
      </c>
    </row>
    <row r="869" spans="1:11" ht="47.25" x14ac:dyDescent="0.25">
      <c r="A869" s="572" t="s">
        <v>890</v>
      </c>
      <c r="B869" s="495" t="s">
        <v>299</v>
      </c>
      <c r="C869" s="495" t="s">
        <v>118</v>
      </c>
      <c r="D869" s="495" t="s">
        <v>888</v>
      </c>
      <c r="E869" s="504"/>
      <c r="F869" s="488">
        <f>F870</f>
        <v>878.7</v>
      </c>
      <c r="G869" s="183"/>
      <c r="H869" s="501"/>
    </row>
    <row r="870" spans="1:11" ht="47.25" x14ac:dyDescent="0.25">
      <c r="A870" s="98" t="s">
        <v>1022</v>
      </c>
      <c r="B870" s="580" t="s">
        <v>299</v>
      </c>
      <c r="C870" s="580" t="s">
        <v>118</v>
      </c>
      <c r="D870" s="580" t="s">
        <v>889</v>
      </c>
      <c r="E870" s="498"/>
      <c r="F870" s="386">
        <f>F871</f>
        <v>878.7</v>
      </c>
    </row>
    <row r="871" spans="1:11" ht="31.5" x14ac:dyDescent="0.25">
      <c r="A871" s="579" t="s">
        <v>131</v>
      </c>
      <c r="B871" s="580" t="s">
        <v>299</v>
      </c>
      <c r="C871" s="580" t="s">
        <v>118</v>
      </c>
      <c r="D871" s="580" t="s">
        <v>889</v>
      </c>
      <c r="E871" s="498" t="s">
        <v>132</v>
      </c>
      <c r="F871" s="489">
        <f>F872</f>
        <v>878.7</v>
      </c>
    </row>
    <row r="872" spans="1:11" ht="31.5" x14ac:dyDescent="0.25">
      <c r="A872" s="579" t="s">
        <v>133</v>
      </c>
      <c r="B872" s="580" t="s">
        <v>299</v>
      </c>
      <c r="C872" s="580" t="s">
        <v>118</v>
      </c>
      <c r="D872" s="580" t="s">
        <v>889</v>
      </c>
      <c r="E872" s="498" t="s">
        <v>134</v>
      </c>
      <c r="F872" s="489">
        <f>'Пр.4 ведом.22'!G431</f>
        <v>878.7</v>
      </c>
    </row>
    <row r="873" spans="1:11" s="203" customFormat="1" ht="31.5" x14ac:dyDescent="0.25">
      <c r="A873" s="494" t="s">
        <v>333</v>
      </c>
      <c r="B873" s="495" t="s">
        <v>299</v>
      </c>
      <c r="C873" s="495" t="s">
        <v>150</v>
      </c>
      <c r="D873" s="495"/>
      <c r="E873" s="498"/>
      <c r="F873" s="488">
        <f>F874+F887+F903</f>
        <v>21134.48</v>
      </c>
      <c r="G873" s="578"/>
      <c r="H873" s="578"/>
      <c r="I873" s="578"/>
      <c r="J873" s="578"/>
      <c r="K873" s="578"/>
    </row>
    <row r="874" spans="1:11" s="203" customFormat="1" ht="31.5" x14ac:dyDescent="0.25">
      <c r="A874" s="494" t="s">
        <v>917</v>
      </c>
      <c r="B874" s="495" t="s">
        <v>299</v>
      </c>
      <c r="C874" s="495" t="s">
        <v>150</v>
      </c>
      <c r="D874" s="495" t="s">
        <v>858</v>
      </c>
      <c r="E874" s="498"/>
      <c r="F874" s="488">
        <f>F875</f>
        <v>8497.84</v>
      </c>
      <c r="G874" s="578"/>
      <c r="H874" s="578"/>
      <c r="I874" s="578"/>
      <c r="J874" s="578"/>
      <c r="K874" s="578"/>
    </row>
    <row r="875" spans="1:11" s="203" customFormat="1" ht="15.75" x14ac:dyDescent="0.25">
      <c r="A875" s="494" t="s">
        <v>918</v>
      </c>
      <c r="B875" s="495" t="s">
        <v>299</v>
      </c>
      <c r="C875" s="495" t="s">
        <v>150</v>
      </c>
      <c r="D875" s="495" t="s">
        <v>859</v>
      </c>
      <c r="E875" s="498"/>
      <c r="F875" s="488">
        <f>F876+F884+F881</f>
        <v>8497.84</v>
      </c>
      <c r="G875" s="578"/>
      <c r="H875" s="578"/>
      <c r="I875" s="578"/>
      <c r="J875" s="578"/>
      <c r="K875" s="578"/>
    </row>
    <row r="876" spans="1:11" s="203" customFormat="1" ht="31.5" x14ac:dyDescent="0.25">
      <c r="A876" s="579" t="s">
        <v>897</v>
      </c>
      <c r="B876" s="580" t="s">
        <v>299</v>
      </c>
      <c r="C876" s="580" t="s">
        <v>150</v>
      </c>
      <c r="D876" s="580" t="s">
        <v>860</v>
      </c>
      <c r="E876" s="498"/>
      <c r="F876" s="489">
        <f>F877+F879</f>
        <v>7119.64</v>
      </c>
      <c r="G876" s="578"/>
      <c r="H876" s="578"/>
      <c r="I876" s="578"/>
      <c r="J876" s="578"/>
      <c r="K876" s="578"/>
    </row>
    <row r="877" spans="1:11" s="203" customFormat="1" ht="78.75" x14ac:dyDescent="0.25">
      <c r="A877" s="579" t="s">
        <v>127</v>
      </c>
      <c r="B877" s="580" t="s">
        <v>299</v>
      </c>
      <c r="C877" s="580" t="s">
        <v>150</v>
      </c>
      <c r="D877" s="580" t="s">
        <v>860</v>
      </c>
      <c r="E877" s="498" t="s">
        <v>128</v>
      </c>
      <c r="F877" s="489">
        <f>F878</f>
        <v>7119.64</v>
      </c>
      <c r="G877" s="578"/>
      <c r="H877" s="578"/>
      <c r="I877" s="578"/>
      <c r="J877" s="578"/>
      <c r="K877" s="578"/>
    </row>
    <row r="878" spans="1:11" ht="31.5" x14ac:dyDescent="0.25">
      <c r="A878" s="579" t="s">
        <v>129</v>
      </c>
      <c r="B878" s="580" t="s">
        <v>299</v>
      </c>
      <c r="C878" s="580" t="s">
        <v>150</v>
      </c>
      <c r="D878" s="580" t="s">
        <v>860</v>
      </c>
      <c r="E878" s="573" t="s">
        <v>130</v>
      </c>
      <c r="F878" s="489">
        <f>'Пр.4 ведом.22'!G437</f>
        <v>7119.64</v>
      </c>
    </row>
    <row r="879" spans="1:11" ht="31.5" hidden="1" x14ac:dyDescent="0.25">
      <c r="A879" s="579" t="s">
        <v>131</v>
      </c>
      <c r="B879" s="580" t="s">
        <v>299</v>
      </c>
      <c r="C879" s="580" t="s">
        <v>150</v>
      </c>
      <c r="D879" s="580" t="s">
        <v>860</v>
      </c>
      <c r="E879" s="573" t="s">
        <v>132</v>
      </c>
      <c r="F879" s="489">
        <f>F880</f>
        <v>0</v>
      </c>
    </row>
    <row r="880" spans="1:11" ht="31.5" hidden="1" x14ac:dyDescent="0.25">
      <c r="A880" s="579" t="s">
        <v>133</v>
      </c>
      <c r="B880" s="580" t="s">
        <v>299</v>
      </c>
      <c r="C880" s="580" t="s">
        <v>150</v>
      </c>
      <c r="D880" s="580" t="s">
        <v>860</v>
      </c>
      <c r="E880" s="573" t="s">
        <v>134</v>
      </c>
      <c r="F880" s="489">
        <f>'Пр.4 ведом.22'!G439</f>
        <v>0</v>
      </c>
    </row>
    <row r="881" spans="1:11" s="576" customFormat="1" ht="31.5" x14ac:dyDescent="0.25">
      <c r="A881" s="579" t="s">
        <v>840</v>
      </c>
      <c r="B881" s="580" t="s">
        <v>299</v>
      </c>
      <c r="C881" s="580" t="s">
        <v>150</v>
      </c>
      <c r="D881" s="580" t="s">
        <v>861</v>
      </c>
      <c r="E881" s="573"/>
      <c r="F881" s="489">
        <f>F882</f>
        <v>948.2</v>
      </c>
      <c r="G881" s="578"/>
      <c r="H881" s="578"/>
      <c r="I881" s="578"/>
      <c r="J881" s="578"/>
      <c r="K881" s="578"/>
    </row>
    <row r="882" spans="1:11" s="576" customFormat="1" ht="78.75" x14ac:dyDescent="0.25">
      <c r="A882" s="579" t="s">
        <v>127</v>
      </c>
      <c r="B882" s="580" t="s">
        <v>299</v>
      </c>
      <c r="C882" s="580" t="s">
        <v>150</v>
      </c>
      <c r="D882" s="580" t="s">
        <v>861</v>
      </c>
      <c r="E882" s="573" t="s">
        <v>128</v>
      </c>
      <c r="F882" s="489">
        <f>F883</f>
        <v>948.2</v>
      </c>
      <c r="G882" s="578"/>
      <c r="H882" s="578"/>
      <c r="I882" s="578"/>
      <c r="J882" s="578"/>
      <c r="K882" s="578"/>
    </row>
    <row r="883" spans="1:11" s="576" customFormat="1" ht="31.5" x14ac:dyDescent="0.25">
      <c r="A883" s="579" t="s">
        <v>129</v>
      </c>
      <c r="B883" s="580" t="s">
        <v>299</v>
      </c>
      <c r="C883" s="580" t="s">
        <v>150</v>
      </c>
      <c r="D883" s="580" t="s">
        <v>861</v>
      </c>
      <c r="E883" s="573" t="s">
        <v>130</v>
      </c>
      <c r="F883" s="489">
        <f>'Пр.4 ведом.22'!G442</f>
        <v>948.2</v>
      </c>
      <c r="G883" s="578"/>
      <c r="H883" s="578"/>
      <c r="I883" s="578"/>
      <c r="J883" s="578"/>
      <c r="K883" s="578"/>
    </row>
    <row r="884" spans="1:11" ht="47.25" x14ac:dyDescent="0.25">
      <c r="A884" s="579" t="s">
        <v>839</v>
      </c>
      <c r="B884" s="580" t="s">
        <v>299</v>
      </c>
      <c r="C884" s="580" t="s">
        <v>150</v>
      </c>
      <c r="D884" s="580" t="s">
        <v>862</v>
      </c>
      <c r="E884" s="573"/>
      <c r="F884" s="489">
        <f>F885</f>
        <v>430</v>
      </c>
    </row>
    <row r="885" spans="1:11" ht="78.75" x14ac:dyDescent="0.25">
      <c r="A885" s="579" t="s">
        <v>127</v>
      </c>
      <c r="B885" s="580" t="s">
        <v>299</v>
      </c>
      <c r="C885" s="580" t="s">
        <v>150</v>
      </c>
      <c r="D885" s="580" t="s">
        <v>862</v>
      </c>
      <c r="E885" s="573" t="s">
        <v>128</v>
      </c>
      <c r="F885" s="489">
        <f t="shared" ref="F885" si="85">F886</f>
        <v>430</v>
      </c>
    </row>
    <row r="886" spans="1:11" ht="31.5" x14ac:dyDescent="0.25">
      <c r="A886" s="579" t="s">
        <v>129</v>
      </c>
      <c r="B886" s="580" t="s">
        <v>299</v>
      </c>
      <c r="C886" s="580" t="s">
        <v>150</v>
      </c>
      <c r="D886" s="580" t="s">
        <v>862</v>
      </c>
      <c r="E886" s="573" t="s">
        <v>130</v>
      </c>
      <c r="F886" s="489">
        <f>'Пр.4 ведом.22'!G445</f>
        <v>430</v>
      </c>
    </row>
    <row r="887" spans="1:11" ht="15.75" x14ac:dyDescent="0.25">
      <c r="A887" s="494" t="s">
        <v>926</v>
      </c>
      <c r="B887" s="495" t="s">
        <v>299</v>
      </c>
      <c r="C887" s="495" t="s">
        <v>150</v>
      </c>
      <c r="D887" s="495" t="s">
        <v>866</v>
      </c>
      <c r="E887" s="573"/>
      <c r="F887" s="488">
        <f>F888+F899</f>
        <v>12376.64</v>
      </c>
    </row>
    <row r="888" spans="1:11" s="576" customFormat="1" ht="15.75" x14ac:dyDescent="0.25">
      <c r="A888" s="494" t="s">
        <v>1713</v>
      </c>
      <c r="B888" s="495" t="s">
        <v>299</v>
      </c>
      <c r="C888" s="495" t="s">
        <v>150</v>
      </c>
      <c r="D888" s="495" t="s">
        <v>953</v>
      </c>
      <c r="E888" s="495"/>
      <c r="F888" s="489">
        <f>F889+F892</f>
        <v>12376.64</v>
      </c>
      <c r="G888" s="578"/>
      <c r="H888" s="578"/>
      <c r="I888" s="578"/>
      <c r="J888" s="578"/>
      <c r="K888" s="578"/>
    </row>
    <row r="889" spans="1:11" s="576" customFormat="1" ht="47.25" x14ac:dyDescent="0.25">
      <c r="A889" s="579" t="s">
        <v>839</v>
      </c>
      <c r="B889" s="580" t="s">
        <v>299</v>
      </c>
      <c r="C889" s="580" t="s">
        <v>150</v>
      </c>
      <c r="D889" s="580" t="s">
        <v>956</v>
      </c>
      <c r="E889" s="580"/>
      <c r="F889" s="489">
        <f>F890</f>
        <v>215</v>
      </c>
      <c r="G889" s="578"/>
      <c r="H889" s="578"/>
      <c r="I889" s="578"/>
      <c r="J889" s="578"/>
      <c r="K889" s="578"/>
    </row>
    <row r="890" spans="1:11" s="576" customFormat="1" ht="78.75" x14ac:dyDescent="0.25">
      <c r="A890" s="579" t="s">
        <v>127</v>
      </c>
      <c r="B890" s="580" t="s">
        <v>299</v>
      </c>
      <c r="C890" s="580" t="s">
        <v>150</v>
      </c>
      <c r="D890" s="580" t="s">
        <v>956</v>
      </c>
      <c r="E890" s="580" t="s">
        <v>128</v>
      </c>
      <c r="F890" s="489">
        <f>F891</f>
        <v>215</v>
      </c>
      <c r="G890" s="578"/>
      <c r="H890" s="578"/>
      <c r="I890" s="578"/>
      <c r="J890" s="578"/>
      <c r="K890" s="578"/>
    </row>
    <row r="891" spans="1:11" s="576" customFormat="1" ht="31.5" x14ac:dyDescent="0.25">
      <c r="A891" s="579" t="s">
        <v>342</v>
      </c>
      <c r="B891" s="580" t="s">
        <v>299</v>
      </c>
      <c r="C891" s="580" t="s">
        <v>150</v>
      </c>
      <c r="D891" s="580" t="s">
        <v>956</v>
      </c>
      <c r="E891" s="580" t="s">
        <v>209</v>
      </c>
      <c r="F891" s="489">
        <f>'Пр.4 ведом.22'!G454</f>
        <v>215</v>
      </c>
      <c r="G891" s="578"/>
      <c r="H891" s="578"/>
      <c r="I891" s="578"/>
      <c r="J891" s="578"/>
      <c r="K891" s="578"/>
    </row>
    <row r="892" spans="1:11" s="576" customFormat="1" ht="15.75" x14ac:dyDescent="0.25">
      <c r="A892" s="579" t="s">
        <v>801</v>
      </c>
      <c r="B892" s="580" t="s">
        <v>299</v>
      </c>
      <c r="C892" s="580" t="s">
        <v>150</v>
      </c>
      <c r="D892" s="580" t="s">
        <v>955</v>
      </c>
      <c r="E892" s="580"/>
      <c r="F892" s="489">
        <f>F893+F895+F897</f>
        <v>12161.64</v>
      </c>
      <c r="G892" s="578"/>
      <c r="H892" s="578"/>
      <c r="I892" s="578"/>
      <c r="J892" s="578"/>
      <c r="K892" s="578"/>
    </row>
    <row r="893" spans="1:11" s="576" customFormat="1" ht="78.75" x14ac:dyDescent="0.25">
      <c r="A893" s="579" t="s">
        <v>127</v>
      </c>
      <c r="B893" s="580" t="s">
        <v>299</v>
      </c>
      <c r="C893" s="580" t="s">
        <v>150</v>
      </c>
      <c r="D893" s="580" t="s">
        <v>955</v>
      </c>
      <c r="E893" s="580" t="s">
        <v>128</v>
      </c>
      <c r="F893" s="489">
        <f>F894</f>
        <v>10257.5</v>
      </c>
      <c r="G893" s="578"/>
      <c r="H893" s="578"/>
      <c r="I893" s="578"/>
      <c r="J893" s="578"/>
      <c r="K893" s="578"/>
    </row>
    <row r="894" spans="1:11" s="576" customFormat="1" ht="31.5" x14ac:dyDescent="0.25">
      <c r="A894" s="579" t="s">
        <v>342</v>
      </c>
      <c r="B894" s="580" t="s">
        <v>299</v>
      </c>
      <c r="C894" s="580" t="s">
        <v>150</v>
      </c>
      <c r="D894" s="580" t="s">
        <v>955</v>
      </c>
      <c r="E894" s="580" t="s">
        <v>209</v>
      </c>
      <c r="F894" s="489">
        <f>'Пр.4 ведом.22'!G457</f>
        <v>10257.5</v>
      </c>
      <c r="G894" s="578"/>
      <c r="H894" s="578"/>
      <c r="I894" s="578"/>
      <c r="J894" s="578"/>
      <c r="K894" s="578"/>
    </row>
    <row r="895" spans="1:11" s="576" customFormat="1" ht="31.5" x14ac:dyDescent="0.25">
      <c r="A895" s="579" t="s">
        <v>131</v>
      </c>
      <c r="B895" s="580" t="s">
        <v>299</v>
      </c>
      <c r="C895" s="580" t="s">
        <v>150</v>
      </c>
      <c r="D895" s="580" t="s">
        <v>955</v>
      </c>
      <c r="E895" s="580" t="s">
        <v>132</v>
      </c>
      <c r="F895" s="489">
        <f>F896</f>
        <v>1890.14</v>
      </c>
      <c r="G895" s="578"/>
      <c r="H895" s="578"/>
      <c r="I895" s="578"/>
      <c r="J895" s="578"/>
      <c r="K895" s="578"/>
    </row>
    <row r="896" spans="1:11" s="576" customFormat="1" ht="31.5" x14ac:dyDescent="0.25">
      <c r="A896" s="579" t="s">
        <v>133</v>
      </c>
      <c r="B896" s="580" t="s">
        <v>299</v>
      </c>
      <c r="C896" s="580" t="s">
        <v>150</v>
      </c>
      <c r="D896" s="580" t="s">
        <v>955</v>
      </c>
      <c r="E896" s="580" t="s">
        <v>134</v>
      </c>
      <c r="F896" s="489">
        <f>'Пр.4 ведом.22'!G459</f>
        <v>1890.14</v>
      </c>
      <c r="G896" s="578"/>
      <c r="H896" s="578"/>
      <c r="I896" s="578"/>
      <c r="J896" s="578"/>
      <c r="K896" s="578"/>
    </row>
    <row r="897" spans="1:11" s="576" customFormat="1" ht="15.75" x14ac:dyDescent="0.25">
      <c r="A897" s="579" t="s">
        <v>135</v>
      </c>
      <c r="B897" s="580" t="s">
        <v>299</v>
      </c>
      <c r="C897" s="580" t="s">
        <v>150</v>
      </c>
      <c r="D897" s="580" t="s">
        <v>955</v>
      </c>
      <c r="E897" s="580" t="s">
        <v>145</v>
      </c>
      <c r="F897" s="489">
        <f>F898</f>
        <v>14</v>
      </c>
      <c r="G897" s="578"/>
      <c r="H897" s="578"/>
      <c r="I897" s="578"/>
      <c r="J897" s="578"/>
      <c r="K897" s="578"/>
    </row>
    <row r="898" spans="1:11" s="576" customFormat="1" ht="15.75" x14ac:dyDescent="0.25">
      <c r="A898" s="579" t="s">
        <v>568</v>
      </c>
      <c r="B898" s="580" t="s">
        <v>299</v>
      </c>
      <c r="C898" s="580" t="s">
        <v>150</v>
      </c>
      <c r="D898" s="580" t="s">
        <v>955</v>
      </c>
      <c r="E898" s="580" t="s">
        <v>138</v>
      </c>
      <c r="F898" s="489">
        <f>'Пр.4 ведом.22'!G461</f>
        <v>14</v>
      </c>
      <c r="G898" s="578"/>
      <c r="H898" s="578"/>
      <c r="I898" s="578"/>
      <c r="J898" s="578"/>
      <c r="K898" s="578"/>
    </row>
    <row r="899" spans="1:11" s="487" customFormat="1" ht="31.5" hidden="1" x14ac:dyDescent="0.25">
      <c r="A899" s="34" t="s">
        <v>870</v>
      </c>
      <c r="B899" s="495" t="s">
        <v>299</v>
      </c>
      <c r="C899" s="495" t="s">
        <v>150</v>
      </c>
      <c r="D899" s="495" t="s">
        <v>865</v>
      </c>
      <c r="E899" s="7"/>
      <c r="F899" s="488">
        <f>F900</f>
        <v>0</v>
      </c>
      <c r="G899" s="578"/>
      <c r="H899" s="578"/>
      <c r="I899" s="578"/>
      <c r="J899" s="578"/>
      <c r="K899" s="578"/>
    </row>
    <row r="900" spans="1:11" s="487" customFormat="1" ht="47.25" hidden="1" x14ac:dyDescent="0.25">
      <c r="A900" s="31" t="s">
        <v>1664</v>
      </c>
      <c r="B900" s="580" t="s">
        <v>299</v>
      </c>
      <c r="C900" s="580" t="s">
        <v>150</v>
      </c>
      <c r="D900" s="580" t="s">
        <v>1663</v>
      </c>
      <c r="E900" s="573"/>
      <c r="F900" s="489">
        <f>F901</f>
        <v>0</v>
      </c>
      <c r="G900" s="578"/>
      <c r="H900" s="578"/>
      <c r="I900" s="578"/>
      <c r="J900" s="578"/>
      <c r="K900" s="578"/>
    </row>
    <row r="901" spans="1:11" s="487" customFormat="1" ht="31.5" hidden="1" x14ac:dyDescent="0.25">
      <c r="A901" s="579" t="s">
        <v>131</v>
      </c>
      <c r="B901" s="580" t="s">
        <v>299</v>
      </c>
      <c r="C901" s="580" t="s">
        <v>150</v>
      </c>
      <c r="D901" s="580" t="s">
        <v>1663</v>
      </c>
      <c r="E901" s="573" t="s">
        <v>132</v>
      </c>
      <c r="F901" s="489">
        <f>F902</f>
        <v>0</v>
      </c>
      <c r="G901" s="578"/>
      <c r="H901" s="578"/>
      <c r="I901" s="578"/>
      <c r="J901" s="578"/>
      <c r="K901" s="578"/>
    </row>
    <row r="902" spans="1:11" s="487" customFormat="1" ht="31.5" hidden="1" x14ac:dyDescent="0.25">
      <c r="A902" s="579" t="s">
        <v>133</v>
      </c>
      <c r="B902" s="580" t="s">
        <v>299</v>
      </c>
      <c r="C902" s="580" t="s">
        <v>150</v>
      </c>
      <c r="D902" s="580" t="s">
        <v>1663</v>
      </c>
      <c r="E902" s="573" t="s">
        <v>134</v>
      </c>
      <c r="F902" s="489">
        <f>'Пр.4 ведом.22'!G450</f>
        <v>0</v>
      </c>
      <c r="G902" s="578"/>
      <c r="H902" s="578"/>
      <c r="I902" s="578"/>
      <c r="J902" s="578"/>
      <c r="K902" s="578"/>
    </row>
    <row r="903" spans="1:11" ht="47.25" x14ac:dyDescent="0.25">
      <c r="A903" s="494" t="s">
        <v>1347</v>
      </c>
      <c r="B903" s="495" t="s">
        <v>299</v>
      </c>
      <c r="C903" s="495" t="s">
        <v>150</v>
      </c>
      <c r="D903" s="495" t="s">
        <v>344</v>
      </c>
      <c r="E903" s="573"/>
      <c r="F903" s="488">
        <f>F904</f>
        <v>260</v>
      </c>
    </row>
    <row r="904" spans="1:11" ht="31.5" x14ac:dyDescent="0.25">
      <c r="A904" s="494" t="s">
        <v>355</v>
      </c>
      <c r="B904" s="495" t="s">
        <v>299</v>
      </c>
      <c r="C904" s="495" t="s">
        <v>150</v>
      </c>
      <c r="D904" s="495" t="s">
        <v>362</v>
      </c>
      <c r="E904" s="573"/>
      <c r="F904" s="488">
        <f>F905</f>
        <v>260</v>
      </c>
    </row>
    <row r="905" spans="1:11" ht="31.5" x14ac:dyDescent="0.25">
      <c r="A905" s="494" t="s">
        <v>997</v>
      </c>
      <c r="B905" s="495" t="s">
        <v>299</v>
      </c>
      <c r="C905" s="495" t="s">
        <v>150</v>
      </c>
      <c r="D905" s="495" t="s">
        <v>1221</v>
      </c>
      <c r="E905" s="573"/>
      <c r="F905" s="488">
        <f>F906</f>
        <v>260</v>
      </c>
    </row>
    <row r="906" spans="1:11" ht="31.5" x14ac:dyDescent="0.25">
      <c r="A906" s="579" t="s">
        <v>996</v>
      </c>
      <c r="B906" s="580" t="s">
        <v>299</v>
      </c>
      <c r="C906" s="580" t="s">
        <v>150</v>
      </c>
      <c r="D906" s="580" t="s">
        <v>1222</v>
      </c>
      <c r="E906" s="573"/>
      <c r="F906" s="489">
        <f t="shared" ref="F906" si="86">F907</f>
        <v>260</v>
      </c>
    </row>
    <row r="907" spans="1:11" ht="31.5" x14ac:dyDescent="0.25">
      <c r="A907" s="579" t="s">
        <v>131</v>
      </c>
      <c r="B907" s="580" t="s">
        <v>299</v>
      </c>
      <c r="C907" s="580" t="s">
        <v>150</v>
      </c>
      <c r="D907" s="580" t="s">
        <v>1222</v>
      </c>
      <c r="E907" s="573" t="s">
        <v>132</v>
      </c>
      <c r="F907" s="489">
        <f>F908</f>
        <v>260</v>
      </c>
    </row>
    <row r="908" spans="1:11" ht="31.5" x14ac:dyDescent="0.25">
      <c r="A908" s="579" t="s">
        <v>133</v>
      </c>
      <c r="B908" s="580" t="s">
        <v>299</v>
      </c>
      <c r="C908" s="580" t="s">
        <v>150</v>
      </c>
      <c r="D908" s="580" t="s">
        <v>1222</v>
      </c>
      <c r="E908" s="573" t="s">
        <v>134</v>
      </c>
      <c r="F908" s="489">
        <f>'Пр.4 ведом.22'!G467</f>
        <v>260</v>
      </c>
    </row>
    <row r="909" spans="1:11" s="203" customFormat="1" ht="47.25" hidden="1" x14ac:dyDescent="0.25">
      <c r="A909" s="34" t="s">
        <v>1357</v>
      </c>
      <c r="B909" s="495" t="s">
        <v>299</v>
      </c>
      <c r="C909" s="495" t="s">
        <v>150</v>
      </c>
      <c r="D909" s="495" t="s">
        <v>324</v>
      </c>
      <c r="E909" s="495"/>
      <c r="F909" s="493">
        <f>F911</f>
        <v>0</v>
      </c>
      <c r="G909" s="578"/>
      <c r="H909" s="578"/>
      <c r="I909" s="578"/>
      <c r="J909" s="578"/>
      <c r="K909" s="578"/>
    </row>
    <row r="910" spans="1:11" s="203" customFormat="1" ht="63" hidden="1" x14ac:dyDescent="0.25">
      <c r="A910" s="34" t="s">
        <v>1025</v>
      </c>
      <c r="B910" s="495" t="s">
        <v>299</v>
      </c>
      <c r="C910" s="495" t="s">
        <v>150</v>
      </c>
      <c r="D910" s="495" t="s">
        <v>934</v>
      </c>
      <c r="E910" s="495"/>
      <c r="F910" s="493">
        <f>F913</f>
        <v>0</v>
      </c>
      <c r="G910" s="578"/>
      <c r="H910" s="578"/>
      <c r="I910" s="578"/>
      <c r="J910" s="578"/>
      <c r="K910" s="578"/>
    </row>
    <row r="911" spans="1:11" s="203" customFormat="1" ht="47.25" hidden="1" x14ac:dyDescent="0.25">
      <c r="A911" s="31" t="s">
        <v>1080</v>
      </c>
      <c r="B911" s="580" t="s">
        <v>299</v>
      </c>
      <c r="C911" s="580" t="s">
        <v>150</v>
      </c>
      <c r="D911" s="580" t="s">
        <v>1026</v>
      </c>
      <c r="E911" s="580"/>
      <c r="F911" s="497">
        <f>F912</f>
        <v>0</v>
      </c>
      <c r="G911" s="578"/>
      <c r="H911" s="578"/>
      <c r="I911" s="578"/>
      <c r="J911" s="578"/>
      <c r="K911" s="578"/>
    </row>
    <row r="912" spans="1:11" s="203" customFormat="1" ht="31.5" hidden="1" x14ac:dyDescent="0.25">
      <c r="A912" s="579" t="s">
        <v>131</v>
      </c>
      <c r="B912" s="580" t="s">
        <v>299</v>
      </c>
      <c r="C912" s="580" t="s">
        <v>150</v>
      </c>
      <c r="D912" s="580" t="s">
        <v>1026</v>
      </c>
      <c r="E912" s="580" t="s">
        <v>132</v>
      </c>
      <c r="F912" s="497">
        <f>F913</f>
        <v>0</v>
      </c>
      <c r="G912" s="578"/>
      <c r="H912" s="578"/>
      <c r="I912" s="578"/>
      <c r="J912" s="578"/>
      <c r="K912" s="578"/>
    </row>
    <row r="913" spans="1:12" s="203" customFormat="1" ht="31.5" hidden="1" x14ac:dyDescent="0.25">
      <c r="A913" s="579" t="s">
        <v>133</v>
      </c>
      <c r="B913" s="580" t="s">
        <v>299</v>
      </c>
      <c r="C913" s="580" t="s">
        <v>150</v>
      </c>
      <c r="D913" s="580" t="s">
        <v>1026</v>
      </c>
      <c r="E913" s="580" t="s">
        <v>134</v>
      </c>
      <c r="F913" s="497">
        <f>'Пр.4 ведом.22'!G472</f>
        <v>0</v>
      </c>
      <c r="G913" s="578"/>
      <c r="H913" s="578"/>
      <c r="I913" s="578"/>
      <c r="J913" s="578"/>
      <c r="K913" s="578"/>
    </row>
    <row r="914" spans="1:12" s="203" customFormat="1" ht="15.75" x14ac:dyDescent="0.25">
      <c r="A914" s="494" t="s">
        <v>243</v>
      </c>
      <c r="B914" s="495" t="s">
        <v>244</v>
      </c>
      <c r="C914" s="495"/>
      <c r="D914" s="495"/>
      <c r="E914" s="495"/>
      <c r="F914" s="488">
        <f>F915+F921+F955+F950</f>
        <v>15126.01</v>
      </c>
      <c r="G914" s="578">
        <v>17213.900000000001</v>
      </c>
      <c r="H914" s="115"/>
      <c r="I914" s="578"/>
      <c r="J914" s="578"/>
      <c r="K914" s="230">
        <f>F914-'Пр.4 ведом.22'!M1175-'Пр.4 ведом.22'!V1185-F951-F957</f>
        <v>11574.51</v>
      </c>
      <c r="L914" s="232">
        <f>F947+F952+F958-'Пр.4 ведом.22'!M1174-'Пр.4 ведом.22'!V1184</f>
        <v>3561.5</v>
      </c>
    </row>
    <row r="915" spans="1:12" s="203" customFormat="1" ht="15.75" x14ac:dyDescent="0.25">
      <c r="A915" s="494" t="s">
        <v>245</v>
      </c>
      <c r="B915" s="495" t="s">
        <v>244</v>
      </c>
      <c r="C915" s="495" t="s">
        <v>118</v>
      </c>
      <c r="D915" s="495"/>
      <c r="E915" s="495"/>
      <c r="F915" s="488">
        <f>F916</f>
        <v>9913.5</v>
      </c>
      <c r="G915" s="578"/>
      <c r="H915" s="578"/>
      <c r="I915" s="578"/>
      <c r="J915" s="578"/>
      <c r="K915" s="578"/>
    </row>
    <row r="916" spans="1:12" s="203" customFormat="1" ht="15.75" x14ac:dyDescent="0.25">
      <c r="A916" s="494" t="s">
        <v>141</v>
      </c>
      <c r="B916" s="495" t="s">
        <v>244</v>
      </c>
      <c r="C916" s="495" t="s">
        <v>118</v>
      </c>
      <c r="D916" s="495" t="s">
        <v>866</v>
      </c>
      <c r="E916" s="495"/>
      <c r="F916" s="488">
        <f>F917</f>
        <v>9913.5</v>
      </c>
      <c r="G916" s="578"/>
      <c r="H916" s="578"/>
      <c r="I916" s="578"/>
      <c r="J916" s="578"/>
      <c r="K916" s="578"/>
    </row>
    <row r="917" spans="1:12" s="203" customFormat="1" ht="31.5" x14ac:dyDescent="0.25">
      <c r="A917" s="494" t="s">
        <v>870</v>
      </c>
      <c r="B917" s="495" t="s">
        <v>244</v>
      </c>
      <c r="C917" s="495" t="s">
        <v>118</v>
      </c>
      <c r="D917" s="495" t="s">
        <v>865</v>
      </c>
      <c r="E917" s="495"/>
      <c r="F917" s="488">
        <f>F918</f>
        <v>9913.5</v>
      </c>
      <c r="G917" s="578"/>
      <c r="H917" s="578"/>
      <c r="I917" s="578"/>
      <c r="J917" s="578"/>
      <c r="K917" s="578"/>
    </row>
    <row r="918" spans="1:12" s="203" customFormat="1" ht="15.75" x14ac:dyDescent="0.25">
      <c r="A918" s="579" t="s">
        <v>246</v>
      </c>
      <c r="B918" s="580" t="s">
        <v>244</v>
      </c>
      <c r="C918" s="580" t="s">
        <v>118</v>
      </c>
      <c r="D918" s="580" t="s">
        <v>881</v>
      </c>
      <c r="E918" s="580"/>
      <c r="F918" s="489">
        <f>F919</f>
        <v>9913.5</v>
      </c>
      <c r="G918" s="578"/>
      <c r="H918" s="578"/>
      <c r="I918" s="578"/>
      <c r="J918" s="578"/>
      <c r="K918" s="578"/>
    </row>
    <row r="919" spans="1:12" s="203" customFormat="1" ht="18" customHeight="1" x14ac:dyDescent="0.25">
      <c r="A919" s="579" t="s">
        <v>248</v>
      </c>
      <c r="B919" s="580" t="s">
        <v>244</v>
      </c>
      <c r="C919" s="580" t="s">
        <v>118</v>
      </c>
      <c r="D919" s="580" t="s">
        <v>881</v>
      </c>
      <c r="E919" s="580" t="s">
        <v>249</v>
      </c>
      <c r="F919" s="489">
        <f>F920</f>
        <v>9913.5</v>
      </c>
      <c r="G919" s="578"/>
      <c r="H919" s="578"/>
      <c r="I919" s="578"/>
      <c r="J919" s="578"/>
      <c r="K919" s="578"/>
    </row>
    <row r="920" spans="1:12" s="203" customFormat="1" ht="31.5" x14ac:dyDescent="0.25">
      <c r="A920" s="579" t="s">
        <v>250</v>
      </c>
      <c r="B920" s="580" t="s">
        <v>244</v>
      </c>
      <c r="C920" s="580" t="s">
        <v>118</v>
      </c>
      <c r="D920" s="580" t="s">
        <v>881</v>
      </c>
      <c r="E920" s="580" t="s">
        <v>251</v>
      </c>
      <c r="F920" s="489">
        <f>'Пр.4 ведом.22'!G225</f>
        <v>9913.5</v>
      </c>
      <c r="G920" s="578"/>
      <c r="H920" s="578"/>
      <c r="I920" s="578"/>
      <c r="J920" s="578"/>
      <c r="K920" s="578"/>
    </row>
    <row r="921" spans="1:12" ht="15.75" x14ac:dyDescent="0.25">
      <c r="A921" s="494" t="s">
        <v>252</v>
      </c>
      <c r="B921" s="495" t="s">
        <v>244</v>
      </c>
      <c r="C921" s="495" t="s">
        <v>215</v>
      </c>
      <c r="D921" s="495"/>
      <c r="E921" s="495"/>
      <c r="F921" s="488">
        <f>F922+F945</f>
        <v>1575.9</v>
      </c>
    </row>
    <row r="922" spans="1:12" ht="47.25" x14ac:dyDescent="0.25">
      <c r="A922" s="494" t="s">
        <v>1372</v>
      </c>
      <c r="B922" s="495" t="s">
        <v>244</v>
      </c>
      <c r="C922" s="495" t="s">
        <v>215</v>
      </c>
      <c r="D922" s="495" t="s">
        <v>344</v>
      </c>
      <c r="E922" s="495"/>
      <c r="F922" s="488">
        <f>F923+F928</f>
        <v>1565.9</v>
      </c>
    </row>
    <row r="923" spans="1:12" ht="31.5" x14ac:dyDescent="0.25">
      <c r="A923" s="494" t="s">
        <v>352</v>
      </c>
      <c r="B923" s="495" t="s">
        <v>244</v>
      </c>
      <c r="C923" s="495" t="s">
        <v>215</v>
      </c>
      <c r="D923" s="495" t="s">
        <v>353</v>
      </c>
      <c r="E923" s="495"/>
      <c r="F923" s="488">
        <f t="shared" ref="F923" si="87">F924</f>
        <v>258.89999999999998</v>
      </c>
    </row>
    <row r="924" spans="1:12" ht="30.2" customHeight="1" x14ac:dyDescent="0.25">
      <c r="A924" s="494" t="s">
        <v>905</v>
      </c>
      <c r="B924" s="495" t="s">
        <v>244</v>
      </c>
      <c r="C924" s="495" t="s">
        <v>215</v>
      </c>
      <c r="D924" s="495" t="s">
        <v>904</v>
      </c>
      <c r="E924" s="495"/>
      <c r="F924" s="488">
        <f>F925</f>
        <v>258.89999999999998</v>
      </c>
    </row>
    <row r="925" spans="1:12" ht="31.5" x14ac:dyDescent="0.25">
      <c r="A925" s="579" t="s">
        <v>824</v>
      </c>
      <c r="B925" s="580" t="s">
        <v>244</v>
      </c>
      <c r="C925" s="580" t="s">
        <v>215</v>
      </c>
      <c r="D925" s="580" t="s">
        <v>906</v>
      </c>
      <c r="E925" s="580"/>
      <c r="F925" s="489">
        <f>F926</f>
        <v>258.89999999999998</v>
      </c>
    </row>
    <row r="926" spans="1:12" ht="19.5" customHeight="1" x14ac:dyDescent="0.25">
      <c r="A926" s="579" t="s">
        <v>248</v>
      </c>
      <c r="B926" s="580" t="s">
        <v>244</v>
      </c>
      <c r="C926" s="580" t="s">
        <v>215</v>
      </c>
      <c r="D926" s="580" t="s">
        <v>906</v>
      </c>
      <c r="E926" s="580" t="s">
        <v>249</v>
      </c>
      <c r="F926" s="489">
        <f t="shared" ref="F926" si="88">F927</f>
        <v>258.89999999999998</v>
      </c>
    </row>
    <row r="927" spans="1:12" ht="31.5" x14ac:dyDescent="0.25">
      <c r="A927" s="579" t="s">
        <v>250</v>
      </c>
      <c r="B927" s="580" t="s">
        <v>244</v>
      </c>
      <c r="C927" s="580" t="s">
        <v>215</v>
      </c>
      <c r="D927" s="580" t="s">
        <v>906</v>
      </c>
      <c r="E927" s="580" t="s">
        <v>251</v>
      </c>
      <c r="F927" s="489">
        <f>'Пр.4 ведом.22'!G480</f>
        <v>258.89999999999998</v>
      </c>
    </row>
    <row r="928" spans="1:12" ht="37.5" customHeight="1" x14ac:dyDescent="0.25">
      <c r="A928" s="494" t="s">
        <v>355</v>
      </c>
      <c r="B928" s="491">
        <v>10</v>
      </c>
      <c r="C928" s="495" t="s">
        <v>215</v>
      </c>
      <c r="D928" s="495" t="s">
        <v>362</v>
      </c>
      <c r="E928" s="495"/>
      <c r="F928" s="488">
        <f>F929+F935+F941</f>
        <v>1307</v>
      </c>
    </row>
    <row r="929" spans="1:11" ht="31.5" x14ac:dyDescent="0.25">
      <c r="A929" s="494" t="s">
        <v>1038</v>
      </c>
      <c r="B929" s="495" t="s">
        <v>244</v>
      </c>
      <c r="C929" s="495" t="s">
        <v>215</v>
      </c>
      <c r="D929" s="495" t="s">
        <v>913</v>
      </c>
      <c r="E929" s="495"/>
      <c r="F929" s="493">
        <f>F930</f>
        <v>630</v>
      </c>
    </row>
    <row r="930" spans="1:11" ht="47.25" x14ac:dyDescent="0.25">
      <c r="A930" s="98" t="s">
        <v>1039</v>
      </c>
      <c r="B930" s="580" t="s">
        <v>244</v>
      </c>
      <c r="C930" s="580" t="s">
        <v>215</v>
      </c>
      <c r="D930" s="580" t="s">
        <v>1224</v>
      </c>
      <c r="E930" s="580"/>
      <c r="F930" s="497">
        <f>F933+F931</f>
        <v>630</v>
      </c>
    </row>
    <row r="931" spans="1:11" s="203" customFormat="1" ht="31.5" hidden="1" x14ac:dyDescent="0.25">
      <c r="A931" s="579" t="s">
        <v>131</v>
      </c>
      <c r="B931" s="580" t="s">
        <v>244</v>
      </c>
      <c r="C931" s="580" t="s">
        <v>215</v>
      </c>
      <c r="D931" s="580" t="s">
        <v>1224</v>
      </c>
      <c r="E931" s="580" t="s">
        <v>132</v>
      </c>
      <c r="F931" s="497">
        <f>F932</f>
        <v>0</v>
      </c>
      <c r="G931" s="578"/>
      <c r="H931" s="578"/>
      <c r="I931" s="578"/>
      <c r="J931" s="578"/>
      <c r="K931" s="578"/>
    </row>
    <row r="932" spans="1:11" s="203" customFormat="1" ht="31.5" hidden="1" x14ac:dyDescent="0.25">
      <c r="A932" s="579" t="s">
        <v>133</v>
      </c>
      <c r="B932" s="580" t="s">
        <v>244</v>
      </c>
      <c r="C932" s="580" t="s">
        <v>215</v>
      </c>
      <c r="D932" s="580" t="s">
        <v>1224</v>
      </c>
      <c r="E932" s="580" t="s">
        <v>134</v>
      </c>
      <c r="F932" s="497">
        <f>'Пр.4 ведом.22'!G485</f>
        <v>0</v>
      </c>
      <c r="G932" s="578"/>
      <c r="H932" s="578"/>
      <c r="I932" s="578"/>
      <c r="J932" s="578"/>
      <c r="K932" s="578"/>
    </row>
    <row r="933" spans="1:11" ht="18.75" customHeight="1" x14ac:dyDescent="0.25">
      <c r="A933" s="579" t="s">
        <v>248</v>
      </c>
      <c r="B933" s="580" t="s">
        <v>244</v>
      </c>
      <c r="C933" s="580" t="s">
        <v>215</v>
      </c>
      <c r="D933" s="580" t="s">
        <v>1224</v>
      </c>
      <c r="E933" s="580" t="s">
        <v>249</v>
      </c>
      <c r="F933" s="497">
        <f>F934</f>
        <v>630</v>
      </c>
    </row>
    <row r="934" spans="1:11" ht="31.7" customHeight="1" x14ac:dyDescent="0.25">
      <c r="A934" s="579" t="s">
        <v>348</v>
      </c>
      <c r="B934" s="580" t="s">
        <v>244</v>
      </c>
      <c r="C934" s="580" t="s">
        <v>215</v>
      </c>
      <c r="D934" s="580" t="s">
        <v>1224</v>
      </c>
      <c r="E934" s="580" t="s">
        <v>349</v>
      </c>
      <c r="F934" s="497">
        <f>'Пр.4 ведом.22'!G487</f>
        <v>630</v>
      </c>
    </row>
    <row r="935" spans="1:11" ht="31.5" x14ac:dyDescent="0.25">
      <c r="A935" s="494" t="s">
        <v>1228</v>
      </c>
      <c r="B935" s="491">
        <v>10</v>
      </c>
      <c r="C935" s="495" t="s">
        <v>215</v>
      </c>
      <c r="D935" s="495" t="s">
        <v>1226</v>
      </c>
      <c r="E935" s="495"/>
      <c r="F935" s="493">
        <f>F936</f>
        <v>257</v>
      </c>
    </row>
    <row r="936" spans="1:11" ht="35.450000000000003" customHeight="1" x14ac:dyDescent="0.25">
      <c r="A936" s="579" t="s">
        <v>1225</v>
      </c>
      <c r="B936" s="580" t="s">
        <v>244</v>
      </c>
      <c r="C936" s="580" t="s">
        <v>215</v>
      </c>
      <c r="D936" s="580" t="s">
        <v>1227</v>
      </c>
      <c r="E936" s="580"/>
      <c r="F936" s="497">
        <f>F938+F940</f>
        <v>257</v>
      </c>
    </row>
    <row r="937" spans="1:11" ht="36" hidden="1" customHeight="1" x14ac:dyDescent="0.25">
      <c r="A937" s="579" t="s">
        <v>131</v>
      </c>
      <c r="B937" s="580" t="s">
        <v>244</v>
      </c>
      <c r="C937" s="580" t="s">
        <v>215</v>
      </c>
      <c r="D937" s="580" t="s">
        <v>1227</v>
      </c>
      <c r="E937" s="580" t="s">
        <v>132</v>
      </c>
      <c r="F937" s="497">
        <f>F938</f>
        <v>0</v>
      </c>
    </row>
    <row r="938" spans="1:11" ht="39.75" hidden="1" customHeight="1" x14ac:dyDescent="0.25">
      <c r="A938" s="579" t="s">
        <v>133</v>
      </c>
      <c r="B938" s="580" t="s">
        <v>244</v>
      </c>
      <c r="C938" s="580" t="s">
        <v>215</v>
      </c>
      <c r="D938" s="580" t="s">
        <v>1227</v>
      </c>
      <c r="E938" s="580" t="s">
        <v>134</v>
      </c>
      <c r="F938" s="497">
        <f>'Пр.4 ведом.22'!G491</f>
        <v>0</v>
      </c>
    </row>
    <row r="939" spans="1:11" ht="19.5" customHeight="1" x14ac:dyDescent="0.25">
      <c r="A939" s="579" t="s">
        <v>248</v>
      </c>
      <c r="B939" s="580" t="s">
        <v>244</v>
      </c>
      <c r="C939" s="580" t="s">
        <v>215</v>
      </c>
      <c r="D939" s="580" t="s">
        <v>1227</v>
      </c>
      <c r="E939" s="580" t="s">
        <v>249</v>
      </c>
      <c r="F939" s="497">
        <f>F940</f>
        <v>257</v>
      </c>
    </row>
    <row r="940" spans="1:11" ht="31.5" x14ac:dyDescent="0.25">
      <c r="A940" s="579" t="s">
        <v>348</v>
      </c>
      <c r="B940" s="580" t="s">
        <v>244</v>
      </c>
      <c r="C940" s="580" t="s">
        <v>215</v>
      </c>
      <c r="D940" s="580" t="s">
        <v>1227</v>
      </c>
      <c r="E940" s="580" t="s">
        <v>349</v>
      </c>
      <c r="F940" s="497">
        <f>'Пр.4 ведом.22'!G493</f>
        <v>257</v>
      </c>
    </row>
    <row r="941" spans="1:11" ht="31.5" x14ac:dyDescent="0.25">
      <c r="A941" s="494" t="s">
        <v>997</v>
      </c>
      <c r="B941" s="491">
        <v>10</v>
      </c>
      <c r="C941" s="495" t="s">
        <v>215</v>
      </c>
      <c r="D941" s="495" t="s">
        <v>1221</v>
      </c>
      <c r="E941" s="495"/>
      <c r="F941" s="493">
        <f>F942</f>
        <v>420</v>
      </c>
    </row>
    <row r="942" spans="1:11" ht="15.75" x14ac:dyDescent="0.25">
      <c r="A942" s="579" t="s">
        <v>1036</v>
      </c>
      <c r="B942" s="580" t="s">
        <v>244</v>
      </c>
      <c r="C942" s="580" t="s">
        <v>215</v>
      </c>
      <c r="D942" s="580" t="s">
        <v>1223</v>
      </c>
      <c r="E942" s="580"/>
      <c r="F942" s="497">
        <f>F943</f>
        <v>420</v>
      </c>
    </row>
    <row r="943" spans="1:11" s="203" customFormat="1" ht="21.75" customHeight="1" x14ac:dyDescent="0.25">
      <c r="A943" s="579" t="s">
        <v>248</v>
      </c>
      <c r="B943" s="580" t="s">
        <v>244</v>
      </c>
      <c r="C943" s="580" t="s">
        <v>215</v>
      </c>
      <c r="D943" s="580" t="s">
        <v>1223</v>
      </c>
      <c r="E943" s="580" t="s">
        <v>249</v>
      </c>
      <c r="F943" s="497">
        <f>F944</f>
        <v>420</v>
      </c>
      <c r="G943" s="578"/>
      <c r="H943" s="578"/>
      <c r="I943" s="578"/>
      <c r="J943" s="578"/>
      <c r="K943" s="578"/>
    </row>
    <row r="944" spans="1:11" s="203" customFormat="1" ht="31.5" x14ac:dyDescent="0.25">
      <c r="A944" s="579" t="s">
        <v>348</v>
      </c>
      <c r="B944" s="580" t="s">
        <v>244</v>
      </c>
      <c r="C944" s="580" t="s">
        <v>215</v>
      </c>
      <c r="D944" s="580" t="s">
        <v>1223</v>
      </c>
      <c r="E944" s="580" t="s">
        <v>349</v>
      </c>
      <c r="F944" s="497">
        <f>'Пр.4 ведом.22'!G497</f>
        <v>420</v>
      </c>
      <c r="G944" s="578"/>
      <c r="H944" s="578"/>
      <c r="I944" s="578"/>
      <c r="J944" s="578"/>
      <c r="K944" s="578"/>
    </row>
    <row r="945" spans="1:11" ht="69" customHeight="1" x14ac:dyDescent="0.25">
      <c r="A945" s="494" t="s">
        <v>1346</v>
      </c>
      <c r="B945" s="495" t="s">
        <v>244</v>
      </c>
      <c r="C945" s="495" t="s">
        <v>215</v>
      </c>
      <c r="D945" s="495" t="s">
        <v>254</v>
      </c>
      <c r="E945" s="495"/>
      <c r="F945" s="488">
        <f t="shared" ref="F945:F947" si="89">F946</f>
        <v>10</v>
      </c>
    </row>
    <row r="946" spans="1:11" ht="47.25" x14ac:dyDescent="0.25">
      <c r="A946" s="494" t="s">
        <v>884</v>
      </c>
      <c r="B946" s="495" t="s">
        <v>244</v>
      </c>
      <c r="C946" s="495" t="s">
        <v>215</v>
      </c>
      <c r="D946" s="495" t="s">
        <v>882</v>
      </c>
      <c r="E946" s="495"/>
      <c r="F946" s="488">
        <f>F947</f>
        <v>10</v>
      </c>
    </row>
    <row r="947" spans="1:11" ht="31.5" x14ac:dyDescent="0.25">
      <c r="A947" s="579" t="s">
        <v>883</v>
      </c>
      <c r="B947" s="580" t="s">
        <v>244</v>
      </c>
      <c r="C947" s="580" t="s">
        <v>215</v>
      </c>
      <c r="D947" s="580" t="s">
        <v>1188</v>
      </c>
      <c r="E947" s="580"/>
      <c r="F947" s="489">
        <f t="shared" si="89"/>
        <v>10</v>
      </c>
    </row>
    <row r="948" spans="1:11" ht="19.5" customHeight="1" x14ac:dyDescent="0.25">
      <c r="A948" s="579" t="s">
        <v>248</v>
      </c>
      <c r="B948" s="580" t="s">
        <v>244</v>
      </c>
      <c r="C948" s="580" t="s">
        <v>215</v>
      </c>
      <c r="D948" s="580" t="s">
        <v>1188</v>
      </c>
      <c r="E948" s="580" t="s">
        <v>249</v>
      </c>
      <c r="F948" s="489">
        <v>10</v>
      </c>
    </row>
    <row r="949" spans="1:11" ht="31.5" x14ac:dyDescent="0.25">
      <c r="A949" s="579" t="s">
        <v>250</v>
      </c>
      <c r="B949" s="580" t="s">
        <v>244</v>
      </c>
      <c r="C949" s="580" t="s">
        <v>215</v>
      </c>
      <c r="D949" s="580" t="s">
        <v>1188</v>
      </c>
      <c r="E949" s="580" t="s">
        <v>251</v>
      </c>
      <c r="F949" s="489">
        <f>'Пр.4 ведом.22'!G231</f>
        <v>10</v>
      </c>
    </row>
    <row r="950" spans="1:11" s="203" customFormat="1" ht="15.75" hidden="1" x14ac:dyDescent="0.25">
      <c r="A950" s="494" t="s">
        <v>400</v>
      </c>
      <c r="B950" s="495" t="s">
        <v>244</v>
      </c>
      <c r="C950" s="495" t="s">
        <v>150</v>
      </c>
      <c r="D950" s="495"/>
      <c r="E950" s="495"/>
      <c r="F950" s="488">
        <f>F951</f>
        <v>0</v>
      </c>
      <c r="G950" s="578"/>
      <c r="H950" s="578"/>
      <c r="I950" s="578"/>
      <c r="J950" s="578"/>
      <c r="K950" s="578"/>
    </row>
    <row r="951" spans="1:11" s="203" customFormat="1" ht="31.5" hidden="1" x14ac:dyDescent="0.25">
      <c r="A951" s="494" t="s">
        <v>885</v>
      </c>
      <c r="B951" s="495" t="s">
        <v>244</v>
      </c>
      <c r="C951" s="495" t="s">
        <v>150</v>
      </c>
      <c r="D951" s="495" t="s">
        <v>863</v>
      </c>
      <c r="E951" s="580"/>
      <c r="F951" s="493">
        <f>F952</f>
        <v>0</v>
      </c>
      <c r="G951" s="578"/>
      <c r="H951" s="578"/>
      <c r="I951" s="578"/>
      <c r="J951" s="578"/>
      <c r="K951" s="578"/>
    </row>
    <row r="952" spans="1:11" s="203" customFormat="1" ht="47.25" hidden="1" x14ac:dyDescent="0.25">
      <c r="A952" s="579" t="s">
        <v>1171</v>
      </c>
      <c r="B952" s="580" t="s">
        <v>244</v>
      </c>
      <c r="C952" s="580" t="s">
        <v>150</v>
      </c>
      <c r="D952" s="580" t="s">
        <v>1170</v>
      </c>
      <c r="E952" s="580"/>
      <c r="F952" s="497">
        <f>F953</f>
        <v>0</v>
      </c>
      <c r="G952" s="578"/>
      <c r="H952" s="578"/>
      <c r="I952" s="578"/>
      <c r="J952" s="578"/>
      <c r="K952" s="578"/>
    </row>
    <row r="953" spans="1:11" s="203" customFormat="1" ht="31.5" hidden="1" x14ac:dyDescent="0.25">
      <c r="A953" s="579" t="s">
        <v>131</v>
      </c>
      <c r="B953" s="580" t="s">
        <v>244</v>
      </c>
      <c r="C953" s="580" t="s">
        <v>150</v>
      </c>
      <c r="D953" s="580" t="s">
        <v>1170</v>
      </c>
      <c r="E953" s="580" t="s">
        <v>132</v>
      </c>
      <c r="F953" s="497">
        <f>F954</f>
        <v>0</v>
      </c>
      <c r="G953" s="578"/>
      <c r="H953" s="578"/>
      <c r="I953" s="578"/>
      <c r="J953" s="578"/>
      <c r="K953" s="578"/>
    </row>
    <row r="954" spans="1:11" s="203" customFormat="1" ht="31.5" hidden="1" x14ac:dyDescent="0.25">
      <c r="A954" s="579" t="s">
        <v>133</v>
      </c>
      <c r="B954" s="580" t="s">
        <v>244</v>
      </c>
      <c r="C954" s="580" t="s">
        <v>150</v>
      </c>
      <c r="D954" s="580" t="s">
        <v>1170</v>
      </c>
      <c r="E954" s="580" t="s">
        <v>134</v>
      </c>
      <c r="F954" s="497">
        <f>'Пр.4 ведом.22'!G584</f>
        <v>0</v>
      </c>
      <c r="G954" s="578"/>
      <c r="H954" s="578"/>
      <c r="I954" s="578"/>
      <c r="J954" s="578"/>
      <c r="K954" s="578"/>
    </row>
    <row r="955" spans="1:11" s="203" customFormat="1" ht="15.75" x14ac:dyDescent="0.25">
      <c r="A955" s="494" t="s">
        <v>258</v>
      </c>
      <c r="B955" s="495" t="s">
        <v>244</v>
      </c>
      <c r="C955" s="495" t="s">
        <v>120</v>
      </c>
      <c r="D955" s="495"/>
      <c r="E955" s="495"/>
      <c r="F955" s="488">
        <f>F956+F963</f>
        <v>3636.61</v>
      </c>
      <c r="G955" s="578"/>
      <c r="H955" s="578"/>
      <c r="I955" s="578"/>
      <c r="J955" s="578"/>
      <c r="K955" s="578"/>
    </row>
    <row r="956" spans="1:11" s="203" customFormat="1" ht="31.5" x14ac:dyDescent="0.25">
      <c r="A956" s="494" t="s">
        <v>917</v>
      </c>
      <c r="B956" s="495" t="s">
        <v>244</v>
      </c>
      <c r="C956" s="495" t="s">
        <v>120</v>
      </c>
      <c r="D956" s="495" t="s">
        <v>858</v>
      </c>
      <c r="E956" s="495"/>
      <c r="F956" s="488">
        <f>F957</f>
        <v>3551.5</v>
      </c>
      <c r="G956" s="578"/>
      <c r="H956" s="578"/>
      <c r="I956" s="578"/>
      <c r="J956" s="578"/>
      <c r="K956" s="578"/>
    </row>
    <row r="957" spans="1:11" ht="31.5" x14ac:dyDescent="0.25">
      <c r="A957" s="494" t="s">
        <v>885</v>
      </c>
      <c r="B957" s="495" t="s">
        <v>244</v>
      </c>
      <c r="C957" s="495" t="s">
        <v>120</v>
      </c>
      <c r="D957" s="495" t="s">
        <v>863</v>
      </c>
      <c r="E957" s="495"/>
      <c r="F957" s="488">
        <f>F958</f>
        <v>3551.5</v>
      </c>
    </row>
    <row r="958" spans="1:11" ht="43.5" customHeight="1" x14ac:dyDescent="0.25">
      <c r="A958" s="31" t="s">
        <v>259</v>
      </c>
      <c r="B958" s="580" t="s">
        <v>244</v>
      </c>
      <c r="C958" s="580" t="s">
        <v>120</v>
      </c>
      <c r="D958" s="580" t="s">
        <v>925</v>
      </c>
      <c r="E958" s="580"/>
      <c r="F958" s="489">
        <f>F959+F961</f>
        <v>3551.5</v>
      </c>
    </row>
    <row r="959" spans="1:11" ht="78.75" x14ac:dyDescent="0.25">
      <c r="A959" s="579" t="s">
        <v>127</v>
      </c>
      <c r="B959" s="580" t="s">
        <v>244</v>
      </c>
      <c r="C959" s="580" t="s">
        <v>120</v>
      </c>
      <c r="D959" s="580" t="s">
        <v>925</v>
      </c>
      <c r="E959" s="580" t="s">
        <v>128</v>
      </c>
      <c r="F959" s="489">
        <f t="shared" ref="F959" si="90">F960</f>
        <v>3288.6</v>
      </c>
    </row>
    <row r="960" spans="1:11" ht="31.5" x14ac:dyDescent="0.25">
      <c r="A960" s="579" t="s">
        <v>129</v>
      </c>
      <c r="B960" s="580" t="s">
        <v>244</v>
      </c>
      <c r="C960" s="580" t="s">
        <v>120</v>
      </c>
      <c r="D960" s="580" t="s">
        <v>925</v>
      </c>
      <c r="E960" s="580" t="s">
        <v>130</v>
      </c>
      <c r="F960" s="489">
        <f>'Пр.4 ведом.22'!G237</f>
        <v>3288.6</v>
      </c>
    </row>
    <row r="961" spans="1:12" ht="32.25" customHeight="1" x14ac:dyDescent="0.25">
      <c r="A961" s="579" t="s">
        <v>131</v>
      </c>
      <c r="B961" s="580" t="s">
        <v>244</v>
      </c>
      <c r="C961" s="580" t="s">
        <v>120</v>
      </c>
      <c r="D961" s="580" t="s">
        <v>925</v>
      </c>
      <c r="E961" s="580" t="s">
        <v>132</v>
      </c>
      <c r="F961" s="489">
        <f t="shared" ref="F961" si="91">F962</f>
        <v>262.89999999999998</v>
      </c>
    </row>
    <row r="962" spans="1:12" ht="31.7" customHeight="1" x14ac:dyDescent="0.25">
      <c r="A962" s="579" t="s">
        <v>133</v>
      </c>
      <c r="B962" s="580" t="s">
        <v>244</v>
      </c>
      <c r="C962" s="580" t="s">
        <v>120</v>
      </c>
      <c r="D962" s="580" t="s">
        <v>925</v>
      </c>
      <c r="E962" s="580" t="s">
        <v>134</v>
      </c>
      <c r="F962" s="489">
        <f>'Пр.4 ведом.22'!G239</f>
        <v>262.89999999999998</v>
      </c>
    </row>
    <row r="963" spans="1:12" s="203" customFormat="1" ht="15" customHeight="1" x14ac:dyDescent="0.25">
      <c r="A963" s="494" t="s">
        <v>141</v>
      </c>
      <c r="B963" s="495" t="s">
        <v>244</v>
      </c>
      <c r="C963" s="495" t="s">
        <v>120</v>
      </c>
      <c r="D963" s="495" t="s">
        <v>866</v>
      </c>
      <c r="E963" s="495"/>
      <c r="F963" s="488">
        <f>F964</f>
        <v>85.11</v>
      </c>
      <c r="G963" s="578"/>
      <c r="H963" s="578"/>
      <c r="I963" s="578"/>
      <c r="J963" s="578"/>
      <c r="K963" s="578"/>
    </row>
    <row r="964" spans="1:12" ht="37.5" customHeight="1" x14ac:dyDescent="0.25">
      <c r="A964" s="494" t="s">
        <v>870</v>
      </c>
      <c r="B964" s="495" t="s">
        <v>244</v>
      </c>
      <c r="C964" s="495" t="s">
        <v>120</v>
      </c>
      <c r="D964" s="495" t="s">
        <v>865</v>
      </c>
      <c r="E964" s="495"/>
      <c r="F964" s="488">
        <f>F965</f>
        <v>85.11</v>
      </c>
    </row>
    <row r="965" spans="1:12" ht="15.75" customHeight="1" x14ac:dyDescent="0.25">
      <c r="A965" s="579" t="s">
        <v>572</v>
      </c>
      <c r="B965" s="580" t="s">
        <v>244</v>
      </c>
      <c r="C965" s="580" t="s">
        <v>120</v>
      </c>
      <c r="D965" s="580" t="s">
        <v>985</v>
      </c>
      <c r="E965" s="580"/>
      <c r="F965" s="489">
        <f>F966</f>
        <v>85.11</v>
      </c>
    </row>
    <row r="966" spans="1:12" ht="31.7" customHeight="1" x14ac:dyDescent="0.25">
      <c r="A966" s="579" t="s">
        <v>131</v>
      </c>
      <c r="B966" s="580" t="s">
        <v>244</v>
      </c>
      <c r="C966" s="580" t="s">
        <v>120</v>
      </c>
      <c r="D966" s="580" t="s">
        <v>985</v>
      </c>
      <c r="E966" s="580" t="s">
        <v>132</v>
      </c>
      <c r="F966" s="489">
        <f>F967</f>
        <v>85.11</v>
      </c>
    </row>
    <row r="967" spans="1:12" ht="35.450000000000003" customHeight="1" x14ac:dyDescent="0.25">
      <c r="A967" s="579" t="s">
        <v>133</v>
      </c>
      <c r="B967" s="580" t="s">
        <v>244</v>
      </c>
      <c r="C967" s="580" t="s">
        <v>120</v>
      </c>
      <c r="D967" s="580" t="s">
        <v>985</v>
      </c>
      <c r="E967" s="580" t="s">
        <v>134</v>
      </c>
      <c r="F967" s="489">
        <f>'Пр.4 ведом.22'!G1152</f>
        <v>85.11</v>
      </c>
    </row>
    <row r="968" spans="1:12" ht="15.75" x14ac:dyDescent="0.25">
      <c r="A968" s="572" t="s">
        <v>490</v>
      </c>
      <c r="B968" s="7" t="s">
        <v>491</v>
      </c>
      <c r="C968" s="573"/>
      <c r="D968" s="573"/>
      <c r="E968" s="573"/>
      <c r="F968" s="488">
        <f>F969+F1016</f>
        <v>74590.739999999991</v>
      </c>
      <c r="G968" s="578">
        <v>64422.1</v>
      </c>
      <c r="H968" s="115">
        <f>G968-F968</f>
        <v>-10168.639999999992</v>
      </c>
      <c r="K968" s="230">
        <f>F968-F995-'Пр.4 ведом.22'!S1175</f>
        <v>73706.84</v>
      </c>
      <c r="L968" s="232">
        <f>F995+F1008-'Пр.4 ведом.22'!S1174</f>
        <v>883.9</v>
      </c>
    </row>
    <row r="969" spans="1:12" ht="15.75" x14ac:dyDescent="0.25">
      <c r="A969" s="494" t="s">
        <v>492</v>
      </c>
      <c r="B969" s="495" t="s">
        <v>491</v>
      </c>
      <c r="C969" s="495" t="s">
        <v>118</v>
      </c>
      <c r="D969" s="580"/>
      <c r="E969" s="580"/>
      <c r="F969" s="488">
        <f>F970+F1011</f>
        <v>61300.95</v>
      </c>
      <c r="G969" s="115"/>
      <c r="H969" s="115"/>
      <c r="I969" s="115"/>
      <c r="J969" s="115"/>
    </row>
    <row r="970" spans="1:12" ht="47.25" x14ac:dyDescent="0.25">
      <c r="A970" s="494" t="s">
        <v>1369</v>
      </c>
      <c r="B970" s="495" t="s">
        <v>491</v>
      </c>
      <c r="C970" s="495" t="s">
        <v>118</v>
      </c>
      <c r="D970" s="495" t="s">
        <v>482</v>
      </c>
      <c r="E970" s="495"/>
      <c r="F970" s="488">
        <f>F971+F975+F988+F995+F999+F1003+F1007</f>
        <v>60721.85</v>
      </c>
      <c r="H970" s="115"/>
    </row>
    <row r="971" spans="1:12" ht="31.5" x14ac:dyDescent="0.25">
      <c r="A971" s="494" t="s">
        <v>937</v>
      </c>
      <c r="B971" s="495" t="s">
        <v>491</v>
      </c>
      <c r="C971" s="495" t="s">
        <v>118</v>
      </c>
      <c r="D971" s="495" t="s">
        <v>1263</v>
      </c>
      <c r="E971" s="495"/>
      <c r="F971" s="488">
        <f>F972</f>
        <v>54428.95</v>
      </c>
    </row>
    <row r="972" spans="1:12" ht="31.5" x14ac:dyDescent="0.25">
      <c r="A972" s="579" t="s">
        <v>1293</v>
      </c>
      <c r="B972" s="580" t="s">
        <v>491</v>
      </c>
      <c r="C972" s="580" t="s">
        <v>118</v>
      </c>
      <c r="D972" s="580" t="s">
        <v>1264</v>
      </c>
      <c r="E972" s="580"/>
      <c r="F972" s="489">
        <f>F973</f>
        <v>54428.95</v>
      </c>
    </row>
    <row r="973" spans="1:12" ht="31.5" x14ac:dyDescent="0.25">
      <c r="A973" s="579" t="s">
        <v>272</v>
      </c>
      <c r="B973" s="580" t="s">
        <v>491</v>
      </c>
      <c r="C973" s="580" t="s">
        <v>118</v>
      </c>
      <c r="D973" s="580" t="s">
        <v>1264</v>
      </c>
      <c r="E973" s="580" t="s">
        <v>273</v>
      </c>
      <c r="F973" s="489">
        <f>F974</f>
        <v>54428.95</v>
      </c>
    </row>
    <row r="974" spans="1:12" ht="15.75" x14ac:dyDescent="0.25">
      <c r="A974" s="579" t="s">
        <v>274</v>
      </c>
      <c r="B974" s="580" t="s">
        <v>491</v>
      </c>
      <c r="C974" s="580" t="s">
        <v>118</v>
      </c>
      <c r="D974" s="580" t="s">
        <v>1264</v>
      </c>
      <c r="E974" s="580" t="s">
        <v>275</v>
      </c>
      <c r="F974" s="489">
        <f>'Пр.4 ведом.22'!G834</f>
        <v>54428.95</v>
      </c>
      <c r="H974" s="115"/>
    </row>
    <row r="975" spans="1:12" ht="31.5" x14ac:dyDescent="0.25">
      <c r="A975" s="494" t="s">
        <v>945</v>
      </c>
      <c r="B975" s="495" t="s">
        <v>491</v>
      </c>
      <c r="C975" s="495" t="s">
        <v>118</v>
      </c>
      <c r="D975" s="495" t="s">
        <v>1265</v>
      </c>
      <c r="E975" s="495"/>
      <c r="F975" s="488">
        <f>F976+F979+F982+F985</f>
        <v>36</v>
      </c>
    </row>
    <row r="976" spans="1:12" ht="31.5" hidden="1" x14ac:dyDescent="0.25">
      <c r="A976" s="579" t="s">
        <v>278</v>
      </c>
      <c r="B976" s="580" t="s">
        <v>491</v>
      </c>
      <c r="C976" s="580" t="s">
        <v>118</v>
      </c>
      <c r="D976" s="580" t="s">
        <v>1323</v>
      </c>
      <c r="E976" s="580"/>
      <c r="F976" s="489">
        <f t="shared" ref="F976" si="92">F977</f>
        <v>0</v>
      </c>
    </row>
    <row r="977" spans="1:11" ht="31.5" hidden="1" x14ac:dyDescent="0.25">
      <c r="A977" s="579" t="s">
        <v>272</v>
      </c>
      <c r="B977" s="580" t="s">
        <v>491</v>
      </c>
      <c r="C977" s="580" t="s">
        <v>118</v>
      </c>
      <c r="D977" s="580" t="s">
        <v>1323</v>
      </c>
      <c r="E977" s="580" t="s">
        <v>273</v>
      </c>
      <c r="F977" s="489">
        <f>'Пр.4 ведом.22'!G838</f>
        <v>0</v>
      </c>
    </row>
    <row r="978" spans="1:11" ht="20.25" hidden="1" customHeight="1" x14ac:dyDescent="0.25">
      <c r="A978" s="579" t="s">
        <v>274</v>
      </c>
      <c r="B978" s="580" t="s">
        <v>491</v>
      </c>
      <c r="C978" s="580" t="s">
        <v>118</v>
      </c>
      <c r="D978" s="580" t="s">
        <v>1323</v>
      </c>
      <c r="E978" s="580" t="s">
        <v>275</v>
      </c>
      <c r="F978" s="489">
        <f>'Пр.4 ведом.22'!G838</f>
        <v>0</v>
      </c>
    </row>
    <row r="979" spans="1:11" ht="33" hidden="1" customHeight="1" x14ac:dyDescent="0.25">
      <c r="A979" s="579" t="s">
        <v>280</v>
      </c>
      <c r="B979" s="580" t="s">
        <v>491</v>
      </c>
      <c r="C979" s="580" t="s">
        <v>118</v>
      </c>
      <c r="D979" s="580" t="s">
        <v>1324</v>
      </c>
      <c r="E979" s="580"/>
      <c r="F979" s="489">
        <f t="shared" ref="F979" si="93">F980</f>
        <v>0</v>
      </c>
    </row>
    <row r="980" spans="1:11" ht="37.5" hidden="1" customHeight="1" x14ac:dyDescent="0.25">
      <c r="A980" s="579" t="s">
        <v>272</v>
      </c>
      <c r="B980" s="580" t="s">
        <v>491</v>
      </c>
      <c r="C980" s="580" t="s">
        <v>118</v>
      </c>
      <c r="D980" s="580" t="s">
        <v>1324</v>
      </c>
      <c r="E980" s="580" t="s">
        <v>273</v>
      </c>
      <c r="F980" s="489">
        <f>'Пр.4 ведом.22'!G841</f>
        <v>0</v>
      </c>
    </row>
    <row r="981" spans="1:11" s="203" customFormat="1" ht="15.75" hidden="1" customHeight="1" x14ac:dyDescent="0.25">
      <c r="A981" s="579" t="s">
        <v>274</v>
      </c>
      <c r="B981" s="580" t="s">
        <v>491</v>
      </c>
      <c r="C981" s="580" t="s">
        <v>118</v>
      </c>
      <c r="D981" s="580" t="s">
        <v>1324</v>
      </c>
      <c r="E981" s="580" t="s">
        <v>275</v>
      </c>
      <c r="F981" s="489">
        <f>'Пр.4 ведом.22'!G841</f>
        <v>0</v>
      </c>
      <c r="G981" s="578"/>
      <c r="H981" s="578"/>
      <c r="I981" s="578"/>
      <c r="J981" s="578"/>
      <c r="K981" s="578"/>
    </row>
    <row r="982" spans="1:11" s="203" customFormat="1" ht="20.25" customHeight="1" x14ac:dyDescent="0.25">
      <c r="A982" s="579" t="s">
        <v>830</v>
      </c>
      <c r="B982" s="580" t="s">
        <v>491</v>
      </c>
      <c r="C982" s="580" t="s">
        <v>118</v>
      </c>
      <c r="D982" s="580" t="s">
        <v>1266</v>
      </c>
      <c r="E982" s="580"/>
      <c r="F982" s="489">
        <f>F983</f>
        <v>36</v>
      </c>
      <c r="G982" s="578"/>
      <c r="H982" s="578"/>
      <c r="I982" s="578"/>
      <c r="J982" s="578"/>
      <c r="K982" s="578"/>
    </row>
    <row r="983" spans="1:11" s="203" customFormat="1" ht="33" customHeight="1" x14ac:dyDescent="0.25">
      <c r="A983" s="579" t="s">
        <v>272</v>
      </c>
      <c r="B983" s="580" t="s">
        <v>491</v>
      </c>
      <c r="C983" s="580" t="s">
        <v>118</v>
      </c>
      <c r="D983" s="580" t="s">
        <v>1266</v>
      </c>
      <c r="E983" s="580" t="s">
        <v>273</v>
      </c>
      <c r="F983" s="489">
        <f>'Пр.4 ведом.22'!G844</f>
        <v>36</v>
      </c>
      <c r="G983" s="578"/>
      <c r="H983" s="578"/>
      <c r="I983" s="578"/>
      <c r="J983" s="578"/>
      <c r="K983" s="578"/>
    </row>
    <row r="984" spans="1:11" ht="20.25" customHeight="1" x14ac:dyDescent="0.25">
      <c r="A984" s="579" t="s">
        <v>274</v>
      </c>
      <c r="B984" s="580" t="s">
        <v>491</v>
      </c>
      <c r="C984" s="580" t="s">
        <v>118</v>
      </c>
      <c r="D984" s="580" t="s">
        <v>1266</v>
      </c>
      <c r="E984" s="580" t="s">
        <v>275</v>
      </c>
      <c r="F984" s="489">
        <f>'Пр.4 ведом.22'!G844</f>
        <v>36</v>
      </c>
    </row>
    <row r="985" spans="1:11" s="487" customFormat="1" ht="39.75" hidden="1" customHeight="1" x14ac:dyDescent="0.25">
      <c r="A985" s="579" t="s">
        <v>287</v>
      </c>
      <c r="B985" s="580" t="s">
        <v>491</v>
      </c>
      <c r="C985" s="580" t="s">
        <v>118</v>
      </c>
      <c r="D985" s="580" t="s">
        <v>1687</v>
      </c>
      <c r="E985" s="580"/>
      <c r="F985" s="489">
        <f>F986</f>
        <v>0</v>
      </c>
      <c r="G985" s="578"/>
      <c r="H985" s="578"/>
      <c r="I985" s="578"/>
      <c r="J985" s="578"/>
      <c r="K985" s="578"/>
    </row>
    <row r="986" spans="1:11" s="487" customFormat="1" ht="35.25" hidden="1" customHeight="1" x14ac:dyDescent="0.25">
      <c r="A986" s="579" t="s">
        <v>272</v>
      </c>
      <c r="B986" s="580" t="s">
        <v>491</v>
      </c>
      <c r="C986" s="580" t="s">
        <v>118</v>
      </c>
      <c r="D986" s="580" t="s">
        <v>1687</v>
      </c>
      <c r="E986" s="580" t="s">
        <v>273</v>
      </c>
      <c r="F986" s="489">
        <f>F987</f>
        <v>0</v>
      </c>
      <c r="G986" s="578"/>
      <c r="H986" s="578"/>
      <c r="I986" s="578"/>
      <c r="J986" s="578"/>
      <c r="K986" s="578"/>
    </row>
    <row r="987" spans="1:11" s="487" customFormat="1" ht="20.25" hidden="1" customHeight="1" x14ac:dyDescent="0.25">
      <c r="A987" s="579" t="s">
        <v>274</v>
      </c>
      <c r="B987" s="580" t="s">
        <v>491</v>
      </c>
      <c r="C987" s="580" t="s">
        <v>118</v>
      </c>
      <c r="D987" s="580" t="s">
        <v>1687</v>
      </c>
      <c r="E987" s="580" t="s">
        <v>275</v>
      </c>
      <c r="F987" s="489">
        <f>'Пр.4 ведом.22'!G847</f>
        <v>0</v>
      </c>
      <c r="G987" s="578"/>
      <c r="H987" s="578"/>
      <c r="I987" s="578"/>
      <c r="J987" s="578"/>
      <c r="K987" s="578"/>
    </row>
    <row r="988" spans="1:11" ht="33" customHeight="1" x14ac:dyDescent="0.25">
      <c r="A988" s="494" t="s">
        <v>947</v>
      </c>
      <c r="B988" s="495" t="s">
        <v>491</v>
      </c>
      <c r="C988" s="495" t="s">
        <v>118</v>
      </c>
      <c r="D988" s="495" t="s">
        <v>1267</v>
      </c>
      <c r="E988" s="495"/>
      <c r="F988" s="488">
        <f>F989+F992</f>
        <v>1290</v>
      </c>
    </row>
    <row r="989" spans="1:11" ht="39.200000000000003" hidden="1" customHeight="1" x14ac:dyDescent="0.25">
      <c r="A989" s="579" t="s">
        <v>791</v>
      </c>
      <c r="B989" s="580" t="s">
        <v>491</v>
      </c>
      <c r="C989" s="580" t="s">
        <v>118</v>
      </c>
      <c r="D989" s="580" t="s">
        <v>1305</v>
      </c>
      <c r="E989" s="580"/>
      <c r="F989" s="489">
        <f>'Пр.4 ведом.22'!G851</f>
        <v>0</v>
      </c>
    </row>
    <row r="990" spans="1:11" ht="40.700000000000003" hidden="1" customHeight="1" x14ac:dyDescent="0.25">
      <c r="A990" s="579" t="s">
        <v>272</v>
      </c>
      <c r="B990" s="580" t="s">
        <v>491</v>
      </c>
      <c r="C990" s="580" t="s">
        <v>118</v>
      </c>
      <c r="D990" s="580" t="s">
        <v>1305</v>
      </c>
      <c r="E990" s="580" t="s">
        <v>273</v>
      </c>
      <c r="F990" s="489">
        <f t="shared" ref="F990" si="94">F991</f>
        <v>0</v>
      </c>
    </row>
    <row r="991" spans="1:11" ht="15.75" hidden="1" customHeight="1" x14ac:dyDescent="0.25">
      <c r="A991" s="579" t="s">
        <v>274</v>
      </c>
      <c r="B991" s="580" t="s">
        <v>491</v>
      </c>
      <c r="C991" s="580" t="s">
        <v>118</v>
      </c>
      <c r="D991" s="580" t="s">
        <v>1305</v>
      </c>
      <c r="E991" s="580" t="s">
        <v>275</v>
      </c>
      <c r="F991" s="489">
        <f>'Пр.4 ведом.22'!G851</f>
        <v>0</v>
      </c>
    </row>
    <row r="992" spans="1:11" ht="34.5" customHeight="1" x14ac:dyDescent="0.25">
      <c r="A992" s="45" t="s">
        <v>764</v>
      </c>
      <c r="B992" s="580" t="s">
        <v>491</v>
      </c>
      <c r="C992" s="580" t="s">
        <v>118</v>
      </c>
      <c r="D992" s="580" t="s">
        <v>1268</v>
      </c>
      <c r="E992" s="580"/>
      <c r="F992" s="489">
        <f>'Пр.4 ведом.22'!G854</f>
        <v>1290</v>
      </c>
    </row>
    <row r="993" spans="1:11" ht="39.75" customHeight="1" x14ac:dyDescent="0.25">
      <c r="A993" s="31" t="s">
        <v>272</v>
      </c>
      <c r="B993" s="580" t="s">
        <v>491</v>
      </c>
      <c r="C993" s="580" t="s">
        <v>118</v>
      </c>
      <c r="D993" s="580" t="s">
        <v>1268</v>
      </c>
      <c r="E993" s="580" t="s">
        <v>273</v>
      </c>
      <c r="F993" s="489">
        <f>F994</f>
        <v>1290</v>
      </c>
    </row>
    <row r="994" spans="1:11" ht="15.75" x14ac:dyDescent="0.25">
      <c r="A994" s="31" t="s">
        <v>274</v>
      </c>
      <c r="B994" s="580" t="s">
        <v>491</v>
      </c>
      <c r="C994" s="580" t="s">
        <v>118</v>
      </c>
      <c r="D994" s="580" t="s">
        <v>1268</v>
      </c>
      <c r="E994" s="580" t="s">
        <v>275</v>
      </c>
      <c r="F994" s="489">
        <f>'Пр.4 ведом.22'!G854</f>
        <v>1290</v>
      </c>
    </row>
    <row r="995" spans="1:11" ht="47.25" x14ac:dyDescent="0.25">
      <c r="A995" s="494" t="s">
        <v>900</v>
      </c>
      <c r="B995" s="495" t="s">
        <v>491</v>
      </c>
      <c r="C995" s="495" t="s">
        <v>118</v>
      </c>
      <c r="D995" s="495" t="s">
        <v>1269</v>
      </c>
      <c r="E995" s="495"/>
      <c r="F995" s="488">
        <f>F996</f>
        <v>883.9</v>
      </c>
    </row>
    <row r="996" spans="1:11" ht="94.5" x14ac:dyDescent="0.25">
      <c r="A996" s="31" t="s">
        <v>464</v>
      </c>
      <c r="B996" s="580" t="s">
        <v>491</v>
      </c>
      <c r="C996" s="580" t="s">
        <v>118</v>
      </c>
      <c r="D996" s="580" t="s">
        <v>1402</v>
      </c>
      <c r="E996" s="580"/>
      <c r="F996" s="489">
        <f>F997</f>
        <v>883.9</v>
      </c>
    </row>
    <row r="997" spans="1:11" ht="31.5" x14ac:dyDescent="0.25">
      <c r="A997" s="579" t="s">
        <v>272</v>
      </c>
      <c r="B997" s="580" t="s">
        <v>491</v>
      </c>
      <c r="C997" s="580" t="s">
        <v>118</v>
      </c>
      <c r="D997" s="580" t="s">
        <v>1402</v>
      </c>
      <c r="E997" s="580" t="s">
        <v>273</v>
      </c>
      <c r="F997" s="489">
        <f t="shared" ref="F997:F1011" si="95">F998</f>
        <v>883.9</v>
      </c>
    </row>
    <row r="998" spans="1:11" ht="15.75" x14ac:dyDescent="0.25">
      <c r="A998" s="579" t="s">
        <v>274</v>
      </c>
      <c r="B998" s="580" t="s">
        <v>491</v>
      </c>
      <c r="C998" s="580" t="s">
        <v>118</v>
      </c>
      <c r="D998" s="580" t="s">
        <v>1402</v>
      </c>
      <c r="E998" s="580" t="s">
        <v>275</v>
      </c>
      <c r="F998" s="489">
        <f>'Пр.4 ведом.22'!G858</f>
        <v>883.9</v>
      </c>
    </row>
    <row r="999" spans="1:11" s="487" customFormat="1" ht="47.25" x14ac:dyDescent="0.25">
      <c r="A999" s="494" t="s">
        <v>1668</v>
      </c>
      <c r="B999" s="495" t="s">
        <v>491</v>
      </c>
      <c r="C999" s="495" t="s">
        <v>118</v>
      </c>
      <c r="D999" s="495" t="s">
        <v>1666</v>
      </c>
      <c r="E999" s="495"/>
      <c r="F999" s="488">
        <f>F1000</f>
        <v>3665.9</v>
      </c>
      <c r="G999" s="578"/>
      <c r="H999" s="578"/>
      <c r="I999" s="578"/>
      <c r="J999" s="578"/>
      <c r="K999" s="578"/>
    </row>
    <row r="1000" spans="1:11" s="487" customFormat="1" ht="55.5" customHeight="1" x14ac:dyDescent="0.25">
      <c r="A1000" s="31" t="s">
        <v>1669</v>
      </c>
      <c r="B1000" s="580" t="s">
        <v>491</v>
      </c>
      <c r="C1000" s="580" t="s">
        <v>118</v>
      </c>
      <c r="D1000" s="580" t="s">
        <v>1667</v>
      </c>
      <c r="E1000" s="580"/>
      <c r="F1000" s="489">
        <f>F1001</f>
        <v>3665.9</v>
      </c>
      <c r="G1000" s="578"/>
      <c r="H1000" s="578"/>
      <c r="I1000" s="578"/>
      <c r="J1000" s="578"/>
      <c r="K1000" s="578"/>
    </row>
    <row r="1001" spans="1:11" s="487" customFormat="1" ht="31.5" x14ac:dyDescent="0.25">
      <c r="A1001" s="579" t="s">
        <v>272</v>
      </c>
      <c r="B1001" s="580" t="s">
        <v>491</v>
      </c>
      <c r="C1001" s="580" t="s">
        <v>118</v>
      </c>
      <c r="D1001" s="580" t="s">
        <v>1667</v>
      </c>
      <c r="E1001" s="580" t="s">
        <v>273</v>
      </c>
      <c r="F1001" s="489">
        <f t="shared" si="95"/>
        <v>3665.9</v>
      </c>
      <c r="G1001" s="578"/>
      <c r="H1001" s="578"/>
      <c r="I1001" s="578"/>
      <c r="J1001" s="578"/>
      <c r="K1001" s="578"/>
    </row>
    <row r="1002" spans="1:11" s="487" customFormat="1" ht="15.75" x14ac:dyDescent="0.25">
      <c r="A1002" s="579" t="s">
        <v>274</v>
      </c>
      <c r="B1002" s="580" t="s">
        <v>491</v>
      </c>
      <c r="C1002" s="580" t="s">
        <v>118</v>
      </c>
      <c r="D1002" s="580" t="s">
        <v>1667</v>
      </c>
      <c r="E1002" s="580" t="s">
        <v>275</v>
      </c>
      <c r="F1002" s="489">
        <f>'Пр.4 ведом.22'!G861</f>
        <v>3665.9</v>
      </c>
      <c r="G1002" s="578"/>
      <c r="H1002" s="578"/>
      <c r="I1002" s="578"/>
      <c r="J1002" s="578"/>
      <c r="K1002" s="578"/>
    </row>
    <row r="1003" spans="1:11" s="576" customFormat="1" ht="31.5" x14ac:dyDescent="0.25">
      <c r="A1003" s="572" t="s">
        <v>1739</v>
      </c>
      <c r="B1003" s="495" t="s">
        <v>491</v>
      </c>
      <c r="C1003" s="495" t="s">
        <v>118</v>
      </c>
      <c r="D1003" s="495" t="s">
        <v>1740</v>
      </c>
      <c r="E1003" s="495"/>
      <c r="F1003" s="488">
        <f>F1004</f>
        <v>417.1</v>
      </c>
      <c r="G1003" s="578"/>
      <c r="H1003" s="578"/>
      <c r="I1003" s="578"/>
      <c r="J1003" s="578"/>
      <c r="K1003" s="578"/>
    </row>
    <row r="1004" spans="1:11" s="576" customFormat="1" ht="31.5" x14ac:dyDescent="0.25">
      <c r="A1004" s="29" t="s">
        <v>1742</v>
      </c>
      <c r="B1004" s="580" t="s">
        <v>491</v>
      </c>
      <c r="C1004" s="580" t="s">
        <v>118</v>
      </c>
      <c r="D1004" s="580" t="s">
        <v>1741</v>
      </c>
      <c r="E1004" s="580"/>
      <c r="F1004" s="489">
        <f>F1005</f>
        <v>417.1</v>
      </c>
      <c r="G1004" s="578"/>
      <c r="H1004" s="578"/>
      <c r="I1004" s="578"/>
      <c r="J1004" s="578"/>
      <c r="K1004" s="578"/>
    </row>
    <row r="1005" spans="1:11" s="576" customFormat="1" ht="31.5" x14ac:dyDescent="0.25">
      <c r="A1005" s="579" t="s">
        <v>272</v>
      </c>
      <c r="B1005" s="580" t="s">
        <v>491</v>
      </c>
      <c r="C1005" s="580" t="s">
        <v>118</v>
      </c>
      <c r="D1005" s="580" t="s">
        <v>1741</v>
      </c>
      <c r="E1005" s="580" t="s">
        <v>273</v>
      </c>
      <c r="F1005" s="489">
        <f>F1006</f>
        <v>417.1</v>
      </c>
      <c r="G1005" s="578"/>
      <c r="H1005" s="578"/>
      <c r="I1005" s="578"/>
      <c r="J1005" s="578"/>
      <c r="K1005" s="578"/>
    </row>
    <row r="1006" spans="1:11" s="576" customFormat="1" ht="15.75" x14ac:dyDescent="0.25">
      <c r="A1006" s="579" t="s">
        <v>274</v>
      </c>
      <c r="B1006" s="580" t="s">
        <v>491</v>
      </c>
      <c r="C1006" s="580" t="s">
        <v>118</v>
      </c>
      <c r="D1006" s="580" t="s">
        <v>1741</v>
      </c>
      <c r="E1006" s="580" t="s">
        <v>275</v>
      </c>
      <c r="F1006" s="489">
        <f>'Пр.4 ведом.22'!G866</f>
        <v>417.1</v>
      </c>
      <c r="G1006" s="578"/>
      <c r="H1006" s="578"/>
      <c r="I1006" s="578"/>
      <c r="J1006" s="578"/>
      <c r="K1006" s="578"/>
    </row>
    <row r="1007" spans="1:11" s="203" customFormat="1" ht="63" hidden="1" x14ac:dyDescent="0.25">
      <c r="A1007" s="494" t="s">
        <v>1192</v>
      </c>
      <c r="B1007" s="495" t="s">
        <v>491</v>
      </c>
      <c r="C1007" s="495" t="s">
        <v>118</v>
      </c>
      <c r="D1007" s="495" t="s">
        <v>1270</v>
      </c>
      <c r="E1007" s="495"/>
      <c r="F1007" s="488">
        <f>F1008</f>
        <v>0</v>
      </c>
      <c r="G1007" s="578"/>
      <c r="H1007" s="578"/>
      <c r="I1007" s="578"/>
      <c r="J1007" s="578"/>
      <c r="K1007" s="578"/>
    </row>
    <row r="1008" spans="1:11" s="203" customFormat="1" ht="63" hidden="1" x14ac:dyDescent="0.25">
      <c r="A1008" s="579" t="s">
        <v>1194</v>
      </c>
      <c r="B1008" s="580" t="s">
        <v>491</v>
      </c>
      <c r="C1008" s="580" t="s">
        <v>118</v>
      </c>
      <c r="D1008" s="580" t="s">
        <v>1325</v>
      </c>
      <c r="E1008" s="580"/>
      <c r="F1008" s="489">
        <f>F1009</f>
        <v>0</v>
      </c>
      <c r="G1008" s="578"/>
      <c r="H1008" s="578"/>
      <c r="I1008" s="578"/>
      <c r="J1008" s="578"/>
      <c r="K1008" s="578"/>
    </row>
    <row r="1009" spans="1:11" s="203" customFormat="1" ht="31.5" hidden="1" x14ac:dyDescent="0.25">
      <c r="A1009" s="579" t="s">
        <v>272</v>
      </c>
      <c r="B1009" s="580" t="s">
        <v>491</v>
      </c>
      <c r="C1009" s="580" t="s">
        <v>118</v>
      </c>
      <c r="D1009" s="580" t="s">
        <v>1325</v>
      </c>
      <c r="E1009" s="580" t="s">
        <v>273</v>
      </c>
      <c r="F1009" s="489">
        <f>F1010</f>
        <v>0</v>
      </c>
      <c r="G1009" s="578"/>
      <c r="H1009" s="578"/>
      <c r="I1009" s="578"/>
      <c r="J1009" s="578"/>
      <c r="K1009" s="578"/>
    </row>
    <row r="1010" spans="1:11" s="203" customFormat="1" ht="15.75" hidden="1" x14ac:dyDescent="0.25">
      <c r="A1010" s="579" t="s">
        <v>274</v>
      </c>
      <c r="B1010" s="580" t="s">
        <v>491</v>
      </c>
      <c r="C1010" s="580" t="s">
        <v>118</v>
      </c>
      <c r="D1010" s="580" t="s">
        <v>1325</v>
      </c>
      <c r="E1010" s="580" t="s">
        <v>275</v>
      </c>
      <c r="F1010" s="489">
        <f>'Пр.4 ведом.22'!G870</f>
        <v>0</v>
      </c>
      <c r="G1010" s="578"/>
      <c r="H1010" s="578"/>
      <c r="I1010" s="578"/>
      <c r="J1010" s="578"/>
      <c r="K1010" s="578"/>
    </row>
    <row r="1011" spans="1:11" ht="47.25" x14ac:dyDescent="0.25">
      <c r="A1011" s="572" t="s">
        <v>1352</v>
      </c>
      <c r="B1011" s="495" t="s">
        <v>491</v>
      </c>
      <c r="C1011" s="495" t="s">
        <v>118</v>
      </c>
      <c r="D1011" s="495" t="s">
        <v>705</v>
      </c>
      <c r="E1011" s="504"/>
      <c r="F1011" s="488">
        <f t="shared" si="95"/>
        <v>579.1</v>
      </c>
    </row>
    <row r="1012" spans="1:11" ht="47.25" x14ac:dyDescent="0.25">
      <c r="A1012" s="572" t="s">
        <v>890</v>
      </c>
      <c r="B1012" s="495" t="s">
        <v>491</v>
      </c>
      <c r="C1012" s="495" t="s">
        <v>118</v>
      </c>
      <c r="D1012" s="495" t="s">
        <v>888</v>
      </c>
      <c r="E1012" s="504"/>
      <c r="F1012" s="488">
        <f>F1013</f>
        <v>579.1</v>
      </c>
    </row>
    <row r="1013" spans="1:11" ht="47.25" x14ac:dyDescent="0.25">
      <c r="A1013" s="98" t="s">
        <v>780</v>
      </c>
      <c r="B1013" s="580" t="s">
        <v>491</v>
      </c>
      <c r="C1013" s="580" t="s">
        <v>118</v>
      </c>
      <c r="D1013" s="580" t="s">
        <v>936</v>
      </c>
      <c r="E1013" s="498"/>
      <c r="F1013" s="489">
        <f>F1014</f>
        <v>579.1</v>
      </c>
    </row>
    <row r="1014" spans="1:11" ht="31.5" x14ac:dyDescent="0.25">
      <c r="A1014" s="29" t="s">
        <v>272</v>
      </c>
      <c r="B1014" s="580" t="s">
        <v>491</v>
      </c>
      <c r="C1014" s="580" t="s">
        <v>118</v>
      </c>
      <c r="D1014" s="580" t="s">
        <v>936</v>
      </c>
      <c r="E1014" s="498" t="s">
        <v>273</v>
      </c>
      <c r="F1014" s="489">
        <f>F1015</f>
        <v>579.1</v>
      </c>
    </row>
    <row r="1015" spans="1:11" ht="15.75" x14ac:dyDescent="0.25">
      <c r="A1015" s="182" t="s">
        <v>274</v>
      </c>
      <c r="B1015" s="580" t="s">
        <v>491</v>
      </c>
      <c r="C1015" s="580" t="s">
        <v>118</v>
      </c>
      <c r="D1015" s="580" t="s">
        <v>936</v>
      </c>
      <c r="E1015" s="498" t="s">
        <v>275</v>
      </c>
      <c r="F1015" s="489">
        <f>'Пр.4 ведом.22'!G875</f>
        <v>579.1</v>
      </c>
    </row>
    <row r="1016" spans="1:11" ht="31.5" x14ac:dyDescent="0.25">
      <c r="A1016" s="494" t="s">
        <v>500</v>
      </c>
      <c r="B1016" s="495" t="s">
        <v>491</v>
      </c>
      <c r="C1016" s="495" t="s">
        <v>234</v>
      </c>
      <c r="D1016" s="495"/>
      <c r="E1016" s="495"/>
      <c r="F1016" s="488">
        <f>F1017+F1032+F1044</f>
        <v>13289.79</v>
      </c>
    </row>
    <row r="1017" spans="1:11" ht="31.5" x14ac:dyDescent="0.25">
      <c r="A1017" s="494" t="s">
        <v>917</v>
      </c>
      <c r="B1017" s="495" t="s">
        <v>491</v>
      </c>
      <c r="C1017" s="495" t="s">
        <v>234</v>
      </c>
      <c r="D1017" s="495" t="s">
        <v>858</v>
      </c>
      <c r="E1017" s="495"/>
      <c r="F1017" s="488">
        <f>F1018</f>
        <v>10589.79</v>
      </c>
    </row>
    <row r="1018" spans="1:11" ht="15.75" x14ac:dyDescent="0.25">
      <c r="A1018" s="494" t="s">
        <v>918</v>
      </c>
      <c r="B1018" s="495" t="s">
        <v>491</v>
      </c>
      <c r="C1018" s="495" t="s">
        <v>234</v>
      </c>
      <c r="D1018" s="495" t="s">
        <v>859</v>
      </c>
      <c r="E1018" s="495"/>
      <c r="F1018" s="488">
        <f>F1019+F1029+F1022</f>
        <v>10589.79</v>
      </c>
    </row>
    <row r="1019" spans="1:11" ht="31.5" x14ac:dyDescent="0.25">
      <c r="A1019" s="579" t="s">
        <v>897</v>
      </c>
      <c r="B1019" s="580" t="s">
        <v>491</v>
      </c>
      <c r="C1019" s="580" t="s">
        <v>234</v>
      </c>
      <c r="D1019" s="580" t="s">
        <v>860</v>
      </c>
      <c r="E1019" s="580"/>
      <c r="F1019" s="489">
        <f>F1020</f>
        <v>4917.99</v>
      </c>
    </row>
    <row r="1020" spans="1:11" ht="78.75" x14ac:dyDescent="0.25">
      <c r="A1020" s="579" t="s">
        <v>127</v>
      </c>
      <c r="B1020" s="580" t="s">
        <v>491</v>
      </c>
      <c r="C1020" s="580" t="s">
        <v>234</v>
      </c>
      <c r="D1020" s="580" t="s">
        <v>860</v>
      </c>
      <c r="E1020" s="580" t="s">
        <v>128</v>
      </c>
      <c r="F1020" s="489">
        <f>F1021</f>
        <v>4917.99</v>
      </c>
    </row>
    <row r="1021" spans="1:11" ht="31.5" x14ac:dyDescent="0.25">
      <c r="A1021" s="579" t="s">
        <v>129</v>
      </c>
      <c r="B1021" s="580" t="s">
        <v>491</v>
      </c>
      <c r="C1021" s="580" t="s">
        <v>234</v>
      </c>
      <c r="D1021" s="580" t="s">
        <v>860</v>
      </c>
      <c r="E1021" s="580" t="s">
        <v>130</v>
      </c>
      <c r="F1021" s="489">
        <f>'Пр.4 ведом.22'!G881</f>
        <v>4917.99</v>
      </c>
    </row>
    <row r="1022" spans="1:11" s="576" customFormat="1" ht="31.5" x14ac:dyDescent="0.25">
      <c r="A1022" s="579" t="s">
        <v>840</v>
      </c>
      <c r="B1022" s="580" t="s">
        <v>491</v>
      </c>
      <c r="C1022" s="580" t="s">
        <v>234</v>
      </c>
      <c r="D1022" s="580" t="s">
        <v>861</v>
      </c>
      <c r="E1022" s="580"/>
      <c r="F1022" s="489">
        <f>F1023+F1025+F1027</f>
        <v>5026.8</v>
      </c>
      <c r="G1022" s="578"/>
      <c r="H1022" s="578"/>
      <c r="I1022" s="578"/>
      <c r="J1022" s="578"/>
      <c r="K1022" s="578"/>
    </row>
    <row r="1023" spans="1:11" s="576" customFormat="1" ht="78.75" x14ac:dyDescent="0.25">
      <c r="A1023" s="579" t="s">
        <v>127</v>
      </c>
      <c r="B1023" s="580" t="s">
        <v>491</v>
      </c>
      <c r="C1023" s="580" t="s">
        <v>234</v>
      </c>
      <c r="D1023" s="580" t="s">
        <v>861</v>
      </c>
      <c r="E1023" s="580" t="s">
        <v>128</v>
      </c>
      <c r="F1023" s="489">
        <f>F1024</f>
        <v>4700.5</v>
      </c>
      <c r="G1023" s="578"/>
      <c r="H1023" s="578"/>
      <c r="I1023" s="578"/>
      <c r="J1023" s="578"/>
      <c r="K1023" s="578"/>
    </row>
    <row r="1024" spans="1:11" s="576" customFormat="1" ht="31.5" x14ac:dyDescent="0.25">
      <c r="A1024" s="579" t="s">
        <v>129</v>
      </c>
      <c r="B1024" s="580" t="s">
        <v>491</v>
      </c>
      <c r="C1024" s="580" t="s">
        <v>234</v>
      </c>
      <c r="D1024" s="580" t="s">
        <v>861</v>
      </c>
      <c r="E1024" s="580" t="s">
        <v>130</v>
      </c>
      <c r="F1024" s="489">
        <f>'Пр.4 ведом.22'!G884</f>
        <v>4700.5</v>
      </c>
      <c r="G1024" s="578"/>
      <c r="H1024" s="578"/>
      <c r="I1024" s="578"/>
      <c r="J1024" s="578"/>
      <c r="K1024" s="578"/>
    </row>
    <row r="1025" spans="1:11" s="576" customFormat="1" ht="31.5" x14ac:dyDescent="0.25">
      <c r="A1025" s="579" t="s">
        <v>131</v>
      </c>
      <c r="B1025" s="580" t="s">
        <v>491</v>
      </c>
      <c r="C1025" s="580" t="s">
        <v>234</v>
      </c>
      <c r="D1025" s="580" t="s">
        <v>861</v>
      </c>
      <c r="E1025" s="580" t="s">
        <v>132</v>
      </c>
      <c r="F1025" s="489">
        <f>F1026</f>
        <v>275.3</v>
      </c>
      <c r="G1025" s="578"/>
      <c r="H1025" s="578"/>
      <c r="I1025" s="578"/>
      <c r="J1025" s="578"/>
      <c r="K1025" s="578"/>
    </row>
    <row r="1026" spans="1:11" s="576" customFormat="1" ht="31.5" x14ac:dyDescent="0.25">
      <c r="A1026" s="579" t="s">
        <v>133</v>
      </c>
      <c r="B1026" s="580" t="s">
        <v>491</v>
      </c>
      <c r="C1026" s="580" t="s">
        <v>234</v>
      </c>
      <c r="D1026" s="580" t="s">
        <v>861</v>
      </c>
      <c r="E1026" s="580" t="s">
        <v>134</v>
      </c>
      <c r="F1026" s="489">
        <f>'Пр.4 ведом.22'!G886</f>
        <v>275.3</v>
      </c>
      <c r="G1026" s="578"/>
      <c r="H1026" s="578"/>
      <c r="I1026" s="578"/>
      <c r="J1026" s="578"/>
      <c r="K1026" s="578"/>
    </row>
    <row r="1027" spans="1:11" s="576" customFormat="1" ht="15.75" x14ac:dyDescent="0.25">
      <c r="A1027" s="579" t="s">
        <v>135</v>
      </c>
      <c r="B1027" s="580" t="s">
        <v>491</v>
      </c>
      <c r="C1027" s="580" t="s">
        <v>234</v>
      </c>
      <c r="D1027" s="580" t="s">
        <v>861</v>
      </c>
      <c r="E1027" s="580" t="s">
        <v>145</v>
      </c>
      <c r="F1027" s="489">
        <f>F1028</f>
        <v>51</v>
      </c>
      <c r="G1027" s="578"/>
      <c r="H1027" s="578"/>
      <c r="I1027" s="578"/>
      <c r="J1027" s="578"/>
      <c r="K1027" s="578"/>
    </row>
    <row r="1028" spans="1:11" s="576" customFormat="1" ht="15.75" x14ac:dyDescent="0.25">
      <c r="A1028" s="579" t="s">
        <v>568</v>
      </c>
      <c r="B1028" s="580" t="s">
        <v>491</v>
      </c>
      <c r="C1028" s="580" t="s">
        <v>234</v>
      </c>
      <c r="D1028" s="580" t="s">
        <v>861</v>
      </c>
      <c r="E1028" s="580" t="s">
        <v>138</v>
      </c>
      <c r="F1028" s="489">
        <f>'Пр.4 ведом.22'!G888</f>
        <v>51</v>
      </c>
      <c r="G1028" s="578"/>
      <c r="H1028" s="578"/>
      <c r="I1028" s="578"/>
      <c r="J1028" s="578"/>
      <c r="K1028" s="578"/>
    </row>
    <row r="1029" spans="1:11" ht="47.25" x14ac:dyDescent="0.25">
      <c r="A1029" s="579" t="s">
        <v>839</v>
      </c>
      <c r="B1029" s="580" t="s">
        <v>491</v>
      </c>
      <c r="C1029" s="580" t="s">
        <v>234</v>
      </c>
      <c r="D1029" s="580" t="s">
        <v>862</v>
      </c>
      <c r="E1029" s="580"/>
      <c r="F1029" s="489">
        <f>F1030</f>
        <v>645</v>
      </c>
    </row>
    <row r="1030" spans="1:11" ht="78.75" x14ac:dyDescent="0.25">
      <c r="A1030" s="579" t="s">
        <v>127</v>
      </c>
      <c r="B1030" s="580" t="s">
        <v>491</v>
      </c>
      <c r="C1030" s="580" t="s">
        <v>234</v>
      </c>
      <c r="D1030" s="580" t="s">
        <v>862</v>
      </c>
      <c r="E1030" s="580" t="s">
        <v>128</v>
      </c>
      <c r="F1030" s="489">
        <f>F1031</f>
        <v>645</v>
      </c>
    </row>
    <row r="1031" spans="1:11" ht="31.5" x14ac:dyDescent="0.25">
      <c r="A1031" s="579" t="s">
        <v>129</v>
      </c>
      <c r="B1031" s="580" t="s">
        <v>491</v>
      </c>
      <c r="C1031" s="580" t="s">
        <v>234</v>
      </c>
      <c r="D1031" s="580" t="s">
        <v>862</v>
      </c>
      <c r="E1031" s="580" t="s">
        <v>130</v>
      </c>
      <c r="F1031" s="489">
        <f>'Пр.4 ведом.22'!G891</f>
        <v>645</v>
      </c>
    </row>
    <row r="1032" spans="1:11" ht="15.75" hidden="1" x14ac:dyDescent="0.25">
      <c r="A1032" s="494" t="s">
        <v>141</v>
      </c>
      <c r="B1032" s="495" t="s">
        <v>491</v>
      </c>
      <c r="C1032" s="495" t="s">
        <v>234</v>
      </c>
      <c r="D1032" s="495" t="s">
        <v>866</v>
      </c>
      <c r="E1032" s="495"/>
      <c r="F1032" s="488">
        <f>F1033</f>
        <v>0</v>
      </c>
    </row>
    <row r="1033" spans="1:11" ht="31.5" hidden="1" x14ac:dyDescent="0.25">
      <c r="A1033" s="494" t="s">
        <v>929</v>
      </c>
      <c r="B1033" s="495" t="s">
        <v>491</v>
      </c>
      <c r="C1033" s="495" t="s">
        <v>234</v>
      </c>
      <c r="D1033" s="495" t="s">
        <v>914</v>
      </c>
      <c r="E1033" s="495"/>
      <c r="F1033" s="488">
        <f>F1034+F1041</f>
        <v>0</v>
      </c>
    </row>
    <row r="1034" spans="1:11" ht="31.5" hidden="1" x14ac:dyDescent="0.25">
      <c r="A1034" s="579" t="s">
        <v>903</v>
      </c>
      <c r="B1034" s="580" t="s">
        <v>491</v>
      </c>
      <c r="C1034" s="580" t="s">
        <v>234</v>
      </c>
      <c r="D1034" s="580" t="s">
        <v>915</v>
      </c>
      <c r="E1034" s="580"/>
      <c r="F1034" s="489">
        <f>F1035+F1037+F1039</f>
        <v>0</v>
      </c>
    </row>
    <row r="1035" spans="1:11" ht="78.75" hidden="1" x14ac:dyDescent="0.25">
      <c r="A1035" s="579" t="s">
        <v>127</v>
      </c>
      <c r="B1035" s="580" t="s">
        <v>491</v>
      </c>
      <c r="C1035" s="580" t="s">
        <v>234</v>
      </c>
      <c r="D1035" s="580" t="s">
        <v>915</v>
      </c>
      <c r="E1035" s="580" t="s">
        <v>128</v>
      </c>
      <c r="F1035" s="489">
        <f>F1036</f>
        <v>0</v>
      </c>
    </row>
    <row r="1036" spans="1:11" ht="21.75" hidden="1" customHeight="1" x14ac:dyDescent="0.25">
      <c r="A1036" s="579" t="s">
        <v>342</v>
      </c>
      <c r="B1036" s="580" t="s">
        <v>491</v>
      </c>
      <c r="C1036" s="580" t="s">
        <v>234</v>
      </c>
      <c r="D1036" s="580" t="s">
        <v>915</v>
      </c>
      <c r="E1036" s="580" t="s">
        <v>209</v>
      </c>
      <c r="F1036" s="489">
        <f>'Пр.4 ведом.22'!G896</f>
        <v>0</v>
      </c>
    </row>
    <row r="1037" spans="1:11" ht="31.5" hidden="1" x14ac:dyDescent="0.25">
      <c r="A1037" s="579" t="s">
        <v>131</v>
      </c>
      <c r="B1037" s="580" t="s">
        <v>491</v>
      </c>
      <c r="C1037" s="580" t="s">
        <v>234</v>
      </c>
      <c r="D1037" s="580" t="s">
        <v>915</v>
      </c>
      <c r="E1037" s="580" t="s">
        <v>132</v>
      </c>
      <c r="F1037" s="489">
        <f t="shared" ref="F1037" si="96">F1038</f>
        <v>0</v>
      </c>
    </row>
    <row r="1038" spans="1:11" ht="31.5" hidden="1" x14ac:dyDescent="0.25">
      <c r="A1038" s="579" t="s">
        <v>133</v>
      </c>
      <c r="B1038" s="580" t="s">
        <v>491</v>
      </c>
      <c r="C1038" s="580" t="s">
        <v>234</v>
      </c>
      <c r="D1038" s="580" t="s">
        <v>915</v>
      </c>
      <c r="E1038" s="580" t="s">
        <v>134</v>
      </c>
      <c r="F1038" s="489">
        <f>'Пр.4 ведом.22'!G898</f>
        <v>0</v>
      </c>
    </row>
    <row r="1039" spans="1:11" ht="15.75" hidden="1" x14ac:dyDescent="0.25">
      <c r="A1039" s="579" t="s">
        <v>135</v>
      </c>
      <c r="B1039" s="580" t="s">
        <v>491</v>
      </c>
      <c r="C1039" s="580" t="s">
        <v>234</v>
      </c>
      <c r="D1039" s="580" t="s">
        <v>915</v>
      </c>
      <c r="E1039" s="580" t="s">
        <v>145</v>
      </c>
      <c r="F1039" s="489">
        <f>F1040</f>
        <v>0</v>
      </c>
    </row>
    <row r="1040" spans="1:11" ht="15.75" hidden="1" x14ac:dyDescent="0.25">
      <c r="A1040" s="579" t="s">
        <v>568</v>
      </c>
      <c r="B1040" s="580" t="s">
        <v>491</v>
      </c>
      <c r="C1040" s="580" t="s">
        <v>234</v>
      </c>
      <c r="D1040" s="580" t="s">
        <v>915</v>
      </c>
      <c r="E1040" s="580" t="s">
        <v>138</v>
      </c>
      <c r="F1040" s="489">
        <f>'Пр.4 ведом.22'!G900</f>
        <v>0</v>
      </c>
    </row>
    <row r="1041" spans="1:6" ht="47.25" hidden="1" x14ac:dyDescent="0.25">
      <c r="A1041" s="579" t="s">
        <v>839</v>
      </c>
      <c r="B1041" s="580" t="s">
        <v>491</v>
      </c>
      <c r="C1041" s="580" t="s">
        <v>234</v>
      </c>
      <c r="D1041" s="580" t="s">
        <v>916</v>
      </c>
      <c r="E1041" s="580"/>
      <c r="F1041" s="489">
        <f>F1042</f>
        <v>0</v>
      </c>
    </row>
    <row r="1042" spans="1:6" ht="78.75" hidden="1" x14ac:dyDescent="0.25">
      <c r="A1042" s="579" t="s">
        <v>127</v>
      </c>
      <c r="B1042" s="580" t="s">
        <v>491</v>
      </c>
      <c r="C1042" s="580" t="s">
        <v>234</v>
      </c>
      <c r="D1042" s="580" t="s">
        <v>916</v>
      </c>
      <c r="E1042" s="580" t="s">
        <v>128</v>
      </c>
      <c r="F1042" s="489">
        <f t="shared" ref="F1042" si="97">F1043</f>
        <v>0</v>
      </c>
    </row>
    <row r="1043" spans="1:6" ht="31.5" hidden="1" x14ac:dyDescent="0.25">
      <c r="A1043" s="579" t="s">
        <v>129</v>
      </c>
      <c r="B1043" s="580" t="s">
        <v>491</v>
      </c>
      <c r="C1043" s="580" t="s">
        <v>234</v>
      </c>
      <c r="D1043" s="580" t="s">
        <v>916</v>
      </c>
      <c r="E1043" s="580" t="s">
        <v>130</v>
      </c>
      <c r="F1043" s="489">
        <f>'Пр.4 ведом.22'!G903</f>
        <v>0</v>
      </c>
    </row>
    <row r="1044" spans="1:6" ht="47.25" x14ac:dyDescent="0.25">
      <c r="A1044" s="572" t="s">
        <v>1369</v>
      </c>
      <c r="B1044" s="495" t="s">
        <v>491</v>
      </c>
      <c r="C1044" s="495" t="s">
        <v>234</v>
      </c>
      <c r="D1044" s="7" t="s">
        <v>482</v>
      </c>
      <c r="E1044" s="495"/>
      <c r="F1044" s="488">
        <f>F1045</f>
        <v>2700</v>
      </c>
    </row>
    <row r="1045" spans="1:6" ht="33.75" customHeight="1" x14ac:dyDescent="0.25">
      <c r="A1045" s="58" t="s">
        <v>951</v>
      </c>
      <c r="B1045" s="495" t="s">
        <v>491</v>
      </c>
      <c r="C1045" s="495" t="s">
        <v>234</v>
      </c>
      <c r="D1045" s="7" t="s">
        <v>1271</v>
      </c>
      <c r="E1045" s="495"/>
      <c r="F1045" s="488">
        <f>F1046</f>
        <v>2700</v>
      </c>
    </row>
    <row r="1046" spans="1:6" ht="15.75" x14ac:dyDescent="0.25">
      <c r="A1046" s="29" t="s">
        <v>952</v>
      </c>
      <c r="B1046" s="580" t="s">
        <v>491</v>
      </c>
      <c r="C1046" s="580" t="s">
        <v>234</v>
      </c>
      <c r="D1046" s="573" t="s">
        <v>1272</v>
      </c>
      <c r="E1046" s="580"/>
      <c r="F1046" s="386">
        <f>F1047+F1049</f>
        <v>2700</v>
      </c>
    </row>
    <row r="1047" spans="1:6" ht="78.75" x14ac:dyDescent="0.25">
      <c r="A1047" s="579" t="s">
        <v>127</v>
      </c>
      <c r="B1047" s="580" t="s">
        <v>491</v>
      </c>
      <c r="C1047" s="580" t="s">
        <v>234</v>
      </c>
      <c r="D1047" s="573" t="s">
        <v>1272</v>
      </c>
      <c r="E1047" s="580" t="s">
        <v>128</v>
      </c>
      <c r="F1047" s="386">
        <f>F1048</f>
        <v>2286</v>
      </c>
    </row>
    <row r="1048" spans="1:6" ht="21.75" customHeight="1" x14ac:dyDescent="0.25">
      <c r="A1048" s="579" t="s">
        <v>342</v>
      </c>
      <c r="B1048" s="580" t="s">
        <v>491</v>
      </c>
      <c r="C1048" s="580" t="s">
        <v>234</v>
      </c>
      <c r="D1048" s="573" t="s">
        <v>1272</v>
      </c>
      <c r="E1048" s="580" t="s">
        <v>209</v>
      </c>
      <c r="F1048" s="386">
        <f>'Пр.4 ведом.22'!G908</f>
        <v>2286</v>
      </c>
    </row>
    <row r="1049" spans="1:6" ht="36" customHeight="1" x14ac:dyDescent="0.25">
      <c r="A1049" s="29" t="s">
        <v>131</v>
      </c>
      <c r="B1049" s="580" t="s">
        <v>491</v>
      </c>
      <c r="C1049" s="580" t="s">
        <v>234</v>
      </c>
      <c r="D1049" s="573" t="s">
        <v>1272</v>
      </c>
      <c r="E1049" s="580" t="s">
        <v>132</v>
      </c>
      <c r="F1049" s="386">
        <f>F1050</f>
        <v>414</v>
      </c>
    </row>
    <row r="1050" spans="1:6" ht="31.5" x14ac:dyDescent="0.25">
      <c r="A1050" s="29" t="s">
        <v>133</v>
      </c>
      <c r="B1050" s="580" t="s">
        <v>491</v>
      </c>
      <c r="C1050" s="580" t="s">
        <v>234</v>
      </c>
      <c r="D1050" s="573" t="s">
        <v>1272</v>
      </c>
      <c r="E1050" s="580" t="s">
        <v>134</v>
      </c>
      <c r="F1050" s="489">
        <f>'Пр.4 ведом.22'!G910</f>
        <v>414</v>
      </c>
    </row>
    <row r="1051" spans="1:6" ht="15.75" x14ac:dyDescent="0.25">
      <c r="A1051" s="572" t="s">
        <v>582</v>
      </c>
      <c r="B1051" s="7" t="s">
        <v>238</v>
      </c>
      <c r="C1051" s="573"/>
      <c r="D1051" s="573"/>
      <c r="E1051" s="573"/>
      <c r="F1051" s="488">
        <f t="shared" ref="F1051" si="98">F1052</f>
        <v>6128.15</v>
      </c>
    </row>
    <row r="1052" spans="1:6" ht="15.75" x14ac:dyDescent="0.25">
      <c r="A1052" s="572" t="s">
        <v>583</v>
      </c>
      <c r="B1052" s="7" t="s">
        <v>238</v>
      </c>
      <c r="C1052" s="7" t="s">
        <v>213</v>
      </c>
      <c r="D1052" s="7"/>
      <c r="E1052" s="7"/>
      <c r="F1052" s="488">
        <f>F1053+F1065</f>
        <v>6128.15</v>
      </c>
    </row>
    <row r="1053" spans="1:6" ht="15.75" x14ac:dyDescent="0.25">
      <c r="A1053" s="494" t="s">
        <v>141</v>
      </c>
      <c r="B1053" s="495" t="s">
        <v>238</v>
      </c>
      <c r="C1053" s="495" t="s">
        <v>213</v>
      </c>
      <c r="D1053" s="495" t="s">
        <v>267</v>
      </c>
      <c r="E1053" s="495"/>
      <c r="F1053" s="488">
        <f>F1054</f>
        <v>6053.25</v>
      </c>
    </row>
    <row r="1054" spans="1:6" ht="15.75" x14ac:dyDescent="0.25">
      <c r="A1054" s="494" t="s">
        <v>954</v>
      </c>
      <c r="B1054" s="495" t="s">
        <v>238</v>
      </c>
      <c r="C1054" s="495" t="s">
        <v>213</v>
      </c>
      <c r="D1054" s="495" t="s">
        <v>1203</v>
      </c>
      <c r="E1054" s="495"/>
      <c r="F1054" s="488">
        <f>F1055+F1062</f>
        <v>6053.25</v>
      </c>
    </row>
    <row r="1055" spans="1:6" ht="15.75" x14ac:dyDescent="0.25">
      <c r="A1055" s="579" t="s">
        <v>801</v>
      </c>
      <c r="B1055" s="580" t="s">
        <v>238</v>
      </c>
      <c r="C1055" s="580" t="s">
        <v>213</v>
      </c>
      <c r="D1055" s="580" t="s">
        <v>1204</v>
      </c>
      <c r="E1055" s="580"/>
      <c r="F1055" s="489">
        <f>F1056+F1058+F1060</f>
        <v>5795.25</v>
      </c>
    </row>
    <row r="1056" spans="1:6" ht="78.75" x14ac:dyDescent="0.25">
      <c r="A1056" s="579" t="s">
        <v>127</v>
      </c>
      <c r="B1056" s="580" t="s">
        <v>238</v>
      </c>
      <c r="C1056" s="580" t="s">
        <v>213</v>
      </c>
      <c r="D1056" s="580" t="s">
        <v>1204</v>
      </c>
      <c r="E1056" s="580" t="s">
        <v>128</v>
      </c>
      <c r="F1056" s="489">
        <f>F1057</f>
        <v>4894.5</v>
      </c>
    </row>
    <row r="1057" spans="1:11" ht="15.75" x14ac:dyDescent="0.25">
      <c r="A1057" s="579" t="s">
        <v>208</v>
      </c>
      <c r="B1057" s="580" t="s">
        <v>238</v>
      </c>
      <c r="C1057" s="580" t="s">
        <v>213</v>
      </c>
      <c r="D1057" s="580" t="s">
        <v>1204</v>
      </c>
      <c r="E1057" s="580" t="s">
        <v>209</v>
      </c>
      <c r="F1057" s="489">
        <f>'Пр.4 ведом.22'!G504</f>
        <v>4894.5</v>
      </c>
    </row>
    <row r="1058" spans="1:11" ht="31.5" x14ac:dyDescent="0.25">
      <c r="A1058" s="579" t="s">
        <v>131</v>
      </c>
      <c r="B1058" s="580" t="s">
        <v>238</v>
      </c>
      <c r="C1058" s="580" t="s">
        <v>213</v>
      </c>
      <c r="D1058" s="580" t="s">
        <v>1204</v>
      </c>
      <c r="E1058" s="580" t="s">
        <v>132</v>
      </c>
      <c r="F1058" s="489">
        <f t="shared" ref="F1058" si="99">F1059</f>
        <v>890.25</v>
      </c>
    </row>
    <row r="1059" spans="1:11" ht="31.5" x14ac:dyDescent="0.25">
      <c r="A1059" s="579" t="s">
        <v>133</v>
      </c>
      <c r="B1059" s="580" t="s">
        <v>238</v>
      </c>
      <c r="C1059" s="580" t="s">
        <v>213</v>
      </c>
      <c r="D1059" s="580" t="s">
        <v>1204</v>
      </c>
      <c r="E1059" s="580" t="s">
        <v>134</v>
      </c>
      <c r="F1059" s="489">
        <f>'Пр.4 ведом.22'!G506</f>
        <v>890.25</v>
      </c>
    </row>
    <row r="1060" spans="1:11" ht="15.75" x14ac:dyDescent="0.25">
      <c r="A1060" s="579" t="s">
        <v>135</v>
      </c>
      <c r="B1060" s="580" t="s">
        <v>238</v>
      </c>
      <c r="C1060" s="580" t="s">
        <v>213</v>
      </c>
      <c r="D1060" s="580" t="s">
        <v>1204</v>
      </c>
      <c r="E1060" s="580" t="s">
        <v>145</v>
      </c>
      <c r="F1060" s="386">
        <f t="shared" ref="F1060" si="100">F1061</f>
        <v>10.5</v>
      </c>
    </row>
    <row r="1061" spans="1:11" ht="15.75" x14ac:dyDescent="0.25">
      <c r="A1061" s="579" t="s">
        <v>568</v>
      </c>
      <c r="B1061" s="580" t="s">
        <v>238</v>
      </c>
      <c r="C1061" s="580" t="s">
        <v>213</v>
      </c>
      <c r="D1061" s="580" t="s">
        <v>1204</v>
      </c>
      <c r="E1061" s="580" t="s">
        <v>138</v>
      </c>
      <c r="F1061" s="386">
        <f>'Пр.4 ведом.22'!G508</f>
        <v>10.5</v>
      </c>
    </row>
    <row r="1062" spans="1:11" ht="47.25" x14ac:dyDescent="0.25">
      <c r="A1062" s="579" t="s">
        <v>839</v>
      </c>
      <c r="B1062" s="580" t="s">
        <v>238</v>
      </c>
      <c r="C1062" s="580" t="s">
        <v>213</v>
      </c>
      <c r="D1062" s="580" t="s">
        <v>1312</v>
      </c>
      <c r="E1062" s="580"/>
      <c r="F1062" s="489">
        <f>F1063</f>
        <v>258</v>
      </c>
    </row>
    <row r="1063" spans="1:11" ht="78.75" x14ac:dyDescent="0.25">
      <c r="A1063" s="579" t="s">
        <v>127</v>
      </c>
      <c r="B1063" s="580" t="s">
        <v>238</v>
      </c>
      <c r="C1063" s="580" t="s">
        <v>213</v>
      </c>
      <c r="D1063" s="580" t="s">
        <v>1312</v>
      </c>
      <c r="E1063" s="580" t="s">
        <v>128</v>
      </c>
      <c r="F1063" s="489">
        <f>F1064</f>
        <v>258</v>
      </c>
    </row>
    <row r="1064" spans="1:11" ht="31.5" x14ac:dyDescent="0.25">
      <c r="A1064" s="579" t="s">
        <v>129</v>
      </c>
      <c r="B1064" s="580" t="s">
        <v>238</v>
      </c>
      <c r="C1064" s="580" t="s">
        <v>213</v>
      </c>
      <c r="D1064" s="580" t="s">
        <v>1312</v>
      </c>
      <c r="E1064" s="580" t="s">
        <v>209</v>
      </c>
      <c r="F1064" s="489">
        <f>'Пр.4 ведом.22'!G512</f>
        <v>258</v>
      </c>
    </row>
    <row r="1065" spans="1:11" ht="47.25" x14ac:dyDescent="0.25">
      <c r="A1065" s="572" t="s">
        <v>1352</v>
      </c>
      <c r="B1065" s="495" t="s">
        <v>238</v>
      </c>
      <c r="C1065" s="495" t="s">
        <v>213</v>
      </c>
      <c r="D1065" s="495" t="s">
        <v>705</v>
      </c>
      <c r="E1065" s="504"/>
      <c r="F1065" s="488">
        <f>F1066</f>
        <v>74.900000000000006</v>
      </c>
    </row>
    <row r="1066" spans="1:11" s="203" customFormat="1" ht="47.25" x14ac:dyDescent="0.25">
      <c r="A1066" s="572" t="s">
        <v>890</v>
      </c>
      <c r="B1066" s="495" t="s">
        <v>238</v>
      </c>
      <c r="C1066" s="495" t="s">
        <v>213</v>
      </c>
      <c r="D1066" s="495" t="s">
        <v>888</v>
      </c>
      <c r="E1066" s="504"/>
      <c r="F1066" s="488">
        <f>F1067</f>
        <v>74.900000000000006</v>
      </c>
      <c r="G1066" s="578"/>
      <c r="H1066" s="578"/>
      <c r="I1066" s="578"/>
      <c r="J1066" s="578"/>
      <c r="K1066" s="578"/>
    </row>
    <row r="1067" spans="1:11" s="203" customFormat="1" ht="47.25" x14ac:dyDescent="0.25">
      <c r="A1067" s="98" t="s">
        <v>1004</v>
      </c>
      <c r="B1067" s="580" t="s">
        <v>238</v>
      </c>
      <c r="C1067" s="580" t="s">
        <v>213</v>
      </c>
      <c r="D1067" s="580" t="s">
        <v>889</v>
      </c>
      <c r="E1067" s="498"/>
      <c r="F1067" s="489">
        <f>F1068</f>
        <v>74.900000000000006</v>
      </c>
      <c r="G1067" s="578"/>
      <c r="H1067" s="578"/>
      <c r="I1067" s="578"/>
      <c r="J1067" s="578"/>
      <c r="K1067" s="578"/>
    </row>
    <row r="1068" spans="1:11" s="203" customFormat="1" ht="31.5" x14ac:dyDescent="0.25">
      <c r="A1068" s="579" t="s">
        <v>131</v>
      </c>
      <c r="B1068" s="580" t="s">
        <v>238</v>
      </c>
      <c r="C1068" s="580" t="s">
        <v>213</v>
      </c>
      <c r="D1068" s="580" t="s">
        <v>889</v>
      </c>
      <c r="E1068" s="498" t="s">
        <v>132</v>
      </c>
      <c r="F1068" s="489">
        <f>F1069</f>
        <v>74.900000000000006</v>
      </c>
      <c r="G1068" s="578"/>
      <c r="H1068" s="578"/>
      <c r="I1068" s="578"/>
      <c r="J1068" s="578"/>
      <c r="K1068" s="578"/>
    </row>
    <row r="1069" spans="1:11" s="203" customFormat="1" ht="31.5" x14ac:dyDescent="0.25">
      <c r="A1069" s="579" t="s">
        <v>133</v>
      </c>
      <c r="B1069" s="580" t="s">
        <v>238</v>
      </c>
      <c r="C1069" s="580" t="s">
        <v>213</v>
      </c>
      <c r="D1069" s="580" t="s">
        <v>889</v>
      </c>
      <c r="E1069" s="498" t="s">
        <v>134</v>
      </c>
      <c r="F1069" s="489">
        <f>'Пр.4 ведом.22'!G517</f>
        <v>74.900000000000006</v>
      </c>
      <c r="G1069" s="578"/>
      <c r="H1069" s="578"/>
      <c r="I1069" s="578"/>
      <c r="J1069" s="578"/>
      <c r="K1069" s="578"/>
    </row>
    <row r="1070" spans="1:11" ht="15.75" x14ac:dyDescent="0.25">
      <c r="A1070" s="61" t="s">
        <v>587</v>
      </c>
      <c r="B1070" s="7"/>
      <c r="C1070" s="7"/>
      <c r="D1070" s="7"/>
      <c r="E1070" s="7"/>
      <c r="F1070" s="390">
        <f>F8+F236+F263+F325+F516+F807+F968+F1051+F914</f>
        <v>802553.19000000006</v>
      </c>
      <c r="H1070" s="115"/>
    </row>
    <row r="1071" spans="1:11" x14ac:dyDescent="0.25">
      <c r="F1071" s="115">
        <f>'Пр.4 ведом.22'!G1171</f>
        <v>802553.19000000029</v>
      </c>
    </row>
    <row r="1072" spans="1:11" x14ac:dyDescent="0.25">
      <c r="F1072" s="115">
        <f>F1071-F1070</f>
        <v>0</v>
      </c>
    </row>
  </sheetData>
  <mergeCells count="4">
    <mergeCell ref="A5:F5"/>
    <mergeCell ref="E3:F3"/>
    <mergeCell ref="E1:F1"/>
    <mergeCell ref="E2:F2"/>
  </mergeCells>
  <pageMargins left="0.23622047244094491" right="0.23622047244094491" top="0.74803149606299213" bottom="0.74803149606299213" header="0.31496062992125984" footer="0.31496062992125984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2"/>
  <sheetViews>
    <sheetView view="pageBreakPreview" topLeftCell="A964" zoomScaleNormal="100" zoomScaleSheetLayoutView="100" workbookViewId="0">
      <selection activeCell="G310" sqref="G310"/>
    </sheetView>
  </sheetViews>
  <sheetFormatPr defaultRowHeight="15" x14ac:dyDescent="0.25"/>
  <cols>
    <col min="1" max="1" width="48.28515625" customWidth="1"/>
    <col min="2" max="2" width="4.5703125" customWidth="1"/>
    <col min="3" max="3" width="4.140625" customWidth="1"/>
    <col min="4" max="4" width="15.140625" customWidth="1"/>
    <col min="5" max="5" width="5.7109375" customWidth="1"/>
    <col min="6" max="6" width="13.7109375" style="22" customWidth="1"/>
    <col min="7" max="7" width="14.7109375" style="22" customWidth="1"/>
    <col min="8" max="8" width="13.5703125" hidden="1" customWidth="1"/>
    <col min="9" max="9" width="13.85546875" hidden="1" customWidth="1"/>
    <col min="10" max="10" width="11.85546875" hidden="1" customWidth="1"/>
  </cols>
  <sheetData>
    <row r="1" spans="1:10" ht="15.75" x14ac:dyDescent="0.25">
      <c r="A1" s="56"/>
      <c r="B1" s="56"/>
      <c r="C1" s="56"/>
      <c r="D1" s="204"/>
      <c r="E1" s="204"/>
      <c r="F1" s="724" t="s">
        <v>1516</v>
      </c>
      <c r="G1" s="724"/>
    </row>
    <row r="2" spans="1:10" ht="15.75" x14ac:dyDescent="0.25">
      <c r="A2" s="56"/>
      <c r="B2" s="56"/>
      <c r="C2" s="56"/>
      <c r="D2" s="204"/>
      <c r="E2" s="204"/>
      <c r="F2" s="724" t="s">
        <v>1514</v>
      </c>
      <c r="G2" s="724"/>
    </row>
    <row r="3" spans="1:10" ht="18.75" x14ac:dyDescent="0.3">
      <c r="A3" s="56"/>
      <c r="B3" s="56"/>
      <c r="C3" s="56"/>
      <c r="D3" s="204"/>
      <c r="E3" s="186"/>
      <c r="F3" s="724" t="s">
        <v>1513</v>
      </c>
      <c r="G3" s="724"/>
    </row>
    <row r="4" spans="1:10" x14ac:dyDescent="0.25">
      <c r="A4" s="56"/>
      <c r="B4" s="56"/>
      <c r="C4" s="56"/>
      <c r="D4" s="56"/>
      <c r="E4" s="56"/>
      <c r="F4" s="115"/>
      <c r="G4" s="115"/>
    </row>
    <row r="5" spans="1:10" ht="74.25" customHeight="1" x14ac:dyDescent="0.25">
      <c r="A5" s="731" t="s">
        <v>1306</v>
      </c>
      <c r="B5" s="731"/>
      <c r="C5" s="731"/>
      <c r="D5" s="731"/>
      <c r="E5" s="731"/>
      <c r="F5" s="731"/>
      <c r="G5" s="731"/>
    </row>
    <row r="6" spans="1:10" x14ac:dyDescent="0.25">
      <c r="A6" s="56"/>
      <c r="B6" s="56"/>
      <c r="C6" s="56"/>
      <c r="D6" s="56"/>
      <c r="E6" s="56"/>
      <c r="F6" s="115"/>
      <c r="G6" s="275" t="s">
        <v>1</v>
      </c>
    </row>
    <row r="7" spans="1:10" ht="35.450000000000003" customHeight="1" x14ac:dyDescent="0.25">
      <c r="A7" s="226" t="s">
        <v>592</v>
      </c>
      <c r="B7" s="227" t="s">
        <v>112</v>
      </c>
      <c r="C7" s="227" t="s">
        <v>113</v>
      </c>
      <c r="D7" s="227" t="s">
        <v>114</v>
      </c>
      <c r="E7" s="227" t="s">
        <v>115</v>
      </c>
      <c r="F7" s="276" t="s">
        <v>1082</v>
      </c>
      <c r="G7" s="276" t="s">
        <v>1307</v>
      </c>
      <c r="H7" s="232">
        <f>F13+F18+F32+F37+F42+F48+F57+F60+F64+F67+F72+F77+F82+F109+F114+F118+F125+F131+F139+F142+F150+F160+F165+F227+F234+F237+F241+F246+F266+F286+F318+F323+F326+F332+F337+F342+F396+F446+F453+F458+F461+F465+F470+F717+F722+F727+F731+F738+F798+F803+F808+F815+F833+F875+F882+F926+F929+F934+F941</f>
        <v>247959.91000000003</v>
      </c>
      <c r="I7" s="232">
        <f>G13+G18+G32+G37+G42+G48+G57+G60+G64+G67+G72+G77+G82+G109+G114+G118+G125+G131+G139+G142+G150+G160+G165+G227+G234+G237+G241+G246+G266+G286+G318+G323+G326+G332+G337+G342+G396+G446+G453+G458+G461+G465+G470+G717+G722+G727+G731+G738+G798+G803+G808+G815+G833+G875+G882+G926+G929+G934+G941</f>
        <v>242586.16999999998</v>
      </c>
    </row>
    <row r="8" spans="1:10" s="203" customFormat="1" ht="16.350000000000001" customHeight="1" x14ac:dyDescent="0.25">
      <c r="A8" s="309" t="s">
        <v>1412</v>
      </c>
      <c r="B8" s="310"/>
      <c r="C8" s="310"/>
      <c r="D8" s="310"/>
      <c r="E8" s="310"/>
      <c r="F8" s="311">
        <f>'пр.4.1. рдпр 22-23'!D10</f>
        <v>12458.06185</v>
      </c>
      <c r="G8" s="311">
        <f>'пр.4.1. рдпр 22-23'!E10</f>
        <v>25451.88</v>
      </c>
      <c r="H8" s="232"/>
      <c r="I8" s="232"/>
    </row>
    <row r="9" spans="1:10" ht="15.75" x14ac:dyDescent="0.25">
      <c r="A9" s="41" t="s">
        <v>117</v>
      </c>
      <c r="B9" s="7" t="s">
        <v>118</v>
      </c>
      <c r="C9" s="7"/>
      <c r="D9" s="7"/>
      <c r="E9" s="7"/>
      <c r="F9" s="4">
        <f>F10+F29+F45+F106+F136+F128</f>
        <v>136707.41</v>
      </c>
      <c r="G9" s="4">
        <f>G10+G29+G45+G106+G136+G128</f>
        <v>123861.72</v>
      </c>
      <c r="H9" s="225"/>
      <c r="I9" s="225"/>
      <c r="J9" s="225"/>
    </row>
    <row r="10" spans="1:10" ht="47.25" x14ac:dyDescent="0.25">
      <c r="A10" s="41" t="s">
        <v>575</v>
      </c>
      <c r="B10" s="7" t="s">
        <v>118</v>
      </c>
      <c r="C10" s="7" t="s">
        <v>213</v>
      </c>
      <c r="D10" s="7"/>
      <c r="E10" s="7"/>
      <c r="F10" s="4">
        <f>F11+F21</f>
        <v>4867.3999999999996</v>
      </c>
      <c r="G10" s="4">
        <f>G11+G21</f>
        <v>4867.3999999999996</v>
      </c>
      <c r="H10" s="225"/>
      <c r="I10" s="225"/>
    </row>
    <row r="11" spans="1:10" ht="31.5" x14ac:dyDescent="0.25">
      <c r="A11" s="23" t="s">
        <v>917</v>
      </c>
      <c r="B11" s="7" t="s">
        <v>118</v>
      </c>
      <c r="C11" s="7" t="s">
        <v>213</v>
      </c>
      <c r="D11" s="7" t="s">
        <v>858</v>
      </c>
      <c r="E11" s="7"/>
      <c r="F11" s="4">
        <f t="shared" ref="F11:G11" si="0">F12</f>
        <v>4826.8999999999996</v>
      </c>
      <c r="G11" s="4">
        <f t="shared" si="0"/>
        <v>4826.8999999999996</v>
      </c>
    </row>
    <row r="12" spans="1:10" ht="15.75" x14ac:dyDescent="0.25">
      <c r="A12" s="23" t="s">
        <v>918</v>
      </c>
      <c r="B12" s="7" t="s">
        <v>118</v>
      </c>
      <c r="C12" s="7" t="s">
        <v>213</v>
      </c>
      <c r="D12" s="7" t="s">
        <v>859</v>
      </c>
      <c r="E12" s="7"/>
      <c r="F12" s="4">
        <f>F13+F18</f>
        <v>4826.8999999999996</v>
      </c>
      <c r="G12" s="4">
        <f>G13+G18</f>
        <v>4826.8999999999996</v>
      </c>
    </row>
    <row r="13" spans="1:10" ht="47.25" x14ac:dyDescent="0.25">
      <c r="A13" s="29" t="s">
        <v>576</v>
      </c>
      <c r="B13" s="40" t="s">
        <v>118</v>
      </c>
      <c r="C13" s="40" t="s">
        <v>213</v>
      </c>
      <c r="D13" s="40" t="s">
        <v>1330</v>
      </c>
      <c r="E13" s="40"/>
      <c r="F13" s="6">
        <f>F14+F16</f>
        <v>4826.8999999999996</v>
      </c>
      <c r="G13" s="6">
        <f>G14+G16</f>
        <v>4826.8999999999996</v>
      </c>
      <c r="H13" s="232">
        <f>F13+F18+F48+F57+F60+F118+F125+F446+F453+F717+F798+F803+F926+F929+F722</f>
        <v>104071.91</v>
      </c>
      <c r="I13" s="232">
        <f>G13+G18+G48+G57+G60+G118+G125+G446+G453+G717+G798+G803+G926+G929+G722</f>
        <v>91098.720000000016</v>
      </c>
    </row>
    <row r="14" spans="1:10" ht="94.5" x14ac:dyDescent="0.25">
      <c r="A14" s="29" t="s">
        <v>127</v>
      </c>
      <c r="B14" s="40" t="s">
        <v>118</v>
      </c>
      <c r="C14" s="40" t="s">
        <v>213</v>
      </c>
      <c r="D14" s="40" t="s">
        <v>1330</v>
      </c>
      <c r="E14" s="40" t="s">
        <v>128</v>
      </c>
      <c r="F14" s="6">
        <f>F15</f>
        <v>4736.8999999999996</v>
      </c>
      <c r="G14" s="6">
        <f>G15</f>
        <v>4736.8999999999996</v>
      </c>
    </row>
    <row r="15" spans="1:10" ht="31.5" x14ac:dyDescent="0.25">
      <c r="A15" s="29" t="s">
        <v>129</v>
      </c>
      <c r="B15" s="40" t="s">
        <v>118</v>
      </c>
      <c r="C15" s="40" t="s">
        <v>213</v>
      </c>
      <c r="D15" s="40" t="s">
        <v>1330</v>
      </c>
      <c r="E15" s="40" t="s">
        <v>130</v>
      </c>
      <c r="F15" s="6">
        <f>'пр.6.1.ведом.22-23'!G38</f>
        <v>4736.8999999999996</v>
      </c>
      <c r="G15" s="6">
        <f>'пр.6.1.ведом.22-23'!H38</f>
        <v>4736.8999999999996</v>
      </c>
    </row>
    <row r="16" spans="1:10" ht="31.5" x14ac:dyDescent="0.25">
      <c r="A16" s="29" t="s">
        <v>131</v>
      </c>
      <c r="B16" s="40" t="s">
        <v>118</v>
      </c>
      <c r="C16" s="40" t="s">
        <v>213</v>
      </c>
      <c r="D16" s="40" t="s">
        <v>1330</v>
      </c>
      <c r="E16" s="40" t="s">
        <v>132</v>
      </c>
      <c r="F16" s="6">
        <f>F17</f>
        <v>90</v>
      </c>
      <c r="G16" s="6">
        <f>G17</f>
        <v>90</v>
      </c>
    </row>
    <row r="17" spans="1:9" ht="47.25" x14ac:dyDescent="0.25">
      <c r="A17" s="29" t="s">
        <v>133</v>
      </c>
      <c r="B17" s="40" t="s">
        <v>118</v>
      </c>
      <c r="C17" s="40" t="s">
        <v>213</v>
      </c>
      <c r="D17" s="40" t="s">
        <v>1330</v>
      </c>
      <c r="E17" s="40" t="s">
        <v>134</v>
      </c>
      <c r="F17" s="6">
        <f>'пр.6.1.ведом.22-23'!G40</f>
        <v>90</v>
      </c>
      <c r="G17" s="6">
        <f>'пр.6.1.ведом.22-23'!H40</f>
        <v>90</v>
      </c>
    </row>
    <row r="18" spans="1:9" ht="47.25" hidden="1" x14ac:dyDescent="0.25">
      <c r="A18" s="25" t="s">
        <v>839</v>
      </c>
      <c r="B18" s="40" t="s">
        <v>118</v>
      </c>
      <c r="C18" s="40" t="s">
        <v>213</v>
      </c>
      <c r="D18" s="40" t="s">
        <v>862</v>
      </c>
      <c r="E18" s="40"/>
      <c r="F18" s="6">
        <f>F19</f>
        <v>0</v>
      </c>
      <c r="G18" s="6">
        <f t="shared" ref="G18:G44" si="1">F18</f>
        <v>0</v>
      </c>
    </row>
    <row r="19" spans="1:9" ht="94.5" hidden="1" x14ac:dyDescent="0.25">
      <c r="A19" s="25" t="s">
        <v>127</v>
      </c>
      <c r="B19" s="40" t="s">
        <v>118</v>
      </c>
      <c r="C19" s="40" t="s">
        <v>213</v>
      </c>
      <c r="D19" s="40" t="s">
        <v>862</v>
      </c>
      <c r="E19" s="40" t="s">
        <v>128</v>
      </c>
      <c r="F19" s="6">
        <f>F20</f>
        <v>0</v>
      </c>
      <c r="G19" s="6">
        <f>G20</f>
        <v>0</v>
      </c>
    </row>
    <row r="20" spans="1:9" ht="31.5" hidden="1" x14ac:dyDescent="0.25">
      <c r="A20" s="25" t="s">
        <v>129</v>
      </c>
      <c r="B20" s="40" t="s">
        <v>118</v>
      </c>
      <c r="C20" s="40" t="s">
        <v>213</v>
      </c>
      <c r="D20" s="40" t="s">
        <v>862</v>
      </c>
      <c r="E20" s="40" t="s">
        <v>130</v>
      </c>
      <c r="F20" s="6">
        <f>'пр.6.1.ведом.22-23'!G43</f>
        <v>0</v>
      </c>
      <c r="G20" s="6">
        <f>'пр.6.1.ведом.22-23'!H43</f>
        <v>0</v>
      </c>
    </row>
    <row r="21" spans="1:9" ht="47.25" x14ac:dyDescent="0.25">
      <c r="A21" s="23" t="s">
        <v>1338</v>
      </c>
      <c r="B21" s="24" t="s">
        <v>118</v>
      </c>
      <c r="C21" s="7" t="s">
        <v>213</v>
      </c>
      <c r="D21" s="24" t="s">
        <v>162</v>
      </c>
      <c r="E21" s="7"/>
      <c r="F21" s="387">
        <f>F22</f>
        <v>40.5</v>
      </c>
      <c r="G21" s="387">
        <f>G22</f>
        <v>40.5</v>
      </c>
    </row>
    <row r="22" spans="1:9" ht="78.75" x14ac:dyDescent="0.25">
      <c r="A22" s="220" t="s">
        <v>843</v>
      </c>
      <c r="B22" s="24" t="s">
        <v>118</v>
      </c>
      <c r="C22" s="7" t="s">
        <v>213</v>
      </c>
      <c r="D22" s="7" t="s">
        <v>850</v>
      </c>
      <c r="E22" s="7"/>
      <c r="F22" s="387">
        <f>F23+F26</f>
        <v>40.5</v>
      </c>
      <c r="G22" s="387">
        <f>G23+G26</f>
        <v>40.5</v>
      </c>
    </row>
    <row r="23" spans="1:9" ht="63" x14ac:dyDescent="0.25">
      <c r="A23" s="31" t="s">
        <v>695</v>
      </c>
      <c r="B23" s="20" t="s">
        <v>118</v>
      </c>
      <c r="C23" s="20" t="s">
        <v>213</v>
      </c>
      <c r="D23" s="40" t="s">
        <v>993</v>
      </c>
      <c r="E23" s="20"/>
      <c r="F23" s="6">
        <f>F24</f>
        <v>40.5</v>
      </c>
      <c r="G23" s="6">
        <f>G24</f>
        <v>40.5</v>
      </c>
    </row>
    <row r="24" spans="1:9" ht="31.5" x14ac:dyDescent="0.25">
      <c r="A24" s="25" t="s">
        <v>131</v>
      </c>
      <c r="B24" s="20" t="s">
        <v>118</v>
      </c>
      <c r="C24" s="20" t="s">
        <v>213</v>
      </c>
      <c r="D24" s="40" t="s">
        <v>993</v>
      </c>
      <c r="E24" s="20" t="s">
        <v>132</v>
      </c>
      <c r="F24" s="6">
        <f>F25</f>
        <v>40.5</v>
      </c>
      <c r="G24" s="6">
        <f>G25</f>
        <v>40.5</v>
      </c>
    </row>
    <row r="25" spans="1:9" ht="47.25" x14ac:dyDescent="0.25">
      <c r="A25" s="25" t="s">
        <v>133</v>
      </c>
      <c r="B25" s="20" t="s">
        <v>118</v>
      </c>
      <c r="C25" s="20" t="s">
        <v>213</v>
      </c>
      <c r="D25" s="40" t="s">
        <v>696</v>
      </c>
      <c r="E25" s="20" t="s">
        <v>134</v>
      </c>
      <c r="F25" s="6">
        <f>'пр.6.1.ведом.22-23'!G48</f>
        <v>40.5</v>
      </c>
      <c r="G25" s="6">
        <f>'пр.6.1.ведом.22-23'!H48</f>
        <v>40.5</v>
      </c>
    </row>
    <row r="26" spans="1:9" ht="63" hidden="1" x14ac:dyDescent="0.25">
      <c r="A26" s="31" t="s">
        <v>695</v>
      </c>
      <c r="B26" s="20" t="s">
        <v>118</v>
      </c>
      <c r="C26" s="20" t="s">
        <v>213</v>
      </c>
      <c r="D26" s="20" t="s">
        <v>992</v>
      </c>
      <c r="E26" s="20"/>
      <c r="F26" s="6">
        <f>F27</f>
        <v>0</v>
      </c>
      <c r="G26" s="6">
        <f>G27</f>
        <v>0</v>
      </c>
    </row>
    <row r="27" spans="1:9" ht="31.5" hidden="1" x14ac:dyDescent="0.25">
      <c r="A27" s="25" t="s">
        <v>131</v>
      </c>
      <c r="B27" s="20" t="s">
        <v>118</v>
      </c>
      <c r="C27" s="20" t="s">
        <v>213</v>
      </c>
      <c r="D27" s="20" t="s">
        <v>992</v>
      </c>
      <c r="E27" s="20" t="s">
        <v>132</v>
      </c>
      <c r="F27" s="6">
        <f>F28</f>
        <v>0</v>
      </c>
      <c r="G27" s="6">
        <f>G28</f>
        <v>0</v>
      </c>
    </row>
    <row r="28" spans="1:9" ht="47.25" hidden="1" x14ac:dyDescent="0.25">
      <c r="A28" s="25" t="s">
        <v>133</v>
      </c>
      <c r="B28" s="20" t="s">
        <v>118</v>
      </c>
      <c r="C28" s="20" t="s">
        <v>213</v>
      </c>
      <c r="D28" s="20" t="s">
        <v>992</v>
      </c>
      <c r="E28" s="20" t="s">
        <v>134</v>
      </c>
      <c r="F28" s="6">
        <f>'пр.6.1.ведом.22-23'!G51</f>
        <v>0</v>
      </c>
      <c r="G28" s="6">
        <f>'пр.6.1.ведом.22-23'!H51</f>
        <v>0</v>
      </c>
    </row>
    <row r="29" spans="1:9" ht="78.75" x14ac:dyDescent="0.25">
      <c r="A29" s="41" t="s">
        <v>578</v>
      </c>
      <c r="B29" s="7" t="s">
        <v>118</v>
      </c>
      <c r="C29" s="7" t="s">
        <v>215</v>
      </c>
      <c r="D29" s="7"/>
      <c r="E29" s="7"/>
      <c r="F29" s="4">
        <f t="shared" ref="F29:G30" si="2">F30</f>
        <v>5488</v>
      </c>
      <c r="G29" s="4">
        <f t="shared" si="2"/>
        <v>5488</v>
      </c>
    </row>
    <row r="30" spans="1:9" ht="31.5" x14ac:dyDescent="0.25">
      <c r="A30" s="23" t="s">
        <v>917</v>
      </c>
      <c r="B30" s="7" t="s">
        <v>118</v>
      </c>
      <c r="C30" s="7" t="s">
        <v>215</v>
      </c>
      <c r="D30" s="7" t="s">
        <v>858</v>
      </c>
      <c r="E30" s="7"/>
      <c r="F30" s="4">
        <f t="shared" si="2"/>
        <v>5488</v>
      </c>
      <c r="G30" s="4">
        <f t="shared" si="2"/>
        <v>5488</v>
      </c>
    </row>
    <row r="31" spans="1:9" ht="31.5" x14ac:dyDescent="0.25">
      <c r="A31" s="23" t="s">
        <v>986</v>
      </c>
      <c r="B31" s="7" t="s">
        <v>118</v>
      </c>
      <c r="C31" s="7" t="s">
        <v>215</v>
      </c>
      <c r="D31" s="7" t="s">
        <v>987</v>
      </c>
      <c r="E31" s="7"/>
      <c r="F31" s="4">
        <f>F37+F42+F32</f>
        <v>5488</v>
      </c>
      <c r="G31" s="4">
        <f>G37+G42+G32</f>
        <v>5488</v>
      </c>
    </row>
    <row r="32" spans="1:9" s="203" customFormat="1" ht="47.25" x14ac:dyDescent="0.25">
      <c r="A32" s="291" t="s">
        <v>1363</v>
      </c>
      <c r="B32" s="20" t="s">
        <v>118</v>
      </c>
      <c r="C32" s="20" t="s">
        <v>215</v>
      </c>
      <c r="D32" s="20" t="s">
        <v>1401</v>
      </c>
      <c r="E32" s="24"/>
      <c r="F32" s="6">
        <f>F33+F35</f>
        <v>4247.6000000000004</v>
      </c>
      <c r="G32" s="6">
        <f>G33+G35</f>
        <v>4247.6000000000004</v>
      </c>
      <c r="H32" s="232">
        <f>F32+F37+F109+F114</f>
        <v>7286.5</v>
      </c>
      <c r="I32" s="232">
        <f>G32+G37+G109+G114</f>
        <v>7286.5</v>
      </c>
    </row>
    <row r="33" spans="1:9" s="203" customFormat="1" ht="94.5" x14ac:dyDescent="0.25">
      <c r="A33" s="25" t="s">
        <v>127</v>
      </c>
      <c r="B33" s="20" t="s">
        <v>118</v>
      </c>
      <c r="C33" s="20" t="s">
        <v>215</v>
      </c>
      <c r="D33" s="20" t="s">
        <v>1401</v>
      </c>
      <c r="E33" s="20" t="s">
        <v>128</v>
      </c>
      <c r="F33" s="6">
        <f>F34</f>
        <v>4154.6000000000004</v>
      </c>
      <c r="G33" s="6">
        <f>G34</f>
        <v>4154.6000000000004</v>
      </c>
    </row>
    <row r="34" spans="1:9" s="203" customFormat="1" ht="31.5" x14ac:dyDescent="0.25">
      <c r="A34" s="25" t="s">
        <v>129</v>
      </c>
      <c r="B34" s="20" t="s">
        <v>118</v>
      </c>
      <c r="C34" s="20" t="s">
        <v>215</v>
      </c>
      <c r="D34" s="20" t="s">
        <v>1401</v>
      </c>
      <c r="E34" s="20" t="s">
        <v>130</v>
      </c>
      <c r="F34" s="6">
        <f>'пр.6.1.ведом.22-23'!G1072</f>
        <v>4154.6000000000004</v>
      </c>
      <c r="G34" s="6">
        <f>'пр.6.1.ведом.22-23'!H1072</f>
        <v>4154.6000000000004</v>
      </c>
    </row>
    <row r="35" spans="1:9" s="203" customFormat="1" ht="47.25" x14ac:dyDescent="0.25">
      <c r="A35" s="25" t="s">
        <v>198</v>
      </c>
      <c r="B35" s="20" t="s">
        <v>118</v>
      </c>
      <c r="C35" s="20" t="s">
        <v>215</v>
      </c>
      <c r="D35" s="20" t="s">
        <v>1401</v>
      </c>
      <c r="E35" s="20" t="s">
        <v>132</v>
      </c>
      <c r="F35" s="6">
        <f>F36</f>
        <v>93</v>
      </c>
      <c r="G35" s="6">
        <f>G36</f>
        <v>93</v>
      </c>
    </row>
    <row r="36" spans="1:9" s="203" customFormat="1" ht="47.25" x14ac:dyDescent="0.25">
      <c r="A36" s="25" t="s">
        <v>133</v>
      </c>
      <c r="B36" s="20" t="s">
        <v>118</v>
      </c>
      <c r="C36" s="20" t="s">
        <v>215</v>
      </c>
      <c r="D36" s="20" t="s">
        <v>1401</v>
      </c>
      <c r="E36" s="20" t="s">
        <v>134</v>
      </c>
      <c r="F36" s="6">
        <f>'пр.6.1.ведом.22-23'!G1074</f>
        <v>93</v>
      </c>
      <c r="G36" s="6">
        <f>'пр.6.1.ведом.22-23'!H1074</f>
        <v>93</v>
      </c>
    </row>
    <row r="37" spans="1:9" ht="31.5" x14ac:dyDescent="0.25">
      <c r="A37" s="25" t="s">
        <v>990</v>
      </c>
      <c r="B37" s="40" t="s">
        <v>118</v>
      </c>
      <c r="C37" s="40" t="s">
        <v>215</v>
      </c>
      <c r="D37" s="40" t="s">
        <v>991</v>
      </c>
      <c r="E37" s="40"/>
      <c r="F37" s="6">
        <f>F38+F40</f>
        <v>1240.4000000000001</v>
      </c>
      <c r="G37" s="6">
        <f>G38+G40</f>
        <v>1240.4000000000001</v>
      </c>
    </row>
    <row r="38" spans="1:9" ht="94.5" x14ac:dyDescent="0.25">
      <c r="A38" s="29" t="s">
        <v>127</v>
      </c>
      <c r="B38" s="40" t="s">
        <v>118</v>
      </c>
      <c r="C38" s="40" t="s">
        <v>215</v>
      </c>
      <c r="D38" s="40" t="s">
        <v>991</v>
      </c>
      <c r="E38" s="40" t="s">
        <v>128</v>
      </c>
      <c r="F38" s="6">
        <f>F39</f>
        <v>1240.4000000000001</v>
      </c>
      <c r="G38" s="6">
        <f>G39</f>
        <v>1240.4000000000001</v>
      </c>
    </row>
    <row r="39" spans="1:9" ht="35.450000000000003" customHeight="1" x14ac:dyDescent="0.25">
      <c r="A39" s="29" t="s">
        <v>129</v>
      </c>
      <c r="B39" s="40" t="s">
        <v>118</v>
      </c>
      <c r="C39" s="40" t="s">
        <v>215</v>
      </c>
      <c r="D39" s="40" t="s">
        <v>991</v>
      </c>
      <c r="E39" s="40" t="s">
        <v>130</v>
      </c>
      <c r="F39" s="6">
        <f>'пр.6.1.ведом.22-23'!G1077</f>
        <v>1240.4000000000001</v>
      </c>
      <c r="G39" s="6">
        <f>'пр.6.1.ведом.22-23'!H1077</f>
        <v>1240.4000000000001</v>
      </c>
    </row>
    <row r="40" spans="1:9" ht="31.5" hidden="1" x14ac:dyDescent="0.25">
      <c r="A40" s="29" t="s">
        <v>131</v>
      </c>
      <c r="B40" s="40" t="s">
        <v>118</v>
      </c>
      <c r="C40" s="40" t="s">
        <v>215</v>
      </c>
      <c r="D40" s="40" t="s">
        <v>991</v>
      </c>
      <c r="E40" s="40" t="s">
        <v>132</v>
      </c>
      <c r="F40" s="6">
        <f>F41</f>
        <v>0</v>
      </c>
      <c r="G40" s="6">
        <f>G41</f>
        <v>0</v>
      </c>
    </row>
    <row r="41" spans="1:9" ht="47.25" hidden="1" x14ac:dyDescent="0.25">
      <c r="A41" s="29" t="s">
        <v>133</v>
      </c>
      <c r="B41" s="40" t="s">
        <v>118</v>
      </c>
      <c r="C41" s="40" t="s">
        <v>215</v>
      </c>
      <c r="D41" s="40" t="s">
        <v>991</v>
      </c>
      <c r="E41" s="40" t="s">
        <v>134</v>
      </c>
      <c r="F41" s="6">
        <f>'пр.6.1.ведом.22-23'!G1079</f>
        <v>0</v>
      </c>
      <c r="G41" s="6">
        <f>'пр.6.1.ведом.22-23'!H1079</f>
        <v>0</v>
      </c>
    </row>
    <row r="42" spans="1:9" ht="47.25" hidden="1" x14ac:dyDescent="0.25">
      <c r="A42" s="25" t="s">
        <v>839</v>
      </c>
      <c r="B42" s="40" t="s">
        <v>118</v>
      </c>
      <c r="C42" s="40" t="s">
        <v>215</v>
      </c>
      <c r="D42" s="40" t="s">
        <v>989</v>
      </c>
      <c r="E42" s="40"/>
      <c r="F42" s="6">
        <f>'Пр.3 Рд,пр, ЦС,ВР 22'!F38</f>
        <v>0</v>
      </c>
      <c r="G42" s="6">
        <f t="shared" si="1"/>
        <v>0</v>
      </c>
    </row>
    <row r="43" spans="1:9" ht="94.5" hidden="1" x14ac:dyDescent="0.25">
      <c r="A43" s="25" t="s">
        <v>127</v>
      </c>
      <c r="B43" s="40" t="s">
        <v>118</v>
      </c>
      <c r="C43" s="40" t="s">
        <v>215</v>
      </c>
      <c r="D43" s="40" t="s">
        <v>989</v>
      </c>
      <c r="E43" s="40" t="s">
        <v>128</v>
      </c>
      <c r="F43" s="6">
        <f>'Пр.3 Рд,пр, ЦС,ВР 22'!F39</f>
        <v>0</v>
      </c>
      <c r="G43" s="6">
        <f t="shared" si="1"/>
        <v>0</v>
      </c>
    </row>
    <row r="44" spans="1:9" ht="39.75" hidden="1" customHeight="1" x14ac:dyDescent="0.25">
      <c r="A44" s="25" t="s">
        <v>129</v>
      </c>
      <c r="B44" s="40" t="s">
        <v>118</v>
      </c>
      <c r="C44" s="40" t="s">
        <v>215</v>
      </c>
      <c r="D44" s="40" t="s">
        <v>989</v>
      </c>
      <c r="E44" s="40" t="s">
        <v>130</v>
      </c>
      <c r="F44" s="6">
        <f>'Пр.3 Рд,пр, ЦС,ВР 22'!F40</f>
        <v>0</v>
      </c>
      <c r="G44" s="6">
        <f t="shared" si="1"/>
        <v>0</v>
      </c>
    </row>
    <row r="45" spans="1:9" ht="78.75" x14ac:dyDescent="0.25">
      <c r="A45" s="41" t="s">
        <v>149</v>
      </c>
      <c r="B45" s="7" t="s">
        <v>118</v>
      </c>
      <c r="C45" s="7" t="s">
        <v>150</v>
      </c>
      <c r="D45" s="7"/>
      <c r="E45" s="7"/>
      <c r="F45" s="4">
        <f>F46+F85</f>
        <v>56897.11</v>
      </c>
      <c r="G45" s="4">
        <f>G46+G85</f>
        <v>43708.420000000006</v>
      </c>
      <c r="H45" s="232">
        <f>'пр.6.1.ведом.22-23'!H490+'пр.6.1.ведом.22-23'!H52</f>
        <v>43708.42</v>
      </c>
      <c r="I45" s="232">
        <f>H46-F45</f>
        <v>5298.0900000000038</v>
      </c>
    </row>
    <row r="46" spans="1:9" ht="31.5" x14ac:dyDescent="0.25">
      <c r="A46" s="23" t="s">
        <v>917</v>
      </c>
      <c r="B46" s="7" t="s">
        <v>118</v>
      </c>
      <c r="C46" s="7" t="s">
        <v>150</v>
      </c>
      <c r="D46" s="7" t="s">
        <v>858</v>
      </c>
      <c r="E46" s="7"/>
      <c r="F46" s="4">
        <f>F47+F63</f>
        <v>56293.61</v>
      </c>
      <c r="G46" s="4">
        <f>G47+G63</f>
        <v>43104.920000000006</v>
      </c>
      <c r="H46">
        <f>50028.3+12166.9</f>
        <v>62195.200000000004</v>
      </c>
    </row>
    <row r="47" spans="1:9" ht="15.75" x14ac:dyDescent="0.25">
      <c r="A47" s="23" t="s">
        <v>918</v>
      </c>
      <c r="B47" s="7" t="s">
        <v>118</v>
      </c>
      <c r="C47" s="7" t="s">
        <v>150</v>
      </c>
      <c r="D47" s="7" t="s">
        <v>859</v>
      </c>
      <c r="E47" s="7"/>
      <c r="F47" s="4">
        <f>F48+F57+F60</f>
        <v>52962.71</v>
      </c>
      <c r="G47" s="4">
        <f>G48+G57+G60</f>
        <v>39989.520000000004</v>
      </c>
    </row>
    <row r="48" spans="1:9" ht="31.5" x14ac:dyDescent="0.25">
      <c r="A48" s="29" t="s">
        <v>897</v>
      </c>
      <c r="B48" s="40" t="s">
        <v>118</v>
      </c>
      <c r="C48" s="40" t="s">
        <v>150</v>
      </c>
      <c r="D48" s="40" t="s">
        <v>860</v>
      </c>
      <c r="E48" s="40"/>
      <c r="F48" s="6">
        <f>F49+F51+F53+F55</f>
        <v>48838.31</v>
      </c>
      <c r="G48" s="6">
        <f>G49+G51+G53+G55</f>
        <v>35865.120000000003</v>
      </c>
      <c r="H48" s="232">
        <f>'пр.6.1.ведом.22-23'!G55+'пр.6.1.ведом.22-23'!G493</f>
        <v>48838.31</v>
      </c>
    </row>
    <row r="49" spans="1:9" ht="94.5" x14ac:dyDescent="0.25">
      <c r="A49" s="29" t="s">
        <v>127</v>
      </c>
      <c r="B49" s="40" t="s">
        <v>118</v>
      </c>
      <c r="C49" s="40" t="s">
        <v>150</v>
      </c>
      <c r="D49" s="40" t="s">
        <v>860</v>
      </c>
      <c r="E49" s="40" t="s">
        <v>128</v>
      </c>
      <c r="F49" s="6">
        <f>F50</f>
        <v>42632.909999999996</v>
      </c>
      <c r="G49" s="6">
        <f>G50</f>
        <v>29659.72</v>
      </c>
    </row>
    <row r="50" spans="1:9" ht="40.700000000000003" customHeight="1" x14ac:dyDescent="0.25">
      <c r="A50" s="29" t="s">
        <v>129</v>
      </c>
      <c r="B50" s="40" t="s">
        <v>118</v>
      </c>
      <c r="C50" s="40" t="s">
        <v>150</v>
      </c>
      <c r="D50" s="40" t="s">
        <v>860</v>
      </c>
      <c r="E50" s="40" t="s">
        <v>130</v>
      </c>
      <c r="F50" s="6">
        <f>'пр.6.1.ведом.22-23'!G495+'пр.6.1.ведом.22-23'!G57</f>
        <v>42632.909999999996</v>
      </c>
      <c r="G50" s="6">
        <f>'пр.6.1.ведом.22-23'!H495+'пр.6.1.ведом.22-23'!H57</f>
        <v>29659.72</v>
      </c>
    </row>
    <row r="51" spans="1:9" ht="31.5" x14ac:dyDescent="0.25">
      <c r="A51" s="29" t="s">
        <v>131</v>
      </c>
      <c r="B51" s="40" t="s">
        <v>118</v>
      </c>
      <c r="C51" s="40" t="s">
        <v>150</v>
      </c>
      <c r="D51" s="40" t="s">
        <v>860</v>
      </c>
      <c r="E51" s="40" t="s">
        <v>132</v>
      </c>
      <c r="F51" s="6">
        <f>F52</f>
        <v>5999.4</v>
      </c>
      <c r="G51" s="6">
        <f>G52</f>
        <v>5999.4</v>
      </c>
    </row>
    <row r="52" spans="1:9" ht="47.25" x14ac:dyDescent="0.25">
      <c r="A52" s="29" t="s">
        <v>133</v>
      </c>
      <c r="B52" s="40" t="s">
        <v>118</v>
      </c>
      <c r="C52" s="40" t="s">
        <v>150</v>
      </c>
      <c r="D52" s="40" t="s">
        <v>860</v>
      </c>
      <c r="E52" s="40" t="s">
        <v>134</v>
      </c>
      <c r="F52" s="6">
        <f>'пр.6.1.ведом.22-23'!G59+'пр.6.1.ведом.22-23'!G497</f>
        <v>5999.4</v>
      </c>
      <c r="G52" s="6">
        <f>'пр.6.1.ведом.22-23'!H59+'пр.6.1.ведом.22-23'!H497</f>
        <v>5999.4</v>
      </c>
    </row>
    <row r="53" spans="1:9" ht="31.5" hidden="1" x14ac:dyDescent="0.25">
      <c r="A53" s="25" t="s">
        <v>248</v>
      </c>
      <c r="B53" s="40" t="s">
        <v>118</v>
      </c>
      <c r="C53" s="40" t="s">
        <v>150</v>
      </c>
      <c r="D53" s="40" t="s">
        <v>860</v>
      </c>
      <c r="E53" s="40" t="s">
        <v>249</v>
      </c>
      <c r="F53" s="6">
        <f>F54</f>
        <v>0</v>
      </c>
      <c r="G53" s="6">
        <f>G54</f>
        <v>0</v>
      </c>
    </row>
    <row r="54" spans="1:9" ht="31.5" hidden="1" x14ac:dyDescent="0.25">
      <c r="A54" s="25" t="s">
        <v>250</v>
      </c>
      <c r="B54" s="40" t="s">
        <v>118</v>
      </c>
      <c r="C54" s="40" t="s">
        <v>150</v>
      </c>
      <c r="D54" s="40" t="s">
        <v>860</v>
      </c>
      <c r="E54" s="40" t="s">
        <v>251</v>
      </c>
      <c r="F54" s="6">
        <f>'пр.6.1.ведом.22-23'!G61</f>
        <v>0</v>
      </c>
      <c r="G54" s="6">
        <f>'пр.6.1.ведом.22-23'!H61</f>
        <v>0</v>
      </c>
    </row>
    <row r="55" spans="1:9" ht="15.75" x14ac:dyDescent="0.25">
      <c r="A55" s="29" t="s">
        <v>135</v>
      </c>
      <c r="B55" s="40" t="s">
        <v>118</v>
      </c>
      <c r="C55" s="40" t="s">
        <v>150</v>
      </c>
      <c r="D55" s="40" t="s">
        <v>860</v>
      </c>
      <c r="E55" s="40" t="s">
        <v>145</v>
      </c>
      <c r="F55" s="6">
        <f>F56</f>
        <v>206</v>
      </c>
      <c r="G55" s="6">
        <f>G56</f>
        <v>206</v>
      </c>
    </row>
    <row r="56" spans="1:9" ht="19.5" customHeight="1" x14ac:dyDescent="0.25">
      <c r="A56" s="29" t="s">
        <v>568</v>
      </c>
      <c r="B56" s="40" t="s">
        <v>118</v>
      </c>
      <c r="C56" s="40" t="s">
        <v>150</v>
      </c>
      <c r="D56" s="40" t="s">
        <v>860</v>
      </c>
      <c r="E56" s="40" t="s">
        <v>138</v>
      </c>
      <c r="F56" s="6">
        <f>'пр.6.1.ведом.22-23'!G63+'пр.6.1.ведом.22-23'!G499</f>
        <v>206</v>
      </c>
      <c r="G56" s="6">
        <f>'пр.6.1.ведом.22-23'!H63+'пр.6.1.ведом.22-23'!H499</f>
        <v>206</v>
      </c>
    </row>
    <row r="57" spans="1:9" ht="31.5" x14ac:dyDescent="0.25">
      <c r="A57" s="25" t="s">
        <v>153</v>
      </c>
      <c r="B57" s="20" t="s">
        <v>118</v>
      </c>
      <c r="C57" s="20" t="s">
        <v>150</v>
      </c>
      <c r="D57" s="40" t="s">
        <v>861</v>
      </c>
      <c r="E57" s="20"/>
      <c r="F57" s="6">
        <f>F58</f>
        <v>2071.4</v>
      </c>
      <c r="G57" s="6">
        <f>G58</f>
        <v>2071.4</v>
      </c>
    </row>
    <row r="58" spans="1:9" ht="94.5" x14ac:dyDescent="0.25">
      <c r="A58" s="25" t="s">
        <v>127</v>
      </c>
      <c r="B58" s="20" t="s">
        <v>118</v>
      </c>
      <c r="C58" s="20" t="s">
        <v>150</v>
      </c>
      <c r="D58" s="40" t="s">
        <v>861</v>
      </c>
      <c r="E58" s="20" t="s">
        <v>128</v>
      </c>
      <c r="F58" s="6">
        <f>F59</f>
        <v>2071.4</v>
      </c>
      <c r="G58" s="6">
        <f>G59</f>
        <v>2071.4</v>
      </c>
    </row>
    <row r="59" spans="1:9" ht="33.75" customHeight="1" x14ac:dyDescent="0.25">
      <c r="A59" s="25" t="s">
        <v>129</v>
      </c>
      <c r="B59" s="20" t="s">
        <v>118</v>
      </c>
      <c r="C59" s="20" t="s">
        <v>150</v>
      </c>
      <c r="D59" s="40" t="s">
        <v>861</v>
      </c>
      <c r="E59" s="20" t="s">
        <v>130</v>
      </c>
      <c r="F59" s="6">
        <f>'пр.6.1.ведом.22-23'!G66</f>
        <v>2071.4</v>
      </c>
      <c r="G59" s="6">
        <f>'пр.6.1.ведом.22-23'!H66</f>
        <v>2071.4</v>
      </c>
    </row>
    <row r="60" spans="1:9" ht="47.25" x14ac:dyDescent="0.25">
      <c r="A60" s="25" t="s">
        <v>839</v>
      </c>
      <c r="B60" s="40" t="s">
        <v>118</v>
      </c>
      <c r="C60" s="20" t="s">
        <v>150</v>
      </c>
      <c r="D60" s="40" t="s">
        <v>862</v>
      </c>
      <c r="E60" s="40"/>
      <c r="F60" s="6">
        <f>F61</f>
        <v>2053</v>
      </c>
      <c r="G60" s="6">
        <f>G61</f>
        <v>2053</v>
      </c>
    </row>
    <row r="61" spans="1:9" ht="94.5" x14ac:dyDescent="0.25">
      <c r="A61" s="25" t="s">
        <v>127</v>
      </c>
      <c r="B61" s="40" t="s">
        <v>118</v>
      </c>
      <c r="C61" s="20" t="s">
        <v>150</v>
      </c>
      <c r="D61" s="40" t="s">
        <v>862</v>
      </c>
      <c r="E61" s="40" t="s">
        <v>128</v>
      </c>
      <c r="F61" s="6">
        <f>F62</f>
        <v>2053</v>
      </c>
      <c r="G61" s="6">
        <f>G62</f>
        <v>2053</v>
      </c>
    </row>
    <row r="62" spans="1:9" ht="31.7" customHeight="1" x14ac:dyDescent="0.25">
      <c r="A62" s="25" t="s">
        <v>129</v>
      </c>
      <c r="B62" s="40" t="s">
        <v>118</v>
      </c>
      <c r="C62" s="20" t="s">
        <v>150</v>
      </c>
      <c r="D62" s="40" t="s">
        <v>862</v>
      </c>
      <c r="E62" s="40" t="s">
        <v>130</v>
      </c>
      <c r="F62" s="6">
        <f>'пр.6.1.ведом.22-23'!G69+'пр.6.1.ведом.22-23'!G502</f>
        <v>2053</v>
      </c>
      <c r="G62" s="6">
        <f>'пр.6.1.ведом.22-23'!H69+'пр.6.1.ведом.22-23'!H502</f>
        <v>2053</v>
      </c>
      <c r="H62" s="232">
        <f>'пр.6.1.ведом.22-23'!G500+'пр.6.1.ведом.22-23'!G67</f>
        <v>2053</v>
      </c>
    </row>
    <row r="63" spans="1:9" ht="47.25" x14ac:dyDescent="0.25">
      <c r="A63" s="23" t="s">
        <v>885</v>
      </c>
      <c r="B63" s="7" t="s">
        <v>118</v>
      </c>
      <c r="C63" s="24" t="s">
        <v>150</v>
      </c>
      <c r="D63" s="7" t="s">
        <v>863</v>
      </c>
      <c r="E63" s="7"/>
      <c r="F63" s="4">
        <f>F64+F67+F72+F77+F82</f>
        <v>3330.9</v>
      </c>
      <c r="G63" s="4">
        <f>G64+G67+G72+G77+G82</f>
        <v>3115.4</v>
      </c>
    </row>
    <row r="64" spans="1:9" ht="47.25" hidden="1" x14ac:dyDescent="0.25">
      <c r="A64" s="25" t="s">
        <v>187</v>
      </c>
      <c r="B64" s="40" t="s">
        <v>118</v>
      </c>
      <c r="C64" s="20" t="s">
        <v>150</v>
      </c>
      <c r="D64" s="40" t="s">
        <v>1072</v>
      </c>
      <c r="E64" s="7"/>
      <c r="F64" s="6">
        <f>F65</f>
        <v>0</v>
      </c>
      <c r="G64" s="6">
        <f>G65</f>
        <v>0</v>
      </c>
      <c r="H64" s="232">
        <f>F64+F67+F72+F77+F82+F286+F342+F875</f>
        <v>7245.5</v>
      </c>
      <c r="I64" s="232">
        <f>G64+G67+G72+G77+G82+G286+G342+G875</f>
        <v>6996.6</v>
      </c>
    </row>
    <row r="65" spans="1:7" ht="31.5" hidden="1" x14ac:dyDescent="0.25">
      <c r="A65" s="25" t="s">
        <v>131</v>
      </c>
      <c r="B65" s="40" t="s">
        <v>118</v>
      </c>
      <c r="C65" s="20" t="s">
        <v>150</v>
      </c>
      <c r="D65" s="40" t="s">
        <v>1072</v>
      </c>
      <c r="E65" s="40" t="s">
        <v>132</v>
      </c>
      <c r="F65" s="6">
        <f>F66</f>
        <v>0</v>
      </c>
      <c r="G65" s="6">
        <f>G66</f>
        <v>0</v>
      </c>
    </row>
    <row r="66" spans="1:7" ht="47.25" hidden="1" x14ac:dyDescent="0.25">
      <c r="A66" s="25" t="s">
        <v>133</v>
      </c>
      <c r="B66" s="40" t="s">
        <v>118</v>
      </c>
      <c r="C66" s="20" t="s">
        <v>150</v>
      </c>
      <c r="D66" s="40" t="s">
        <v>1072</v>
      </c>
      <c r="E66" s="40" t="s">
        <v>134</v>
      </c>
      <c r="F66" s="6">
        <f>'пр.6.1.ведом.22-23'!G73</f>
        <v>0</v>
      </c>
      <c r="G66" s="6">
        <f>'пр.6.1.ведом.22-23'!H73</f>
        <v>0</v>
      </c>
    </row>
    <row r="67" spans="1:7" ht="47.25" x14ac:dyDescent="0.25">
      <c r="A67" s="45" t="s">
        <v>189</v>
      </c>
      <c r="B67" s="40" t="s">
        <v>118</v>
      </c>
      <c r="C67" s="20" t="s">
        <v>150</v>
      </c>
      <c r="D67" s="40" t="s">
        <v>920</v>
      </c>
      <c r="E67" s="40"/>
      <c r="F67" s="6">
        <f>F68+F70</f>
        <v>563.20000000000005</v>
      </c>
      <c r="G67" s="6">
        <f>G68+G70</f>
        <v>347.7</v>
      </c>
    </row>
    <row r="68" spans="1:7" ht="94.5" x14ac:dyDescent="0.25">
      <c r="A68" s="29" t="s">
        <v>127</v>
      </c>
      <c r="B68" s="40" t="s">
        <v>118</v>
      </c>
      <c r="C68" s="20" t="s">
        <v>150</v>
      </c>
      <c r="D68" s="40" t="s">
        <v>920</v>
      </c>
      <c r="E68" s="40" t="s">
        <v>128</v>
      </c>
      <c r="F68" s="6">
        <f>F69</f>
        <v>563.20000000000005</v>
      </c>
      <c r="G68" s="6">
        <f>G69</f>
        <v>347.7</v>
      </c>
    </row>
    <row r="69" spans="1:7" ht="31.5" x14ac:dyDescent="0.25">
      <c r="A69" s="29" t="s">
        <v>129</v>
      </c>
      <c r="B69" s="40" t="s">
        <v>118</v>
      </c>
      <c r="C69" s="20" t="s">
        <v>150</v>
      </c>
      <c r="D69" s="40" t="s">
        <v>920</v>
      </c>
      <c r="E69" s="40" t="s">
        <v>130</v>
      </c>
      <c r="F69" s="6">
        <f>'пр.6.1.ведом.22-23'!G76</f>
        <v>563.20000000000005</v>
      </c>
      <c r="G69" s="6">
        <f>'пр.6.1.ведом.22-23'!H76</f>
        <v>347.7</v>
      </c>
    </row>
    <row r="70" spans="1:7" ht="31.5" hidden="1" x14ac:dyDescent="0.25">
      <c r="A70" s="25" t="s">
        <v>131</v>
      </c>
      <c r="B70" s="40" t="s">
        <v>118</v>
      </c>
      <c r="C70" s="20" t="s">
        <v>150</v>
      </c>
      <c r="D70" s="40" t="s">
        <v>920</v>
      </c>
      <c r="E70" s="40" t="s">
        <v>132</v>
      </c>
      <c r="F70" s="6">
        <f>F71</f>
        <v>0</v>
      </c>
      <c r="G70" s="6">
        <f>G71</f>
        <v>0</v>
      </c>
    </row>
    <row r="71" spans="1:7" ht="47.25" hidden="1" x14ac:dyDescent="0.25">
      <c r="A71" s="25" t="s">
        <v>133</v>
      </c>
      <c r="B71" s="40" t="s">
        <v>118</v>
      </c>
      <c r="C71" s="20" t="s">
        <v>150</v>
      </c>
      <c r="D71" s="40" t="s">
        <v>920</v>
      </c>
      <c r="E71" s="40" t="s">
        <v>134</v>
      </c>
      <c r="F71" s="6">
        <f>'пр.6.1.ведом.22-23'!G78</f>
        <v>0</v>
      </c>
      <c r="G71" s="6">
        <f>'пр.6.1.ведом.22-23'!H78</f>
        <v>0</v>
      </c>
    </row>
    <row r="72" spans="1:7" ht="63" x14ac:dyDescent="0.25">
      <c r="A72" s="31" t="s">
        <v>194</v>
      </c>
      <c r="B72" s="40" t="s">
        <v>118</v>
      </c>
      <c r="C72" s="20" t="s">
        <v>150</v>
      </c>
      <c r="D72" s="40" t="s">
        <v>1028</v>
      </c>
      <c r="E72" s="40"/>
      <c r="F72" s="6">
        <f>F73+F75</f>
        <v>1411.1</v>
      </c>
      <c r="G72" s="6">
        <f>G73+G75</f>
        <v>1411.1</v>
      </c>
    </row>
    <row r="73" spans="1:7" ht="94.5" x14ac:dyDescent="0.25">
      <c r="A73" s="29" t="s">
        <v>127</v>
      </c>
      <c r="B73" s="40" t="s">
        <v>118</v>
      </c>
      <c r="C73" s="20" t="s">
        <v>150</v>
      </c>
      <c r="D73" s="40" t="s">
        <v>1028</v>
      </c>
      <c r="E73" s="40" t="s">
        <v>128</v>
      </c>
      <c r="F73" s="6">
        <f>F74</f>
        <v>1372.1</v>
      </c>
      <c r="G73" s="6">
        <f>G74</f>
        <v>1372.1</v>
      </c>
    </row>
    <row r="74" spans="1:7" ht="33" customHeight="1" x14ac:dyDescent="0.25">
      <c r="A74" s="29" t="s">
        <v>129</v>
      </c>
      <c r="B74" s="40" t="s">
        <v>118</v>
      </c>
      <c r="C74" s="20" t="s">
        <v>150</v>
      </c>
      <c r="D74" s="40" t="s">
        <v>1028</v>
      </c>
      <c r="E74" s="40" t="s">
        <v>130</v>
      </c>
      <c r="F74" s="6">
        <f>'пр.6.1.ведом.22-23'!G81</f>
        <v>1372.1</v>
      </c>
      <c r="G74" s="6">
        <f>'пр.6.1.ведом.22-23'!H81</f>
        <v>1372.1</v>
      </c>
    </row>
    <row r="75" spans="1:7" ht="31.5" x14ac:dyDescent="0.25">
      <c r="A75" s="25" t="s">
        <v>131</v>
      </c>
      <c r="B75" s="40" t="s">
        <v>118</v>
      </c>
      <c r="C75" s="20" t="s">
        <v>150</v>
      </c>
      <c r="D75" s="40" t="s">
        <v>1028</v>
      </c>
      <c r="E75" s="40" t="s">
        <v>132</v>
      </c>
      <c r="F75" s="6">
        <f>F76</f>
        <v>39</v>
      </c>
      <c r="G75" s="6">
        <f>G76</f>
        <v>39</v>
      </c>
    </row>
    <row r="76" spans="1:7" ht="47.25" x14ac:dyDescent="0.25">
      <c r="A76" s="25" t="s">
        <v>133</v>
      </c>
      <c r="B76" s="40" t="s">
        <v>118</v>
      </c>
      <c r="C76" s="20" t="s">
        <v>150</v>
      </c>
      <c r="D76" s="40" t="s">
        <v>1028</v>
      </c>
      <c r="E76" s="40" t="s">
        <v>134</v>
      </c>
      <c r="F76" s="6">
        <f>'пр.6.1.ведом.22-23'!G83</f>
        <v>39</v>
      </c>
      <c r="G76" s="6">
        <f>'пр.6.1.ведом.22-23'!H83</f>
        <v>39</v>
      </c>
    </row>
    <row r="77" spans="1:7" ht="47.25" x14ac:dyDescent="0.25">
      <c r="A77" s="45" t="s">
        <v>196</v>
      </c>
      <c r="B77" s="40" t="s">
        <v>118</v>
      </c>
      <c r="C77" s="20" t="s">
        <v>150</v>
      </c>
      <c r="D77" s="40" t="s">
        <v>921</v>
      </c>
      <c r="E77" s="40"/>
      <c r="F77" s="6">
        <f>F78+F80</f>
        <v>1334.3</v>
      </c>
      <c r="G77" s="6">
        <f>G78+G80</f>
        <v>1334.3</v>
      </c>
    </row>
    <row r="78" spans="1:7" ht="94.5" x14ac:dyDescent="0.25">
      <c r="A78" s="29" t="s">
        <v>127</v>
      </c>
      <c r="B78" s="40" t="s">
        <v>118</v>
      </c>
      <c r="C78" s="20" t="s">
        <v>150</v>
      </c>
      <c r="D78" s="40" t="s">
        <v>921</v>
      </c>
      <c r="E78" s="40" t="s">
        <v>128</v>
      </c>
      <c r="F78" s="6">
        <f>F79</f>
        <v>1300.3</v>
      </c>
      <c r="G78" s="6">
        <f>G79</f>
        <v>1300.3</v>
      </c>
    </row>
    <row r="79" spans="1:7" ht="33.75" customHeight="1" x14ac:dyDescent="0.25">
      <c r="A79" s="29" t="s">
        <v>129</v>
      </c>
      <c r="B79" s="40" t="s">
        <v>118</v>
      </c>
      <c r="C79" s="20" t="s">
        <v>150</v>
      </c>
      <c r="D79" s="40" t="s">
        <v>921</v>
      </c>
      <c r="E79" s="40" t="s">
        <v>130</v>
      </c>
      <c r="F79" s="6">
        <f>'пр.6.1.ведом.22-23'!G86</f>
        <v>1300.3</v>
      </c>
      <c r="G79" s="6">
        <f>'пр.6.1.ведом.22-23'!H86</f>
        <v>1300.3</v>
      </c>
    </row>
    <row r="80" spans="1:7" ht="31.5" x14ac:dyDescent="0.25">
      <c r="A80" s="29" t="s">
        <v>131</v>
      </c>
      <c r="B80" s="40" t="s">
        <v>118</v>
      </c>
      <c r="C80" s="20" t="s">
        <v>150</v>
      </c>
      <c r="D80" s="40" t="s">
        <v>921</v>
      </c>
      <c r="E80" s="40" t="s">
        <v>132</v>
      </c>
      <c r="F80" s="6">
        <f>F81</f>
        <v>34</v>
      </c>
      <c r="G80" s="6">
        <f>G81</f>
        <v>34</v>
      </c>
    </row>
    <row r="81" spans="1:7" ht="47.25" x14ac:dyDescent="0.25">
      <c r="A81" s="29" t="s">
        <v>133</v>
      </c>
      <c r="B81" s="40" t="s">
        <v>118</v>
      </c>
      <c r="C81" s="20" t="s">
        <v>150</v>
      </c>
      <c r="D81" s="40" t="s">
        <v>921</v>
      </c>
      <c r="E81" s="40" t="s">
        <v>134</v>
      </c>
      <c r="F81" s="6">
        <f>'пр.6.1.ведом.22-23'!G88</f>
        <v>34</v>
      </c>
      <c r="G81" s="6">
        <f>'пр.6.1.ведом.22-23'!H88</f>
        <v>34</v>
      </c>
    </row>
    <row r="82" spans="1:7" s="203" customFormat="1" ht="94.5" x14ac:dyDescent="0.25">
      <c r="A82" s="31" t="s">
        <v>1169</v>
      </c>
      <c r="B82" s="20" t="s">
        <v>118</v>
      </c>
      <c r="C82" s="20" t="s">
        <v>150</v>
      </c>
      <c r="D82" s="20" t="s">
        <v>1168</v>
      </c>
      <c r="E82" s="20"/>
      <c r="F82" s="26">
        <f>F83</f>
        <v>22.3</v>
      </c>
      <c r="G82" s="26">
        <f>G83</f>
        <v>22.3</v>
      </c>
    </row>
    <row r="83" spans="1:7" s="203" customFormat="1" ht="94.5" x14ac:dyDescent="0.25">
      <c r="A83" s="25" t="s">
        <v>127</v>
      </c>
      <c r="B83" s="20" t="s">
        <v>118</v>
      </c>
      <c r="C83" s="20" t="s">
        <v>150</v>
      </c>
      <c r="D83" s="20" t="s">
        <v>1168</v>
      </c>
      <c r="E83" s="20" t="s">
        <v>128</v>
      </c>
      <c r="F83" s="26">
        <f>F84</f>
        <v>22.3</v>
      </c>
      <c r="G83" s="26">
        <f>G84</f>
        <v>22.3</v>
      </c>
    </row>
    <row r="84" spans="1:7" s="203" customFormat="1" ht="38.25" customHeight="1" x14ac:dyDescent="0.25">
      <c r="A84" s="25" t="s">
        <v>129</v>
      </c>
      <c r="B84" s="20" t="s">
        <v>118</v>
      </c>
      <c r="C84" s="20" t="s">
        <v>150</v>
      </c>
      <c r="D84" s="20" t="s">
        <v>1168</v>
      </c>
      <c r="E84" s="20" t="s">
        <v>130</v>
      </c>
      <c r="F84" s="26">
        <f>'пр.6.1.ведом.22-23'!G506</f>
        <v>22.3</v>
      </c>
      <c r="G84" s="6">
        <f>'пр.6.1.ведом.22-23'!H506</f>
        <v>22.3</v>
      </c>
    </row>
    <row r="85" spans="1:7" ht="47.25" x14ac:dyDescent="0.25">
      <c r="A85" s="23" t="s">
        <v>1364</v>
      </c>
      <c r="B85" s="24" t="s">
        <v>118</v>
      </c>
      <c r="C85" s="24" t="s">
        <v>150</v>
      </c>
      <c r="D85" s="24" t="s">
        <v>162</v>
      </c>
      <c r="E85" s="24"/>
      <c r="F85" s="4">
        <f>F86+F90+F102</f>
        <v>603.5</v>
      </c>
      <c r="G85" s="4">
        <f>G86+G90+G102</f>
        <v>603.5</v>
      </c>
    </row>
    <row r="86" spans="1:7" ht="78.75" x14ac:dyDescent="0.25">
      <c r="A86" s="305" t="s">
        <v>1339</v>
      </c>
      <c r="B86" s="24" t="s">
        <v>118</v>
      </c>
      <c r="C86" s="24" t="s">
        <v>150</v>
      </c>
      <c r="D86" s="7" t="s">
        <v>849</v>
      </c>
      <c r="E86" s="24"/>
      <c r="F86" s="4">
        <f t="shared" ref="F86:G88" si="3">F87</f>
        <v>526</v>
      </c>
      <c r="G86" s="4">
        <f t="shared" si="3"/>
        <v>526</v>
      </c>
    </row>
    <row r="87" spans="1:7" ht="63" x14ac:dyDescent="0.25">
      <c r="A87" s="29" t="s">
        <v>1308</v>
      </c>
      <c r="B87" s="20" t="s">
        <v>118</v>
      </c>
      <c r="C87" s="20" t="s">
        <v>150</v>
      </c>
      <c r="D87" s="40" t="s">
        <v>841</v>
      </c>
      <c r="E87" s="20"/>
      <c r="F87" s="6">
        <f t="shared" si="3"/>
        <v>526</v>
      </c>
      <c r="G87" s="6">
        <f t="shared" si="3"/>
        <v>526</v>
      </c>
    </row>
    <row r="88" spans="1:7" ht="31.5" x14ac:dyDescent="0.25">
      <c r="A88" s="25" t="s">
        <v>131</v>
      </c>
      <c r="B88" s="20" t="s">
        <v>118</v>
      </c>
      <c r="C88" s="20" t="s">
        <v>150</v>
      </c>
      <c r="D88" s="40" t="s">
        <v>841</v>
      </c>
      <c r="E88" s="20" t="s">
        <v>132</v>
      </c>
      <c r="F88" s="6">
        <f t="shared" si="3"/>
        <v>526</v>
      </c>
      <c r="G88" s="6">
        <f t="shared" si="3"/>
        <v>526</v>
      </c>
    </row>
    <row r="89" spans="1:7" ht="47.25" x14ac:dyDescent="0.25">
      <c r="A89" s="25" t="s">
        <v>133</v>
      </c>
      <c r="B89" s="20" t="s">
        <v>118</v>
      </c>
      <c r="C89" s="20" t="s">
        <v>150</v>
      </c>
      <c r="D89" s="40" t="s">
        <v>841</v>
      </c>
      <c r="E89" s="20" t="s">
        <v>134</v>
      </c>
      <c r="F89" s="6">
        <f>'пр.6.1.ведом.22-23'!G93</f>
        <v>526</v>
      </c>
      <c r="G89" s="6">
        <f>'пр.6.1.ведом.22-23'!H93</f>
        <v>526</v>
      </c>
    </row>
    <row r="90" spans="1:7" ht="78.75" x14ac:dyDescent="0.25">
      <c r="A90" s="220" t="s">
        <v>843</v>
      </c>
      <c r="B90" s="24" t="s">
        <v>118</v>
      </c>
      <c r="C90" s="24" t="s">
        <v>150</v>
      </c>
      <c r="D90" s="7" t="s">
        <v>850</v>
      </c>
      <c r="E90" s="24"/>
      <c r="F90" s="4">
        <f>F91+F96+F99</f>
        <v>77</v>
      </c>
      <c r="G90" s="4">
        <f>G91+G96+G99</f>
        <v>77</v>
      </c>
    </row>
    <row r="91" spans="1:7" ht="63" x14ac:dyDescent="0.25">
      <c r="A91" s="174" t="s">
        <v>165</v>
      </c>
      <c r="B91" s="20" t="s">
        <v>118</v>
      </c>
      <c r="C91" s="20" t="s">
        <v>150</v>
      </c>
      <c r="D91" s="40" t="s">
        <v>842</v>
      </c>
      <c r="E91" s="20"/>
      <c r="F91" s="6">
        <f>F92+F94</f>
        <v>77</v>
      </c>
      <c r="G91" s="6">
        <f>G92+G94</f>
        <v>77</v>
      </c>
    </row>
    <row r="92" spans="1:7" ht="94.5" x14ac:dyDescent="0.25">
      <c r="A92" s="25" t="s">
        <v>127</v>
      </c>
      <c r="B92" s="20" t="s">
        <v>118</v>
      </c>
      <c r="C92" s="20" t="s">
        <v>150</v>
      </c>
      <c r="D92" s="40" t="s">
        <v>842</v>
      </c>
      <c r="E92" s="20" t="s">
        <v>128</v>
      </c>
      <c r="F92" s="6">
        <f>F93</f>
        <v>37</v>
      </c>
      <c r="G92" s="6">
        <f>G93</f>
        <v>37</v>
      </c>
    </row>
    <row r="93" spans="1:7" ht="31.5" x14ac:dyDescent="0.25">
      <c r="A93" s="25" t="s">
        <v>129</v>
      </c>
      <c r="B93" s="20" t="s">
        <v>118</v>
      </c>
      <c r="C93" s="20" t="s">
        <v>150</v>
      </c>
      <c r="D93" s="40" t="s">
        <v>842</v>
      </c>
      <c r="E93" s="20" t="s">
        <v>130</v>
      </c>
      <c r="F93" s="6">
        <f>'пр.6.1.ведом.22-23'!G97</f>
        <v>37</v>
      </c>
      <c r="G93" s="6">
        <f>'пр.6.1.ведом.22-23'!H97</f>
        <v>37</v>
      </c>
    </row>
    <row r="94" spans="1:7" ht="31.5" x14ac:dyDescent="0.25">
      <c r="A94" s="25" t="s">
        <v>131</v>
      </c>
      <c r="B94" s="20" t="s">
        <v>118</v>
      </c>
      <c r="C94" s="20" t="s">
        <v>150</v>
      </c>
      <c r="D94" s="40" t="s">
        <v>842</v>
      </c>
      <c r="E94" s="20" t="s">
        <v>132</v>
      </c>
      <c r="F94" s="6">
        <f>F95</f>
        <v>40</v>
      </c>
      <c r="G94" s="6">
        <f>G95</f>
        <v>40</v>
      </c>
    </row>
    <row r="95" spans="1:7" ht="47.25" x14ac:dyDescent="0.25">
      <c r="A95" s="25" t="s">
        <v>133</v>
      </c>
      <c r="B95" s="20" t="s">
        <v>118</v>
      </c>
      <c r="C95" s="20" t="s">
        <v>150</v>
      </c>
      <c r="D95" s="40" t="s">
        <v>842</v>
      </c>
      <c r="E95" s="20" t="s">
        <v>134</v>
      </c>
      <c r="F95" s="6">
        <f>'пр.6.1.ведом.22-23'!G99</f>
        <v>40</v>
      </c>
      <c r="G95" s="6">
        <f>'пр.6.1.ведом.22-23'!H99</f>
        <v>40</v>
      </c>
    </row>
    <row r="96" spans="1:7" s="203" customFormat="1" ht="47.25" hidden="1" x14ac:dyDescent="0.25">
      <c r="A96" s="31" t="s">
        <v>1094</v>
      </c>
      <c r="B96" s="20" t="s">
        <v>118</v>
      </c>
      <c r="C96" s="20" t="s">
        <v>150</v>
      </c>
      <c r="D96" s="40" t="s">
        <v>993</v>
      </c>
      <c r="E96" s="20"/>
      <c r="F96" s="26">
        <f>F97</f>
        <v>0</v>
      </c>
      <c r="G96" s="26">
        <f>G97</f>
        <v>0</v>
      </c>
    </row>
    <row r="97" spans="1:8" s="203" customFormat="1" ht="31.5" hidden="1" x14ac:dyDescent="0.25">
      <c r="A97" s="25" t="s">
        <v>131</v>
      </c>
      <c r="B97" s="20" t="s">
        <v>118</v>
      </c>
      <c r="C97" s="20" t="s">
        <v>150</v>
      </c>
      <c r="D97" s="40" t="s">
        <v>993</v>
      </c>
      <c r="E97" s="20" t="s">
        <v>132</v>
      </c>
      <c r="F97" s="26">
        <f>F98</f>
        <v>0</v>
      </c>
      <c r="G97" s="26">
        <f>G98</f>
        <v>0</v>
      </c>
    </row>
    <row r="98" spans="1:8" s="203" customFormat="1" ht="47.25" hidden="1" x14ac:dyDescent="0.25">
      <c r="A98" s="25" t="s">
        <v>133</v>
      </c>
      <c r="B98" s="20" t="s">
        <v>118</v>
      </c>
      <c r="C98" s="20" t="s">
        <v>150</v>
      </c>
      <c r="D98" s="40" t="s">
        <v>696</v>
      </c>
      <c r="E98" s="20" t="s">
        <v>134</v>
      </c>
      <c r="F98" s="26">
        <f>'пр.6.1.ведом.22-23'!G102</f>
        <v>0</v>
      </c>
      <c r="G98" s="26">
        <f>'пр.6.1.ведом.22-23'!H102</f>
        <v>0</v>
      </c>
    </row>
    <row r="99" spans="1:8" s="203" customFormat="1" ht="63" hidden="1" x14ac:dyDescent="0.25">
      <c r="A99" s="31" t="s">
        <v>695</v>
      </c>
      <c r="B99" s="20" t="s">
        <v>118</v>
      </c>
      <c r="C99" s="20" t="s">
        <v>150</v>
      </c>
      <c r="D99" s="20" t="s">
        <v>992</v>
      </c>
      <c r="E99" s="20"/>
      <c r="F99" s="26">
        <f>F100</f>
        <v>0</v>
      </c>
      <c r="G99" s="26">
        <f>G100</f>
        <v>0</v>
      </c>
    </row>
    <row r="100" spans="1:8" s="203" customFormat="1" ht="31.5" hidden="1" x14ac:dyDescent="0.25">
      <c r="A100" s="25" t="s">
        <v>131</v>
      </c>
      <c r="B100" s="20" t="s">
        <v>118</v>
      </c>
      <c r="C100" s="20" t="s">
        <v>150</v>
      </c>
      <c r="D100" s="20" t="s">
        <v>992</v>
      </c>
      <c r="E100" s="20" t="s">
        <v>132</v>
      </c>
      <c r="F100" s="26">
        <f>F101</f>
        <v>0</v>
      </c>
      <c r="G100" s="26">
        <f>G101</f>
        <v>0</v>
      </c>
    </row>
    <row r="101" spans="1:8" s="203" customFormat="1" ht="47.25" hidden="1" x14ac:dyDescent="0.25">
      <c r="A101" s="25" t="s">
        <v>133</v>
      </c>
      <c r="B101" s="20" t="s">
        <v>118</v>
      </c>
      <c r="C101" s="20" t="s">
        <v>150</v>
      </c>
      <c r="D101" s="20" t="s">
        <v>992</v>
      </c>
      <c r="E101" s="20" t="s">
        <v>134</v>
      </c>
      <c r="F101" s="26">
        <f>'пр.6.1.ведом.22-23'!G105</f>
        <v>0</v>
      </c>
      <c r="G101" s="26">
        <f>'пр.6.1.ведом.22-23'!H105</f>
        <v>0</v>
      </c>
    </row>
    <row r="102" spans="1:8" ht="62.45" customHeight="1" x14ac:dyDescent="0.25">
      <c r="A102" s="221" t="s">
        <v>1003</v>
      </c>
      <c r="B102" s="24" t="s">
        <v>118</v>
      </c>
      <c r="C102" s="24" t="s">
        <v>150</v>
      </c>
      <c r="D102" s="7" t="s">
        <v>851</v>
      </c>
      <c r="E102" s="24"/>
      <c r="F102" s="4">
        <f t="shared" ref="F102:G104" si="4">F103</f>
        <v>0.5</v>
      </c>
      <c r="G102" s="4">
        <f t="shared" si="4"/>
        <v>0.5</v>
      </c>
    </row>
    <row r="103" spans="1:8" ht="47.25" x14ac:dyDescent="0.25">
      <c r="A103" s="33" t="s">
        <v>191</v>
      </c>
      <c r="B103" s="20" t="s">
        <v>118</v>
      </c>
      <c r="C103" s="20" t="s">
        <v>150</v>
      </c>
      <c r="D103" s="40" t="s">
        <v>844</v>
      </c>
      <c r="E103" s="20"/>
      <c r="F103" s="6">
        <f t="shared" si="4"/>
        <v>0.5</v>
      </c>
      <c r="G103" s="6">
        <f t="shared" si="4"/>
        <v>0.5</v>
      </c>
    </row>
    <row r="104" spans="1:8" ht="31.5" x14ac:dyDescent="0.25">
      <c r="A104" s="25" t="s">
        <v>131</v>
      </c>
      <c r="B104" s="20" t="s">
        <v>118</v>
      </c>
      <c r="C104" s="20" t="s">
        <v>150</v>
      </c>
      <c r="D104" s="40" t="s">
        <v>844</v>
      </c>
      <c r="E104" s="20" t="s">
        <v>132</v>
      </c>
      <c r="F104" s="6">
        <f t="shared" si="4"/>
        <v>0.5</v>
      </c>
      <c r="G104" s="6">
        <f t="shared" si="4"/>
        <v>0.5</v>
      </c>
    </row>
    <row r="105" spans="1:8" ht="47.25" x14ac:dyDescent="0.25">
      <c r="A105" s="25" t="s">
        <v>133</v>
      </c>
      <c r="B105" s="20" t="s">
        <v>118</v>
      </c>
      <c r="C105" s="20" t="s">
        <v>150</v>
      </c>
      <c r="D105" s="40" t="s">
        <v>844</v>
      </c>
      <c r="E105" s="20" t="s">
        <v>134</v>
      </c>
      <c r="F105" s="6">
        <f>'пр.6.1.ведом.22-23'!G109</f>
        <v>0.5</v>
      </c>
      <c r="G105" s="6">
        <f>'пр.6.1.ведом.22-23'!H109</f>
        <v>0.5</v>
      </c>
    </row>
    <row r="106" spans="1:8" ht="63" x14ac:dyDescent="0.25">
      <c r="A106" s="41" t="s">
        <v>119</v>
      </c>
      <c r="B106" s="7" t="s">
        <v>118</v>
      </c>
      <c r="C106" s="7" t="s">
        <v>120</v>
      </c>
      <c r="D106" s="7"/>
      <c r="E106" s="7"/>
      <c r="F106" s="4">
        <f t="shared" ref="F106:G106" si="5">F107</f>
        <v>16636.7</v>
      </c>
      <c r="G106" s="4">
        <f t="shared" si="5"/>
        <v>16636.7</v>
      </c>
      <c r="H106" s="232">
        <f>'пр.6.1.ведом.22-23'!H113+'пр.6.1.ведом.22-23'!H12+'пр.6.1.ведом.22-23'!H1083</f>
        <v>16636.7</v>
      </c>
    </row>
    <row r="107" spans="1:8" ht="31.5" x14ac:dyDescent="0.25">
      <c r="A107" s="23" t="s">
        <v>917</v>
      </c>
      <c r="B107" s="7" t="s">
        <v>118</v>
      </c>
      <c r="C107" s="7" t="s">
        <v>120</v>
      </c>
      <c r="D107" s="7" t="s">
        <v>858</v>
      </c>
      <c r="E107" s="7"/>
      <c r="F107" s="4">
        <f>F117+F108</f>
        <v>16636.7</v>
      </c>
      <c r="G107" s="4">
        <f>G117+G108</f>
        <v>16636.7</v>
      </c>
    </row>
    <row r="108" spans="1:8" ht="31.5" x14ac:dyDescent="0.25">
      <c r="A108" s="23" t="s">
        <v>986</v>
      </c>
      <c r="B108" s="7" t="s">
        <v>118</v>
      </c>
      <c r="C108" s="7" t="s">
        <v>120</v>
      </c>
      <c r="D108" s="7" t="s">
        <v>987</v>
      </c>
      <c r="E108" s="7"/>
      <c r="F108" s="4">
        <f>F109+F114</f>
        <v>1798.5</v>
      </c>
      <c r="G108" s="4">
        <f>G109+G114</f>
        <v>1798.5</v>
      </c>
    </row>
    <row r="109" spans="1:8" ht="31.5" x14ac:dyDescent="0.25">
      <c r="A109" s="25" t="s">
        <v>897</v>
      </c>
      <c r="B109" s="20" t="s">
        <v>118</v>
      </c>
      <c r="C109" s="20" t="s">
        <v>120</v>
      </c>
      <c r="D109" s="20" t="s">
        <v>991</v>
      </c>
      <c r="E109" s="20"/>
      <c r="F109" s="6">
        <f>F110+F112</f>
        <v>1752.5</v>
      </c>
      <c r="G109" s="6">
        <f>G110+G112</f>
        <v>1752.5</v>
      </c>
    </row>
    <row r="110" spans="1:8" ht="94.5" x14ac:dyDescent="0.25">
      <c r="A110" s="25" t="s">
        <v>127</v>
      </c>
      <c r="B110" s="20" t="s">
        <v>118</v>
      </c>
      <c r="C110" s="20" t="s">
        <v>120</v>
      </c>
      <c r="D110" s="20" t="s">
        <v>991</v>
      </c>
      <c r="E110" s="20" t="s">
        <v>128</v>
      </c>
      <c r="F110" s="6">
        <f>F111</f>
        <v>1734.5</v>
      </c>
      <c r="G110" s="6">
        <f>G111</f>
        <v>1734.5</v>
      </c>
    </row>
    <row r="111" spans="1:8" ht="31.5" x14ac:dyDescent="0.25">
      <c r="A111" s="25" t="s">
        <v>129</v>
      </c>
      <c r="B111" s="20" t="s">
        <v>118</v>
      </c>
      <c r="C111" s="20" t="s">
        <v>120</v>
      </c>
      <c r="D111" s="20" t="s">
        <v>991</v>
      </c>
      <c r="E111" s="20" t="s">
        <v>130</v>
      </c>
      <c r="F111" s="6">
        <f>'пр.6.1.ведом.22-23'!G1088</f>
        <v>1734.5</v>
      </c>
      <c r="G111" s="6">
        <f>'пр.6.1.ведом.22-23'!H1088</f>
        <v>1734.5</v>
      </c>
    </row>
    <row r="112" spans="1:8" ht="47.25" x14ac:dyDescent="0.25">
      <c r="A112" s="25" t="s">
        <v>198</v>
      </c>
      <c r="B112" s="20" t="s">
        <v>118</v>
      </c>
      <c r="C112" s="20" t="s">
        <v>120</v>
      </c>
      <c r="D112" s="20" t="s">
        <v>991</v>
      </c>
      <c r="E112" s="20" t="s">
        <v>132</v>
      </c>
      <c r="F112" s="6">
        <f>F113</f>
        <v>18</v>
      </c>
      <c r="G112" s="6">
        <f>G113</f>
        <v>18</v>
      </c>
    </row>
    <row r="113" spans="1:7" ht="47.25" x14ac:dyDescent="0.25">
      <c r="A113" s="25" t="s">
        <v>133</v>
      </c>
      <c r="B113" s="20" t="s">
        <v>118</v>
      </c>
      <c r="C113" s="20" t="s">
        <v>120</v>
      </c>
      <c r="D113" s="20" t="s">
        <v>991</v>
      </c>
      <c r="E113" s="20" t="s">
        <v>134</v>
      </c>
      <c r="F113" s="6">
        <f>'пр.6.1.ведом.22-23'!G1090</f>
        <v>18</v>
      </c>
      <c r="G113" s="6">
        <f>'пр.6.1.ведом.22-23'!H1090</f>
        <v>18</v>
      </c>
    </row>
    <row r="114" spans="1:7" ht="47.25" x14ac:dyDescent="0.25">
      <c r="A114" s="25" t="s">
        <v>839</v>
      </c>
      <c r="B114" s="20" t="s">
        <v>118</v>
      </c>
      <c r="C114" s="20" t="s">
        <v>120</v>
      </c>
      <c r="D114" s="20" t="s">
        <v>989</v>
      </c>
      <c r="E114" s="20"/>
      <c r="F114" s="6">
        <f>F115</f>
        <v>46</v>
      </c>
      <c r="G114" s="6">
        <f>G115</f>
        <v>46</v>
      </c>
    </row>
    <row r="115" spans="1:7" ht="94.5" x14ac:dyDescent="0.25">
      <c r="A115" s="25" t="s">
        <v>127</v>
      </c>
      <c r="B115" s="20" t="s">
        <v>118</v>
      </c>
      <c r="C115" s="20" t="s">
        <v>120</v>
      </c>
      <c r="D115" s="20" t="s">
        <v>989</v>
      </c>
      <c r="E115" s="20" t="s">
        <v>128</v>
      </c>
      <c r="F115" s="6">
        <f>F116</f>
        <v>46</v>
      </c>
      <c r="G115" s="6">
        <f>G116</f>
        <v>46</v>
      </c>
    </row>
    <row r="116" spans="1:7" ht="31.5" x14ac:dyDescent="0.25">
      <c r="A116" s="25" t="s">
        <v>129</v>
      </c>
      <c r="B116" s="20" t="s">
        <v>118</v>
      </c>
      <c r="C116" s="20" t="s">
        <v>120</v>
      </c>
      <c r="D116" s="20" t="s">
        <v>989</v>
      </c>
      <c r="E116" s="20" t="s">
        <v>130</v>
      </c>
      <c r="F116" s="6">
        <f>'пр.6.1.ведом.22-23'!G1093</f>
        <v>46</v>
      </c>
      <c r="G116" s="6">
        <f>'пр.6.1.ведом.22-23'!H1093</f>
        <v>46</v>
      </c>
    </row>
    <row r="117" spans="1:7" ht="15.75" x14ac:dyDescent="0.25">
      <c r="A117" s="23" t="s">
        <v>918</v>
      </c>
      <c r="B117" s="7" t="s">
        <v>118</v>
      </c>
      <c r="C117" s="7" t="s">
        <v>120</v>
      </c>
      <c r="D117" s="7" t="s">
        <v>859</v>
      </c>
      <c r="E117" s="7"/>
      <c r="F117" s="4">
        <f>F118+F125</f>
        <v>14838.2</v>
      </c>
      <c r="G117" s="4">
        <f>G118+G125</f>
        <v>14838.2</v>
      </c>
    </row>
    <row r="118" spans="1:7" ht="31.5" x14ac:dyDescent="0.25">
      <c r="A118" s="29" t="s">
        <v>897</v>
      </c>
      <c r="B118" s="40" t="s">
        <v>118</v>
      </c>
      <c r="C118" s="40" t="s">
        <v>120</v>
      </c>
      <c r="D118" s="40" t="s">
        <v>860</v>
      </c>
      <c r="E118" s="40"/>
      <c r="F118" s="6">
        <f>F119+F121+F123</f>
        <v>14372.2</v>
      </c>
      <c r="G118" s="6">
        <f>G119+G121+G123</f>
        <v>14372.2</v>
      </c>
    </row>
    <row r="119" spans="1:7" ht="94.5" x14ac:dyDescent="0.25">
      <c r="A119" s="29" t="s">
        <v>127</v>
      </c>
      <c r="B119" s="40" t="s">
        <v>118</v>
      </c>
      <c r="C119" s="40" t="s">
        <v>120</v>
      </c>
      <c r="D119" s="40" t="s">
        <v>860</v>
      </c>
      <c r="E119" s="40" t="s">
        <v>128</v>
      </c>
      <c r="F119" s="6">
        <f>F120</f>
        <v>13367.2</v>
      </c>
      <c r="G119" s="6">
        <f>G120</f>
        <v>13367.2</v>
      </c>
    </row>
    <row r="120" spans="1:7" ht="31.5" x14ac:dyDescent="0.25">
      <c r="A120" s="29" t="s">
        <v>129</v>
      </c>
      <c r="B120" s="40" t="s">
        <v>118</v>
      </c>
      <c r="C120" s="40" t="s">
        <v>120</v>
      </c>
      <c r="D120" s="40" t="s">
        <v>860</v>
      </c>
      <c r="E120" s="40" t="s">
        <v>130</v>
      </c>
      <c r="F120" s="6">
        <f>'пр.6.1.ведом.22-23'!G118+'пр.6.1.ведом.22-23'!G17</f>
        <v>13367.2</v>
      </c>
      <c r="G120" s="6">
        <f>'пр.6.1.ведом.22-23'!H118+'пр.6.1.ведом.22-23'!H17</f>
        <v>13367.2</v>
      </c>
    </row>
    <row r="121" spans="1:7" ht="31.5" x14ac:dyDescent="0.25">
      <c r="A121" s="29" t="s">
        <v>131</v>
      </c>
      <c r="B121" s="40" t="s">
        <v>118</v>
      </c>
      <c r="C121" s="40" t="s">
        <v>120</v>
      </c>
      <c r="D121" s="40" t="s">
        <v>860</v>
      </c>
      <c r="E121" s="40" t="s">
        <v>132</v>
      </c>
      <c r="F121" s="6">
        <f>F122</f>
        <v>977</v>
      </c>
      <c r="G121" s="6">
        <f>G122</f>
        <v>977</v>
      </c>
    </row>
    <row r="122" spans="1:7" ht="47.25" x14ac:dyDescent="0.25">
      <c r="A122" s="29" t="s">
        <v>133</v>
      </c>
      <c r="B122" s="40" t="s">
        <v>118</v>
      </c>
      <c r="C122" s="40" t="s">
        <v>120</v>
      </c>
      <c r="D122" s="40" t="s">
        <v>860</v>
      </c>
      <c r="E122" s="40" t="s">
        <v>134</v>
      </c>
      <c r="F122" s="6">
        <f>'пр.6.1.ведом.22-23'!G19</f>
        <v>977</v>
      </c>
      <c r="G122" s="6">
        <f>'пр.6.1.ведом.22-23'!H19</f>
        <v>977</v>
      </c>
    </row>
    <row r="123" spans="1:7" ht="15.75" x14ac:dyDescent="0.25">
      <c r="A123" s="29" t="s">
        <v>135</v>
      </c>
      <c r="B123" s="40" t="s">
        <v>118</v>
      </c>
      <c r="C123" s="40" t="s">
        <v>120</v>
      </c>
      <c r="D123" s="40" t="s">
        <v>860</v>
      </c>
      <c r="E123" s="40" t="s">
        <v>145</v>
      </c>
      <c r="F123" s="6">
        <f>F124</f>
        <v>28</v>
      </c>
      <c r="G123" s="6">
        <f>G124</f>
        <v>28</v>
      </c>
    </row>
    <row r="124" spans="1:7" ht="15.75" x14ac:dyDescent="0.25">
      <c r="A124" s="29" t="s">
        <v>568</v>
      </c>
      <c r="B124" s="40" t="s">
        <v>118</v>
      </c>
      <c r="C124" s="40" t="s">
        <v>120</v>
      </c>
      <c r="D124" s="40" t="s">
        <v>860</v>
      </c>
      <c r="E124" s="40" t="s">
        <v>138</v>
      </c>
      <c r="F124" s="6">
        <f>'пр.6.1.ведом.22-23'!G21</f>
        <v>28</v>
      </c>
      <c r="G124" s="6">
        <f>'пр.6.1.ведом.22-23'!H21</f>
        <v>28</v>
      </c>
    </row>
    <row r="125" spans="1:7" ht="47.25" x14ac:dyDescent="0.25">
      <c r="A125" s="25" t="s">
        <v>839</v>
      </c>
      <c r="B125" s="20" t="s">
        <v>118</v>
      </c>
      <c r="C125" s="20" t="s">
        <v>120</v>
      </c>
      <c r="D125" s="20" t="s">
        <v>862</v>
      </c>
      <c r="E125" s="20"/>
      <c r="F125" s="6">
        <f>F126</f>
        <v>466</v>
      </c>
      <c r="G125" s="6">
        <f>G126</f>
        <v>466</v>
      </c>
    </row>
    <row r="126" spans="1:7" ht="94.5" x14ac:dyDescent="0.25">
      <c r="A126" s="25" t="s">
        <v>127</v>
      </c>
      <c r="B126" s="20" t="s">
        <v>118</v>
      </c>
      <c r="C126" s="20" t="s">
        <v>120</v>
      </c>
      <c r="D126" s="20" t="s">
        <v>862</v>
      </c>
      <c r="E126" s="20" t="s">
        <v>128</v>
      </c>
      <c r="F126" s="6">
        <f>F127</f>
        <v>466</v>
      </c>
      <c r="G126" s="6">
        <f>G127</f>
        <v>466</v>
      </c>
    </row>
    <row r="127" spans="1:7" ht="31.5" x14ac:dyDescent="0.25">
      <c r="A127" s="25" t="s">
        <v>129</v>
      </c>
      <c r="B127" s="20" t="s">
        <v>118</v>
      </c>
      <c r="C127" s="20" t="s">
        <v>120</v>
      </c>
      <c r="D127" s="20" t="s">
        <v>862</v>
      </c>
      <c r="E127" s="20" t="s">
        <v>130</v>
      </c>
      <c r="F127" s="6">
        <f>'пр.6.1.ведом.22-23'!G24+'пр.6.1.ведом.22-23'!G121</f>
        <v>466</v>
      </c>
      <c r="G127" s="6">
        <f>'пр.6.1.ведом.22-23'!H24+'пр.6.1.ведом.22-23'!H121</f>
        <v>466</v>
      </c>
    </row>
    <row r="128" spans="1:7" s="203" customFormat="1" ht="15.75" hidden="1" customHeight="1" x14ac:dyDescent="0.25">
      <c r="A128" s="23" t="s">
        <v>1147</v>
      </c>
      <c r="B128" s="24" t="s">
        <v>118</v>
      </c>
      <c r="C128" s="24" t="s">
        <v>264</v>
      </c>
      <c r="D128" s="24"/>
      <c r="E128" s="20"/>
      <c r="F128" s="21">
        <f t="shared" ref="F128:G130" si="6">F129</f>
        <v>0</v>
      </c>
      <c r="G128" s="21">
        <f t="shared" si="6"/>
        <v>0</v>
      </c>
    </row>
    <row r="129" spans="1:8" s="203" customFormat="1" ht="15.75" hidden="1" customHeight="1" x14ac:dyDescent="0.25">
      <c r="A129" s="23" t="s">
        <v>141</v>
      </c>
      <c r="B129" s="24" t="s">
        <v>118</v>
      </c>
      <c r="C129" s="24" t="s">
        <v>264</v>
      </c>
      <c r="D129" s="24" t="s">
        <v>866</v>
      </c>
      <c r="E129" s="20"/>
      <c r="F129" s="21">
        <f t="shared" si="6"/>
        <v>0</v>
      </c>
      <c r="G129" s="21">
        <f t="shared" si="6"/>
        <v>0</v>
      </c>
    </row>
    <row r="130" spans="1:8" s="203" customFormat="1" ht="31.7" hidden="1" customHeight="1" x14ac:dyDescent="0.25">
      <c r="A130" s="23" t="s">
        <v>870</v>
      </c>
      <c r="B130" s="24" t="s">
        <v>118</v>
      </c>
      <c r="C130" s="24" t="s">
        <v>264</v>
      </c>
      <c r="D130" s="24" t="s">
        <v>865</v>
      </c>
      <c r="E130" s="20"/>
      <c r="F130" s="21">
        <f t="shared" si="6"/>
        <v>0</v>
      </c>
      <c r="G130" s="21">
        <f t="shared" si="6"/>
        <v>0</v>
      </c>
    </row>
    <row r="131" spans="1:8" s="203" customFormat="1" ht="31.7" hidden="1" customHeight="1" x14ac:dyDescent="0.25">
      <c r="A131" s="45" t="s">
        <v>199</v>
      </c>
      <c r="B131" s="20" t="s">
        <v>118</v>
      </c>
      <c r="C131" s="20" t="s">
        <v>264</v>
      </c>
      <c r="D131" s="20" t="s">
        <v>1146</v>
      </c>
      <c r="E131" s="20"/>
      <c r="F131" s="26">
        <f>F132+F134</f>
        <v>0</v>
      </c>
      <c r="G131" s="26">
        <f>G132+G134</f>
        <v>0</v>
      </c>
    </row>
    <row r="132" spans="1:8" s="203" customFormat="1" ht="94.7" hidden="1" customHeight="1" x14ac:dyDescent="0.25">
      <c r="A132" s="25" t="s">
        <v>127</v>
      </c>
      <c r="B132" s="20" t="s">
        <v>118</v>
      </c>
      <c r="C132" s="20" t="s">
        <v>264</v>
      </c>
      <c r="D132" s="20" t="s">
        <v>1146</v>
      </c>
      <c r="E132" s="20" t="s">
        <v>128</v>
      </c>
      <c r="F132" s="26">
        <f>F133</f>
        <v>0</v>
      </c>
      <c r="G132" s="26">
        <f>G133</f>
        <v>0</v>
      </c>
    </row>
    <row r="133" spans="1:8" s="203" customFormat="1" ht="47.25" hidden="1" customHeight="1" x14ac:dyDescent="0.25">
      <c r="A133" s="25" t="s">
        <v>129</v>
      </c>
      <c r="B133" s="20" t="s">
        <v>118</v>
      </c>
      <c r="C133" s="20" t="s">
        <v>264</v>
      </c>
      <c r="D133" s="20" t="s">
        <v>1146</v>
      </c>
      <c r="E133" s="20" t="s">
        <v>130</v>
      </c>
      <c r="F133" s="26">
        <f>'пр.6.1.ведом.22-23'!G127</f>
        <v>0</v>
      </c>
      <c r="G133" s="26">
        <f>'пр.6.1.ведом.22-23'!H127</f>
        <v>0</v>
      </c>
    </row>
    <row r="134" spans="1:8" s="203" customFormat="1" ht="47.25" hidden="1" customHeight="1" x14ac:dyDescent="0.25">
      <c r="A134" s="25" t="s">
        <v>198</v>
      </c>
      <c r="B134" s="20" t="s">
        <v>118</v>
      </c>
      <c r="C134" s="20" t="s">
        <v>264</v>
      </c>
      <c r="D134" s="20" t="s">
        <v>1146</v>
      </c>
      <c r="E134" s="20" t="s">
        <v>132</v>
      </c>
      <c r="F134" s="26">
        <f>F135</f>
        <v>0</v>
      </c>
      <c r="G134" s="26">
        <f>G135</f>
        <v>0</v>
      </c>
    </row>
    <row r="135" spans="1:8" s="203" customFormat="1" ht="47.25" hidden="1" customHeight="1" x14ac:dyDescent="0.25">
      <c r="A135" s="25" t="s">
        <v>133</v>
      </c>
      <c r="B135" s="20" t="s">
        <v>118</v>
      </c>
      <c r="C135" s="20" t="s">
        <v>264</v>
      </c>
      <c r="D135" s="20" t="s">
        <v>1146</v>
      </c>
      <c r="E135" s="20" t="s">
        <v>134</v>
      </c>
      <c r="F135" s="26">
        <f>'пр.6.1.ведом.22-23'!G129</f>
        <v>0</v>
      </c>
      <c r="G135" s="26">
        <f>'пр.6.1.ведом.22-23'!H129</f>
        <v>0</v>
      </c>
    </row>
    <row r="136" spans="1:8" ht="15.75" x14ac:dyDescent="0.25">
      <c r="A136" s="41" t="s">
        <v>139</v>
      </c>
      <c r="B136" s="7" t="s">
        <v>118</v>
      </c>
      <c r="C136" s="7" t="s">
        <v>140</v>
      </c>
      <c r="D136" s="7"/>
      <c r="E136" s="7"/>
      <c r="F136" s="4">
        <f>F137+F168+F182+F199+F208+F213+F218+F177</f>
        <v>52818.200000000004</v>
      </c>
      <c r="G136" s="4">
        <f>G137+G168+G182+G199+G208+G213+G218+G177</f>
        <v>53161.200000000004</v>
      </c>
    </row>
    <row r="137" spans="1:8" ht="15.75" x14ac:dyDescent="0.25">
      <c r="A137" s="23" t="s">
        <v>141</v>
      </c>
      <c r="B137" s="24" t="s">
        <v>118</v>
      </c>
      <c r="C137" s="24" t="s">
        <v>140</v>
      </c>
      <c r="D137" s="24" t="s">
        <v>866</v>
      </c>
      <c r="E137" s="24"/>
      <c r="F137" s="4">
        <f>F138+F149+F159</f>
        <v>52313.200000000004</v>
      </c>
      <c r="G137" s="4">
        <f>G138+G149+G159</f>
        <v>52313.200000000004</v>
      </c>
    </row>
    <row r="138" spans="1:8" ht="15.75" x14ac:dyDescent="0.25">
      <c r="A138" s="23" t="s">
        <v>954</v>
      </c>
      <c r="B138" s="24" t="s">
        <v>118</v>
      </c>
      <c r="C138" s="24" t="s">
        <v>140</v>
      </c>
      <c r="D138" s="24" t="s">
        <v>953</v>
      </c>
      <c r="E138" s="24"/>
      <c r="F138" s="388">
        <f>F142+F139</f>
        <v>41282.100000000006</v>
      </c>
      <c r="G138" s="388">
        <f>G142+G139</f>
        <v>41282.100000000006</v>
      </c>
    </row>
    <row r="139" spans="1:8" ht="47.25" x14ac:dyDescent="0.25">
      <c r="A139" s="25" t="s">
        <v>839</v>
      </c>
      <c r="B139" s="20" t="s">
        <v>118</v>
      </c>
      <c r="C139" s="20" t="s">
        <v>140</v>
      </c>
      <c r="D139" s="20" t="s">
        <v>956</v>
      </c>
      <c r="E139" s="20"/>
      <c r="F139" s="6">
        <f>F140</f>
        <v>1072</v>
      </c>
      <c r="G139" s="6">
        <f>G140</f>
        <v>1072</v>
      </c>
      <c r="H139" s="232">
        <f>F139+F142</f>
        <v>41282.100000000006</v>
      </c>
    </row>
    <row r="140" spans="1:8" ht="94.5" x14ac:dyDescent="0.25">
      <c r="A140" s="25" t="s">
        <v>127</v>
      </c>
      <c r="B140" s="20" t="s">
        <v>118</v>
      </c>
      <c r="C140" s="20" t="s">
        <v>140</v>
      </c>
      <c r="D140" s="20" t="s">
        <v>956</v>
      </c>
      <c r="E140" s="20" t="s">
        <v>128</v>
      </c>
      <c r="F140" s="6">
        <f>F141</f>
        <v>1072</v>
      </c>
      <c r="G140" s="6">
        <f>G141</f>
        <v>1072</v>
      </c>
    </row>
    <row r="141" spans="1:8" ht="31.5" x14ac:dyDescent="0.25">
      <c r="A141" s="25" t="s">
        <v>129</v>
      </c>
      <c r="B141" s="20" t="s">
        <v>118</v>
      </c>
      <c r="C141" s="20" t="s">
        <v>140</v>
      </c>
      <c r="D141" s="20" t="s">
        <v>956</v>
      </c>
      <c r="E141" s="20" t="s">
        <v>209</v>
      </c>
      <c r="F141" s="6">
        <f>'пр.6.1.ведом.22-23'!G838</f>
        <v>1072</v>
      </c>
      <c r="G141" s="6">
        <f>'пр.6.1.ведом.22-23'!H838</f>
        <v>1072</v>
      </c>
    </row>
    <row r="142" spans="1:8" ht="31.5" x14ac:dyDescent="0.25">
      <c r="A142" s="25" t="s">
        <v>801</v>
      </c>
      <c r="B142" s="20" t="s">
        <v>118</v>
      </c>
      <c r="C142" s="20" t="s">
        <v>140</v>
      </c>
      <c r="D142" s="20" t="s">
        <v>955</v>
      </c>
      <c r="E142" s="20"/>
      <c r="F142" s="6">
        <f>F143+F145+F147</f>
        <v>40210.100000000006</v>
      </c>
      <c r="G142" s="6">
        <f>G143+G145+G147</f>
        <v>40210.100000000006</v>
      </c>
    </row>
    <row r="143" spans="1:8" ht="94.5" x14ac:dyDescent="0.25">
      <c r="A143" s="25" t="s">
        <v>127</v>
      </c>
      <c r="B143" s="20" t="s">
        <v>118</v>
      </c>
      <c r="C143" s="20" t="s">
        <v>140</v>
      </c>
      <c r="D143" s="20" t="s">
        <v>955</v>
      </c>
      <c r="E143" s="20" t="s">
        <v>128</v>
      </c>
      <c r="F143" s="6">
        <f>F144</f>
        <v>32825.800000000003</v>
      </c>
      <c r="G143" s="6">
        <f>G144</f>
        <v>32825.800000000003</v>
      </c>
    </row>
    <row r="144" spans="1:8" ht="31.5" x14ac:dyDescent="0.25">
      <c r="A144" s="46" t="s">
        <v>342</v>
      </c>
      <c r="B144" s="20" t="s">
        <v>118</v>
      </c>
      <c r="C144" s="20" t="s">
        <v>140</v>
      </c>
      <c r="D144" s="20" t="s">
        <v>955</v>
      </c>
      <c r="E144" s="20" t="s">
        <v>209</v>
      </c>
      <c r="F144" s="6">
        <f>'пр.6.1.ведом.22-23'!G841</f>
        <v>32825.800000000003</v>
      </c>
      <c r="G144" s="6">
        <f>'пр.6.1.ведом.22-23'!H841</f>
        <v>32825.800000000003</v>
      </c>
    </row>
    <row r="145" spans="1:8" ht="31.5" x14ac:dyDescent="0.25">
      <c r="A145" s="25" t="s">
        <v>131</v>
      </c>
      <c r="B145" s="20" t="s">
        <v>118</v>
      </c>
      <c r="C145" s="20" t="s">
        <v>140</v>
      </c>
      <c r="D145" s="20" t="s">
        <v>955</v>
      </c>
      <c r="E145" s="20" t="s">
        <v>132</v>
      </c>
      <c r="F145" s="6">
        <f>F146</f>
        <v>6963.3</v>
      </c>
      <c r="G145" s="6">
        <f>G146</f>
        <v>6963.3</v>
      </c>
    </row>
    <row r="146" spans="1:8" ht="47.25" x14ac:dyDescent="0.25">
      <c r="A146" s="25" t="s">
        <v>133</v>
      </c>
      <c r="B146" s="20" t="s">
        <v>118</v>
      </c>
      <c r="C146" s="20" t="s">
        <v>140</v>
      </c>
      <c r="D146" s="20" t="s">
        <v>955</v>
      </c>
      <c r="E146" s="20" t="s">
        <v>134</v>
      </c>
      <c r="F146" s="6">
        <f>'пр.6.1.ведом.22-23'!G843</f>
        <v>6963.3</v>
      </c>
      <c r="G146" s="6">
        <f>'пр.6.1.ведом.22-23'!H843</f>
        <v>6963.3</v>
      </c>
    </row>
    <row r="147" spans="1:8" ht="15.75" x14ac:dyDescent="0.25">
      <c r="A147" s="25" t="s">
        <v>135</v>
      </c>
      <c r="B147" s="20" t="s">
        <v>118</v>
      </c>
      <c r="C147" s="20" t="s">
        <v>140</v>
      </c>
      <c r="D147" s="20" t="s">
        <v>955</v>
      </c>
      <c r="E147" s="20" t="s">
        <v>145</v>
      </c>
      <c r="F147" s="6">
        <f>F148</f>
        <v>421</v>
      </c>
      <c r="G147" s="6">
        <f>G148</f>
        <v>421</v>
      </c>
    </row>
    <row r="148" spans="1:8" ht="15.75" x14ac:dyDescent="0.25">
      <c r="A148" s="25" t="s">
        <v>704</v>
      </c>
      <c r="B148" s="20" t="s">
        <v>118</v>
      </c>
      <c r="C148" s="20" t="s">
        <v>140</v>
      </c>
      <c r="D148" s="20" t="s">
        <v>955</v>
      </c>
      <c r="E148" s="20" t="s">
        <v>138</v>
      </c>
      <c r="F148" s="6">
        <f>'пр.6.1.ведом.22-23'!G845</f>
        <v>421</v>
      </c>
      <c r="G148" s="6">
        <f>'пр.6.1.ведом.22-23'!H845</f>
        <v>421</v>
      </c>
    </row>
    <row r="149" spans="1:8" ht="31.5" x14ac:dyDescent="0.25">
      <c r="A149" s="23" t="s">
        <v>870</v>
      </c>
      <c r="B149" s="24" t="s">
        <v>118</v>
      </c>
      <c r="C149" s="24" t="s">
        <v>140</v>
      </c>
      <c r="D149" s="24" t="s">
        <v>865</v>
      </c>
      <c r="E149" s="24"/>
      <c r="F149" s="4">
        <f>F150+F156</f>
        <v>5202.1000000000004</v>
      </c>
      <c r="G149" s="4">
        <f>G150+G156</f>
        <v>5202.1000000000004</v>
      </c>
    </row>
    <row r="150" spans="1:8" ht="47.25" x14ac:dyDescent="0.25">
      <c r="A150" s="25" t="s">
        <v>388</v>
      </c>
      <c r="B150" s="20" t="s">
        <v>118</v>
      </c>
      <c r="C150" s="20" t="s">
        <v>140</v>
      </c>
      <c r="D150" s="20" t="s">
        <v>1011</v>
      </c>
      <c r="E150" s="20"/>
      <c r="F150" s="6">
        <f>F151</f>
        <v>5202.1000000000004</v>
      </c>
      <c r="G150" s="6">
        <f>G151</f>
        <v>5202.1000000000004</v>
      </c>
    </row>
    <row r="151" spans="1:8" ht="31.5" x14ac:dyDescent="0.25">
      <c r="A151" s="25" t="s">
        <v>131</v>
      </c>
      <c r="B151" s="20" t="s">
        <v>118</v>
      </c>
      <c r="C151" s="20" t="s">
        <v>140</v>
      </c>
      <c r="D151" s="20" t="s">
        <v>1011</v>
      </c>
      <c r="E151" s="20" t="s">
        <v>132</v>
      </c>
      <c r="F151" s="6">
        <f>F152</f>
        <v>5202.1000000000004</v>
      </c>
      <c r="G151" s="6">
        <f>G152</f>
        <v>5202.1000000000004</v>
      </c>
    </row>
    <row r="152" spans="1:8" ht="47.25" x14ac:dyDescent="0.25">
      <c r="A152" s="25" t="s">
        <v>133</v>
      </c>
      <c r="B152" s="20" t="s">
        <v>118</v>
      </c>
      <c r="C152" s="20" t="s">
        <v>140</v>
      </c>
      <c r="D152" s="20" t="s">
        <v>1011</v>
      </c>
      <c r="E152" s="20" t="s">
        <v>134</v>
      </c>
      <c r="F152" s="6">
        <f>'пр.6.1.ведом.22-23'!G512</f>
        <v>5202.1000000000004</v>
      </c>
      <c r="G152" s="6">
        <f>'пр.6.1.ведом.22-23'!H512</f>
        <v>5202.1000000000004</v>
      </c>
    </row>
    <row r="153" spans="1:8" ht="47.25" hidden="1" x14ac:dyDescent="0.25">
      <c r="A153" s="25" t="s">
        <v>931</v>
      </c>
      <c r="B153" s="20" t="s">
        <v>118</v>
      </c>
      <c r="C153" s="20" t="s">
        <v>140</v>
      </c>
      <c r="D153" s="20" t="s">
        <v>1012</v>
      </c>
      <c r="E153" s="20"/>
      <c r="F153" s="6">
        <f>'Пр.3 Рд,пр, ЦС,ВР 22'!F160</f>
        <v>0</v>
      </c>
      <c r="G153" s="6">
        <f t="shared" ref="G153:G154" si="7">F153</f>
        <v>0</v>
      </c>
    </row>
    <row r="154" spans="1:8" ht="31.5" hidden="1" x14ac:dyDescent="0.25">
      <c r="A154" s="25" t="s">
        <v>131</v>
      </c>
      <c r="B154" s="20" t="s">
        <v>118</v>
      </c>
      <c r="C154" s="20" t="s">
        <v>140</v>
      </c>
      <c r="D154" s="20" t="s">
        <v>1012</v>
      </c>
      <c r="E154" s="20" t="s">
        <v>132</v>
      </c>
      <c r="F154" s="6">
        <f>'Пр.3 Рд,пр, ЦС,ВР 22'!F161</f>
        <v>0</v>
      </c>
      <c r="G154" s="6">
        <f t="shared" si="7"/>
        <v>0</v>
      </c>
    </row>
    <row r="155" spans="1:8" ht="47.25" hidden="1" x14ac:dyDescent="0.25">
      <c r="A155" s="25" t="s">
        <v>133</v>
      </c>
      <c r="B155" s="20" t="s">
        <v>118</v>
      </c>
      <c r="C155" s="20" t="s">
        <v>140</v>
      </c>
      <c r="D155" s="20" t="s">
        <v>1012</v>
      </c>
      <c r="E155" s="20" t="s">
        <v>134</v>
      </c>
      <c r="F155" s="6">
        <f>'Пр.3 Рд,пр, ЦС,ВР 22'!F162</f>
        <v>0</v>
      </c>
      <c r="G155" s="6">
        <f t="shared" ref="G155:G202" si="8">F155</f>
        <v>0</v>
      </c>
    </row>
    <row r="156" spans="1:8" s="203" customFormat="1" ht="15.75" hidden="1" x14ac:dyDescent="0.25">
      <c r="A156" s="25" t="s">
        <v>1137</v>
      </c>
      <c r="B156" s="20" t="s">
        <v>118</v>
      </c>
      <c r="C156" s="20" t="s">
        <v>140</v>
      </c>
      <c r="D156" s="20" t="s">
        <v>1138</v>
      </c>
      <c r="E156" s="20"/>
      <c r="F156" s="26">
        <f>F157</f>
        <v>0</v>
      </c>
      <c r="G156" s="26">
        <f>G157</f>
        <v>0</v>
      </c>
    </row>
    <row r="157" spans="1:8" s="203" customFormat="1" ht="15.75" hidden="1" x14ac:dyDescent="0.25">
      <c r="A157" s="25" t="s">
        <v>135</v>
      </c>
      <c r="B157" s="20" t="s">
        <v>118</v>
      </c>
      <c r="C157" s="20" t="s">
        <v>140</v>
      </c>
      <c r="D157" s="20" t="s">
        <v>1138</v>
      </c>
      <c r="E157" s="20" t="s">
        <v>145</v>
      </c>
      <c r="F157" s="26">
        <f>F158</f>
        <v>0</v>
      </c>
      <c r="G157" s="26">
        <f>G158</f>
        <v>0</v>
      </c>
    </row>
    <row r="158" spans="1:8" s="203" customFormat="1" ht="15.75" hidden="1" x14ac:dyDescent="0.25">
      <c r="A158" s="25" t="s">
        <v>1137</v>
      </c>
      <c r="B158" s="20" t="s">
        <v>118</v>
      </c>
      <c r="C158" s="20" t="s">
        <v>140</v>
      </c>
      <c r="D158" s="20" t="s">
        <v>1138</v>
      </c>
      <c r="E158" s="20" t="s">
        <v>1139</v>
      </c>
      <c r="F158" s="26">
        <f>'пр.6.1.ведом.22-23'!G30</f>
        <v>0</v>
      </c>
      <c r="G158" s="26">
        <f>'пр.6.1.ведом.22-23'!H30</f>
        <v>0</v>
      </c>
    </row>
    <row r="159" spans="1:8" ht="31.5" x14ac:dyDescent="0.25">
      <c r="A159" s="23" t="s">
        <v>922</v>
      </c>
      <c r="B159" s="24" t="s">
        <v>118</v>
      </c>
      <c r="C159" s="24" t="s">
        <v>140</v>
      </c>
      <c r="D159" s="24" t="s">
        <v>867</v>
      </c>
      <c r="E159" s="24"/>
      <c r="F159" s="4">
        <f>F160+F165</f>
        <v>5829</v>
      </c>
      <c r="G159" s="4">
        <f>G160+G165</f>
        <v>5829</v>
      </c>
    </row>
    <row r="160" spans="1:8" ht="31.5" x14ac:dyDescent="0.25">
      <c r="A160" s="25" t="s">
        <v>928</v>
      </c>
      <c r="B160" s="20" t="s">
        <v>118</v>
      </c>
      <c r="C160" s="20" t="s">
        <v>140</v>
      </c>
      <c r="D160" s="20" t="s">
        <v>868</v>
      </c>
      <c r="E160" s="20"/>
      <c r="F160" s="6">
        <f>F161+F163</f>
        <v>5701</v>
      </c>
      <c r="G160" s="6">
        <f>G161+G163</f>
        <v>5701</v>
      </c>
      <c r="H160" s="232">
        <f>F160+F165</f>
        <v>5829</v>
      </c>
    </row>
    <row r="161" spans="1:7" ht="94.5" x14ac:dyDescent="0.25">
      <c r="A161" s="25" t="s">
        <v>127</v>
      </c>
      <c r="B161" s="20" t="s">
        <v>118</v>
      </c>
      <c r="C161" s="20" t="s">
        <v>140</v>
      </c>
      <c r="D161" s="20" t="s">
        <v>868</v>
      </c>
      <c r="E161" s="20" t="s">
        <v>128</v>
      </c>
      <c r="F161" s="6">
        <f>F162</f>
        <v>4501</v>
      </c>
      <c r="G161" s="6">
        <f>G162</f>
        <v>4501</v>
      </c>
    </row>
    <row r="162" spans="1:7" ht="31.5" x14ac:dyDescent="0.25">
      <c r="A162" s="25" t="s">
        <v>208</v>
      </c>
      <c r="B162" s="20" t="s">
        <v>118</v>
      </c>
      <c r="C162" s="20" t="s">
        <v>140</v>
      </c>
      <c r="D162" s="20" t="s">
        <v>868</v>
      </c>
      <c r="E162" s="20" t="s">
        <v>209</v>
      </c>
      <c r="F162" s="6">
        <f>'пр.6.1.ведом.22-23'!G135</f>
        <v>4501</v>
      </c>
      <c r="G162" s="6">
        <f>'пр.6.1.ведом.22-23'!H135</f>
        <v>4501</v>
      </c>
    </row>
    <row r="163" spans="1:7" ht="47.25" x14ac:dyDescent="0.25">
      <c r="A163" s="25" t="s">
        <v>198</v>
      </c>
      <c r="B163" s="20" t="s">
        <v>118</v>
      </c>
      <c r="C163" s="20" t="s">
        <v>140</v>
      </c>
      <c r="D163" s="20" t="s">
        <v>868</v>
      </c>
      <c r="E163" s="20" t="s">
        <v>132</v>
      </c>
      <c r="F163" s="6">
        <f>F164</f>
        <v>1200</v>
      </c>
      <c r="G163" s="6">
        <f>G164</f>
        <v>1200</v>
      </c>
    </row>
    <row r="164" spans="1:7" ht="47.25" x14ac:dyDescent="0.25">
      <c r="A164" s="25" t="s">
        <v>133</v>
      </c>
      <c r="B164" s="20" t="s">
        <v>118</v>
      </c>
      <c r="C164" s="20" t="s">
        <v>140</v>
      </c>
      <c r="D164" s="20" t="s">
        <v>868</v>
      </c>
      <c r="E164" s="20" t="s">
        <v>134</v>
      </c>
      <c r="F164" s="6">
        <f>'пр.6.1.ведом.22-23'!G137</f>
        <v>1200</v>
      </c>
      <c r="G164" s="6">
        <f>'пр.6.1.ведом.22-23'!H137</f>
        <v>1200</v>
      </c>
    </row>
    <row r="165" spans="1:7" ht="47.25" x14ac:dyDescent="0.25">
      <c r="A165" s="25" t="s">
        <v>839</v>
      </c>
      <c r="B165" s="20" t="s">
        <v>118</v>
      </c>
      <c r="C165" s="20" t="s">
        <v>140</v>
      </c>
      <c r="D165" s="20" t="s">
        <v>869</v>
      </c>
      <c r="E165" s="20"/>
      <c r="F165" s="6">
        <f>F166</f>
        <v>128</v>
      </c>
      <c r="G165" s="6">
        <f>G166</f>
        <v>128</v>
      </c>
    </row>
    <row r="166" spans="1:7" ht="94.5" x14ac:dyDescent="0.25">
      <c r="A166" s="25" t="s">
        <v>127</v>
      </c>
      <c r="B166" s="20" t="s">
        <v>118</v>
      </c>
      <c r="C166" s="20" t="s">
        <v>140</v>
      </c>
      <c r="D166" s="20" t="s">
        <v>869</v>
      </c>
      <c r="E166" s="20" t="s">
        <v>128</v>
      </c>
      <c r="F166" s="6">
        <f>F167</f>
        <v>128</v>
      </c>
      <c r="G166" s="6">
        <f>G167</f>
        <v>128</v>
      </c>
    </row>
    <row r="167" spans="1:7" ht="31.5" x14ac:dyDescent="0.25">
      <c r="A167" s="25" t="s">
        <v>208</v>
      </c>
      <c r="B167" s="20" t="s">
        <v>118</v>
      </c>
      <c r="C167" s="20" t="s">
        <v>140</v>
      </c>
      <c r="D167" s="20" t="s">
        <v>869</v>
      </c>
      <c r="E167" s="20" t="s">
        <v>209</v>
      </c>
      <c r="F167" s="6">
        <f>'пр.6.1.ведом.22-23'!G140</f>
        <v>128</v>
      </c>
      <c r="G167" s="6">
        <f>'пр.6.1.ведом.22-23'!H140</f>
        <v>128</v>
      </c>
    </row>
    <row r="168" spans="1:7" ht="47.25" x14ac:dyDescent="0.25">
      <c r="A168" s="23" t="s">
        <v>1372</v>
      </c>
      <c r="B168" s="7" t="s">
        <v>118</v>
      </c>
      <c r="C168" s="7" t="s">
        <v>140</v>
      </c>
      <c r="D168" s="7" t="s">
        <v>344</v>
      </c>
      <c r="E168" s="7"/>
      <c r="F168" s="4">
        <f t="shared" ref="F168:G172" si="9">F169</f>
        <v>200</v>
      </c>
      <c r="G168" s="4">
        <f t="shared" si="9"/>
        <v>500</v>
      </c>
    </row>
    <row r="169" spans="1:7" ht="94.5" x14ac:dyDescent="0.25">
      <c r="A169" s="41" t="s">
        <v>1379</v>
      </c>
      <c r="B169" s="7" t="s">
        <v>118</v>
      </c>
      <c r="C169" s="7" t="s">
        <v>140</v>
      </c>
      <c r="D169" s="7" t="s">
        <v>359</v>
      </c>
      <c r="E169" s="7"/>
      <c r="F169" s="4">
        <f t="shared" si="9"/>
        <v>200</v>
      </c>
      <c r="G169" s="4">
        <f t="shared" si="9"/>
        <v>500</v>
      </c>
    </row>
    <row r="170" spans="1:7" ht="63" x14ac:dyDescent="0.25">
      <c r="A170" s="250" t="s">
        <v>1044</v>
      </c>
      <c r="B170" s="7" t="s">
        <v>118</v>
      </c>
      <c r="C170" s="7" t="s">
        <v>140</v>
      </c>
      <c r="D170" s="7" t="s">
        <v>909</v>
      </c>
      <c r="E170" s="7"/>
      <c r="F170" s="4">
        <f t="shared" si="9"/>
        <v>200</v>
      </c>
      <c r="G170" s="4">
        <f t="shared" si="9"/>
        <v>500</v>
      </c>
    </row>
    <row r="171" spans="1:7" ht="31.5" x14ac:dyDescent="0.25">
      <c r="A171" s="98" t="s">
        <v>1095</v>
      </c>
      <c r="B171" s="40" t="s">
        <v>118</v>
      </c>
      <c r="C171" s="40" t="s">
        <v>140</v>
      </c>
      <c r="D171" s="40" t="s">
        <v>1198</v>
      </c>
      <c r="E171" s="40"/>
      <c r="F171" s="6">
        <f t="shared" si="9"/>
        <v>200</v>
      </c>
      <c r="G171" s="6">
        <f t="shared" si="9"/>
        <v>500</v>
      </c>
    </row>
    <row r="172" spans="1:7" ht="31.5" x14ac:dyDescent="0.25">
      <c r="A172" s="29" t="s">
        <v>131</v>
      </c>
      <c r="B172" s="40" t="s">
        <v>118</v>
      </c>
      <c r="C172" s="40" t="s">
        <v>140</v>
      </c>
      <c r="D172" s="40" t="s">
        <v>1198</v>
      </c>
      <c r="E172" s="40" t="s">
        <v>132</v>
      </c>
      <c r="F172" s="6">
        <f t="shared" si="9"/>
        <v>200</v>
      </c>
      <c r="G172" s="6">
        <f t="shared" si="9"/>
        <v>500</v>
      </c>
    </row>
    <row r="173" spans="1:7" ht="47.25" x14ac:dyDescent="0.25">
      <c r="A173" s="29" t="s">
        <v>133</v>
      </c>
      <c r="B173" s="40" t="s">
        <v>118</v>
      </c>
      <c r="C173" s="40" t="s">
        <v>140</v>
      </c>
      <c r="D173" s="40" t="s">
        <v>1198</v>
      </c>
      <c r="E173" s="40" t="s">
        <v>134</v>
      </c>
      <c r="F173" s="6">
        <f>'пр.6.1.ведом.22-23'!G250</f>
        <v>200</v>
      </c>
      <c r="G173" s="6">
        <f>'пр.6.1.ведом.22-23'!H250</f>
        <v>500</v>
      </c>
    </row>
    <row r="174" spans="1:7" ht="47.25" hidden="1" x14ac:dyDescent="0.25">
      <c r="A174" s="35" t="s">
        <v>886</v>
      </c>
      <c r="B174" s="20" t="s">
        <v>118</v>
      </c>
      <c r="C174" s="20" t="s">
        <v>140</v>
      </c>
      <c r="D174" s="20" t="s">
        <v>1297</v>
      </c>
      <c r="E174" s="24"/>
      <c r="F174" s="6" t="e">
        <f>'Пр.3 Рд,пр, ЦС,ВР 22'!#REF!</f>
        <v>#REF!</v>
      </c>
      <c r="G174" s="6" t="e">
        <f t="shared" si="8"/>
        <v>#REF!</v>
      </c>
    </row>
    <row r="175" spans="1:7" ht="31.5" hidden="1" x14ac:dyDescent="0.25">
      <c r="A175" s="25" t="s">
        <v>131</v>
      </c>
      <c r="B175" s="20" t="s">
        <v>118</v>
      </c>
      <c r="C175" s="20" t="s">
        <v>140</v>
      </c>
      <c r="D175" s="20" t="s">
        <v>1297</v>
      </c>
      <c r="E175" s="20" t="s">
        <v>132</v>
      </c>
      <c r="F175" s="6" t="e">
        <f>'Пр.3 Рд,пр, ЦС,ВР 22'!#REF!</f>
        <v>#REF!</v>
      </c>
      <c r="G175" s="6" t="e">
        <f t="shared" si="8"/>
        <v>#REF!</v>
      </c>
    </row>
    <row r="176" spans="1:7" ht="47.25" hidden="1" x14ac:dyDescent="0.25">
      <c r="A176" s="25" t="s">
        <v>133</v>
      </c>
      <c r="B176" s="20" t="s">
        <v>118</v>
      </c>
      <c r="C176" s="20" t="s">
        <v>140</v>
      </c>
      <c r="D176" s="20" t="s">
        <v>1297</v>
      </c>
      <c r="E176" s="20" t="s">
        <v>134</v>
      </c>
      <c r="F176" s="6" t="e">
        <f>'Пр.3 Рд,пр, ЦС,ВР 22'!#REF!</f>
        <v>#REF!</v>
      </c>
      <c r="G176" s="6" t="e">
        <f t="shared" si="8"/>
        <v>#REF!</v>
      </c>
    </row>
    <row r="177" spans="1:7" s="203" customFormat="1" ht="63" x14ac:dyDescent="0.25">
      <c r="A177" s="34" t="s">
        <v>1220</v>
      </c>
      <c r="B177" s="24" t="s">
        <v>118</v>
      </c>
      <c r="C177" s="24" t="s">
        <v>140</v>
      </c>
      <c r="D177" s="24" t="s">
        <v>324</v>
      </c>
      <c r="E177" s="24"/>
      <c r="F177" s="21">
        <f>F179</f>
        <v>12</v>
      </c>
      <c r="G177" s="21">
        <f>G179</f>
        <v>40</v>
      </c>
    </row>
    <row r="178" spans="1:7" s="203" customFormat="1" ht="63" x14ac:dyDescent="0.25">
      <c r="A178" s="34" t="s">
        <v>1025</v>
      </c>
      <c r="B178" s="24" t="s">
        <v>118</v>
      </c>
      <c r="C178" s="24" t="s">
        <v>140</v>
      </c>
      <c r="D178" s="24" t="s">
        <v>934</v>
      </c>
      <c r="E178" s="24"/>
      <c r="F178" s="21">
        <f>F181</f>
        <v>12</v>
      </c>
      <c r="G178" s="21">
        <f>G181</f>
        <v>40</v>
      </c>
    </row>
    <row r="179" spans="1:7" s="203" customFormat="1" ht="47.25" x14ac:dyDescent="0.25">
      <c r="A179" s="31" t="s">
        <v>1080</v>
      </c>
      <c r="B179" s="20" t="s">
        <v>118</v>
      </c>
      <c r="C179" s="20" t="s">
        <v>140</v>
      </c>
      <c r="D179" s="20" t="s">
        <v>1026</v>
      </c>
      <c r="E179" s="20"/>
      <c r="F179" s="26">
        <f>F180</f>
        <v>12</v>
      </c>
      <c r="G179" s="26">
        <f>G180</f>
        <v>40</v>
      </c>
    </row>
    <row r="180" spans="1:7" s="203" customFormat="1" ht="31.5" x14ac:dyDescent="0.25">
      <c r="A180" s="25" t="s">
        <v>131</v>
      </c>
      <c r="B180" s="20" t="s">
        <v>118</v>
      </c>
      <c r="C180" s="20" t="s">
        <v>140</v>
      </c>
      <c r="D180" s="20" t="s">
        <v>1026</v>
      </c>
      <c r="E180" s="20" t="s">
        <v>132</v>
      </c>
      <c r="F180" s="26">
        <f>F181</f>
        <v>12</v>
      </c>
      <c r="G180" s="26">
        <f>G181</f>
        <v>40</v>
      </c>
    </row>
    <row r="181" spans="1:7" s="203" customFormat="1" ht="47.25" x14ac:dyDescent="0.25">
      <c r="A181" s="25" t="s">
        <v>133</v>
      </c>
      <c r="B181" s="20" t="s">
        <v>118</v>
      </c>
      <c r="C181" s="20" t="s">
        <v>140</v>
      </c>
      <c r="D181" s="20" t="s">
        <v>1026</v>
      </c>
      <c r="E181" s="20" t="s">
        <v>134</v>
      </c>
      <c r="F181" s="26">
        <f>'пр.6.1.ведом.22-23'!G145</f>
        <v>12</v>
      </c>
      <c r="G181" s="26">
        <f>'пр.6.1.ведом.22-23'!H145</f>
        <v>40</v>
      </c>
    </row>
    <row r="182" spans="1:7" ht="47.25" x14ac:dyDescent="0.25">
      <c r="A182" s="23" t="s">
        <v>1355</v>
      </c>
      <c r="B182" s="24" t="s">
        <v>118</v>
      </c>
      <c r="C182" s="24" t="s">
        <v>140</v>
      </c>
      <c r="D182" s="24" t="s">
        <v>335</v>
      </c>
      <c r="E182" s="24"/>
      <c r="F182" s="59">
        <f>F183</f>
        <v>120</v>
      </c>
      <c r="G182" s="59">
        <f>G183</f>
        <v>120</v>
      </c>
    </row>
    <row r="183" spans="1:7" ht="45" customHeight="1" x14ac:dyDescent="0.25">
      <c r="A183" s="23" t="s">
        <v>1049</v>
      </c>
      <c r="B183" s="24" t="s">
        <v>118</v>
      </c>
      <c r="C183" s="24" t="s">
        <v>140</v>
      </c>
      <c r="D183" s="24" t="s">
        <v>1050</v>
      </c>
      <c r="E183" s="24"/>
      <c r="F183" s="59">
        <f>F184+F187+F190+F193+F196</f>
        <v>120</v>
      </c>
      <c r="G183" s="59">
        <f>G184+G187+G190+G193+G196</f>
        <v>120</v>
      </c>
    </row>
    <row r="184" spans="1:7" ht="31.5" x14ac:dyDescent="0.25">
      <c r="A184" s="97" t="s">
        <v>336</v>
      </c>
      <c r="B184" s="20" t="s">
        <v>118</v>
      </c>
      <c r="C184" s="20" t="s">
        <v>140</v>
      </c>
      <c r="D184" s="20" t="s">
        <v>1051</v>
      </c>
      <c r="E184" s="20"/>
      <c r="F184" s="6">
        <f>F185</f>
        <v>100</v>
      </c>
      <c r="G184" s="6">
        <f>G185</f>
        <v>100</v>
      </c>
    </row>
    <row r="185" spans="1:7" ht="31.5" x14ac:dyDescent="0.25">
      <c r="A185" s="25" t="s">
        <v>131</v>
      </c>
      <c r="B185" s="20" t="s">
        <v>118</v>
      </c>
      <c r="C185" s="20" t="s">
        <v>140</v>
      </c>
      <c r="D185" s="20" t="s">
        <v>1051</v>
      </c>
      <c r="E185" s="20" t="s">
        <v>132</v>
      </c>
      <c r="F185" s="6">
        <f>F186</f>
        <v>100</v>
      </c>
      <c r="G185" s="6">
        <f>G186</f>
        <v>100</v>
      </c>
    </row>
    <row r="186" spans="1:7" ht="47.25" x14ac:dyDescent="0.25">
      <c r="A186" s="25" t="s">
        <v>133</v>
      </c>
      <c r="B186" s="20" t="s">
        <v>118</v>
      </c>
      <c r="C186" s="20" t="s">
        <v>140</v>
      </c>
      <c r="D186" s="20" t="s">
        <v>1051</v>
      </c>
      <c r="E186" s="20" t="s">
        <v>134</v>
      </c>
      <c r="F186" s="6">
        <f>'пр.6.1.ведом.22-23'!G763+'пр.6.1.ведом.22-23'!G544+'пр.6.1.ведом.22-23'!G255</f>
        <v>100</v>
      </c>
      <c r="G186" s="6">
        <f>'пр.6.1.ведом.22-23'!H763+'пр.6.1.ведом.22-23'!H544+'пр.6.1.ведом.22-23'!H255</f>
        <v>100</v>
      </c>
    </row>
    <row r="187" spans="1:7" ht="31.5" x14ac:dyDescent="0.25">
      <c r="A187" s="25" t="s">
        <v>338</v>
      </c>
      <c r="B187" s="20" t="s">
        <v>118</v>
      </c>
      <c r="C187" s="20" t="s">
        <v>140</v>
      </c>
      <c r="D187" s="20" t="s">
        <v>1052</v>
      </c>
      <c r="E187" s="20"/>
      <c r="F187" s="6">
        <f>F188</f>
        <v>20</v>
      </c>
      <c r="G187" s="6">
        <f>G188</f>
        <v>20</v>
      </c>
    </row>
    <row r="188" spans="1:7" ht="31.5" x14ac:dyDescent="0.25">
      <c r="A188" s="25" t="s">
        <v>131</v>
      </c>
      <c r="B188" s="20" t="s">
        <v>118</v>
      </c>
      <c r="C188" s="20" t="s">
        <v>140</v>
      </c>
      <c r="D188" s="20" t="s">
        <v>1052</v>
      </c>
      <c r="E188" s="20" t="s">
        <v>132</v>
      </c>
      <c r="F188" s="6">
        <f>F189</f>
        <v>20</v>
      </c>
      <c r="G188" s="6">
        <f>G189</f>
        <v>20</v>
      </c>
    </row>
    <row r="189" spans="1:7" ht="47.25" x14ac:dyDescent="0.25">
      <c r="A189" s="25" t="s">
        <v>133</v>
      </c>
      <c r="B189" s="20" t="s">
        <v>118</v>
      </c>
      <c r="C189" s="20" t="s">
        <v>140</v>
      </c>
      <c r="D189" s="20" t="s">
        <v>1052</v>
      </c>
      <c r="E189" s="20" t="s">
        <v>134</v>
      </c>
      <c r="F189" s="6">
        <f>'пр.6.1.ведом.22-23'!G264</f>
        <v>20</v>
      </c>
      <c r="G189" s="6">
        <f>'пр.6.1.ведом.22-23'!H264</f>
        <v>20</v>
      </c>
    </row>
    <row r="190" spans="1:7" ht="63" hidden="1" x14ac:dyDescent="0.25">
      <c r="A190" s="31" t="s">
        <v>771</v>
      </c>
      <c r="B190" s="20" t="s">
        <v>118</v>
      </c>
      <c r="C190" s="20" t="s">
        <v>140</v>
      </c>
      <c r="D190" s="20" t="s">
        <v>1053</v>
      </c>
      <c r="E190" s="20"/>
      <c r="F190" s="6">
        <f>F191</f>
        <v>0</v>
      </c>
      <c r="G190" s="6">
        <f>G191</f>
        <v>0</v>
      </c>
    </row>
    <row r="191" spans="1:7" ht="31.5" hidden="1" x14ac:dyDescent="0.25">
      <c r="A191" s="25" t="s">
        <v>131</v>
      </c>
      <c r="B191" s="20" t="s">
        <v>118</v>
      </c>
      <c r="C191" s="20" t="s">
        <v>140</v>
      </c>
      <c r="D191" s="20" t="s">
        <v>1053</v>
      </c>
      <c r="E191" s="20" t="s">
        <v>132</v>
      </c>
      <c r="F191" s="6">
        <f>F192</f>
        <v>0</v>
      </c>
      <c r="G191" s="6">
        <f>G192</f>
        <v>0</v>
      </c>
    </row>
    <row r="192" spans="1:7" ht="47.25" hidden="1" x14ac:dyDescent="0.25">
      <c r="A192" s="25" t="s">
        <v>133</v>
      </c>
      <c r="B192" s="20" t="s">
        <v>118</v>
      </c>
      <c r="C192" s="20" t="s">
        <v>140</v>
      </c>
      <c r="D192" s="20" t="s">
        <v>1053</v>
      </c>
      <c r="E192" s="20" t="s">
        <v>134</v>
      </c>
      <c r="F192" s="6">
        <f>'пр.6.1.ведом.22-23'!G258</f>
        <v>0</v>
      </c>
      <c r="G192" s="6">
        <f>'пр.6.1.ведом.22-23'!H258</f>
        <v>0</v>
      </c>
    </row>
    <row r="193" spans="1:7" ht="31.5" hidden="1" x14ac:dyDescent="0.25">
      <c r="A193" s="25" t="s">
        <v>994</v>
      </c>
      <c r="B193" s="20" t="s">
        <v>118</v>
      </c>
      <c r="C193" s="20" t="s">
        <v>140</v>
      </c>
      <c r="D193" s="20" t="s">
        <v>1054</v>
      </c>
      <c r="E193" s="20"/>
      <c r="F193" s="6">
        <f>F194</f>
        <v>0</v>
      </c>
      <c r="G193" s="6">
        <f>G194</f>
        <v>0</v>
      </c>
    </row>
    <row r="194" spans="1:7" ht="31.5" hidden="1" x14ac:dyDescent="0.25">
      <c r="A194" s="25" t="s">
        <v>131</v>
      </c>
      <c r="B194" s="20" t="s">
        <v>118</v>
      </c>
      <c r="C194" s="20" t="s">
        <v>140</v>
      </c>
      <c r="D194" s="20" t="s">
        <v>1054</v>
      </c>
      <c r="E194" s="20" t="s">
        <v>132</v>
      </c>
      <c r="F194" s="6">
        <f>F195</f>
        <v>0</v>
      </c>
      <c r="G194" s="6">
        <f>G195</f>
        <v>0</v>
      </c>
    </row>
    <row r="195" spans="1:7" ht="47.25" hidden="1" x14ac:dyDescent="0.25">
      <c r="A195" s="25" t="s">
        <v>133</v>
      </c>
      <c r="B195" s="20" t="s">
        <v>118</v>
      </c>
      <c r="C195" s="20" t="s">
        <v>140</v>
      </c>
      <c r="D195" s="20" t="s">
        <v>1054</v>
      </c>
      <c r="E195" s="20" t="s">
        <v>134</v>
      </c>
      <c r="F195" s="6">
        <f>'пр.6.1.ведом.22-23'!G261</f>
        <v>0</v>
      </c>
      <c r="G195" s="6">
        <f>'пр.6.1.ведом.22-23'!H261</f>
        <v>0</v>
      </c>
    </row>
    <row r="196" spans="1:7" ht="31.5" hidden="1" x14ac:dyDescent="0.25">
      <c r="A196" s="31" t="s">
        <v>772</v>
      </c>
      <c r="B196" s="20" t="s">
        <v>118</v>
      </c>
      <c r="C196" s="20" t="s">
        <v>140</v>
      </c>
      <c r="D196" s="20" t="s">
        <v>1055</v>
      </c>
      <c r="E196" s="20"/>
      <c r="F196" s="6">
        <f>F197</f>
        <v>0</v>
      </c>
      <c r="G196" s="6">
        <f>G197</f>
        <v>0</v>
      </c>
    </row>
    <row r="197" spans="1:7" ht="31.5" hidden="1" x14ac:dyDescent="0.25">
      <c r="A197" s="25" t="s">
        <v>131</v>
      </c>
      <c r="B197" s="20" t="s">
        <v>118</v>
      </c>
      <c r="C197" s="20" t="s">
        <v>140</v>
      </c>
      <c r="D197" s="20" t="s">
        <v>1055</v>
      </c>
      <c r="E197" s="20" t="s">
        <v>132</v>
      </c>
      <c r="F197" s="6">
        <f>F198</f>
        <v>0</v>
      </c>
      <c r="G197" s="6">
        <f>G198</f>
        <v>0</v>
      </c>
    </row>
    <row r="198" spans="1:7" ht="47.25" hidden="1" x14ac:dyDescent="0.25">
      <c r="A198" s="25" t="s">
        <v>133</v>
      </c>
      <c r="B198" s="20" t="s">
        <v>118</v>
      </c>
      <c r="C198" s="20" t="s">
        <v>140</v>
      </c>
      <c r="D198" s="20" t="s">
        <v>1055</v>
      </c>
      <c r="E198" s="20" t="s">
        <v>134</v>
      </c>
      <c r="F198" s="6">
        <f>'пр.6.1.ведом.22-23'!G267</f>
        <v>0</v>
      </c>
      <c r="G198" s="6">
        <f>'пр.6.1.ведом.22-23'!H267</f>
        <v>0</v>
      </c>
    </row>
    <row r="199" spans="1:7" ht="57.2" customHeight="1" x14ac:dyDescent="0.25">
      <c r="A199" s="41" t="s">
        <v>1352</v>
      </c>
      <c r="B199" s="8" t="s">
        <v>118</v>
      </c>
      <c r="C199" s="8" t="s">
        <v>140</v>
      </c>
      <c r="D199" s="24" t="s">
        <v>705</v>
      </c>
      <c r="E199" s="222"/>
      <c r="F199" s="59">
        <f>F200+F204</f>
        <v>48</v>
      </c>
      <c r="G199" s="59">
        <f>G200+G204</f>
        <v>48</v>
      </c>
    </row>
    <row r="200" spans="1:7" ht="47.25" x14ac:dyDescent="0.25">
      <c r="A200" s="211" t="s">
        <v>846</v>
      </c>
      <c r="B200" s="24" t="s">
        <v>118</v>
      </c>
      <c r="C200" s="24" t="s">
        <v>140</v>
      </c>
      <c r="D200" s="24" t="s">
        <v>852</v>
      </c>
      <c r="E200" s="24"/>
      <c r="F200" s="59">
        <f>F201</f>
        <v>33</v>
      </c>
      <c r="G200" s="59">
        <f>G201</f>
        <v>33</v>
      </c>
    </row>
    <row r="201" spans="1:7" ht="47.25" x14ac:dyDescent="0.25">
      <c r="A201" s="98" t="s">
        <v>776</v>
      </c>
      <c r="B201" s="20" t="s">
        <v>118</v>
      </c>
      <c r="C201" s="20" t="s">
        <v>140</v>
      </c>
      <c r="D201" s="20" t="s">
        <v>847</v>
      </c>
      <c r="E201" s="20"/>
      <c r="F201" s="6">
        <f>F202</f>
        <v>33</v>
      </c>
      <c r="G201" s="6">
        <f>G202</f>
        <v>33</v>
      </c>
    </row>
    <row r="202" spans="1:7" ht="36.75" customHeight="1" x14ac:dyDescent="0.25">
      <c r="A202" s="25" t="s">
        <v>131</v>
      </c>
      <c r="B202" s="20" t="s">
        <v>118</v>
      </c>
      <c r="C202" s="20" t="s">
        <v>140</v>
      </c>
      <c r="D202" s="20" t="s">
        <v>847</v>
      </c>
      <c r="E202" s="20" t="s">
        <v>132</v>
      </c>
      <c r="F202" s="6">
        <f>F203</f>
        <v>33</v>
      </c>
      <c r="G202" s="6">
        <f t="shared" si="8"/>
        <v>33</v>
      </c>
    </row>
    <row r="203" spans="1:7" ht="47.25" x14ac:dyDescent="0.25">
      <c r="A203" s="25" t="s">
        <v>133</v>
      </c>
      <c r="B203" s="20" t="s">
        <v>118</v>
      </c>
      <c r="C203" s="20" t="s">
        <v>140</v>
      </c>
      <c r="D203" s="20" t="s">
        <v>847</v>
      </c>
      <c r="E203" s="20" t="s">
        <v>134</v>
      </c>
      <c r="F203" s="6">
        <f>'пр.6.1.ведом.22-23'!G150+'пр.6.1.ведом.22-23'!G272</f>
        <v>33</v>
      </c>
      <c r="G203" s="6">
        <f>'пр.6.1.ведом.22-23'!H150+'пр.6.1.ведом.22-23'!H272</f>
        <v>33</v>
      </c>
    </row>
    <row r="204" spans="1:7" ht="47.25" x14ac:dyDescent="0.25">
      <c r="A204" s="212" t="s">
        <v>1023</v>
      </c>
      <c r="B204" s="24" t="s">
        <v>118</v>
      </c>
      <c r="C204" s="24" t="s">
        <v>140</v>
      </c>
      <c r="D204" s="24" t="s">
        <v>853</v>
      </c>
      <c r="E204" s="222"/>
      <c r="F204" s="59">
        <f t="shared" ref="F204:G206" si="10">F205</f>
        <v>15</v>
      </c>
      <c r="G204" s="59">
        <f t="shared" si="10"/>
        <v>15</v>
      </c>
    </row>
    <row r="205" spans="1:7" ht="31.5" x14ac:dyDescent="0.25">
      <c r="A205" s="98" t="s">
        <v>777</v>
      </c>
      <c r="B205" s="20" t="s">
        <v>118</v>
      </c>
      <c r="C205" s="20" t="s">
        <v>140</v>
      </c>
      <c r="D205" s="20" t="s">
        <v>848</v>
      </c>
      <c r="E205" s="32"/>
      <c r="F205" s="6">
        <f t="shared" si="10"/>
        <v>15</v>
      </c>
      <c r="G205" s="6">
        <f t="shared" si="10"/>
        <v>15</v>
      </c>
    </row>
    <row r="206" spans="1:7" ht="31.5" x14ac:dyDescent="0.25">
      <c r="A206" s="25" t="s">
        <v>131</v>
      </c>
      <c r="B206" s="20" t="s">
        <v>118</v>
      </c>
      <c r="C206" s="20" t="s">
        <v>140</v>
      </c>
      <c r="D206" s="20" t="s">
        <v>848</v>
      </c>
      <c r="E206" s="32" t="s">
        <v>132</v>
      </c>
      <c r="F206" s="6">
        <f t="shared" si="10"/>
        <v>15</v>
      </c>
      <c r="G206" s="6">
        <f t="shared" si="10"/>
        <v>15</v>
      </c>
    </row>
    <row r="207" spans="1:7" ht="47.25" x14ac:dyDescent="0.25">
      <c r="A207" s="25" t="s">
        <v>133</v>
      </c>
      <c r="B207" s="20" t="s">
        <v>118</v>
      </c>
      <c r="C207" s="20" t="s">
        <v>140</v>
      </c>
      <c r="D207" s="20" t="s">
        <v>848</v>
      </c>
      <c r="E207" s="32" t="s">
        <v>134</v>
      </c>
      <c r="F207" s="6">
        <f>'пр.6.1.ведом.22-23'!G154</f>
        <v>15</v>
      </c>
      <c r="G207" s="6">
        <f>'пр.6.1.ведом.22-23'!H154</f>
        <v>15</v>
      </c>
    </row>
    <row r="208" spans="1:7" ht="63" hidden="1" x14ac:dyDescent="0.25">
      <c r="A208" s="217" t="s">
        <v>1380</v>
      </c>
      <c r="B208" s="24" t="s">
        <v>118</v>
      </c>
      <c r="C208" s="24" t="s">
        <v>140</v>
      </c>
      <c r="D208" s="24" t="s">
        <v>782</v>
      </c>
      <c r="E208" s="222"/>
      <c r="F208" s="59">
        <f>F210</f>
        <v>0</v>
      </c>
      <c r="G208" s="59">
        <f>G210</f>
        <v>0</v>
      </c>
    </row>
    <row r="209" spans="1:7" ht="31.5" hidden="1" x14ac:dyDescent="0.25">
      <c r="A209" s="23" t="s">
        <v>930</v>
      </c>
      <c r="B209" s="24" t="s">
        <v>118</v>
      </c>
      <c r="C209" s="24" t="s">
        <v>140</v>
      </c>
      <c r="D209" s="24" t="s">
        <v>1020</v>
      </c>
      <c r="E209" s="222"/>
      <c r="F209" s="59">
        <f t="shared" ref="F209:G211" si="11">F210</f>
        <v>0</v>
      </c>
      <c r="G209" s="59">
        <f t="shared" si="11"/>
        <v>0</v>
      </c>
    </row>
    <row r="210" spans="1:7" ht="31.5" hidden="1" x14ac:dyDescent="0.25">
      <c r="A210" s="182" t="s">
        <v>790</v>
      </c>
      <c r="B210" s="20" t="s">
        <v>118</v>
      </c>
      <c r="C210" s="20" t="s">
        <v>140</v>
      </c>
      <c r="D210" s="20" t="s">
        <v>1021</v>
      </c>
      <c r="E210" s="32"/>
      <c r="F210" s="6">
        <f t="shared" si="11"/>
        <v>0</v>
      </c>
      <c r="G210" s="6">
        <f t="shared" si="11"/>
        <v>0</v>
      </c>
    </row>
    <row r="211" spans="1:7" ht="31.5" hidden="1" x14ac:dyDescent="0.25">
      <c r="A211" s="182" t="s">
        <v>131</v>
      </c>
      <c r="B211" s="20" t="s">
        <v>118</v>
      </c>
      <c r="C211" s="20" t="s">
        <v>140</v>
      </c>
      <c r="D211" s="20" t="s">
        <v>1021</v>
      </c>
      <c r="E211" s="32" t="s">
        <v>132</v>
      </c>
      <c r="F211" s="6">
        <f t="shared" si="11"/>
        <v>0</v>
      </c>
      <c r="G211" s="6">
        <f t="shared" si="11"/>
        <v>0</v>
      </c>
    </row>
    <row r="212" spans="1:7" ht="47.25" hidden="1" x14ac:dyDescent="0.25">
      <c r="A212" s="182" t="s">
        <v>133</v>
      </c>
      <c r="B212" s="20" t="s">
        <v>118</v>
      </c>
      <c r="C212" s="20" t="s">
        <v>140</v>
      </c>
      <c r="D212" s="20" t="s">
        <v>1021</v>
      </c>
      <c r="E212" s="32" t="s">
        <v>134</v>
      </c>
      <c r="F212" s="6">
        <f>'пр.6.1.ведом.22-23'!G520</f>
        <v>0</v>
      </c>
      <c r="G212" s="6">
        <f>'пр.6.1.ведом.22-23'!H520</f>
        <v>0</v>
      </c>
    </row>
    <row r="213" spans="1:7" ht="78.75" x14ac:dyDescent="0.25">
      <c r="A213" s="41" t="s">
        <v>1342</v>
      </c>
      <c r="B213" s="8" t="s">
        <v>118</v>
      </c>
      <c r="C213" s="8" t="s">
        <v>140</v>
      </c>
      <c r="D213" s="363" t="s">
        <v>817</v>
      </c>
      <c r="E213" s="8"/>
      <c r="F213" s="59">
        <f t="shared" ref="F213:F216" si="12">F214</f>
        <v>45</v>
      </c>
      <c r="G213" s="59">
        <f>G214</f>
        <v>50</v>
      </c>
    </row>
    <row r="214" spans="1:7" ht="47.25" x14ac:dyDescent="0.25">
      <c r="A214" s="213" t="s">
        <v>854</v>
      </c>
      <c r="B214" s="8" t="s">
        <v>118</v>
      </c>
      <c r="C214" s="8" t="s">
        <v>140</v>
      </c>
      <c r="D214" s="194" t="s">
        <v>1075</v>
      </c>
      <c r="E214" s="8"/>
      <c r="F214" s="59">
        <f t="shared" si="12"/>
        <v>45</v>
      </c>
      <c r="G214" s="59">
        <f>G215</f>
        <v>50</v>
      </c>
    </row>
    <row r="215" spans="1:7" ht="31.5" x14ac:dyDescent="0.25">
      <c r="A215" s="97" t="s">
        <v>171</v>
      </c>
      <c r="B215" s="9" t="s">
        <v>118</v>
      </c>
      <c r="C215" s="9" t="s">
        <v>140</v>
      </c>
      <c r="D215" s="5" t="s">
        <v>855</v>
      </c>
      <c r="E215" s="9"/>
      <c r="F215" s="6">
        <f t="shared" si="12"/>
        <v>45</v>
      </c>
      <c r="G215" s="6">
        <f>G216</f>
        <v>50</v>
      </c>
    </row>
    <row r="216" spans="1:7" ht="31.5" x14ac:dyDescent="0.25">
      <c r="A216" s="25" t="s">
        <v>131</v>
      </c>
      <c r="B216" s="9" t="s">
        <v>118</v>
      </c>
      <c r="C216" s="9" t="s">
        <v>140</v>
      </c>
      <c r="D216" s="5" t="s">
        <v>855</v>
      </c>
      <c r="E216" s="9" t="s">
        <v>132</v>
      </c>
      <c r="F216" s="6">
        <f t="shared" si="12"/>
        <v>45</v>
      </c>
      <c r="G216" s="6">
        <f>G217</f>
        <v>50</v>
      </c>
    </row>
    <row r="217" spans="1:7" ht="47.25" x14ac:dyDescent="0.25">
      <c r="A217" s="25" t="s">
        <v>133</v>
      </c>
      <c r="B217" s="9" t="s">
        <v>118</v>
      </c>
      <c r="C217" s="9" t="s">
        <v>140</v>
      </c>
      <c r="D217" s="5" t="s">
        <v>855</v>
      </c>
      <c r="E217" s="9" t="s">
        <v>134</v>
      </c>
      <c r="F217" s="6">
        <f>'пр.6.1.ведом.22-23'!G159</f>
        <v>45</v>
      </c>
      <c r="G217" s="6">
        <f>'пр.6.1.ведом.22-23'!H159</f>
        <v>50</v>
      </c>
    </row>
    <row r="218" spans="1:7" ht="62.45" customHeight="1" x14ac:dyDescent="0.25">
      <c r="A218" s="41" t="s">
        <v>1343</v>
      </c>
      <c r="B218" s="8" t="s">
        <v>118</v>
      </c>
      <c r="C218" s="8" t="s">
        <v>140</v>
      </c>
      <c r="D218" s="194" t="s">
        <v>818</v>
      </c>
      <c r="E218" s="8"/>
      <c r="F218" s="4">
        <f>F219</f>
        <v>80</v>
      </c>
      <c r="G218" s="4">
        <f>G219</f>
        <v>90</v>
      </c>
    </row>
    <row r="219" spans="1:7" ht="31.5" x14ac:dyDescent="0.25">
      <c r="A219" s="58" t="s">
        <v>856</v>
      </c>
      <c r="B219" s="8" t="s">
        <v>118</v>
      </c>
      <c r="C219" s="8" t="s">
        <v>140</v>
      </c>
      <c r="D219" s="194" t="s">
        <v>864</v>
      </c>
      <c r="E219" s="8"/>
      <c r="F219" s="4">
        <f t="shared" ref="F219:G219" si="13">F220</f>
        <v>80</v>
      </c>
      <c r="G219" s="4">
        <f t="shared" si="13"/>
        <v>90</v>
      </c>
    </row>
    <row r="220" spans="1:7" ht="31.5" x14ac:dyDescent="0.25">
      <c r="A220" s="45" t="s">
        <v>822</v>
      </c>
      <c r="B220" s="9" t="s">
        <v>118</v>
      </c>
      <c r="C220" s="9" t="s">
        <v>140</v>
      </c>
      <c r="D220" s="5" t="s">
        <v>857</v>
      </c>
      <c r="E220" s="9"/>
      <c r="F220" s="6">
        <f>F221</f>
        <v>80</v>
      </c>
      <c r="G220" s="6">
        <f>G221</f>
        <v>90</v>
      </c>
    </row>
    <row r="221" spans="1:7" ht="31.5" x14ac:dyDescent="0.25">
      <c r="A221" s="25" t="s">
        <v>131</v>
      </c>
      <c r="B221" s="9" t="s">
        <v>118</v>
      </c>
      <c r="C221" s="9" t="s">
        <v>140</v>
      </c>
      <c r="D221" s="5" t="s">
        <v>857</v>
      </c>
      <c r="E221" s="9" t="s">
        <v>132</v>
      </c>
      <c r="F221" s="6">
        <f>F222</f>
        <v>80</v>
      </c>
      <c r="G221" s="6">
        <f>G222</f>
        <v>90</v>
      </c>
    </row>
    <row r="222" spans="1:7" ht="47.25" x14ac:dyDescent="0.25">
      <c r="A222" s="25" t="s">
        <v>133</v>
      </c>
      <c r="B222" s="9" t="s">
        <v>118</v>
      </c>
      <c r="C222" s="9" t="s">
        <v>140</v>
      </c>
      <c r="D222" s="5" t="s">
        <v>857</v>
      </c>
      <c r="E222" s="9" t="s">
        <v>134</v>
      </c>
      <c r="F222" s="6">
        <f>'пр.6.1.ведом.22-23'!G164</f>
        <v>80</v>
      </c>
      <c r="G222" s="6">
        <f>'пр.6.1.ведом.22-23'!H164</f>
        <v>90</v>
      </c>
    </row>
    <row r="223" spans="1:7" ht="15.75" hidden="1" x14ac:dyDescent="0.25">
      <c r="A223" s="23" t="s">
        <v>212</v>
      </c>
      <c r="B223" s="24" t="s">
        <v>213</v>
      </c>
      <c r="C223" s="24"/>
      <c r="D223" s="24"/>
      <c r="E223" s="24"/>
      <c r="F223" s="4">
        <f t="shared" ref="F223:G226" si="14">F224</f>
        <v>0</v>
      </c>
      <c r="G223" s="4">
        <f t="shared" si="14"/>
        <v>0</v>
      </c>
    </row>
    <row r="224" spans="1:7" ht="31.5" hidden="1" x14ac:dyDescent="0.25">
      <c r="A224" s="23" t="s">
        <v>218</v>
      </c>
      <c r="B224" s="24" t="s">
        <v>213</v>
      </c>
      <c r="C224" s="24" t="s">
        <v>219</v>
      </c>
      <c r="D224" s="24"/>
      <c r="E224" s="24"/>
      <c r="F224" s="4">
        <f t="shared" si="14"/>
        <v>0</v>
      </c>
      <c r="G224" s="4">
        <f t="shared" si="14"/>
        <v>0</v>
      </c>
    </row>
    <row r="225" spans="1:7" ht="15.75" hidden="1" x14ac:dyDescent="0.25">
      <c r="A225" s="23" t="s">
        <v>141</v>
      </c>
      <c r="B225" s="24" t="s">
        <v>213</v>
      </c>
      <c r="C225" s="24" t="s">
        <v>219</v>
      </c>
      <c r="D225" s="24" t="s">
        <v>866</v>
      </c>
      <c r="E225" s="24"/>
      <c r="F225" s="4">
        <f t="shared" si="14"/>
        <v>0</v>
      </c>
      <c r="G225" s="4">
        <f t="shared" si="14"/>
        <v>0</v>
      </c>
    </row>
    <row r="226" spans="1:7" ht="31.5" hidden="1" x14ac:dyDescent="0.25">
      <c r="A226" s="23" t="s">
        <v>870</v>
      </c>
      <c r="B226" s="24" t="s">
        <v>213</v>
      </c>
      <c r="C226" s="24" t="s">
        <v>219</v>
      </c>
      <c r="D226" s="24" t="s">
        <v>865</v>
      </c>
      <c r="E226" s="24"/>
      <c r="F226" s="4">
        <f t="shared" si="14"/>
        <v>0</v>
      </c>
      <c r="G226" s="4">
        <f t="shared" si="14"/>
        <v>0</v>
      </c>
    </row>
    <row r="227" spans="1:7" ht="16.350000000000001" hidden="1" customHeight="1" x14ac:dyDescent="0.25">
      <c r="A227" s="25" t="s">
        <v>220</v>
      </c>
      <c r="B227" s="20" t="s">
        <v>213</v>
      </c>
      <c r="C227" s="20" t="s">
        <v>219</v>
      </c>
      <c r="D227" s="20" t="s">
        <v>871</v>
      </c>
      <c r="E227" s="20"/>
      <c r="F227" s="6">
        <f>'Пр.3 Рд,пр, ЦС,ВР 22'!F233</f>
        <v>0</v>
      </c>
      <c r="G227" s="6">
        <f t="shared" ref="G227:G282" si="15">F227</f>
        <v>0</v>
      </c>
    </row>
    <row r="228" spans="1:7" ht="47.25" hidden="1" x14ac:dyDescent="0.25">
      <c r="A228" s="25" t="s">
        <v>198</v>
      </c>
      <c r="B228" s="20" t="s">
        <v>213</v>
      </c>
      <c r="C228" s="20" t="s">
        <v>219</v>
      </c>
      <c r="D228" s="20" t="s">
        <v>871</v>
      </c>
      <c r="E228" s="20" t="s">
        <v>132</v>
      </c>
      <c r="F228" s="6">
        <f>'Пр.3 Рд,пр, ЦС,ВР 22'!F234</f>
        <v>0</v>
      </c>
      <c r="G228" s="6">
        <f t="shared" si="15"/>
        <v>0</v>
      </c>
    </row>
    <row r="229" spans="1:7" ht="47.25" hidden="1" x14ac:dyDescent="0.25">
      <c r="A229" s="25" t="s">
        <v>133</v>
      </c>
      <c r="B229" s="20" t="s">
        <v>213</v>
      </c>
      <c r="C229" s="20" t="s">
        <v>219</v>
      </c>
      <c r="D229" s="20" t="s">
        <v>871</v>
      </c>
      <c r="E229" s="20" t="s">
        <v>134</v>
      </c>
      <c r="F229" s="6">
        <f>'Пр.3 Рд,пр, ЦС,ВР 22'!F235</f>
        <v>0</v>
      </c>
      <c r="G229" s="6">
        <f t="shared" si="15"/>
        <v>0</v>
      </c>
    </row>
    <row r="230" spans="1:7" ht="31.5" x14ac:dyDescent="0.25">
      <c r="A230" s="23" t="s">
        <v>222</v>
      </c>
      <c r="B230" s="24" t="s">
        <v>215</v>
      </c>
      <c r="C230" s="24"/>
      <c r="D230" s="24"/>
      <c r="E230" s="24"/>
      <c r="F230" s="4">
        <f t="shared" ref="F230:G231" si="16">F231</f>
        <v>8197.1</v>
      </c>
      <c r="G230" s="4">
        <f t="shared" si="16"/>
        <v>8197.1</v>
      </c>
    </row>
    <row r="231" spans="1:7" ht="63" x14ac:dyDescent="0.25">
      <c r="A231" s="23" t="s">
        <v>1345</v>
      </c>
      <c r="B231" s="24" t="s">
        <v>215</v>
      </c>
      <c r="C231" s="24" t="s">
        <v>244</v>
      </c>
      <c r="D231" s="20"/>
      <c r="E231" s="20"/>
      <c r="F231" s="4">
        <f t="shared" si="16"/>
        <v>8197.1</v>
      </c>
      <c r="G231" s="4">
        <f t="shared" si="16"/>
        <v>8197.1</v>
      </c>
    </row>
    <row r="232" spans="1:7" ht="15.75" x14ac:dyDescent="0.25">
      <c r="A232" s="23" t="s">
        <v>141</v>
      </c>
      <c r="B232" s="24" t="s">
        <v>215</v>
      </c>
      <c r="C232" s="24" t="s">
        <v>244</v>
      </c>
      <c r="D232" s="24" t="s">
        <v>866</v>
      </c>
      <c r="E232" s="24"/>
      <c r="F232" s="4">
        <f>F233+F240</f>
        <v>8197.1</v>
      </c>
      <c r="G232" s="4">
        <f>G233+G240</f>
        <v>8197.1</v>
      </c>
    </row>
    <row r="233" spans="1:7" ht="31.5" x14ac:dyDescent="0.25">
      <c r="A233" s="23" t="s">
        <v>870</v>
      </c>
      <c r="B233" s="24" t="s">
        <v>215</v>
      </c>
      <c r="C233" s="24" t="s">
        <v>244</v>
      </c>
      <c r="D233" s="24" t="s">
        <v>865</v>
      </c>
      <c r="E233" s="24"/>
      <c r="F233" s="4">
        <f>F234+F237</f>
        <v>2089</v>
      </c>
      <c r="G233" s="4">
        <f>G234+G237</f>
        <v>2089</v>
      </c>
    </row>
    <row r="234" spans="1:7" ht="47.25" x14ac:dyDescent="0.25">
      <c r="A234" s="25" t="s">
        <v>224</v>
      </c>
      <c r="B234" s="20" t="s">
        <v>215</v>
      </c>
      <c r="C234" s="20" t="s">
        <v>244</v>
      </c>
      <c r="D234" s="20" t="s">
        <v>875</v>
      </c>
      <c r="E234" s="20"/>
      <c r="F234" s="6">
        <f>F235</f>
        <v>1785</v>
      </c>
      <c r="G234" s="6">
        <f>G235</f>
        <v>1785</v>
      </c>
    </row>
    <row r="235" spans="1:7" ht="35.450000000000003" customHeight="1" x14ac:dyDescent="0.25">
      <c r="A235" s="25" t="s">
        <v>198</v>
      </c>
      <c r="B235" s="20" t="s">
        <v>215</v>
      </c>
      <c r="C235" s="20" t="s">
        <v>244</v>
      </c>
      <c r="D235" s="20" t="s">
        <v>875</v>
      </c>
      <c r="E235" s="20" t="s">
        <v>132</v>
      </c>
      <c r="F235" s="6">
        <f>F236</f>
        <v>1785</v>
      </c>
      <c r="G235" s="6">
        <f>G236</f>
        <v>1785</v>
      </c>
    </row>
    <row r="236" spans="1:7" ht="47.25" x14ac:dyDescent="0.25">
      <c r="A236" s="25" t="s">
        <v>133</v>
      </c>
      <c r="B236" s="20" t="s">
        <v>215</v>
      </c>
      <c r="C236" s="20" t="s">
        <v>244</v>
      </c>
      <c r="D236" s="20" t="s">
        <v>875</v>
      </c>
      <c r="E236" s="20" t="s">
        <v>134</v>
      </c>
      <c r="F236" s="6">
        <f>'пр.6.1.ведом.22-23'!G178</f>
        <v>1785</v>
      </c>
      <c r="G236" s="6">
        <f>'пр.6.1.ведом.22-23'!H178</f>
        <v>1785</v>
      </c>
    </row>
    <row r="237" spans="1:7" ht="15.75" x14ac:dyDescent="0.25">
      <c r="A237" s="25" t="s">
        <v>230</v>
      </c>
      <c r="B237" s="20" t="s">
        <v>215</v>
      </c>
      <c r="C237" s="20" t="s">
        <v>244</v>
      </c>
      <c r="D237" s="20" t="s">
        <v>876</v>
      </c>
      <c r="E237" s="20"/>
      <c r="F237" s="6">
        <f>F238</f>
        <v>304</v>
      </c>
      <c r="G237" s="6">
        <f>G238</f>
        <v>304</v>
      </c>
    </row>
    <row r="238" spans="1:7" ht="47.25" x14ac:dyDescent="0.25">
      <c r="A238" s="25" t="s">
        <v>198</v>
      </c>
      <c r="B238" s="20" t="s">
        <v>215</v>
      </c>
      <c r="C238" s="20" t="s">
        <v>244</v>
      </c>
      <c r="D238" s="20" t="s">
        <v>876</v>
      </c>
      <c r="E238" s="20" t="s">
        <v>132</v>
      </c>
      <c r="F238" s="6">
        <f>F239</f>
        <v>304</v>
      </c>
      <c r="G238" s="6">
        <f>G239</f>
        <v>304</v>
      </c>
    </row>
    <row r="239" spans="1:7" ht="47.25" x14ac:dyDescent="0.25">
      <c r="A239" s="25" t="s">
        <v>133</v>
      </c>
      <c r="B239" s="20" t="s">
        <v>215</v>
      </c>
      <c r="C239" s="20" t="s">
        <v>244</v>
      </c>
      <c r="D239" s="20" t="s">
        <v>876</v>
      </c>
      <c r="E239" s="20" t="s">
        <v>134</v>
      </c>
      <c r="F239" s="6">
        <f>'пр.6.1.ведом.22-23'!G181+'пр.6.1.ведом.22-23'!G852</f>
        <v>304</v>
      </c>
      <c r="G239" s="6">
        <f>'пр.6.1.ведом.22-23'!H181+'пр.6.1.ведом.22-23'!H852</f>
        <v>304</v>
      </c>
    </row>
    <row r="240" spans="1:7" ht="47.25" x14ac:dyDescent="0.25">
      <c r="A240" s="23" t="s">
        <v>923</v>
      </c>
      <c r="B240" s="24" t="s">
        <v>215</v>
      </c>
      <c r="C240" s="24" t="s">
        <v>244</v>
      </c>
      <c r="D240" s="24" t="s">
        <v>872</v>
      </c>
      <c r="E240" s="24"/>
      <c r="F240" s="4">
        <f>F241+F246</f>
        <v>6108.1</v>
      </c>
      <c r="G240" s="4">
        <f>G241+G246</f>
        <v>6108.1</v>
      </c>
    </row>
    <row r="241" spans="1:9" ht="31.5" x14ac:dyDescent="0.25">
      <c r="A241" s="25" t="s">
        <v>927</v>
      </c>
      <c r="B241" s="20" t="s">
        <v>215</v>
      </c>
      <c r="C241" s="20" t="s">
        <v>244</v>
      </c>
      <c r="D241" s="20" t="s">
        <v>873</v>
      </c>
      <c r="E241" s="20"/>
      <c r="F241" s="6">
        <f>F242+F244</f>
        <v>5856.1</v>
      </c>
      <c r="G241" s="6">
        <f>G242+G244</f>
        <v>5856.1</v>
      </c>
    </row>
    <row r="242" spans="1:9" ht="94.5" x14ac:dyDescent="0.25">
      <c r="A242" s="25" t="s">
        <v>127</v>
      </c>
      <c r="B242" s="20" t="s">
        <v>215</v>
      </c>
      <c r="C242" s="20" t="s">
        <v>244</v>
      </c>
      <c r="D242" s="20" t="s">
        <v>873</v>
      </c>
      <c r="E242" s="20" t="s">
        <v>128</v>
      </c>
      <c r="F242" s="6">
        <f>F243</f>
        <v>5693.1</v>
      </c>
      <c r="G242" s="6">
        <f>G243</f>
        <v>5693.1</v>
      </c>
    </row>
    <row r="243" spans="1:9" ht="31.5" x14ac:dyDescent="0.25">
      <c r="A243" s="25" t="s">
        <v>208</v>
      </c>
      <c r="B243" s="20" t="s">
        <v>215</v>
      </c>
      <c r="C243" s="20" t="s">
        <v>244</v>
      </c>
      <c r="D243" s="20" t="s">
        <v>873</v>
      </c>
      <c r="E243" s="20" t="s">
        <v>209</v>
      </c>
      <c r="F243" s="6">
        <f>'пр.6.1.ведом.22-23'!G185</f>
        <v>5693.1</v>
      </c>
      <c r="G243" s="6">
        <f>'пр.6.1.ведом.22-23'!H185</f>
        <v>5693.1</v>
      </c>
    </row>
    <row r="244" spans="1:9" ht="47.25" x14ac:dyDescent="0.25">
      <c r="A244" s="25" t="s">
        <v>198</v>
      </c>
      <c r="B244" s="20" t="s">
        <v>215</v>
      </c>
      <c r="C244" s="20" t="s">
        <v>244</v>
      </c>
      <c r="D244" s="20" t="s">
        <v>873</v>
      </c>
      <c r="E244" s="20" t="s">
        <v>132</v>
      </c>
      <c r="F244" s="6">
        <f>F245</f>
        <v>163</v>
      </c>
      <c r="G244" s="6">
        <f>G245</f>
        <v>163</v>
      </c>
    </row>
    <row r="245" spans="1:9" ht="47.25" x14ac:dyDescent="0.25">
      <c r="A245" s="25" t="s">
        <v>133</v>
      </c>
      <c r="B245" s="20" t="s">
        <v>215</v>
      </c>
      <c r="C245" s="20" t="s">
        <v>244</v>
      </c>
      <c r="D245" s="20" t="s">
        <v>873</v>
      </c>
      <c r="E245" s="20" t="s">
        <v>134</v>
      </c>
      <c r="F245" s="6">
        <f>'пр.6.1.ведом.22-23'!G187</f>
        <v>163</v>
      </c>
      <c r="G245" s="6">
        <f>'пр.6.1.ведом.22-23'!H187</f>
        <v>163</v>
      </c>
    </row>
    <row r="246" spans="1:9" ht="47.25" x14ac:dyDescent="0.25">
      <c r="A246" s="25" t="s">
        <v>839</v>
      </c>
      <c r="B246" s="20" t="s">
        <v>215</v>
      </c>
      <c r="C246" s="20" t="s">
        <v>244</v>
      </c>
      <c r="D246" s="20" t="s">
        <v>874</v>
      </c>
      <c r="E246" s="20"/>
      <c r="F246" s="6">
        <f>F247</f>
        <v>252</v>
      </c>
      <c r="G246" s="6">
        <f>G247</f>
        <v>252</v>
      </c>
    </row>
    <row r="247" spans="1:9" ht="94.5" x14ac:dyDescent="0.25">
      <c r="A247" s="25" t="s">
        <v>127</v>
      </c>
      <c r="B247" s="20" t="s">
        <v>215</v>
      </c>
      <c r="C247" s="20" t="s">
        <v>244</v>
      </c>
      <c r="D247" s="20" t="s">
        <v>874</v>
      </c>
      <c r="E247" s="20" t="s">
        <v>128</v>
      </c>
      <c r="F247" s="6">
        <f>F248</f>
        <v>252</v>
      </c>
      <c r="G247" s="6">
        <f>G248</f>
        <v>252</v>
      </c>
    </row>
    <row r="248" spans="1:9" ht="31.7" customHeight="1" x14ac:dyDescent="0.25">
      <c r="A248" s="25" t="s">
        <v>129</v>
      </c>
      <c r="B248" s="20" t="s">
        <v>215</v>
      </c>
      <c r="C248" s="20" t="s">
        <v>244</v>
      </c>
      <c r="D248" s="20" t="s">
        <v>874</v>
      </c>
      <c r="E248" s="20" t="s">
        <v>130</v>
      </c>
      <c r="F248" s="6">
        <f>'пр.6.1.ведом.22-23'!G190</f>
        <v>252</v>
      </c>
      <c r="G248" s="6">
        <f>'пр.6.1.ведом.22-23'!H190</f>
        <v>252</v>
      </c>
    </row>
    <row r="249" spans="1:9" ht="15.75" x14ac:dyDescent="0.25">
      <c r="A249" s="23" t="s">
        <v>232</v>
      </c>
      <c r="B249" s="24" t="s">
        <v>150</v>
      </c>
      <c r="C249" s="24"/>
      <c r="D249" s="24"/>
      <c r="E249" s="20"/>
      <c r="F249" s="4">
        <f t="shared" ref="F249" si="17">F263+F269+F283+F250</f>
        <v>6525.2</v>
      </c>
      <c r="G249" s="4">
        <f>G263+G269+G283+G250</f>
        <v>6535.8</v>
      </c>
    </row>
    <row r="250" spans="1:9" ht="15.75" x14ac:dyDescent="0.25">
      <c r="A250" s="23" t="s">
        <v>233</v>
      </c>
      <c r="B250" s="24" t="s">
        <v>150</v>
      </c>
      <c r="C250" s="24" t="s">
        <v>234</v>
      </c>
      <c r="D250" s="24"/>
      <c r="E250" s="20"/>
      <c r="F250" s="4">
        <f>F251</f>
        <v>274</v>
      </c>
      <c r="G250" s="4">
        <f>G251</f>
        <v>274</v>
      </c>
      <c r="H250" s="22"/>
      <c r="I250" s="22"/>
    </row>
    <row r="251" spans="1:9" ht="47.25" x14ac:dyDescent="0.25">
      <c r="A251" s="34" t="s">
        <v>1381</v>
      </c>
      <c r="B251" s="24" t="s">
        <v>150</v>
      </c>
      <c r="C251" s="24" t="s">
        <v>234</v>
      </c>
      <c r="D251" s="194" t="s">
        <v>182</v>
      </c>
      <c r="E251" s="222"/>
      <c r="F251" s="4">
        <f>F252+F259</f>
        <v>274</v>
      </c>
      <c r="G251" s="4">
        <f>G252+G259</f>
        <v>274</v>
      </c>
    </row>
    <row r="252" spans="1:9" ht="47.25" x14ac:dyDescent="0.25">
      <c r="A252" s="34" t="s">
        <v>1006</v>
      </c>
      <c r="B252" s="24" t="s">
        <v>150</v>
      </c>
      <c r="C252" s="24" t="s">
        <v>234</v>
      </c>
      <c r="D252" s="251" t="s">
        <v>877</v>
      </c>
      <c r="E252" s="222"/>
      <c r="F252" s="4">
        <f>F253+F256</f>
        <v>274</v>
      </c>
      <c r="G252" s="4">
        <f>G253+G256</f>
        <v>274</v>
      </c>
    </row>
    <row r="253" spans="1:9" ht="31.5" x14ac:dyDescent="0.25">
      <c r="A253" s="25" t="s">
        <v>235</v>
      </c>
      <c r="B253" s="20" t="s">
        <v>150</v>
      </c>
      <c r="C253" s="20" t="s">
        <v>234</v>
      </c>
      <c r="D253" s="20" t="s">
        <v>898</v>
      </c>
      <c r="E253" s="32"/>
      <c r="F253" s="6">
        <f>F254</f>
        <v>274</v>
      </c>
      <c r="G253" s="6">
        <f>G254</f>
        <v>274</v>
      </c>
    </row>
    <row r="254" spans="1:9" ht="15.75" x14ac:dyDescent="0.25">
      <c r="A254" s="29" t="s">
        <v>135</v>
      </c>
      <c r="B254" s="20" t="s">
        <v>150</v>
      </c>
      <c r="C254" s="20" t="s">
        <v>234</v>
      </c>
      <c r="D254" s="20" t="s">
        <v>898</v>
      </c>
      <c r="E254" s="32" t="s">
        <v>145</v>
      </c>
      <c r="F254" s="6">
        <f>F255</f>
        <v>274</v>
      </c>
      <c r="G254" s="6">
        <f>G255</f>
        <v>274</v>
      </c>
    </row>
    <row r="255" spans="1:9" ht="63" x14ac:dyDescent="0.25">
      <c r="A255" s="29" t="s">
        <v>184</v>
      </c>
      <c r="B255" s="20" t="s">
        <v>150</v>
      </c>
      <c r="C255" s="20" t="s">
        <v>234</v>
      </c>
      <c r="D255" s="20" t="s">
        <v>898</v>
      </c>
      <c r="E255" s="32" t="s">
        <v>160</v>
      </c>
      <c r="F255" s="6">
        <f>'пр.6.1.ведом.22-23'!G197</f>
        <v>274</v>
      </c>
      <c r="G255" s="6">
        <f>'пр.6.1.ведом.22-23'!H197</f>
        <v>274</v>
      </c>
    </row>
    <row r="256" spans="1:9" ht="31.5" hidden="1" x14ac:dyDescent="0.25">
      <c r="A256" s="25" t="s">
        <v>235</v>
      </c>
      <c r="B256" s="20" t="s">
        <v>150</v>
      </c>
      <c r="C256" s="20" t="s">
        <v>234</v>
      </c>
      <c r="D256" s="20" t="s">
        <v>880</v>
      </c>
      <c r="E256" s="20"/>
      <c r="F256" s="6">
        <f>F257</f>
        <v>0</v>
      </c>
      <c r="G256" s="6">
        <f>G257</f>
        <v>0</v>
      </c>
    </row>
    <row r="257" spans="1:7" ht="15.75" hidden="1" x14ac:dyDescent="0.25">
      <c r="A257" s="25" t="s">
        <v>135</v>
      </c>
      <c r="B257" s="20" t="s">
        <v>150</v>
      </c>
      <c r="C257" s="20" t="s">
        <v>234</v>
      </c>
      <c r="D257" s="20" t="s">
        <v>880</v>
      </c>
      <c r="E257" s="20" t="s">
        <v>145</v>
      </c>
      <c r="F257" s="6">
        <f>F258</f>
        <v>0</v>
      </c>
      <c r="G257" s="6">
        <f>G258</f>
        <v>0</v>
      </c>
    </row>
    <row r="258" spans="1:7" ht="63" hidden="1" x14ac:dyDescent="0.25">
      <c r="A258" s="25" t="s">
        <v>184</v>
      </c>
      <c r="B258" s="20" t="s">
        <v>150</v>
      </c>
      <c r="C258" s="20" t="s">
        <v>234</v>
      </c>
      <c r="D258" s="20" t="s">
        <v>880</v>
      </c>
      <c r="E258" s="20" t="s">
        <v>160</v>
      </c>
      <c r="F258" s="6">
        <f>'пр.6.1.ведом.22-23'!G200</f>
        <v>0</v>
      </c>
      <c r="G258" s="6">
        <f>'пр.6.1.ведом.22-23'!H200</f>
        <v>0</v>
      </c>
    </row>
    <row r="259" spans="1:7" ht="47.25" hidden="1" x14ac:dyDescent="0.25">
      <c r="A259" s="214" t="s">
        <v>1007</v>
      </c>
      <c r="B259" s="24" t="s">
        <v>150</v>
      </c>
      <c r="C259" s="24" t="s">
        <v>234</v>
      </c>
      <c r="D259" s="194" t="s">
        <v>879</v>
      </c>
      <c r="E259" s="222"/>
      <c r="F259" s="4">
        <f t="shared" ref="F259:G261" si="18">F260</f>
        <v>0</v>
      </c>
      <c r="G259" s="4">
        <f t="shared" si="18"/>
        <v>0</v>
      </c>
    </row>
    <row r="260" spans="1:7" ht="15.75" hidden="1" x14ac:dyDescent="0.25">
      <c r="A260" s="25" t="s">
        <v>878</v>
      </c>
      <c r="B260" s="20" t="s">
        <v>150</v>
      </c>
      <c r="C260" s="20" t="s">
        <v>234</v>
      </c>
      <c r="D260" s="5" t="s">
        <v>899</v>
      </c>
      <c r="E260" s="32"/>
      <c r="F260" s="6">
        <f t="shared" si="18"/>
        <v>0</v>
      </c>
      <c r="G260" s="6">
        <f t="shared" si="18"/>
        <v>0</v>
      </c>
    </row>
    <row r="261" spans="1:7" ht="15.75" hidden="1" x14ac:dyDescent="0.25">
      <c r="A261" s="29" t="s">
        <v>135</v>
      </c>
      <c r="B261" s="20" t="s">
        <v>150</v>
      </c>
      <c r="C261" s="20" t="s">
        <v>234</v>
      </c>
      <c r="D261" s="5" t="s">
        <v>899</v>
      </c>
      <c r="E261" s="32" t="s">
        <v>145</v>
      </c>
      <c r="F261" s="6">
        <f t="shared" si="18"/>
        <v>0</v>
      </c>
      <c r="G261" s="6">
        <f t="shared" si="18"/>
        <v>0</v>
      </c>
    </row>
    <row r="262" spans="1:7" ht="63" hidden="1" x14ac:dyDescent="0.25">
      <c r="A262" s="29" t="s">
        <v>184</v>
      </c>
      <c r="B262" s="20" t="s">
        <v>150</v>
      </c>
      <c r="C262" s="20" t="s">
        <v>234</v>
      </c>
      <c r="D262" s="5" t="s">
        <v>899</v>
      </c>
      <c r="E262" s="32" t="s">
        <v>160</v>
      </c>
      <c r="F262" s="6">
        <f>'пр.6.1.ведом.22-23'!G204</f>
        <v>0</v>
      </c>
      <c r="G262" s="6">
        <f>'пр.6.1.ведом.22-23'!H204</f>
        <v>0</v>
      </c>
    </row>
    <row r="263" spans="1:7" ht="15.75" x14ac:dyDescent="0.25">
      <c r="A263" s="23" t="s">
        <v>505</v>
      </c>
      <c r="B263" s="24" t="s">
        <v>150</v>
      </c>
      <c r="C263" s="24" t="s">
        <v>299</v>
      </c>
      <c r="D263" s="24"/>
      <c r="E263" s="24"/>
      <c r="F263" s="4">
        <f t="shared" ref="F263:G265" si="19">F264</f>
        <v>3258</v>
      </c>
      <c r="G263" s="4">
        <f t="shared" si="19"/>
        <v>3258</v>
      </c>
    </row>
    <row r="264" spans="1:7" ht="15.75" x14ac:dyDescent="0.25">
      <c r="A264" s="23" t="s">
        <v>141</v>
      </c>
      <c r="B264" s="24" t="s">
        <v>150</v>
      </c>
      <c r="C264" s="24" t="s">
        <v>299</v>
      </c>
      <c r="D264" s="24" t="s">
        <v>866</v>
      </c>
      <c r="E264" s="24"/>
      <c r="F264" s="4">
        <f t="shared" si="19"/>
        <v>3258</v>
      </c>
      <c r="G264" s="4">
        <f t="shared" si="19"/>
        <v>3258</v>
      </c>
    </row>
    <row r="265" spans="1:7" ht="31.5" x14ac:dyDescent="0.25">
      <c r="A265" s="23" t="s">
        <v>870</v>
      </c>
      <c r="B265" s="24" t="s">
        <v>150</v>
      </c>
      <c r="C265" s="24" t="s">
        <v>299</v>
      </c>
      <c r="D265" s="24" t="s">
        <v>865</v>
      </c>
      <c r="E265" s="24"/>
      <c r="F265" s="4">
        <f t="shared" si="19"/>
        <v>3258</v>
      </c>
      <c r="G265" s="4">
        <f t="shared" si="19"/>
        <v>3258</v>
      </c>
    </row>
    <row r="266" spans="1:7" ht="31.5" x14ac:dyDescent="0.25">
      <c r="A266" s="25" t="s">
        <v>506</v>
      </c>
      <c r="B266" s="20" t="s">
        <v>150</v>
      </c>
      <c r="C266" s="20" t="s">
        <v>299</v>
      </c>
      <c r="D266" s="20" t="s">
        <v>957</v>
      </c>
      <c r="E266" s="20"/>
      <c r="F266" s="6">
        <f>F267</f>
        <v>3258</v>
      </c>
      <c r="G266" s="6">
        <f>G267</f>
        <v>3258</v>
      </c>
    </row>
    <row r="267" spans="1:7" ht="31.5" x14ac:dyDescent="0.25">
      <c r="A267" s="25" t="s">
        <v>131</v>
      </c>
      <c r="B267" s="20" t="s">
        <v>150</v>
      </c>
      <c r="C267" s="20" t="s">
        <v>299</v>
      </c>
      <c r="D267" s="20" t="s">
        <v>957</v>
      </c>
      <c r="E267" s="20" t="s">
        <v>132</v>
      </c>
      <c r="F267" s="6">
        <f>F268</f>
        <v>3258</v>
      </c>
      <c r="G267" s="6">
        <f>G268</f>
        <v>3258</v>
      </c>
    </row>
    <row r="268" spans="1:7" ht="47.25" x14ac:dyDescent="0.25">
      <c r="A268" s="25" t="s">
        <v>133</v>
      </c>
      <c r="B268" s="20" t="s">
        <v>150</v>
      </c>
      <c r="C268" s="20" t="s">
        <v>299</v>
      </c>
      <c r="D268" s="20" t="s">
        <v>957</v>
      </c>
      <c r="E268" s="20" t="s">
        <v>134</v>
      </c>
      <c r="F268" s="6">
        <f>'пр.6.1.ведом.22-23'!G859</f>
        <v>3258</v>
      </c>
      <c r="G268" s="6">
        <f>'пр.6.1.ведом.22-23'!H859</f>
        <v>3258</v>
      </c>
    </row>
    <row r="269" spans="1:7" ht="15.75" x14ac:dyDescent="0.25">
      <c r="A269" s="23" t="s">
        <v>508</v>
      </c>
      <c r="B269" s="24" t="s">
        <v>150</v>
      </c>
      <c r="C269" s="24" t="s">
        <v>219</v>
      </c>
      <c r="D269" s="20"/>
      <c r="E269" s="24"/>
      <c r="F269" s="4">
        <f t="shared" ref="F269:G269" si="20">F270</f>
        <v>2319</v>
      </c>
      <c r="G269" s="4">
        <f t="shared" si="20"/>
        <v>2319</v>
      </c>
    </row>
    <row r="270" spans="1:7" ht="47.25" x14ac:dyDescent="0.25">
      <c r="A270" s="34" t="s">
        <v>1370</v>
      </c>
      <c r="B270" s="24" t="s">
        <v>150</v>
      </c>
      <c r="C270" s="24" t="s">
        <v>219</v>
      </c>
      <c r="D270" s="24" t="s">
        <v>510</v>
      </c>
      <c r="E270" s="24"/>
      <c r="F270" s="59">
        <f>F271+F275</f>
        <v>2319</v>
      </c>
      <c r="G270" s="59">
        <f>G271+G275</f>
        <v>2319</v>
      </c>
    </row>
    <row r="271" spans="1:7" ht="31.5" hidden="1" x14ac:dyDescent="0.25">
      <c r="A271" s="34" t="s">
        <v>999</v>
      </c>
      <c r="B271" s="24" t="s">
        <v>150</v>
      </c>
      <c r="C271" s="24" t="s">
        <v>219</v>
      </c>
      <c r="D271" s="7" t="s">
        <v>958</v>
      </c>
      <c r="E271" s="24"/>
      <c r="F271" s="59">
        <f t="shared" ref="F271:G273" si="21">F272</f>
        <v>0</v>
      </c>
      <c r="G271" s="59">
        <f t="shared" si="21"/>
        <v>0</v>
      </c>
    </row>
    <row r="272" spans="1:7" ht="15.75" hidden="1" x14ac:dyDescent="0.25">
      <c r="A272" s="29" t="s">
        <v>1001</v>
      </c>
      <c r="B272" s="20" t="s">
        <v>150</v>
      </c>
      <c r="C272" s="20" t="s">
        <v>219</v>
      </c>
      <c r="D272" s="40" t="s">
        <v>1000</v>
      </c>
      <c r="E272" s="20"/>
      <c r="F272" s="6">
        <f t="shared" si="21"/>
        <v>0</v>
      </c>
      <c r="G272" s="6">
        <f t="shared" si="21"/>
        <v>0</v>
      </c>
    </row>
    <row r="273" spans="1:7" ht="31.5" hidden="1" x14ac:dyDescent="0.25">
      <c r="A273" s="25" t="s">
        <v>131</v>
      </c>
      <c r="B273" s="20" t="s">
        <v>150</v>
      </c>
      <c r="C273" s="20" t="s">
        <v>219</v>
      </c>
      <c r="D273" s="40" t="s">
        <v>1000</v>
      </c>
      <c r="E273" s="20" t="s">
        <v>132</v>
      </c>
      <c r="F273" s="6">
        <f t="shared" si="21"/>
        <v>0</v>
      </c>
      <c r="G273" s="6">
        <f t="shared" si="21"/>
        <v>0</v>
      </c>
    </row>
    <row r="274" spans="1:7" ht="47.25" hidden="1" x14ac:dyDescent="0.25">
      <c r="A274" s="25" t="s">
        <v>133</v>
      </c>
      <c r="B274" s="20" t="s">
        <v>150</v>
      </c>
      <c r="C274" s="20" t="s">
        <v>219</v>
      </c>
      <c r="D274" s="40" t="s">
        <v>1000</v>
      </c>
      <c r="E274" s="20" t="s">
        <v>134</v>
      </c>
      <c r="F274" s="6">
        <f>'пр.6.1.ведом.22-23'!G865</f>
        <v>0</v>
      </c>
      <c r="G274" s="6">
        <f>'пр.6.1.ведом.22-23'!H865</f>
        <v>0</v>
      </c>
    </row>
    <row r="275" spans="1:7" ht="47.25" x14ac:dyDescent="0.25">
      <c r="A275" s="34" t="s">
        <v>1060</v>
      </c>
      <c r="B275" s="24" t="s">
        <v>150</v>
      </c>
      <c r="C275" s="24" t="s">
        <v>219</v>
      </c>
      <c r="D275" s="24" t="s">
        <v>959</v>
      </c>
      <c r="E275" s="24"/>
      <c r="F275" s="388">
        <f t="shared" ref="F275:G279" si="22">F276</f>
        <v>2319</v>
      </c>
      <c r="G275" s="388">
        <f t="shared" si="22"/>
        <v>2319</v>
      </c>
    </row>
    <row r="276" spans="1:7" ht="15.75" x14ac:dyDescent="0.25">
      <c r="A276" s="29" t="s">
        <v>511</v>
      </c>
      <c r="B276" s="20" t="s">
        <v>150</v>
      </c>
      <c r="C276" s="20" t="s">
        <v>219</v>
      </c>
      <c r="D276" s="40" t="s">
        <v>1002</v>
      </c>
      <c r="E276" s="20"/>
      <c r="F276" s="6">
        <f>F279+F277</f>
        <v>2319</v>
      </c>
      <c r="G276" s="6">
        <f>G279+G277</f>
        <v>2319</v>
      </c>
    </row>
    <row r="277" spans="1:7" s="203" customFormat="1" ht="94.5" x14ac:dyDescent="0.25">
      <c r="A277" s="25" t="s">
        <v>127</v>
      </c>
      <c r="B277" s="20" t="s">
        <v>150</v>
      </c>
      <c r="C277" s="20" t="s">
        <v>219</v>
      </c>
      <c r="D277" s="40" t="s">
        <v>1002</v>
      </c>
      <c r="E277" s="20" t="s">
        <v>128</v>
      </c>
      <c r="F277" s="26">
        <f>F278</f>
        <v>1807</v>
      </c>
      <c r="G277" s="26">
        <f>G278</f>
        <v>1807</v>
      </c>
    </row>
    <row r="278" spans="1:7" s="203" customFormat="1" ht="31.5" x14ac:dyDescent="0.25">
      <c r="A278" s="25" t="s">
        <v>342</v>
      </c>
      <c r="B278" s="20" t="s">
        <v>150</v>
      </c>
      <c r="C278" s="20" t="s">
        <v>219</v>
      </c>
      <c r="D278" s="40" t="s">
        <v>1002</v>
      </c>
      <c r="E278" s="20" t="s">
        <v>209</v>
      </c>
      <c r="F278" s="26">
        <f>'пр.6.1.ведом.22-23'!G869</f>
        <v>1807</v>
      </c>
      <c r="G278" s="26">
        <f>'пр.6.1.ведом.22-23'!H869</f>
        <v>1807</v>
      </c>
    </row>
    <row r="279" spans="1:7" ht="31.5" x14ac:dyDescent="0.25">
      <c r="A279" s="25" t="s">
        <v>131</v>
      </c>
      <c r="B279" s="20" t="s">
        <v>150</v>
      </c>
      <c r="C279" s="20" t="s">
        <v>219</v>
      </c>
      <c r="D279" s="40" t="s">
        <v>1002</v>
      </c>
      <c r="E279" s="20" t="s">
        <v>132</v>
      </c>
      <c r="F279" s="6">
        <f t="shared" si="22"/>
        <v>512</v>
      </c>
      <c r="G279" s="6">
        <f t="shared" si="22"/>
        <v>512</v>
      </c>
    </row>
    <row r="280" spans="1:7" ht="47.25" x14ac:dyDescent="0.25">
      <c r="A280" s="25" t="s">
        <v>133</v>
      </c>
      <c r="B280" s="20" t="s">
        <v>150</v>
      </c>
      <c r="C280" s="20" t="s">
        <v>219</v>
      </c>
      <c r="D280" s="40" t="s">
        <v>1002</v>
      </c>
      <c r="E280" s="20" t="s">
        <v>134</v>
      </c>
      <c r="F280" s="6">
        <f>'пр.6.1.ведом.22-23'!G871</f>
        <v>512</v>
      </c>
      <c r="G280" s="6">
        <f>'пр.6.1.ведом.22-23'!H871</f>
        <v>512</v>
      </c>
    </row>
    <row r="281" spans="1:7" ht="15.75" x14ac:dyDescent="0.25">
      <c r="A281" s="25" t="s">
        <v>135</v>
      </c>
      <c r="B281" s="20" t="s">
        <v>150</v>
      </c>
      <c r="C281" s="20" t="s">
        <v>219</v>
      </c>
      <c r="D281" s="40" t="s">
        <v>1002</v>
      </c>
      <c r="E281" s="20" t="s">
        <v>145</v>
      </c>
      <c r="F281" s="6">
        <f>'Пр.3 Рд,пр, ЦС,ВР 22'!F292</f>
        <v>0</v>
      </c>
      <c r="G281" s="6">
        <f t="shared" si="15"/>
        <v>0</v>
      </c>
    </row>
    <row r="282" spans="1:7" ht="15.75" x14ac:dyDescent="0.25">
      <c r="A282" s="25" t="s">
        <v>568</v>
      </c>
      <c r="B282" s="20" t="s">
        <v>150</v>
      </c>
      <c r="C282" s="20" t="s">
        <v>219</v>
      </c>
      <c r="D282" s="40" t="s">
        <v>1002</v>
      </c>
      <c r="E282" s="20" t="s">
        <v>138</v>
      </c>
      <c r="F282" s="6">
        <f>'Пр.3 Рд,пр, ЦС,ВР 22'!F293</f>
        <v>0</v>
      </c>
      <c r="G282" s="6">
        <f t="shared" si="15"/>
        <v>0</v>
      </c>
    </row>
    <row r="283" spans="1:7" ht="31.5" x14ac:dyDescent="0.25">
      <c r="A283" s="23" t="s">
        <v>237</v>
      </c>
      <c r="B283" s="24" t="s">
        <v>150</v>
      </c>
      <c r="C283" s="24" t="s">
        <v>238</v>
      </c>
      <c r="D283" s="24"/>
      <c r="E283" s="24"/>
      <c r="F283" s="59">
        <f>F284+F291+F309</f>
        <v>674.2</v>
      </c>
      <c r="G283" s="59">
        <f>G284+G291+G309</f>
        <v>684.8</v>
      </c>
    </row>
    <row r="284" spans="1:7" ht="31.5" x14ac:dyDescent="0.25">
      <c r="A284" s="23" t="s">
        <v>917</v>
      </c>
      <c r="B284" s="24" t="s">
        <v>150</v>
      </c>
      <c r="C284" s="24" t="s">
        <v>238</v>
      </c>
      <c r="D284" s="24" t="s">
        <v>858</v>
      </c>
      <c r="E284" s="24"/>
      <c r="F284" s="59">
        <f>F285</f>
        <v>264.2</v>
      </c>
      <c r="G284" s="59">
        <f>G285</f>
        <v>274.8</v>
      </c>
    </row>
    <row r="285" spans="1:7" ht="47.25" x14ac:dyDescent="0.25">
      <c r="A285" s="23" t="s">
        <v>885</v>
      </c>
      <c r="B285" s="24" t="s">
        <v>150</v>
      </c>
      <c r="C285" s="24" t="s">
        <v>238</v>
      </c>
      <c r="D285" s="24" t="s">
        <v>863</v>
      </c>
      <c r="E285" s="24"/>
      <c r="F285" s="59">
        <f>F286</f>
        <v>264.2</v>
      </c>
      <c r="G285" s="59">
        <f>G286</f>
        <v>274.8</v>
      </c>
    </row>
    <row r="286" spans="1:7" ht="63" x14ac:dyDescent="0.25">
      <c r="A286" s="31" t="s">
        <v>241</v>
      </c>
      <c r="B286" s="20" t="s">
        <v>150</v>
      </c>
      <c r="C286" s="20" t="s">
        <v>238</v>
      </c>
      <c r="D286" s="20" t="s">
        <v>924</v>
      </c>
      <c r="E286" s="20"/>
      <c r="F286" s="6">
        <f>F287+F289</f>
        <v>264.2</v>
      </c>
      <c r="G286" s="6">
        <f>G287+G289</f>
        <v>274.8</v>
      </c>
    </row>
    <row r="287" spans="1:7" ht="94.5" x14ac:dyDescent="0.25">
      <c r="A287" s="25" t="s">
        <v>127</v>
      </c>
      <c r="B287" s="20" t="s">
        <v>150</v>
      </c>
      <c r="C287" s="20" t="s">
        <v>238</v>
      </c>
      <c r="D287" s="20" t="s">
        <v>924</v>
      </c>
      <c r="E287" s="20" t="s">
        <v>128</v>
      </c>
      <c r="F287" s="6">
        <f>F288</f>
        <v>205.8</v>
      </c>
      <c r="G287" s="6">
        <f>G288</f>
        <v>205.8</v>
      </c>
    </row>
    <row r="288" spans="1:7" ht="31.5" x14ac:dyDescent="0.25">
      <c r="A288" s="25" t="s">
        <v>129</v>
      </c>
      <c r="B288" s="20" t="s">
        <v>150</v>
      </c>
      <c r="C288" s="20" t="s">
        <v>238</v>
      </c>
      <c r="D288" s="20" t="s">
        <v>924</v>
      </c>
      <c r="E288" s="20" t="s">
        <v>130</v>
      </c>
      <c r="F288" s="6">
        <f>'пр.6.1.ведом.22-23'!G210</f>
        <v>205.8</v>
      </c>
      <c r="G288" s="6">
        <f>'пр.6.1.ведом.22-23'!H210</f>
        <v>205.8</v>
      </c>
    </row>
    <row r="289" spans="1:7" ht="31.5" x14ac:dyDescent="0.25">
      <c r="A289" s="25" t="s">
        <v>131</v>
      </c>
      <c r="B289" s="20" t="s">
        <v>150</v>
      </c>
      <c r="C289" s="20" t="s">
        <v>238</v>
      </c>
      <c r="D289" s="20" t="s">
        <v>924</v>
      </c>
      <c r="E289" s="20" t="s">
        <v>132</v>
      </c>
      <c r="F289" s="6">
        <f>F290</f>
        <v>58.4</v>
      </c>
      <c r="G289" s="6">
        <f>G290</f>
        <v>69</v>
      </c>
    </row>
    <row r="290" spans="1:7" ht="47.25" x14ac:dyDescent="0.25">
      <c r="A290" s="25" t="s">
        <v>133</v>
      </c>
      <c r="B290" s="20" t="s">
        <v>150</v>
      </c>
      <c r="C290" s="20" t="s">
        <v>238</v>
      </c>
      <c r="D290" s="20" t="s">
        <v>924</v>
      </c>
      <c r="E290" s="20" t="s">
        <v>134</v>
      </c>
      <c r="F290" s="6">
        <f>'пр.6.1.ведом.22-23'!G212</f>
        <v>58.4</v>
      </c>
      <c r="G290" s="6">
        <f>'пр.6.1.ведом.22-23'!H212</f>
        <v>69</v>
      </c>
    </row>
    <row r="291" spans="1:7" ht="47.25" x14ac:dyDescent="0.25">
      <c r="A291" s="23" t="s">
        <v>1372</v>
      </c>
      <c r="B291" s="24" t="s">
        <v>150</v>
      </c>
      <c r="C291" s="24" t="s">
        <v>238</v>
      </c>
      <c r="D291" s="24" t="s">
        <v>344</v>
      </c>
      <c r="E291" s="222"/>
      <c r="F291" s="59">
        <f>F292</f>
        <v>260</v>
      </c>
      <c r="G291" s="59">
        <f>G292</f>
        <v>260</v>
      </c>
    </row>
    <row r="292" spans="1:7" ht="63" x14ac:dyDescent="0.25">
      <c r="A292" s="23" t="s">
        <v>367</v>
      </c>
      <c r="B292" s="24" t="s">
        <v>150</v>
      </c>
      <c r="C292" s="24" t="s">
        <v>238</v>
      </c>
      <c r="D292" s="24" t="s">
        <v>356</v>
      </c>
      <c r="E292" s="24"/>
      <c r="F292" s="59">
        <f>F293+F297+F301+F305</f>
        <v>260</v>
      </c>
      <c r="G292" s="59">
        <f>G293+G297+G301+G305</f>
        <v>260</v>
      </c>
    </row>
    <row r="293" spans="1:7" ht="47.25" hidden="1" x14ac:dyDescent="0.25">
      <c r="A293" s="215" t="s">
        <v>1042</v>
      </c>
      <c r="B293" s="24" t="s">
        <v>150</v>
      </c>
      <c r="C293" s="24" t="s">
        <v>238</v>
      </c>
      <c r="D293" s="24" t="s">
        <v>907</v>
      </c>
      <c r="E293" s="24"/>
      <c r="F293" s="59">
        <f>F294</f>
        <v>0</v>
      </c>
      <c r="G293" s="59">
        <f>G294</f>
        <v>0</v>
      </c>
    </row>
    <row r="294" spans="1:7" ht="63" hidden="1" x14ac:dyDescent="0.25">
      <c r="A294" s="25" t="s">
        <v>375</v>
      </c>
      <c r="B294" s="20" t="s">
        <v>150</v>
      </c>
      <c r="C294" s="20" t="s">
        <v>238</v>
      </c>
      <c r="D294" s="20" t="s">
        <v>1316</v>
      </c>
      <c r="E294" s="20"/>
      <c r="F294" s="6">
        <f>'Пр.3 Рд,пр, ЦС,ВР 22'!F305</f>
        <v>0</v>
      </c>
      <c r="G294" s="6">
        <f t="shared" ref="G294:G341" si="23">F294</f>
        <v>0</v>
      </c>
    </row>
    <row r="295" spans="1:7" ht="31.5" hidden="1" x14ac:dyDescent="0.25">
      <c r="A295" s="25" t="s">
        <v>248</v>
      </c>
      <c r="B295" s="20" t="s">
        <v>150</v>
      </c>
      <c r="C295" s="20" t="s">
        <v>238</v>
      </c>
      <c r="D295" s="20" t="s">
        <v>1316</v>
      </c>
      <c r="E295" s="20" t="s">
        <v>249</v>
      </c>
      <c r="F295" s="6">
        <f>'Пр.3 Рд,пр, ЦС,ВР 22'!F306</f>
        <v>0</v>
      </c>
      <c r="G295" s="6">
        <f t="shared" si="23"/>
        <v>0</v>
      </c>
    </row>
    <row r="296" spans="1:7" ht="31.5" hidden="1" x14ac:dyDescent="0.25">
      <c r="A296" s="25" t="s">
        <v>250</v>
      </c>
      <c r="B296" s="20" t="s">
        <v>150</v>
      </c>
      <c r="C296" s="20" t="s">
        <v>238</v>
      </c>
      <c r="D296" s="20" t="s">
        <v>1316</v>
      </c>
      <c r="E296" s="20" t="s">
        <v>251</v>
      </c>
      <c r="F296" s="6">
        <f>'Пр.3 Рд,пр, ЦС,ВР 22'!F307</f>
        <v>0</v>
      </c>
      <c r="G296" s="6">
        <f t="shared" si="23"/>
        <v>0</v>
      </c>
    </row>
    <row r="297" spans="1:7" ht="47.25" x14ac:dyDescent="0.25">
      <c r="A297" s="23" t="s">
        <v>1041</v>
      </c>
      <c r="B297" s="24" t="s">
        <v>150</v>
      </c>
      <c r="C297" s="24" t="s">
        <v>238</v>
      </c>
      <c r="D297" s="24" t="s">
        <v>1199</v>
      </c>
      <c r="E297" s="24"/>
      <c r="F297" s="59">
        <f t="shared" ref="F297:G299" si="24">F298</f>
        <v>260</v>
      </c>
      <c r="G297" s="59">
        <f t="shared" si="24"/>
        <v>260</v>
      </c>
    </row>
    <row r="298" spans="1:7" ht="126" x14ac:dyDescent="0.25">
      <c r="A298" s="25" t="s">
        <v>1501</v>
      </c>
      <c r="B298" s="20" t="s">
        <v>150</v>
      </c>
      <c r="C298" s="20" t="s">
        <v>238</v>
      </c>
      <c r="D298" s="20" t="s">
        <v>1200</v>
      </c>
      <c r="E298" s="20"/>
      <c r="F298" s="6">
        <f t="shared" si="24"/>
        <v>260</v>
      </c>
      <c r="G298" s="6">
        <f t="shared" si="24"/>
        <v>260</v>
      </c>
    </row>
    <row r="299" spans="1:7" ht="15.75" x14ac:dyDescent="0.25">
      <c r="A299" s="25" t="s">
        <v>135</v>
      </c>
      <c r="B299" s="20" t="s">
        <v>150</v>
      </c>
      <c r="C299" s="20" t="s">
        <v>238</v>
      </c>
      <c r="D299" s="20" t="s">
        <v>1200</v>
      </c>
      <c r="E299" s="20" t="s">
        <v>145</v>
      </c>
      <c r="F299" s="6">
        <f t="shared" si="24"/>
        <v>260</v>
      </c>
      <c r="G299" s="6">
        <f t="shared" si="24"/>
        <v>260</v>
      </c>
    </row>
    <row r="300" spans="1:7" ht="63" x14ac:dyDescent="0.25">
      <c r="A300" s="25" t="s">
        <v>184</v>
      </c>
      <c r="B300" s="20" t="s">
        <v>150</v>
      </c>
      <c r="C300" s="20" t="s">
        <v>238</v>
      </c>
      <c r="D300" s="20" t="s">
        <v>1200</v>
      </c>
      <c r="E300" s="20" t="s">
        <v>160</v>
      </c>
      <c r="F300" s="6">
        <f>'пр.6.1.ведом.22-23'!G284</f>
        <v>260</v>
      </c>
      <c r="G300" s="6">
        <f>'пр.6.1.ведом.22-23'!H284</f>
        <v>260</v>
      </c>
    </row>
    <row r="301" spans="1:7" ht="31.5" hidden="1" x14ac:dyDescent="0.25">
      <c r="A301" s="23" t="s">
        <v>995</v>
      </c>
      <c r="B301" s="24" t="s">
        <v>150</v>
      </c>
      <c r="C301" s="24" t="s">
        <v>238</v>
      </c>
      <c r="D301" s="24" t="s">
        <v>1309</v>
      </c>
      <c r="E301" s="24"/>
      <c r="F301" s="59">
        <f>F302</f>
        <v>0</v>
      </c>
      <c r="G301" s="59">
        <f>G302</f>
        <v>0</v>
      </c>
    </row>
    <row r="302" spans="1:7" ht="47.25" hidden="1" x14ac:dyDescent="0.25">
      <c r="A302" s="252" t="s">
        <v>1043</v>
      </c>
      <c r="B302" s="20" t="s">
        <v>150</v>
      </c>
      <c r="C302" s="20" t="s">
        <v>238</v>
      </c>
      <c r="D302" s="20" t="s">
        <v>1310</v>
      </c>
      <c r="E302" s="20"/>
      <c r="F302" s="6">
        <f>'Пр.3 Рд,пр, ЦС,ВР 22'!F313</f>
        <v>0</v>
      </c>
      <c r="G302" s="6">
        <f t="shared" si="23"/>
        <v>0</v>
      </c>
    </row>
    <row r="303" spans="1:7" ht="31.5" hidden="1" x14ac:dyDescent="0.25">
      <c r="A303" s="25" t="s">
        <v>131</v>
      </c>
      <c r="B303" s="20" t="s">
        <v>150</v>
      </c>
      <c r="C303" s="20" t="s">
        <v>238</v>
      </c>
      <c r="D303" s="20" t="s">
        <v>1310</v>
      </c>
      <c r="E303" s="20" t="s">
        <v>132</v>
      </c>
      <c r="F303" s="6">
        <f>'Пр.3 Рд,пр, ЦС,ВР 22'!F314</f>
        <v>0</v>
      </c>
      <c r="G303" s="6">
        <f t="shared" si="23"/>
        <v>0</v>
      </c>
    </row>
    <row r="304" spans="1:7" ht="47.25" hidden="1" x14ac:dyDescent="0.25">
      <c r="A304" s="25" t="s">
        <v>133</v>
      </c>
      <c r="B304" s="20" t="s">
        <v>150</v>
      </c>
      <c r="C304" s="20" t="s">
        <v>238</v>
      </c>
      <c r="D304" s="20" t="s">
        <v>1310</v>
      </c>
      <c r="E304" s="20" t="s">
        <v>134</v>
      </c>
      <c r="F304" s="6">
        <f>'Пр.3 Рд,пр, ЦС,ВР 22'!F315</f>
        <v>0</v>
      </c>
      <c r="G304" s="6">
        <f t="shared" si="23"/>
        <v>0</v>
      </c>
    </row>
    <row r="305" spans="1:9" s="203" customFormat="1" ht="47.25" hidden="1" x14ac:dyDescent="0.25">
      <c r="A305" s="212" t="s">
        <v>1102</v>
      </c>
      <c r="B305" s="24" t="s">
        <v>150</v>
      </c>
      <c r="C305" s="24" t="s">
        <v>238</v>
      </c>
      <c r="D305" s="24" t="s">
        <v>1201</v>
      </c>
      <c r="E305" s="24"/>
      <c r="F305" s="21">
        <f t="shared" ref="F305:G307" si="25">F306</f>
        <v>0</v>
      </c>
      <c r="G305" s="21">
        <f t="shared" si="25"/>
        <v>0</v>
      </c>
    </row>
    <row r="306" spans="1:9" s="203" customFormat="1" ht="31.5" hidden="1" x14ac:dyDescent="0.25">
      <c r="A306" s="231" t="s">
        <v>1103</v>
      </c>
      <c r="B306" s="20" t="s">
        <v>150</v>
      </c>
      <c r="C306" s="20" t="s">
        <v>238</v>
      </c>
      <c r="D306" s="20" t="s">
        <v>1202</v>
      </c>
      <c r="E306" s="20"/>
      <c r="F306" s="26">
        <f t="shared" si="25"/>
        <v>0</v>
      </c>
      <c r="G306" s="6">
        <f t="shared" si="25"/>
        <v>0</v>
      </c>
    </row>
    <row r="307" spans="1:9" s="203" customFormat="1" ht="31.5" hidden="1" x14ac:dyDescent="0.25">
      <c r="A307" s="25" t="s">
        <v>131</v>
      </c>
      <c r="B307" s="20" t="s">
        <v>150</v>
      </c>
      <c r="C307" s="20" t="s">
        <v>238</v>
      </c>
      <c r="D307" s="20" t="s">
        <v>1202</v>
      </c>
      <c r="E307" s="20" t="s">
        <v>132</v>
      </c>
      <c r="F307" s="26">
        <f t="shared" si="25"/>
        <v>0</v>
      </c>
      <c r="G307" s="6">
        <f t="shared" si="25"/>
        <v>0</v>
      </c>
    </row>
    <row r="308" spans="1:9" s="203" customFormat="1" ht="47.25" hidden="1" x14ac:dyDescent="0.25">
      <c r="A308" s="25" t="s">
        <v>133</v>
      </c>
      <c r="B308" s="20" t="s">
        <v>150</v>
      </c>
      <c r="C308" s="20" t="s">
        <v>238</v>
      </c>
      <c r="D308" s="20" t="s">
        <v>1202</v>
      </c>
      <c r="E308" s="20" t="s">
        <v>134</v>
      </c>
      <c r="F308" s="26">
        <f>'пр.6.1.ведом.22-23'!G292</f>
        <v>0</v>
      </c>
      <c r="G308" s="6">
        <f>'пр.6.1.ведом.22-23'!H292</f>
        <v>0</v>
      </c>
    </row>
    <row r="309" spans="1:9" ht="47.25" x14ac:dyDescent="0.25">
      <c r="A309" s="23" t="s">
        <v>1336</v>
      </c>
      <c r="B309" s="24" t="s">
        <v>150</v>
      </c>
      <c r="C309" s="24" t="s">
        <v>238</v>
      </c>
      <c r="D309" s="24" t="s">
        <v>156</v>
      </c>
      <c r="E309" s="24"/>
      <c r="F309" s="59">
        <f t="shared" ref="F309:G312" si="26">F310</f>
        <v>150</v>
      </c>
      <c r="G309" s="59">
        <f t="shared" si="26"/>
        <v>150</v>
      </c>
    </row>
    <row r="310" spans="1:9" ht="47.25" x14ac:dyDescent="0.25">
      <c r="A310" s="23" t="s">
        <v>1064</v>
      </c>
      <c r="B310" s="24" t="s">
        <v>150</v>
      </c>
      <c r="C310" s="24" t="s">
        <v>238</v>
      </c>
      <c r="D310" s="24" t="s">
        <v>1061</v>
      </c>
      <c r="E310" s="24"/>
      <c r="F310" s="59">
        <f t="shared" si="26"/>
        <v>150</v>
      </c>
      <c r="G310" s="59">
        <f t="shared" si="26"/>
        <v>150</v>
      </c>
    </row>
    <row r="311" spans="1:9" ht="31.5" x14ac:dyDescent="0.25">
      <c r="A311" s="25" t="s">
        <v>1065</v>
      </c>
      <c r="B311" s="20" t="s">
        <v>150</v>
      </c>
      <c r="C311" s="20" t="s">
        <v>238</v>
      </c>
      <c r="D311" s="20" t="s">
        <v>1062</v>
      </c>
      <c r="E311" s="20"/>
      <c r="F311" s="6">
        <f t="shared" si="26"/>
        <v>150</v>
      </c>
      <c r="G311" s="6">
        <f t="shared" si="26"/>
        <v>150</v>
      </c>
    </row>
    <row r="312" spans="1:9" ht="15.75" x14ac:dyDescent="0.25">
      <c r="A312" s="25" t="s">
        <v>135</v>
      </c>
      <c r="B312" s="20" t="s">
        <v>150</v>
      </c>
      <c r="C312" s="20" t="s">
        <v>238</v>
      </c>
      <c r="D312" s="20" t="s">
        <v>1062</v>
      </c>
      <c r="E312" s="20" t="s">
        <v>145</v>
      </c>
      <c r="F312" s="6">
        <f t="shared" si="26"/>
        <v>150</v>
      </c>
      <c r="G312" s="6">
        <f t="shared" si="26"/>
        <v>150</v>
      </c>
    </row>
    <row r="313" spans="1:9" ht="63" x14ac:dyDescent="0.25">
      <c r="A313" s="25" t="s">
        <v>184</v>
      </c>
      <c r="B313" s="20" t="s">
        <v>150</v>
      </c>
      <c r="C313" s="20" t="s">
        <v>238</v>
      </c>
      <c r="D313" s="20" t="s">
        <v>1062</v>
      </c>
      <c r="E313" s="20" t="s">
        <v>160</v>
      </c>
      <c r="F313" s="6">
        <f>'пр.6.1.ведом.22-23'!G217</f>
        <v>150</v>
      </c>
      <c r="G313" s="6">
        <f>'пр.6.1.ведом.22-23'!H217</f>
        <v>150</v>
      </c>
    </row>
    <row r="314" spans="1:9" ht="15.75" x14ac:dyDescent="0.25">
      <c r="A314" s="23" t="s">
        <v>390</v>
      </c>
      <c r="B314" s="24" t="s">
        <v>234</v>
      </c>
      <c r="C314" s="24"/>
      <c r="D314" s="24"/>
      <c r="E314" s="24"/>
      <c r="F314" s="4">
        <f>F315++F329+F393+F443</f>
        <v>41786.1</v>
      </c>
      <c r="G314" s="4">
        <f>G315++G329+G393+G443</f>
        <v>49898.45</v>
      </c>
    </row>
    <row r="315" spans="1:9" ht="15.75" x14ac:dyDescent="0.25">
      <c r="A315" s="23" t="s">
        <v>391</v>
      </c>
      <c r="B315" s="24" t="s">
        <v>234</v>
      </c>
      <c r="C315" s="24" t="s">
        <v>118</v>
      </c>
      <c r="D315" s="24"/>
      <c r="E315" s="24"/>
      <c r="F315" s="4">
        <f t="shared" ref="F315:G316" si="27">F316</f>
        <v>6060.4</v>
      </c>
      <c r="G315" s="4">
        <f t="shared" si="27"/>
        <v>6060.4</v>
      </c>
      <c r="I315" s="22"/>
    </row>
    <row r="316" spans="1:9" ht="15.75" x14ac:dyDescent="0.25">
      <c r="A316" s="23" t="s">
        <v>141</v>
      </c>
      <c r="B316" s="24" t="s">
        <v>234</v>
      </c>
      <c r="C316" s="24" t="s">
        <v>118</v>
      </c>
      <c r="D316" s="24" t="s">
        <v>866</v>
      </c>
      <c r="E316" s="24"/>
      <c r="F316" s="4">
        <f t="shared" si="27"/>
        <v>6060.4</v>
      </c>
      <c r="G316" s="4">
        <f t="shared" si="27"/>
        <v>6060.4</v>
      </c>
    </row>
    <row r="317" spans="1:9" ht="31.5" x14ac:dyDescent="0.25">
      <c r="A317" s="23" t="s">
        <v>870</v>
      </c>
      <c r="B317" s="24" t="s">
        <v>234</v>
      </c>
      <c r="C317" s="24" t="s">
        <v>118</v>
      </c>
      <c r="D317" s="24" t="s">
        <v>865</v>
      </c>
      <c r="E317" s="24"/>
      <c r="F317" s="4">
        <f>F318+F323+F326</f>
        <v>6060.4</v>
      </c>
      <c r="G317" s="4">
        <f>G318+G323+G326</f>
        <v>6060.4</v>
      </c>
    </row>
    <row r="318" spans="1:9" ht="15.75" hidden="1" x14ac:dyDescent="0.25">
      <c r="A318" s="25" t="s">
        <v>515</v>
      </c>
      <c r="B318" s="20" t="s">
        <v>774</v>
      </c>
      <c r="C318" s="20" t="s">
        <v>118</v>
      </c>
      <c r="D318" s="20" t="s">
        <v>960</v>
      </c>
      <c r="E318" s="24"/>
      <c r="F318" s="6">
        <f>'Пр.3 Рд,пр, ЦС,ВР 22'!F329</f>
        <v>0</v>
      </c>
      <c r="G318" s="6">
        <f t="shared" si="23"/>
        <v>0</v>
      </c>
    </row>
    <row r="319" spans="1:9" ht="31.5" hidden="1" x14ac:dyDescent="0.25">
      <c r="A319" s="25" t="s">
        <v>131</v>
      </c>
      <c r="B319" s="20" t="s">
        <v>234</v>
      </c>
      <c r="C319" s="20" t="s">
        <v>118</v>
      </c>
      <c r="D319" s="20" t="s">
        <v>960</v>
      </c>
      <c r="E319" s="20" t="s">
        <v>132</v>
      </c>
      <c r="F319" s="6">
        <f>'Пр.3 Рд,пр, ЦС,ВР 22'!F330</f>
        <v>0</v>
      </c>
      <c r="G319" s="6">
        <f t="shared" si="23"/>
        <v>0</v>
      </c>
    </row>
    <row r="320" spans="1:9" ht="47.25" hidden="1" x14ac:dyDescent="0.25">
      <c r="A320" s="25" t="s">
        <v>133</v>
      </c>
      <c r="B320" s="20" t="s">
        <v>234</v>
      </c>
      <c r="C320" s="20" t="s">
        <v>118</v>
      </c>
      <c r="D320" s="20" t="s">
        <v>960</v>
      </c>
      <c r="E320" s="20" t="s">
        <v>134</v>
      </c>
      <c r="F320" s="6">
        <f>'Пр.3 Рд,пр, ЦС,ВР 22'!F331</f>
        <v>0</v>
      </c>
      <c r="G320" s="6">
        <f t="shared" si="23"/>
        <v>0</v>
      </c>
    </row>
    <row r="321" spans="1:7" ht="15.75" hidden="1" x14ac:dyDescent="0.25">
      <c r="A321" s="25" t="s">
        <v>135</v>
      </c>
      <c r="B321" s="20" t="s">
        <v>234</v>
      </c>
      <c r="C321" s="20" t="s">
        <v>118</v>
      </c>
      <c r="D321" s="20" t="s">
        <v>960</v>
      </c>
      <c r="E321" s="20" t="s">
        <v>145</v>
      </c>
      <c r="F321" s="6">
        <f>'Пр.3 Рд,пр, ЦС,ВР 22'!F332</f>
        <v>0</v>
      </c>
      <c r="G321" s="6">
        <f t="shared" si="23"/>
        <v>0</v>
      </c>
    </row>
    <row r="322" spans="1:7" ht="63" hidden="1" x14ac:dyDescent="0.25">
      <c r="A322" s="25" t="s">
        <v>184</v>
      </c>
      <c r="B322" s="20" t="s">
        <v>234</v>
      </c>
      <c r="C322" s="20" t="s">
        <v>118</v>
      </c>
      <c r="D322" s="20" t="s">
        <v>960</v>
      </c>
      <c r="E322" s="20" t="s">
        <v>160</v>
      </c>
      <c r="F322" s="6">
        <f>'Пр.3 Рд,пр, ЦС,ВР 22'!F333</f>
        <v>0</v>
      </c>
      <c r="G322" s="6">
        <f t="shared" si="23"/>
        <v>0</v>
      </c>
    </row>
    <row r="323" spans="1:7" ht="31.5" x14ac:dyDescent="0.25">
      <c r="A323" s="29" t="s">
        <v>398</v>
      </c>
      <c r="B323" s="20" t="s">
        <v>234</v>
      </c>
      <c r="C323" s="20" t="s">
        <v>118</v>
      </c>
      <c r="D323" s="20" t="s">
        <v>961</v>
      </c>
      <c r="E323" s="24"/>
      <c r="F323" s="6">
        <f>F324</f>
        <v>4920.3999999999996</v>
      </c>
      <c r="G323" s="6">
        <f>G324</f>
        <v>4920.3999999999996</v>
      </c>
    </row>
    <row r="324" spans="1:7" ht="31.5" x14ac:dyDescent="0.25">
      <c r="A324" s="25" t="s">
        <v>131</v>
      </c>
      <c r="B324" s="20" t="s">
        <v>234</v>
      </c>
      <c r="C324" s="20" t="s">
        <v>118</v>
      </c>
      <c r="D324" s="20" t="s">
        <v>961</v>
      </c>
      <c r="E324" s="20" t="s">
        <v>132</v>
      </c>
      <c r="F324" s="6">
        <f>F325</f>
        <v>4920.3999999999996</v>
      </c>
      <c r="G324" s="6">
        <f>G325</f>
        <v>4920.3999999999996</v>
      </c>
    </row>
    <row r="325" spans="1:7" ht="47.25" x14ac:dyDescent="0.25">
      <c r="A325" s="25" t="s">
        <v>133</v>
      </c>
      <c r="B325" s="20" t="s">
        <v>234</v>
      </c>
      <c r="C325" s="20" t="s">
        <v>118</v>
      </c>
      <c r="D325" s="20" t="s">
        <v>961</v>
      </c>
      <c r="E325" s="20" t="s">
        <v>134</v>
      </c>
      <c r="F325" s="6">
        <f>'пр.6.1.ведом.22-23'!G885+'пр.6.1.ведом.22-23'!G527</f>
        <v>4920.3999999999996</v>
      </c>
      <c r="G325" s="6">
        <f>'пр.6.1.ведом.22-23'!H885+'пр.6.1.ведом.22-23'!H527</f>
        <v>4920.3999999999996</v>
      </c>
    </row>
    <row r="326" spans="1:7" ht="47.25" x14ac:dyDescent="0.25">
      <c r="A326" s="29" t="s">
        <v>932</v>
      </c>
      <c r="B326" s="20" t="s">
        <v>234</v>
      </c>
      <c r="C326" s="20" t="s">
        <v>118</v>
      </c>
      <c r="D326" s="20" t="s">
        <v>962</v>
      </c>
      <c r="E326" s="24"/>
      <c r="F326" s="6">
        <f>F327</f>
        <v>1140</v>
      </c>
      <c r="G326" s="6">
        <f>G327</f>
        <v>1140</v>
      </c>
    </row>
    <row r="327" spans="1:7" ht="31.5" x14ac:dyDescent="0.25">
      <c r="A327" s="25" t="s">
        <v>131</v>
      </c>
      <c r="B327" s="20" t="s">
        <v>234</v>
      </c>
      <c r="C327" s="20" t="s">
        <v>118</v>
      </c>
      <c r="D327" s="20" t="s">
        <v>962</v>
      </c>
      <c r="E327" s="20" t="s">
        <v>132</v>
      </c>
      <c r="F327" s="6">
        <f>F328</f>
        <v>1140</v>
      </c>
      <c r="G327" s="6">
        <f>G328</f>
        <v>1140</v>
      </c>
    </row>
    <row r="328" spans="1:7" ht="47.25" x14ac:dyDescent="0.25">
      <c r="A328" s="25" t="s">
        <v>133</v>
      </c>
      <c r="B328" s="20" t="s">
        <v>234</v>
      </c>
      <c r="C328" s="20" t="s">
        <v>118</v>
      </c>
      <c r="D328" s="20" t="s">
        <v>962</v>
      </c>
      <c r="E328" s="20" t="s">
        <v>134</v>
      </c>
      <c r="F328" s="6">
        <f>'пр.6.1.ведом.22-23'!G530+'пр.6.1.ведом.22-23'!G888</f>
        <v>1140</v>
      </c>
      <c r="G328" s="6">
        <f>'пр.6.1.ведом.22-23'!H530+'пр.6.1.ведом.22-23'!H888</f>
        <v>1140</v>
      </c>
    </row>
    <row r="329" spans="1:7" ht="15.75" x14ac:dyDescent="0.25">
      <c r="A329" s="23" t="s">
        <v>517</v>
      </c>
      <c r="B329" s="24" t="s">
        <v>234</v>
      </c>
      <c r="C329" s="24" t="s">
        <v>213</v>
      </c>
      <c r="D329" s="24"/>
      <c r="E329" s="24"/>
      <c r="F329" s="4">
        <f>F359+F330+F388</f>
        <v>6611.199999999998</v>
      </c>
      <c r="G329" s="4">
        <f>G359+G330+G388</f>
        <v>14470.550000000001</v>
      </c>
    </row>
    <row r="330" spans="1:7" ht="15.75" x14ac:dyDescent="0.25">
      <c r="A330" s="23" t="s">
        <v>141</v>
      </c>
      <c r="B330" s="24" t="s">
        <v>234</v>
      </c>
      <c r="C330" s="24" t="s">
        <v>213</v>
      </c>
      <c r="D330" s="24" t="s">
        <v>866</v>
      </c>
      <c r="E330" s="24"/>
      <c r="F330" s="4">
        <f>F331+F342</f>
        <v>5707.199999999998</v>
      </c>
      <c r="G330" s="4">
        <f>G331+G342</f>
        <v>13555.550000000001</v>
      </c>
    </row>
    <row r="331" spans="1:7" ht="31.5" x14ac:dyDescent="0.25">
      <c r="A331" s="23" t="s">
        <v>870</v>
      </c>
      <c r="B331" s="24" t="s">
        <v>234</v>
      </c>
      <c r="C331" s="24" t="s">
        <v>213</v>
      </c>
      <c r="D331" s="24" t="s">
        <v>865</v>
      </c>
      <c r="E331" s="24"/>
      <c r="F331" s="4">
        <f>F332+F337</f>
        <v>5707.199999999998</v>
      </c>
      <c r="G331" s="4">
        <f>G332+G337</f>
        <v>13555.550000000001</v>
      </c>
    </row>
    <row r="332" spans="1:7" ht="31.5" hidden="1" x14ac:dyDescent="0.25">
      <c r="A332" s="35" t="s">
        <v>537</v>
      </c>
      <c r="B332" s="20" t="s">
        <v>234</v>
      </c>
      <c r="C332" s="20" t="s">
        <v>213</v>
      </c>
      <c r="D332" s="20" t="s">
        <v>979</v>
      </c>
      <c r="E332" s="20"/>
      <c r="F332" s="6">
        <f>F333+F335</f>
        <v>0</v>
      </c>
      <c r="G332" s="6">
        <f t="shared" si="23"/>
        <v>0</v>
      </c>
    </row>
    <row r="333" spans="1:7" ht="31.5" hidden="1" x14ac:dyDescent="0.25">
      <c r="A333" s="25" t="s">
        <v>131</v>
      </c>
      <c r="B333" s="20" t="s">
        <v>234</v>
      </c>
      <c r="C333" s="20" t="s">
        <v>213</v>
      </c>
      <c r="D333" s="20" t="s">
        <v>979</v>
      </c>
      <c r="E333" s="20" t="s">
        <v>132</v>
      </c>
      <c r="F333" s="6">
        <f>F334</f>
        <v>0</v>
      </c>
      <c r="G333" s="6">
        <f t="shared" si="23"/>
        <v>0</v>
      </c>
    </row>
    <row r="334" spans="1:7" ht="47.25" hidden="1" x14ac:dyDescent="0.25">
      <c r="A334" s="25" t="s">
        <v>133</v>
      </c>
      <c r="B334" s="20" t="s">
        <v>234</v>
      </c>
      <c r="C334" s="20" t="s">
        <v>213</v>
      </c>
      <c r="D334" s="20" t="s">
        <v>979</v>
      </c>
      <c r="E334" s="20" t="s">
        <v>134</v>
      </c>
      <c r="F334" s="6">
        <f>'пр.6.1.ведом.22-23'!G894</f>
        <v>0</v>
      </c>
      <c r="G334" s="6">
        <f t="shared" si="23"/>
        <v>0</v>
      </c>
    </row>
    <row r="335" spans="1:7" ht="15.75" hidden="1" x14ac:dyDescent="0.25">
      <c r="A335" s="25" t="s">
        <v>135</v>
      </c>
      <c r="B335" s="20" t="s">
        <v>234</v>
      </c>
      <c r="C335" s="20" t="s">
        <v>213</v>
      </c>
      <c r="D335" s="20" t="s">
        <v>979</v>
      </c>
      <c r="E335" s="20" t="s">
        <v>145</v>
      </c>
      <c r="F335" s="6">
        <f>F336</f>
        <v>0</v>
      </c>
      <c r="G335" s="6">
        <f t="shared" si="23"/>
        <v>0</v>
      </c>
    </row>
    <row r="336" spans="1:7" ht="63" hidden="1" x14ac:dyDescent="0.25">
      <c r="A336" s="25" t="s">
        <v>184</v>
      </c>
      <c r="B336" s="20" t="s">
        <v>234</v>
      </c>
      <c r="C336" s="20" t="s">
        <v>213</v>
      </c>
      <c r="D336" s="20" t="s">
        <v>979</v>
      </c>
      <c r="E336" s="20" t="s">
        <v>160</v>
      </c>
      <c r="F336" s="6">
        <f>'пр.6.1.ведом.22-23'!G896</f>
        <v>0</v>
      </c>
      <c r="G336" s="6">
        <f t="shared" si="23"/>
        <v>0</v>
      </c>
    </row>
    <row r="337" spans="1:7" ht="47.25" x14ac:dyDescent="0.25">
      <c r="A337" s="29" t="s">
        <v>932</v>
      </c>
      <c r="B337" s="20" t="s">
        <v>234</v>
      </c>
      <c r="C337" s="20" t="s">
        <v>213</v>
      </c>
      <c r="D337" s="20" t="s">
        <v>962</v>
      </c>
      <c r="E337" s="20"/>
      <c r="F337" s="6">
        <f>F338</f>
        <v>5707.199999999998</v>
      </c>
      <c r="G337" s="6">
        <f>G338</f>
        <v>13555.550000000001</v>
      </c>
    </row>
    <row r="338" spans="1:7" ht="31.5" x14ac:dyDescent="0.25">
      <c r="A338" s="25" t="s">
        <v>131</v>
      </c>
      <c r="B338" s="20" t="s">
        <v>234</v>
      </c>
      <c r="C338" s="20" t="s">
        <v>213</v>
      </c>
      <c r="D338" s="20" t="s">
        <v>962</v>
      </c>
      <c r="E338" s="20" t="s">
        <v>132</v>
      </c>
      <c r="F338" s="6">
        <f>F339</f>
        <v>5707.199999999998</v>
      </c>
      <c r="G338" s="6">
        <f>G339</f>
        <v>13555.550000000001</v>
      </c>
    </row>
    <row r="339" spans="1:7" ht="47.25" x14ac:dyDescent="0.25">
      <c r="A339" s="25" t="s">
        <v>133</v>
      </c>
      <c r="B339" s="20" t="s">
        <v>234</v>
      </c>
      <c r="C339" s="20" t="s">
        <v>213</v>
      </c>
      <c r="D339" s="20" t="s">
        <v>962</v>
      </c>
      <c r="E339" s="20" t="s">
        <v>134</v>
      </c>
      <c r="F339" s="6">
        <f>'пр.6.1.ведом.22-23'!G899</f>
        <v>5707.199999999998</v>
      </c>
      <c r="G339" s="6">
        <f>'пр.6.1.ведом.22-23'!H899</f>
        <v>13555.550000000001</v>
      </c>
    </row>
    <row r="340" spans="1:7" ht="15.75" hidden="1" x14ac:dyDescent="0.25">
      <c r="A340" s="25" t="s">
        <v>135</v>
      </c>
      <c r="B340" s="20" t="s">
        <v>234</v>
      </c>
      <c r="C340" s="20" t="s">
        <v>213</v>
      </c>
      <c r="D340" s="20" t="s">
        <v>962</v>
      </c>
      <c r="E340" s="20" t="s">
        <v>145</v>
      </c>
      <c r="F340" s="6">
        <f>'Пр.3 Рд,пр, ЦС,ВР 22'!F355</f>
        <v>0</v>
      </c>
      <c r="G340" s="6">
        <f t="shared" si="23"/>
        <v>0</v>
      </c>
    </row>
    <row r="341" spans="1:7" ht="15.75" hidden="1" x14ac:dyDescent="0.25">
      <c r="A341" s="25" t="s">
        <v>146</v>
      </c>
      <c r="B341" s="20" t="s">
        <v>234</v>
      </c>
      <c r="C341" s="20" t="s">
        <v>213</v>
      </c>
      <c r="D341" s="20" t="s">
        <v>962</v>
      </c>
      <c r="E341" s="20" t="s">
        <v>147</v>
      </c>
      <c r="F341" s="6">
        <f>'Пр.3 Рд,пр, ЦС,ВР 22'!F356</f>
        <v>0</v>
      </c>
      <c r="G341" s="6">
        <f t="shared" si="23"/>
        <v>0</v>
      </c>
    </row>
    <row r="342" spans="1:7" ht="63" hidden="1" x14ac:dyDescent="0.25">
      <c r="A342" s="23" t="s">
        <v>1013</v>
      </c>
      <c r="B342" s="24" t="s">
        <v>234</v>
      </c>
      <c r="C342" s="24" t="s">
        <v>213</v>
      </c>
      <c r="D342" s="24" t="s">
        <v>980</v>
      </c>
      <c r="E342" s="24"/>
      <c r="F342" s="4">
        <f>F343+F348+F351+F356</f>
        <v>0</v>
      </c>
      <c r="G342" s="4">
        <f>G343+G348+G351+G356</f>
        <v>0</v>
      </c>
    </row>
    <row r="343" spans="1:7" ht="47.25" hidden="1" x14ac:dyDescent="0.25">
      <c r="A343" s="25" t="s">
        <v>827</v>
      </c>
      <c r="B343" s="20" t="s">
        <v>234</v>
      </c>
      <c r="C343" s="20" t="s">
        <v>213</v>
      </c>
      <c r="D343" s="20" t="s">
        <v>981</v>
      </c>
      <c r="E343" s="20"/>
      <c r="F343" s="6">
        <f>'Пр.3 Рд,пр, ЦС,ВР 22'!F358</f>
        <v>0</v>
      </c>
      <c r="G343" s="6">
        <f t="shared" ref="G343:G387" si="28">F343</f>
        <v>0</v>
      </c>
    </row>
    <row r="344" spans="1:7" ht="31.5" hidden="1" x14ac:dyDescent="0.25">
      <c r="A344" s="25" t="s">
        <v>131</v>
      </c>
      <c r="B344" s="20" t="s">
        <v>234</v>
      </c>
      <c r="C344" s="20" t="s">
        <v>213</v>
      </c>
      <c r="D344" s="20" t="s">
        <v>981</v>
      </c>
      <c r="E344" s="20" t="s">
        <v>132</v>
      </c>
      <c r="F344" s="6">
        <f>'Пр.3 Рд,пр, ЦС,ВР 22'!F359</f>
        <v>0</v>
      </c>
      <c r="G344" s="6">
        <f t="shared" si="28"/>
        <v>0</v>
      </c>
    </row>
    <row r="345" spans="1:7" ht="47.25" hidden="1" x14ac:dyDescent="0.25">
      <c r="A345" s="25" t="s">
        <v>133</v>
      </c>
      <c r="B345" s="20" t="s">
        <v>234</v>
      </c>
      <c r="C345" s="20" t="s">
        <v>213</v>
      </c>
      <c r="D345" s="20" t="s">
        <v>981</v>
      </c>
      <c r="E345" s="20" t="s">
        <v>134</v>
      </c>
      <c r="F345" s="6">
        <f>'Пр.3 Рд,пр, ЦС,ВР 22'!F360</f>
        <v>0</v>
      </c>
      <c r="G345" s="6">
        <f t="shared" si="28"/>
        <v>0</v>
      </c>
    </row>
    <row r="346" spans="1:7" ht="15.75" hidden="1" x14ac:dyDescent="0.25">
      <c r="A346" s="25" t="s">
        <v>135</v>
      </c>
      <c r="B346" s="20" t="s">
        <v>234</v>
      </c>
      <c r="C346" s="20" t="s">
        <v>213</v>
      </c>
      <c r="D346" s="20" t="s">
        <v>981</v>
      </c>
      <c r="E346" s="20" t="s">
        <v>837</v>
      </c>
      <c r="F346" s="6">
        <f>'Пр.3 Рд,пр, ЦС,ВР 22'!F361</f>
        <v>0</v>
      </c>
      <c r="G346" s="6">
        <f t="shared" si="28"/>
        <v>0</v>
      </c>
    </row>
    <row r="347" spans="1:7" ht="15.75" hidden="1" x14ac:dyDescent="0.25">
      <c r="A347" s="25" t="s">
        <v>568</v>
      </c>
      <c r="B347" s="20" t="s">
        <v>234</v>
      </c>
      <c r="C347" s="20" t="s">
        <v>213</v>
      </c>
      <c r="D347" s="20" t="s">
        <v>981</v>
      </c>
      <c r="E347" s="20" t="s">
        <v>1067</v>
      </c>
      <c r="F347" s="6">
        <f>'Пр.3 Рд,пр, ЦС,ВР 22'!F362</f>
        <v>0</v>
      </c>
      <c r="G347" s="6">
        <f t="shared" si="28"/>
        <v>0</v>
      </c>
    </row>
    <row r="348" spans="1:7" ht="63" hidden="1" x14ac:dyDescent="0.25">
      <c r="A348" s="25" t="s">
        <v>793</v>
      </c>
      <c r="B348" s="20" t="s">
        <v>234</v>
      </c>
      <c r="C348" s="20" t="s">
        <v>213</v>
      </c>
      <c r="D348" s="20" t="s">
        <v>982</v>
      </c>
      <c r="E348" s="20"/>
      <c r="F348" s="6">
        <f>'Пр.3 Рд,пр, ЦС,ВР 22'!F363</f>
        <v>0</v>
      </c>
      <c r="G348" s="6">
        <f t="shared" si="28"/>
        <v>0</v>
      </c>
    </row>
    <row r="349" spans="1:7" ht="31.5" hidden="1" x14ac:dyDescent="0.25">
      <c r="A349" s="25" t="s">
        <v>131</v>
      </c>
      <c r="B349" s="20" t="s">
        <v>234</v>
      </c>
      <c r="C349" s="20" t="s">
        <v>213</v>
      </c>
      <c r="D349" s="20" t="s">
        <v>982</v>
      </c>
      <c r="E349" s="20" t="s">
        <v>132</v>
      </c>
      <c r="F349" s="6">
        <f>'Пр.3 Рд,пр, ЦС,ВР 22'!F364</f>
        <v>0</v>
      </c>
      <c r="G349" s="6">
        <f t="shared" si="28"/>
        <v>0</v>
      </c>
    </row>
    <row r="350" spans="1:7" ht="47.25" hidden="1" x14ac:dyDescent="0.25">
      <c r="A350" s="25" t="s">
        <v>133</v>
      </c>
      <c r="B350" s="20" t="s">
        <v>234</v>
      </c>
      <c r="C350" s="20" t="s">
        <v>213</v>
      </c>
      <c r="D350" s="20" t="s">
        <v>982</v>
      </c>
      <c r="E350" s="20" t="s">
        <v>134</v>
      </c>
      <c r="F350" s="6">
        <f>'Пр.3 Рд,пр, ЦС,ВР 22'!F365</f>
        <v>0</v>
      </c>
      <c r="G350" s="6">
        <f t="shared" si="28"/>
        <v>0</v>
      </c>
    </row>
    <row r="351" spans="1:7" ht="47.25" hidden="1" x14ac:dyDescent="0.25">
      <c r="A351" s="97" t="s">
        <v>833</v>
      </c>
      <c r="B351" s="20" t="s">
        <v>234</v>
      </c>
      <c r="C351" s="20" t="s">
        <v>213</v>
      </c>
      <c r="D351" s="20" t="s">
        <v>983</v>
      </c>
      <c r="E351" s="20"/>
      <c r="F351" s="6">
        <f>'Пр.3 Рд,пр, ЦС,ВР 22'!F366</f>
        <v>0</v>
      </c>
      <c r="G351" s="6">
        <f t="shared" si="28"/>
        <v>0</v>
      </c>
    </row>
    <row r="352" spans="1:7" ht="47.25" hidden="1" x14ac:dyDescent="0.25">
      <c r="A352" s="25" t="s">
        <v>838</v>
      </c>
      <c r="B352" s="20" t="s">
        <v>234</v>
      </c>
      <c r="C352" s="20" t="s">
        <v>213</v>
      </c>
      <c r="D352" s="20" t="s">
        <v>983</v>
      </c>
      <c r="E352" s="20" t="s">
        <v>837</v>
      </c>
      <c r="F352" s="6">
        <f>'Пр.3 Рд,пр, ЦС,ВР 22'!F367</f>
        <v>0</v>
      </c>
      <c r="G352" s="6">
        <f t="shared" si="28"/>
        <v>0</v>
      </c>
    </row>
    <row r="353" spans="1:7" ht="63" hidden="1" x14ac:dyDescent="0.25">
      <c r="A353" s="25" t="s">
        <v>1048</v>
      </c>
      <c r="B353" s="20" t="s">
        <v>234</v>
      </c>
      <c r="C353" s="20" t="s">
        <v>213</v>
      </c>
      <c r="D353" s="20" t="s">
        <v>983</v>
      </c>
      <c r="E353" s="20" t="s">
        <v>1067</v>
      </c>
      <c r="F353" s="6">
        <f>'Пр.3 Рд,пр, ЦС,ВР 22'!F368</f>
        <v>0</v>
      </c>
      <c r="G353" s="6">
        <f t="shared" si="28"/>
        <v>0</v>
      </c>
    </row>
    <row r="354" spans="1:7" ht="15.75" hidden="1" x14ac:dyDescent="0.25">
      <c r="A354" s="25" t="s">
        <v>135</v>
      </c>
      <c r="B354" s="20" t="s">
        <v>234</v>
      </c>
      <c r="C354" s="20" t="s">
        <v>213</v>
      </c>
      <c r="D354" s="20" t="s">
        <v>983</v>
      </c>
      <c r="E354" s="20" t="s">
        <v>145</v>
      </c>
      <c r="F354" s="6">
        <f>'Пр.3 Рд,пр, ЦС,ВР 22'!F369</f>
        <v>0</v>
      </c>
      <c r="G354" s="6">
        <f t="shared" si="28"/>
        <v>0</v>
      </c>
    </row>
    <row r="355" spans="1:7" ht="15.75" hidden="1" x14ac:dyDescent="0.25">
      <c r="A355" s="25" t="s">
        <v>704</v>
      </c>
      <c r="B355" s="20" t="s">
        <v>234</v>
      </c>
      <c r="C355" s="20" t="s">
        <v>213</v>
      </c>
      <c r="D355" s="20" t="s">
        <v>983</v>
      </c>
      <c r="E355" s="20" t="s">
        <v>138</v>
      </c>
      <c r="F355" s="6">
        <f>'Пр.3 Рд,пр, ЦС,ВР 22'!F370</f>
        <v>0</v>
      </c>
      <c r="G355" s="6">
        <f t="shared" si="28"/>
        <v>0</v>
      </c>
    </row>
    <row r="356" spans="1:7" ht="31.5" hidden="1" x14ac:dyDescent="0.25">
      <c r="A356" s="25" t="s">
        <v>1068</v>
      </c>
      <c r="B356" s="20" t="s">
        <v>234</v>
      </c>
      <c r="C356" s="20" t="s">
        <v>213</v>
      </c>
      <c r="D356" s="20" t="s">
        <v>1069</v>
      </c>
      <c r="E356" s="20"/>
      <c r="F356" s="6">
        <f>'Пр.3 Рд,пр, ЦС,ВР 22'!F371</f>
        <v>0</v>
      </c>
      <c r="G356" s="6">
        <f t="shared" si="28"/>
        <v>0</v>
      </c>
    </row>
    <row r="357" spans="1:7" ht="31.5" hidden="1" x14ac:dyDescent="0.25">
      <c r="A357" s="25" t="s">
        <v>131</v>
      </c>
      <c r="B357" s="20" t="s">
        <v>234</v>
      </c>
      <c r="C357" s="20" t="s">
        <v>213</v>
      </c>
      <c r="D357" s="20" t="s">
        <v>1069</v>
      </c>
      <c r="E357" s="20" t="s">
        <v>132</v>
      </c>
      <c r="F357" s="6">
        <f>'Пр.3 Рд,пр, ЦС,ВР 22'!F372</f>
        <v>0</v>
      </c>
      <c r="G357" s="6">
        <f t="shared" si="28"/>
        <v>0</v>
      </c>
    </row>
    <row r="358" spans="1:7" ht="47.25" hidden="1" x14ac:dyDescent="0.25">
      <c r="A358" s="25" t="s">
        <v>133</v>
      </c>
      <c r="B358" s="20" t="s">
        <v>234</v>
      </c>
      <c r="C358" s="20" t="s">
        <v>213</v>
      </c>
      <c r="D358" s="20" t="s">
        <v>1069</v>
      </c>
      <c r="E358" s="20" t="s">
        <v>134</v>
      </c>
      <c r="F358" s="6">
        <f>'Пр.3 Рд,пр, ЦС,ВР 22'!F373</f>
        <v>0</v>
      </c>
      <c r="G358" s="6">
        <f t="shared" si="28"/>
        <v>0</v>
      </c>
    </row>
    <row r="359" spans="1:7" ht="63" x14ac:dyDescent="0.25">
      <c r="A359" s="23" t="s">
        <v>1527</v>
      </c>
      <c r="B359" s="24" t="s">
        <v>234</v>
      </c>
      <c r="C359" s="24" t="s">
        <v>213</v>
      </c>
      <c r="D359" s="24" t="s">
        <v>518</v>
      </c>
      <c r="E359" s="24"/>
      <c r="F359" s="4">
        <f>F360+F364+F368+F372+F376+F380+F384</f>
        <v>700</v>
      </c>
      <c r="G359" s="4">
        <f>G360+G364+G368+G372+G376+G380+G384</f>
        <v>700</v>
      </c>
    </row>
    <row r="360" spans="1:7" ht="31.5" x14ac:dyDescent="0.25">
      <c r="A360" s="23" t="s">
        <v>963</v>
      </c>
      <c r="B360" s="24" t="s">
        <v>234</v>
      </c>
      <c r="C360" s="24" t="s">
        <v>213</v>
      </c>
      <c r="D360" s="24" t="s">
        <v>965</v>
      </c>
      <c r="E360" s="24"/>
      <c r="F360" s="4">
        <f t="shared" ref="F360:G362" si="29">F361</f>
        <v>700</v>
      </c>
      <c r="G360" s="4">
        <f t="shared" si="29"/>
        <v>700</v>
      </c>
    </row>
    <row r="361" spans="1:7" ht="15.75" x14ac:dyDescent="0.25">
      <c r="A361" s="45" t="s">
        <v>964</v>
      </c>
      <c r="B361" s="40" t="s">
        <v>234</v>
      </c>
      <c r="C361" s="40" t="s">
        <v>213</v>
      </c>
      <c r="D361" s="20" t="s">
        <v>966</v>
      </c>
      <c r="E361" s="40"/>
      <c r="F361" s="6">
        <f t="shared" si="29"/>
        <v>700</v>
      </c>
      <c r="G361" s="6">
        <f t="shared" si="29"/>
        <v>700</v>
      </c>
    </row>
    <row r="362" spans="1:7" ht="31.5" x14ac:dyDescent="0.25">
      <c r="A362" s="31" t="s">
        <v>131</v>
      </c>
      <c r="B362" s="40" t="s">
        <v>234</v>
      </c>
      <c r="C362" s="40" t="s">
        <v>213</v>
      </c>
      <c r="D362" s="20" t="s">
        <v>966</v>
      </c>
      <c r="E362" s="40" t="s">
        <v>132</v>
      </c>
      <c r="F362" s="6">
        <f t="shared" si="29"/>
        <v>700</v>
      </c>
      <c r="G362" s="6">
        <f t="shared" si="29"/>
        <v>700</v>
      </c>
    </row>
    <row r="363" spans="1:7" ht="47.25" x14ac:dyDescent="0.25">
      <c r="A363" s="31" t="s">
        <v>133</v>
      </c>
      <c r="B363" s="40" t="s">
        <v>234</v>
      </c>
      <c r="C363" s="40" t="s">
        <v>213</v>
      </c>
      <c r="D363" s="20" t="s">
        <v>966</v>
      </c>
      <c r="E363" s="40" t="s">
        <v>134</v>
      </c>
      <c r="F363" s="6">
        <f>'пр.6.1.ведом.22-23'!G923</f>
        <v>700</v>
      </c>
      <c r="G363" s="6">
        <f>'пр.6.1.ведом.22-23'!H923</f>
        <v>700</v>
      </c>
    </row>
    <row r="364" spans="1:7" ht="31.5" hidden="1" x14ac:dyDescent="0.25">
      <c r="A364" s="34" t="s">
        <v>967</v>
      </c>
      <c r="B364" s="7" t="s">
        <v>234</v>
      </c>
      <c r="C364" s="7" t="s">
        <v>213</v>
      </c>
      <c r="D364" s="24" t="s">
        <v>968</v>
      </c>
      <c r="E364" s="7"/>
      <c r="F364" s="4">
        <f>F365</f>
        <v>0</v>
      </c>
      <c r="G364" s="4">
        <f>G365</f>
        <v>0</v>
      </c>
    </row>
    <row r="365" spans="1:7" ht="15.75" hidden="1" x14ac:dyDescent="0.25">
      <c r="A365" s="45" t="s">
        <v>523</v>
      </c>
      <c r="B365" s="40" t="s">
        <v>234</v>
      </c>
      <c r="C365" s="40" t="s">
        <v>213</v>
      </c>
      <c r="D365" s="20" t="s">
        <v>971</v>
      </c>
      <c r="E365" s="40"/>
      <c r="F365" s="6">
        <f>'Пр.3 Рд,пр, ЦС,ВР 22'!F380</f>
        <v>0</v>
      </c>
      <c r="G365" s="6">
        <f t="shared" si="28"/>
        <v>0</v>
      </c>
    </row>
    <row r="366" spans="1:7" ht="31.5" hidden="1" x14ac:dyDescent="0.25">
      <c r="A366" s="31" t="s">
        <v>131</v>
      </c>
      <c r="B366" s="40" t="s">
        <v>234</v>
      </c>
      <c r="C366" s="40" t="s">
        <v>213</v>
      </c>
      <c r="D366" s="20" t="s">
        <v>971</v>
      </c>
      <c r="E366" s="40" t="s">
        <v>132</v>
      </c>
      <c r="F366" s="6">
        <f>'Пр.3 Рд,пр, ЦС,ВР 22'!F381</f>
        <v>0</v>
      </c>
      <c r="G366" s="6">
        <f t="shared" si="28"/>
        <v>0</v>
      </c>
    </row>
    <row r="367" spans="1:7" ht="47.25" hidden="1" x14ac:dyDescent="0.25">
      <c r="A367" s="31" t="s">
        <v>133</v>
      </c>
      <c r="B367" s="40" t="s">
        <v>234</v>
      </c>
      <c r="C367" s="40" t="s">
        <v>213</v>
      </c>
      <c r="D367" s="20" t="s">
        <v>971</v>
      </c>
      <c r="E367" s="40" t="s">
        <v>134</v>
      </c>
      <c r="F367" s="6">
        <f>'Пр.3 Рд,пр, ЦС,ВР 22'!F382</f>
        <v>0</v>
      </c>
      <c r="G367" s="6">
        <f t="shared" si="28"/>
        <v>0</v>
      </c>
    </row>
    <row r="368" spans="1:7" ht="31.5" hidden="1" x14ac:dyDescent="0.25">
      <c r="A368" s="58" t="s">
        <v>969</v>
      </c>
      <c r="B368" s="7" t="s">
        <v>234</v>
      </c>
      <c r="C368" s="7" t="s">
        <v>213</v>
      </c>
      <c r="D368" s="24" t="s">
        <v>970</v>
      </c>
      <c r="E368" s="7"/>
      <c r="F368" s="4">
        <f>F369</f>
        <v>0</v>
      </c>
      <c r="G368" s="4">
        <f>G369</f>
        <v>0</v>
      </c>
    </row>
    <row r="369" spans="1:7" ht="15.75" hidden="1" x14ac:dyDescent="0.25">
      <c r="A369" s="45" t="s">
        <v>525</v>
      </c>
      <c r="B369" s="40" t="s">
        <v>234</v>
      </c>
      <c r="C369" s="40" t="s">
        <v>213</v>
      </c>
      <c r="D369" s="20" t="s">
        <v>972</v>
      </c>
      <c r="E369" s="40"/>
      <c r="F369" s="6">
        <f>'Пр.3 Рд,пр, ЦС,ВР 22'!F384</f>
        <v>0</v>
      </c>
      <c r="G369" s="6">
        <f t="shared" si="28"/>
        <v>0</v>
      </c>
    </row>
    <row r="370" spans="1:7" ht="31.5" hidden="1" x14ac:dyDescent="0.25">
      <c r="A370" s="31" t="s">
        <v>131</v>
      </c>
      <c r="B370" s="40" t="s">
        <v>234</v>
      </c>
      <c r="C370" s="40" t="s">
        <v>213</v>
      </c>
      <c r="D370" s="20" t="s">
        <v>972</v>
      </c>
      <c r="E370" s="40" t="s">
        <v>132</v>
      </c>
      <c r="F370" s="6">
        <f>'Пр.3 Рд,пр, ЦС,ВР 22'!F385</f>
        <v>0</v>
      </c>
      <c r="G370" s="6">
        <f t="shared" si="28"/>
        <v>0</v>
      </c>
    </row>
    <row r="371" spans="1:7" ht="47.25" hidden="1" x14ac:dyDescent="0.25">
      <c r="A371" s="31" t="s">
        <v>133</v>
      </c>
      <c r="B371" s="40" t="s">
        <v>234</v>
      </c>
      <c r="C371" s="40" t="s">
        <v>213</v>
      </c>
      <c r="D371" s="20" t="s">
        <v>972</v>
      </c>
      <c r="E371" s="40" t="s">
        <v>134</v>
      </c>
      <c r="F371" s="6">
        <f>'Пр.3 Рд,пр, ЦС,ВР 22'!F386</f>
        <v>0</v>
      </c>
      <c r="G371" s="6">
        <f t="shared" si="28"/>
        <v>0</v>
      </c>
    </row>
    <row r="372" spans="1:7" ht="31.5" hidden="1" x14ac:dyDescent="0.25">
      <c r="A372" s="58" t="s">
        <v>973</v>
      </c>
      <c r="B372" s="7" t="s">
        <v>234</v>
      </c>
      <c r="C372" s="7" t="s">
        <v>213</v>
      </c>
      <c r="D372" s="24" t="s">
        <v>974</v>
      </c>
      <c r="E372" s="7"/>
      <c r="F372" s="4">
        <f>F373</f>
        <v>0</v>
      </c>
      <c r="G372" s="4">
        <f>G373</f>
        <v>0</v>
      </c>
    </row>
    <row r="373" spans="1:7" ht="15.75" hidden="1" x14ac:dyDescent="0.25">
      <c r="A373" s="45" t="s">
        <v>527</v>
      </c>
      <c r="B373" s="40" t="s">
        <v>234</v>
      </c>
      <c r="C373" s="40" t="s">
        <v>213</v>
      </c>
      <c r="D373" s="20" t="s">
        <v>975</v>
      </c>
      <c r="E373" s="40"/>
      <c r="F373" s="6">
        <f>'Пр.3 Рд,пр, ЦС,ВР 22'!F388</f>
        <v>0</v>
      </c>
      <c r="G373" s="6">
        <f t="shared" si="28"/>
        <v>0</v>
      </c>
    </row>
    <row r="374" spans="1:7" ht="31.5" hidden="1" x14ac:dyDescent="0.25">
      <c r="A374" s="31" t="s">
        <v>131</v>
      </c>
      <c r="B374" s="40" t="s">
        <v>234</v>
      </c>
      <c r="C374" s="40" t="s">
        <v>213</v>
      </c>
      <c r="D374" s="20" t="s">
        <v>975</v>
      </c>
      <c r="E374" s="40" t="s">
        <v>132</v>
      </c>
      <c r="F374" s="6">
        <f>'Пр.3 Рд,пр, ЦС,ВР 22'!F389</f>
        <v>0</v>
      </c>
      <c r="G374" s="6">
        <f t="shared" si="28"/>
        <v>0</v>
      </c>
    </row>
    <row r="375" spans="1:7" ht="47.25" hidden="1" x14ac:dyDescent="0.25">
      <c r="A375" s="31" t="s">
        <v>133</v>
      </c>
      <c r="B375" s="40" t="s">
        <v>234</v>
      </c>
      <c r="C375" s="40" t="s">
        <v>213</v>
      </c>
      <c r="D375" s="20" t="s">
        <v>975</v>
      </c>
      <c r="E375" s="40" t="s">
        <v>134</v>
      </c>
      <c r="F375" s="6">
        <f>'Пр.3 Рд,пр, ЦС,ВР 22'!F390</f>
        <v>0</v>
      </c>
      <c r="G375" s="6">
        <f t="shared" si="28"/>
        <v>0</v>
      </c>
    </row>
    <row r="376" spans="1:7" ht="31.5" hidden="1" x14ac:dyDescent="0.25">
      <c r="A376" s="34" t="s">
        <v>1014</v>
      </c>
      <c r="B376" s="7" t="s">
        <v>234</v>
      </c>
      <c r="C376" s="7" t="s">
        <v>213</v>
      </c>
      <c r="D376" s="24" t="s">
        <v>1015</v>
      </c>
      <c r="E376" s="7"/>
      <c r="F376" s="4">
        <f>F377</f>
        <v>0</v>
      </c>
      <c r="G376" s="4">
        <f>G377</f>
        <v>0</v>
      </c>
    </row>
    <row r="377" spans="1:7" ht="15.75" hidden="1" x14ac:dyDescent="0.25">
      <c r="A377" s="45" t="s">
        <v>529</v>
      </c>
      <c r="B377" s="40" t="s">
        <v>234</v>
      </c>
      <c r="C377" s="40" t="s">
        <v>213</v>
      </c>
      <c r="D377" s="20" t="s">
        <v>1018</v>
      </c>
      <c r="E377" s="40"/>
      <c r="F377" s="6">
        <f>'Пр.3 Рд,пр, ЦС,ВР 22'!F392</f>
        <v>0</v>
      </c>
      <c r="G377" s="6">
        <f t="shared" si="28"/>
        <v>0</v>
      </c>
    </row>
    <row r="378" spans="1:7" ht="31.5" hidden="1" x14ac:dyDescent="0.25">
      <c r="A378" s="31" t="s">
        <v>131</v>
      </c>
      <c r="B378" s="40" t="s">
        <v>234</v>
      </c>
      <c r="C378" s="40" t="s">
        <v>213</v>
      </c>
      <c r="D378" s="20" t="s">
        <v>1018</v>
      </c>
      <c r="E378" s="40" t="s">
        <v>132</v>
      </c>
      <c r="F378" s="6">
        <f>'Пр.3 Рд,пр, ЦС,ВР 22'!F393</f>
        <v>0</v>
      </c>
      <c r="G378" s="6">
        <f t="shared" si="28"/>
        <v>0</v>
      </c>
    </row>
    <row r="379" spans="1:7" ht="47.25" hidden="1" x14ac:dyDescent="0.25">
      <c r="A379" s="31" t="s">
        <v>133</v>
      </c>
      <c r="B379" s="40" t="s">
        <v>234</v>
      </c>
      <c r="C379" s="40" t="s">
        <v>213</v>
      </c>
      <c r="D379" s="20" t="s">
        <v>1018</v>
      </c>
      <c r="E379" s="40" t="s">
        <v>134</v>
      </c>
      <c r="F379" s="6">
        <f>'Пр.3 Рд,пр, ЦС,ВР 22'!F394</f>
        <v>0</v>
      </c>
      <c r="G379" s="6">
        <f t="shared" si="28"/>
        <v>0</v>
      </c>
    </row>
    <row r="380" spans="1:7" ht="47.25" hidden="1" x14ac:dyDescent="0.25">
      <c r="A380" s="220" t="s">
        <v>1016</v>
      </c>
      <c r="B380" s="7" t="s">
        <v>234</v>
      </c>
      <c r="C380" s="7" t="s">
        <v>213</v>
      </c>
      <c r="D380" s="24" t="s">
        <v>1017</v>
      </c>
      <c r="E380" s="7"/>
      <c r="F380" s="4">
        <f>F381</f>
        <v>0</v>
      </c>
      <c r="G380" s="4">
        <f>G381</f>
        <v>0</v>
      </c>
    </row>
    <row r="381" spans="1:7" ht="31.5" hidden="1" x14ac:dyDescent="0.25">
      <c r="A381" s="174" t="s">
        <v>531</v>
      </c>
      <c r="B381" s="40" t="s">
        <v>234</v>
      </c>
      <c r="C381" s="40" t="s">
        <v>213</v>
      </c>
      <c r="D381" s="20" t="s">
        <v>1019</v>
      </c>
      <c r="E381" s="40"/>
      <c r="F381" s="6">
        <f>'Пр.3 Рд,пр, ЦС,ВР 22'!F396</f>
        <v>0</v>
      </c>
      <c r="G381" s="6">
        <f t="shared" si="28"/>
        <v>0</v>
      </c>
    </row>
    <row r="382" spans="1:7" ht="31.5" hidden="1" x14ac:dyDescent="0.25">
      <c r="A382" s="31" t="s">
        <v>131</v>
      </c>
      <c r="B382" s="40" t="s">
        <v>234</v>
      </c>
      <c r="C382" s="40" t="s">
        <v>213</v>
      </c>
      <c r="D382" s="20" t="s">
        <v>1019</v>
      </c>
      <c r="E382" s="40" t="s">
        <v>132</v>
      </c>
      <c r="F382" s="6">
        <f>'Пр.3 Рд,пр, ЦС,ВР 22'!F397</f>
        <v>0</v>
      </c>
      <c r="G382" s="6">
        <f t="shared" si="28"/>
        <v>0</v>
      </c>
    </row>
    <row r="383" spans="1:7" ht="47.25" hidden="1" x14ac:dyDescent="0.25">
      <c r="A383" s="31" t="s">
        <v>133</v>
      </c>
      <c r="B383" s="40" t="s">
        <v>234</v>
      </c>
      <c r="C383" s="40" t="s">
        <v>213</v>
      </c>
      <c r="D383" s="20" t="s">
        <v>1019</v>
      </c>
      <c r="E383" s="40" t="s">
        <v>134</v>
      </c>
      <c r="F383" s="6">
        <f>'Пр.3 Рд,пр, ЦС,ВР 22'!F398</f>
        <v>0</v>
      </c>
      <c r="G383" s="6">
        <f t="shared" si="28"/>
        <v>0</v>
      </c>
    </row>
    <row r="384" spans="1:7" ht="31.5" hidden="1" x14ac:dyDescent="0.25">
      <c r="A384" s="220" t="s">
        <v>977</v>
      </c>
      <c r="B384" s="7" t="s">
        <v>234</v>
      </c>
      <c r="C384" s="7" t="s">
        <v>213</v>
      </c>
      <c r="D384" s="24" t="s">
        <v>978</v>
      </c>
      <c r="E384" s="7"/>
      <c r="F384" s="4">
        <f>F385</f>
        <v>0</v>
      </c>
      <c r="G384" s="4">
        <f>G385</f>
        <v>0</v>
      </c>
    </row>
    <row r="385" spans="1:9" ht="15.75" hidden="1" x14ac:dyDescent="0.25">
      <c r="A385" s="174" t="s">
        <v>533</v>
      </c>
      <c r="B385" s="40" t="s">
        <v>234</v>
      </c>
      <c r="C385" s="40" t="s">
        <v>213</v>
      </c>
      <c r="D385" s="20" t="s">
        <v>976</v>
      </c>
      <c r="E385" s="40"/>
      <c r="F385" s="6">
        <f>'Пр.3 Рд,пр, ЦС,ВР 22'!F400</f>
        <v>0</v>
      </c>
      <c r="G385" s="6">
        <f t="shared" si="28"/>
        <v>0</v>
      </c>
    </row>
    <row r="386" spans="1:9" ht="31.5" hidden="1" x14ac:dyDescent="0.25">
      <c r="A386" s="25" t="s">
        <v>131</v>
      </c>
      <c r="B386" s="40" t="s">
        <v>234</v>
      </c>
      <c r="C386" s="40" t="s">
        <v>213</v>
      </c>
      <c r="D386" s="20" t="s">
        <v>976</v>
      </c>
      <c r="E386" s="40" t="s">
        <v>132</v>
      </c>
      <c r="F386" s="6">
        <f>'Пр.3 Рд,пр, ЦС,ВР 22'!F401</f>
        <v>0</v>
      </c>
      <c r="G386" s="6">
        <f t="shared" si="28"/>
        <v>0</v>
      </c>
    </row>
    <row r="387" spans="1:9" ht="47.25" hidden="1" x14ac:dyDescent="0.25">
      <c r="A387" s="25" t="s">
        <v>133</v>
      </c>
      <c r="B387" s="40" t="s">
        <v>234</v>
      </c>
      <c r="C387" s="40" t="s">
        <v>213</v>
      </c>
      <c r="D387" s="20" t="s">
        <v>976</v>
      </c>
      <c r="E387" s="40" t="s">
        <v>134</v>
      </c>
      <c r="F387" s="6">
        <f>'Пр.3 Рд,пр, ЦС,ВР 22'!F402</f>
        <v>0</v>
      </c>
      <c r="G387" s="6">
        <f t="shared" si="28"/>
        <v>0</v>
      </c>
    </row>
    <row r="388" spans="1:9" s="203" customFormat="1" ht="47.25" x14ac:dyDescent="0.25">
      <c r="A388" s="23" t="s">
        <v>1528</v>
      </c>
      <c r="B388" s="7" t="s">
        <v>234</v>
      </c>
      <c r="C388" s="7" t="s">
        <v>213</v>
      </c>
      <c r="D388" s="24" t="s">
        <v>1141</v>
      </c>
      <c r="E388" s="7"/>
      <c r="F388" s="4">
        <f t="shared" ref="F388:G391" si="30">F389</f>
        <v>204</v>
      </c>
      <c r="G388" s="4">
        <f t="shared" si="30"/>
        <v>215</v>
      </c>
    </row>
    <row r="389" spans="1:9" s="203" customFormat="1" ht="31.5" x14ac:dyDescent="0.25">
      <c r="A389" s="23" t="s">
        <v>1532</v>
      </c>
      <c r="B389" s="7" t="s">
        <v>234</v>
      </c>
      <c r="C389" s="7" t="s">
        <v>213</v>
      </c>
      <c r="D389" s="24" t="s">
        <v>1143</v>
      </c>
      <c r="E389" s="7"/>
      <c r="F389" s="4">
        <f t="shared" si="30"/>
        <v>204</v>
      </c>
      <c r="G389" s="4">
        <f t="shared" si="30"/>
        <v>215</v>
      </c>
    </row>
    <row r="390" spans="1:9" s="203" customFormat="1" ht="31.5" x14ac:dyDescent="0.25">
      <c r="A390" s="25" t="s">
        <v>537</v>
      </c>
      <c r="B390" s="40" t="s">
        <v>234</v>
      </c>
      <c r="C390" s="40" t="s">
        <v>213</v>
      </c>
      <c r="D390" s="20" t="s">
        <v>1144</v>
      </c>
      <c r="E390" s="40"/>
      <c r="F390" s="6">
        <f t="shared" si="30"/>
        <v>204</v>
      </c>
      <c r="G390" s="6">
        <f t="shared" si="30"/>
        <v>215</v>
      </c>
    </row>
    <row r="391" spans="1:9" s="203" customFormat="1" ht="31.5" x14ac:dyDescent="0.25">
      <c r="A391" s="25" t="s">
        <v>131</v>
      </c>
      <c r="B391" s="40" t="s">
        <v>234</v>
      </c>
      <c r="C391" s="40" t="s">
        <v>213</v>
      </c>
      <c r="D391" s="20" t="s">
        <v>1144</v>
      </c>
      <c r="E391" s="40" t="s">
        <v>132</v>
      </c>
      <c r="F391" s="6">
        <f t="shared" si="30"/>
        <v>204</v>
      </c>
      <c r="G391" s="6">
        <f t="shared" si="30"/>
        <v>215</v>
      </c>
    </row>
    <row r="392" spans="1:9" s="203" customFormat="1" ht="47.25" x14ac:dyDescent="0.25">
      <c r="A392" s="25" t="s">
        <v>133</v>
      </c>
      <c r="B392" s="40" t="s">
        <v>234</v>
      </c>
      <c r="C392" s="40" t="s">
        <v>213</v>
      </c>
      <c r="D392" s="20" t="s">
        <v>1144</v>
      </c>
      <c r="E392" s="40" t="s">
        <v>134</v>
      </c>
      <c r="F392" s="6">
        <f>'пр.6.1.ведом.22-23'!G952</f>
        <v>204</v>
      </c>
      <c r="G392" s="6">
        <f>'пр.6.1.ведом.22-23'!H952</f>
        <v>215</v>
      </c>
    </row>
    <row r="393" spans="1:9" ht="15.75" x14ac:dyDescent="0.25">
      <c r="A393" s="41" t="s">
        <v>541</v>
      </c>
      <c r="B393" s="7" t="s">
        <v>234</v>
      </c>
      <c r="C393" s="7" t="s">
        <v>215</v>
      </c>
      <c r="D393" s="7"/>
      <c r="E393" s="7"/>
      <c r="F393" s="4">
        <f>F394+F399+F438</f>
        <v>3810</v>
      </c>
      <c r="G393" s="4">
        <f>G394+G399+G438</f>
        <v>4063</v>
      </c>
    </row>
    <row r="394" spans="1:9" ht="15.75" x14ac:dyDescent="0.25">
      <c r="A394" s="23" t="s">
        <v>141</v>
      </c>
      <c r="B394" s="24" t="s">
        <v>234</v>
      </c>
      <c r="C394" s="24" t="s">
        <v>215</v>
      </c>
      <c r="D394" s="24" t="s">
        <v>866</v>
      </c>
      <c r="E394" s="24"/>
      <c r="F394" s="4">
        <f t="shared" ref="F394:G397" si="31">F395</f>
        <v>1390</v>
      </c>
      <c r="G394" s="4">
        <f t="shared" si="31"/>
        <v>1390</v>
      </c>
    </row>
    <row r="395" spans="1:9" ht="31.5" x14ac:dyDescent="0.25">
      <c r="A395" s="23" t="s">
        <v>870</v>
      </c>
      <c r="B395" s="24" t="s">
        <v>234</v>
      </c>
      <c r="C395" s="24" t="s">
        <v>215</v>
      </c>
      <c r="D395" s="24" t="s">
        <v>865</v>
      </c>
      <c r="E395" s="24"/>
      <c r="F395" s="4">
        <f t="shared" si="31"/>
        <v>1390</v>
      </c>
      <c r="G395" s="4">
        <f t="shared" si="31"/>
        <v>1390</v>
      </c>
    </row>
    <row r="396" spans="1:9" ht="15.75" x14ac:dyDescent="0.25">
      <c r="A396" s="25" t="s">
        <v>564</v>
      </c>
      <c r="B396" s="20" t="s">
        <v>234</v>
      </c>
      <c r="C396" s="20" t="s">
        <v>215</v>
      </c>
      <c r="D396" s="20" t="s">
        <v>1074</v>
      </c>
      <c r="E396" s="20"/>
      <c r="F396" s="6">
        <f t="shared" si="31"/>
        <v>1390</v>
      </c>
      <c r="G396" s="6">
        <f t="shared" si="31"/>
        <v>1390</v>
      </c>
    </row>
    <row r="397" spans="1:9" ht="31.5" x14ac:dyDescent="0.25">
      <c r="A397" s="25" t="s">
        <v>131</v>
      </c>
      <c r="B397" s="20" t="s">
        <v>234</v>
      </c>
      <c r="C397" s="20" t="s">
        <v>215</v>
      </c>
      <c r="D397" s="20" t="s">
        <v>1074</v>
      </c>
      <c r="E397" s="20" t="s">
        <v>132</v>
      </c>
      <c r="F397" s="6">
        <f t="shared" si="31"/>
        <v>1390</v>
      </c>
      <c r="G397" s="6">
        <f t="shared" si="31"/>
        <v>1390</v>
      </c>
    </row>
    <row r="398" spans="1:9" ht="47.25" x14ac:dyDescent="0.25">
      <c r="A398" s="25" t="s">
        <v>133</v>
      </c>
      <c r="B398" s="20" t="s">
        <v>234</v>
      </c>
      <c r="C398" s="20" t="s">
        <v>215</v>
      </c>
      <c r="D398" s="20" t="s">
        <v>1074</v>
      </c>
      <c r="E398" s="20" t="s">
        <v>134</v>
      </c>
      <c r="F398" s="6">
        <f>'пр.6.1.ведом.22-23'!G958</f>
        <v>1390</v>
      </c>
      <c r="G398" s="6">
        <f>'пр.6.1.ведом.22-23'!H958</f>
        <v>1390</v>
      </c>
    </row>
    <row r="399" spans="1:9" ht="47.25" x14ac:dyDescent="0.25">
      <c r="A399" s="23" t="s">
        <v>1362</v>
      </c>
      <c r="B399" s="7" t="s">
        <v>234</v>
      </c>
      <c r="C399" s="7" t="s">
        <v>215</v>
      </c>
      <c r="D399" s="7" t="s">
        <v>543</v>
      </c>
      <c r="E399" s="7"/>
      <c r="F399" s="4">
        <f>F400+F404+F431</f>
        <v>1920</v>
      </c>
      <c r="G399" s="4">
        <f>G400+G404+G431</f>
        <v>2173</v>
      </c>
      <c r="I399" s="22"/>
    </row>
    <row r="400" spans="1:9" ht="47.25" hidden="1" x14ac:dyDescent="0.25">
      <c r="A400" s="23" t="s">
        <v>1430</v>
      </c>
      <c r="B400" s="24" t="s">
        <v>234</v>
      </c>
      <c r="C400" s="24" t="s">
        <v>215</v>
      </c>
      <c r="D400" s="24" t="s">
        <v>1273</v>
      </c>
      <c r="E400" s="24"/>
      <c r="F400" s="4">
        <f t="shared" ref="F400:G402" si="32">F401</f>
        <v>0</v>
      </c>
      <c r="G400" s="4">
        <f t="shared" si="32"/>
        <v>0</v>
      </c>
    </row>
    <row r="401" spans="1:7" s="203" customFormat="1" ht="31.5" hidden="1" x14ac:dyDescent="0.25">
      <c r="A401" s="327" t="s">
        <v>1431</v>
      </c>
      <c r="B401" s="20" t="s">
        <v>234</v>
      </c>
      <c r="C401" s="20" t="s">
        <v>215</v>
      </c>
      <c r="D401" s="20" t="s">
        <v>1419</v>
      </c>
      <c r="E401" s="20"/>
      <c r="F401" s="26">
        <f t="shared" si="32"/>
        <v>0</v>
      </c>
      <c r="G401" s="6">
        <f t="shared" si="32"/>
        <v>0</v>
      </c>
    </row>
    <row r="402" spans="1:7" s="203" customFormat="1" ht="31.5" hidden="1" x14ac:dyDescent="0.25">
      <c r="A402" s="25" t="s">
        <v>131</v>
      </c>
      <c r="B402" s="20" t="s">
        <v>234</v>
      </c>
      <c r="C402" s="20" t="s">
        <v>215</v>
      </c>
      <c r="D402" s="20" t="s">
        <v>1419</v>
      </c>
      <c r="E402" s="20" t="s">
        <v>132</v>
      </c>
      <c r="F402" s="26">
        <f t="shared" si="32"/>
        <v>0</v>
      </c>
      <c r="G402" s="6">
        <f t="shared" si="32"/>
        <v>0</v>
      </c>
    </row>
    <row r="403" spans="1:7" s="203" customFormat="1" ht="47.25" hidden="1" x14ac:dyDescent="0.25">
      <c r="A403" s="25" t="s">
        <v>133</v>
      </c>
      <c r="B403" s="20" t="s">
        <v>234</v>
      </c>
      <c r="C403" s="20" t="s">
        <v>215</v>
      </c>
      <c r="D403" s="20" t="s">
        <v>1419</v>
      </c>
      <c r="E403" s="20" t="s">
        <v>134</v>
      </c>
      <c r="F403" s="26">
        <f>'пр.6.1.ведом.22-23'!G963</f>
        <v>0</v>
      </c>
      <c r="G403" s="6">
        <f>'пр.6.1.ведом.22-23'!H963</f>
        <v>0</v>
      </c>
    </row>
    <row r="404" spans="1:7" s="203" customFormat="1" ht="47.25" x14ac:dyDescent="0.25">
      <c r="A404" s="23" t="s">
        <v>1433</v>
      </c>
      <c r="B404" s="24" t="s">
        <v>234</v>
      </c>
      <c r="C404" s="24" t="s">
        <v>215</v>
      </c>
      <c r="D404" s="24" t="s">
        <v>1274</v>
      </c>
      <c r="E404" s="24"/>
      <c r="F404" s="4">
        <f>F405+F408+F414+F417+F420+F425+F428</f>
        <v>1920</v>
      </c>
      <c r="G404" s="4">
        <f>G405+G408+G414+G417+G420+G425+G428</f>
        <v>2173</v>
      </c>
    </row>
    <row r="405" spans="1:7" ht="24.4" customHeight="1" x14ac:dyDescent="0.25">
      <c r="A405" s="25" t="s">
        <v>546</v>
      </c>
      <c r="B405" s="20" t="s">
        <v>234</v>
      </c>
      <c r="C405" s="20" t="s">
        <v>215</v>
      </c>
      <c r="D405" s="20" t="s">
        <v>1429</v>
      </c>
      <c r="E405" s="20"/>
      <c r="F405" s="6">
        <f>F406</f>
        <v>365</v>
      </c>
      <c r="G405" s="6">
        <f>G406</f>
        <v>365</v>
      </c>
    </row>
    <row r="406" spans="1:7" ht="31.5" x14ac:dyDescent="0.25">
      <c r="A406" s="25" t="s">
        <v>131</v>
      </c>
      <c r="B406" s="20" t="s">
        <v>234</v>
      </c>
      <c r="C406" s="20" t="s">
        <v>215</v>
      </c>
      <c r="D406" s="20" t="s">
        <v>1429</v>
      </c>
      <c r="E406" s="20" t="s">
        <v>132</v>
      </c>
      <c r="F406" s="6">
        <f>F407</f>
        <v>365</v>
      </c>
      <c r="G406" s="6">
        <f>G407</f>
        <v>365</v>
      </c>
    </row>
    <row r="407" spans="1:7" ht="47.25" x14ac:dyDescent="0.25">
      <c r="A407" s="25" t="s">
        <v>133</v>
      </c>
      <c r="B407" s="20" t="s">
        <v>234</v>
      </c>
      <c r="C407" s="20" t="s">
        <v>215</v>
      </c>
      <c r="D407" s="20" t="s">
        <v>1429</v>
      </c>
      <c r="E407" s="20" t="s">
        <v>134</v>
      </c>
      <c r="F407" s="6">
        <f>'пр.6.1.ведом.22-23'!G967</f>
        <v>365</v>
      </c>
      <c r="G407" s="6">
        <f>'пр.6.1.ведом.22-23'!H967</f>
        <v>365</v>
      </c>
    </row>
    <row r="408" spans="1:7" ht="15.75" x14ac:dyDescent="0.25">
      <c r="A408" s="25" t="s">
        <v>548</v>
      </c>
      <c r="B408" s="20" t="s">
        <v>234</v>
      </c>
      <c r="C408" s="20" t="s">
        <v>215</v>
      </c>
      <c r="D408" s="20" t="s">
        <v>1418</v>
      </c>
      <c r="E408" s="20"/>
      <c r="F408" s="6">
        <f>F409</f>
        <v>1080</v>
      </c>
      <c r="G408" s="6">
        <f>G409</f>
        <v>1188</v>
      </c>
    </row>
    <row r="409" spans="1:7" ht="31.5" x14ac:dyDescent="0.25">
      <c r="A409" s="25" t="s">
        <v>131</v>
      </c>
      <c r="B409" s="20" t="s">
        <v>234</v>
      </c>
      <c r="C409" s="20" t="s">
        <v>215</v>
      </c>
      <c r="D409" s="20" t="s">
        <v>1418</v>
      </c>
      <c r="E409" s="20" t="s">
        <v>132</v>
      </c>
      <c r="F409" s="6">
        <f>F410</f>
        <v>1080</v>
      </c>
      <c r="G409" s="6">
        <f>G410</f>
        <v>1188</v>
      </c>
    </row>
    <row r="410" spans="1:7" ht="47.25" x14ac:dyDescent="0.25">
      <c r="A410" s="25" t="s">
        <v>133</v>
      </c>
      <c r="B410" s="20" t="s">
        <v>234</v>
      </c>
      <c r="C410" s="20" t="s">
        <v>215</v>
      </c>
      <c r="D410" s="20" t="s">
        <v>1418</v>
      </c>
      <c r="E410" s="20" t="s">
        <v>134</v>
      </c>
      <c r="F410" s="6">
        <f>'пр.6.1.ведом.22-23'!G970</f>
        <v>1080</v>
      </c>
      <c r="G410" s="6">
        <f>'пр.6.1.ведом.22-23'!H970</f>
        <v>1188</v>
      </c>
    </row>
    <row r="411" spans="1:7" ht="15.75" hidden="1" x14ac:dyDescent="0.25">
      <c r="A411" s="29" t="s">
        <v>135</v>
      </c>
      <c r="B411" s="20" t="s">
        <v>234</v>
      </c>
      <c r="C411" s="20" t="s">
        <v>215</v>
      </c>
      <c r="D411" s="20" t="s">
        <v>1418</v>
      </c>
      <c r="E411" s="20" t="s">
        <v>145</v>
      </c>
      <c r="F411" s="6">
        <f>'Пр.3 Рд,пр, ЦС,ВР 22'!F426</f>
        <v>0</v>
      </c>
      <c r="G411" s="6">
        <f>'Пр.3 Рд,пр, ЦС,ВР 22'!G426</f>
        <v>0</v>
      </c>
    </row>
    <row r="412" spans="1:7" ht="47.25" hidden="1" x14ac:dyDescent="0.25">
      <c r="A412" s="25" t="s">
        <v>836</v>
      </c>
      <c r="B412" s="20" t="s">
        <v>234</v>
      </c>
      <c r="C412" s="20" t="s">
        <v>215</v>
      </c>
      <c r="D412" s="20" t="s">
        <v>1418</v>
      </c>
      <c r="E412" s="20" t="s">
        <v>147</v>
      </c>
      <c r="F412" s="6">
        <f>'Пр.3 Рд,пр, ЦС,ВР 22'!F427</f>
        <v>0</v>
      </c>
      <c r="G412" s="6">
        <f>'Пр.3 Рд,пр, ЦС,ВР 22'!G427</f>
        <v>0</v>
      </c>
    </row>
    <row r="413" spans="1:7" ht="15.75" hidden="1" x14ac:dyDescent="0.25">
      <c r="A413" s="29" t="s">
        <v>568</v>
      </c>
      <c r="B413" s="20" t="s">
        <v>234</v>
      </c>
      <c r="C413" s="20" t="s">
        <v>215</v>
      </c>
      <c r="D413" s="20" t="s">
        <v>1418</v>
      </c>
      <c r="E413" s="20" t="s">
        <v>138</v>
      </c>
      <c r="F413" s="6">
        <f>'Пр.3 Рд,пр, ЦС,ВР 22'!F428</f>
        <v>0</v>
      </c>
      <c r="G413" s="6">
        <f>'Пр.3 Рд,пр, ЦС,ВР 22'!G428</f>
        <v>0</v>
      </c>
    </row>
    <row r="414" spans="1:7" ht="15.75" hidden="1" x14ac:dyDescent="0.25">
      <c r="A414" s="25" t="s">
        <v>550</v>
      </c>
      <c r="B414" s="20" t="s">
        <v>234</v>
      </c>
      <c r="C414" s="20" t="s">
        <v>215</v>
      </c>
      <c r="D414" s="20" t="s">
        <v>1298</v>
      </c>
      <c r="E414" s="20"/>
      <c r="F414" s="6">
        <f>F415</f>
        <v>0</v>
      </c>
      <c r="G414" s="6">
        <f>G415</f>
        <v>0</v>
      </c>
    </row>
    <row r="415" spans="1:7" ht="31.5" hidden="1" x14ac:dyDescent="0.25">
      <c r="A415" s="25" t="s">
        <v>131</v>
      </c>
      <c r="B415" s="20" t="s">
        <v>234</v>
      </c>
      <c r="C415" s="20" t="s">
        <v>215</v>
      </c>
      <c r="D415" s="20" t="s">
        <v>1298</v>
      </c>
      <c r="E415" s="20" t="s">
        <v>132</v>
      </c>
      <c r="F415" s="6">
        <f>F416</f>
        <v>0</v>
      </c>
      <c r="G415" s="6">
        <f>G416</f>
        <v>0</v>
      </c>
    </row>
    <row r="416" spans="1:7" ht="47.25" hidden="1" x14ac:dyDescent="0.25">
      <c r="A416" s="25" t="s">
        <v>133</v>
      </c>
      <c r="B416" s="20" t="s">
        <v>234</v>
      </c>
      <c r="C416" s="20" t="s">
        <v>215</v>
      </c>
      <c r="D416" s="20" t="s">
        <v>1298</v>
      </c>
      <c r="E416" s="20" t="s">
        <v>134</v>
      </c>
      <c r="F416" s="6">
        <f>'пр.6.1.ведом.22-23'!G976</f>
        <v>0</v>
      </c>
      <c r="G416" s="6">
        <f>'пр.6.1.ведом.22-23'!H976</f>
        <v>0</v>
      </c>
    </row>
    <row r="417" spans="1:7" ht="15.75" x14ac:dyDescent="0.25">
      <c r="A417" s="25" t="s">
        <v>555</v>
      </c>
      <c r="B417" s="20" t="s">
        <v>234</v>
      </c>
      <c r="C417" s="20" t="s">
        <v>215</v>
      </c>
      <c r="D417" s="20" t="s">
        <v>1275</v>
      </c>
      <c r="E417" s="20"/>
      <c r="F417" s="6">
        <f>F418</f>
        <v>50</v>
      </c>
      <c r="G417" s="6">
        <f>G418</f>
        <v>55</v>
      </c>
    </row>
    <row r="418" spans="1:7" ht="31.5" x14ac:dyDescent="0.25">
      <c r="A418" s="25" t="s">
        <v>131</v>
      </c>
      <c r="B418" s="20" t="s">
        <v>234</v>
      </c>
      <c r="C418" s="20" t="s">
        <v>215</v>
      </c>
      <c r="D418" s="20" t="s">
        <v>1275</v>
      </c>
      <c r="E418" s="20" t="s">
        <v>132</v>
      </c>
      <c r="F418" s="6">
        <f>F419</f>
        <v>50</v>
      </c>
      <c r="G418" s="6">
        <f>G419</f>
        <v>55</v>
      </c>
    </row>
    <row r="419" spans="1:7" ht="47.25" x14ac:dyDescent="0.25">
      <c r="A419" s="25" t="s">
        <v>133</v>
      </c>
      <c r="B419" s="20" t="s">
        <v>234</v>
      </c>
      <c r="C419" s="20" t="s">
        <v>215</v>
      </c>
      <c r="D419" s="20" t="s">
        <v>1275</v>
      </c>
      <c r="E419" s="20" t="s">
        <v>134</v>
      </c>
      <c r="F419" s="6">
        <f>'пр.6.1.ведом.22-23'!G979</f>
        <v>50</v>
      </c>
      <c r="G419" s="6">
        <f>'пр.6.1.ведом.22-23'!H979</f>
        <v>55</v>
      </c>
    </row>
    <row r="420" spans="1:7" ht="31.5" x14ac:dyDescent="0.25">
      <c r="A420" s="325" t="s">
        <v>1432</v>
      </c>
      <c r="B420" s="20" t="s">
        <v>234</v>
      </c>
      <c r="C420" s="20" t="s">
        <v>215</v>
      </c>
      <c r="D420" s="20" t="s">
        <v>1276</v>
      </c>
      <c r="E420" s="20"/>
      <c r="F420" s="6">
        <f>F421+F423</f>
        <v>375</v>
      </c>
      <c r="G420" s="6">
        <f>G421+G423</f>
        <v>375</v>
      </c>
    </row>
    <row r="421" spans="1:7" ht="31.5" x14ac:dyDescent="0.25">
      <c r="A421" s="25" t="s">
        <v>131</v>
      </c>
      <c r="B421" s="20" t="s">
        <v>234</v>
      </c>
      <c r="C421" s="20" t="s">
        <v>215</v>
      </c>
      <c r="D421" s="20" t="s">
        <v>1276</v>
      </c>
      <c r="E421" s="20" t="s">
        <v>132</v>
      </c>
      <c r="F421" s="6">
        <f>F422</f>
        <v>300</v>
      </c>
      <c r="G421" s="6">
        <f>G422</f>
        <v>300</v>
      </c>
    </row>
    <row r="422" spans="1:7" ht="47.25" x14ac:dyDescent="0.25">
      <c r="A422" s="25" t="s">
        <v>133</v>
      </c>
      <c r="B422" s="20" t="s">
        <v>234</v>
      </c>
      <c r="C422" s="20" t="s">
        <v>215</v>
      </c>
      <c r="D422" s="20" t="s">
        <v>1276</v>
      </c>
      <c r="E422" s="20" t="s">
        <v>134</v>
      </c>
      <c r="F422" s="6">
        <f>'пр.6.1.ведом.22-23'!G982</f>
        <v>300</v>
      </c>
      <c r="G422" s="6">
        <f>'пр.6.1.ведом.22-23'!H982</f>
        <v>300</v>
      </c>
    </row>
    <row r="423" spans="1:7" ht="15.75" x14ac:dyDescent="0.25">
      <c r="A423" s="29" t="s">
        <v>135</v>
      </c>
      <c r="B423" s="20" t="s">
        <v>234</v>
      </c>
      <c r="C423" s="20" t="s">
        <v>215</v>
      </c>
      <c r="D423" s="20" t="s">
        <v>1276</v>
      </c>
      <c r="E423" s="20" t="s">
        <v>145</v>
      </c>
      <c r="F423" s="6">
        <f>F424</f>
        <v>75</v>
      </c>
      <c r="G423" s="6">
        <f>G424</f>
        <v>75</v>
      </c>
    </row>
    <row r="424" spans="1:7" ht="20.25" customHeight="1" x14ac:dyDescent="0.25">
      <c r="A424" s="29" t="s">
        <v>568</v>
      </c>
      <c r="B424" s="20" t="s">
        <v>234</v>
      </c>
      <c r="C424" s="20" t="s">
        <v>215</v>
      </c>
      <c r="D424" s="20" t="s">
        <v>1276</v>
      </c>
      <c r="E424" s="20" t="s">
        <v>138</v>
      </c>
      <c r="F424" s="6">
        <f>'пр.6.1.ведом.22-23'!G984</f>
        <v>75</v>
      </c>
      <c r="G424" s="6">
        <f>'пр.6.1.ведом.22-23'!H984</f>
        <v>75</v>
      </c>
    </row>
    <row r="425" spans="1:7" ht="19.149999999999999" hidden="1" customHeight="1" x14ac:dyDescent="0.25">
      <c r="A425" s="98" t="s">
        <v>559</v>
      </c>
      <c r="B425" s="20" t="s">
        <v>234</v>
      </c>
      <c r="C425" s="20" t="s">
        <v>215</v>
      </c>
      <c r="D425" s="20" t="s">
        <v>1277</v>
      </c>
      <c r="E425" s="20"/>
      <c r="F425" s="6">
        <f>F426</f>
        <v>0</v>
      </c>
      <c r="G425" s="6">
        <f>G426</f>
        <v>130</v>
      </c>
    </row>
    <row r="426" spans="1:7" ht="31.5" hidden="1" x14ac:dyDescent="0.25">
      <c r="A426" s="25" t="s">
        <v>131</v>
      </c>
      <c r="B426" s="20" t="s">
        <v>234</v>
      </c>
      <c r="C426" s="20" t="s">
        <v>215</v>
      </c>
      <c r="D426" s="20" t="s">
        <v>1277</v>
      </c>
      <c r="E426" s="20" t="s">
        <v>132</v>
      </c>
      <c r="F426" s="6">
        <f>F427</f>
        <v>0</v>
      </c>
      <c r="G426" s="6">
        <f>G427</f>
        <v>130</v>
      </c>
    </row>
    <row r="427" spans="1:7" ht="47.25" hidden="1" x14ac:dyDescent="0.25">
      <c r="A427" s="25" t="s">
        <v>133</v>
      </c>
      <c r="B427" s="20" t="s">
        <v>234</v>
      </c>
      <c r="C427" s="20" t="s">
        <v>215</v>
      </c>
      <c r="D427" s="20" t="s">
        <v>1277</v>
      </c>
      <c r="E427" s="20" t="s">
        <v>134</v>
      </c>
      <c r="F427" s="6">
        <f>'пр.6.1.ведом.22-23'!G987</f>
        <v>0</v>
      </c>
      <c r="G427" s="6">
        <f>'пр.6.1.ведом.22-23'!H987</f>
        <v>130</v>
      </c>
    </row>
    <row r="428" spans="1:7" s="203" customFormat="1" ht="31.5" x14ac:dyDescent="0.25">
      <c r="A428" s="229" t="s">
        <v>1088</v>
      </c>
      <c r="B428" s="20" t="s">
        <v>234</v>
      </c>
      <c r="C428" s="20" t="s">
        <v>215</v>
      </c>
      <c r="D428" s="20" t="s">
        <v>1278</v>
      </c>
      <c r="E428" s="20"/>
      <c r="F428" s="26">
        <f>F429</f>
        <v>50</v>
      </c>
      <c r="G428" s="26">
        <f>G429</f>
        <v>60</v>
      </c>
    </row>
    <row r="429" spans="1:7" s="203" customFormat="1" ht="31.5" x14ac:dyDescent="0.25">
      <c r="A429" s="25" t="s">
        <v>131</v>
      </c>
      <c r="B429" s="20" t="s">
        <v>234</v>
      </c>
      <c r="C429" s="20" t="s">
        <v>215</v>
      </c>
      <c r="D429" s="20" t="s">
        <v>1278</v>
      </c>
      <c r="E429" s="20" t="s">
        <v>132</v>
      </c>
      <c r="F429" s="26">
        <f>F430</f>
        <v>50</v>
      </c>
      <c r="G429" s="26">
        <f>G430</f>
        <v>60</v>
      </c>
    </row>
    <row r="430" spans="1:7" s="203" customFormat="1" ht="47.25" x14ac:dyDescent="0.25">
      <c r="A430" s="25" t="s">
        <v>133</v>
      </c>
      <c r="B430" s="20" t="s">
        <v>234</v>
      </c>
      <c r="C430" s="20" t="s">
        <v>215</v>
      </c>
      <c r="D430" s="20" t="s">
        <v>1278</v>
      </c>
      <c r="E430" s="20" t="s">
        <v>134</v>
      </c>
      <c r="F430" s="26">
        <f>'пр.6.1.ведом.22-23'!G990</f>
        <v>50</v>
      </c>
      <c r="G430" s="26">
        <f>'пр.6.1.ведом.22-23'!H990</f>
        <v>60</v>
      </c>
    </row>
    <row r="431" spans="1:7" ht="41.25" hidden="1" customHeight="1" x14ac:dyDescent="0.25">
      <c r="A431" s="23" t="s">
        <v>891</v>
      </c>
      <c r="B431" s="7" t="s">
        <v>234</v>
      </c>
      <c r="C431" s="7" t="s">
        <v>215</v>
      </c>
      <c r="D431" s="24" t="s">
        <v>1296</v>
      </c>
      <c r="E431" s="24"/>
      <c r="F431" s="4">
        <f>F432+F435</f>
        <v>0</v>
      </c>
      <c r="G431" s="4">
        <f>G432+G435</f>
        <v>0</v>
      </c>
    </row>
    <row r="432" spans="1:7" ht="47.25" hidden="1" x14ac:dyDescent="0.25">
      <c r="A432" s="25" t="s">
        <v>690</v>
      </c>
      <c r="B432" s="20" t="s">
        <v>234</v>
      </c>
      <c r="C432" s="20" t="s">
        <v>215</v>
      </c>
      <c r="D432" s="20" t="s">
        <v>1327</v>
      </c>
      <c r="E432" s="20"/>
      <c r="F432" s="6">
        <f>F433</f>
        <v>0</v>
      </c>
      <c r="G432" s="6">
        <f t="shared" ref="G432:G463" si="33">F432</f>
        <v>0</v>
      </c>
    </row>
    <row r="433" spans="1:7" ht="31.5" hidden="1" x14ac:dyDescent="0.25">
      <c r="A433" s="25" t="s">
        <v>131</v>
      </c>
      <c r="B433" s="20" t="s">
        <v>234</v>
      </c>
      <c r="C433" s="20" t="s">
        <v>215</v>
      </c>
      <c r="D433" s="20" t="s">
        <v>1327</v>
      </c>
      <c r="E433" s="20" t="s">
        <v>132</v>
      </c>
      <c r="F433" s="6">
        <f>F434</f>
        <v>0</v>
      </c>
      <c r="G433" s="6">
        <f t="shared" si="33"/>
        <v>0</v>
      </c>
    </row>
    <row r="434" spans="1:7" ht="47.25" hidden="1" x14ac:dyDescent="0.25">
      <c r="A434" s="25" t="s">
        <v>133</v>
      </c>
      <c r="B434" s="20" t="s">
        <v>234</v>
      </c>
      <c r="C434" s="20" t="s">
        <v>215</v>
      </c>
      <c r="D434" s="20" t="s">
        <v>1327</v>
      </c>
      <c r="E434" s="20" t="s">
        <v>134</v>
      </c>
      <c r="F434" s="6">
        <f>'Пр.3 Рд,пр, ЦС,ВР 22'!F449</f>
        <v>0</v>
      </c>
      <c r="G434" s="6">
        <f t="shared" si="33"/>
        <v>0</v>
      </c>
    </row>
    <row r="435" spans="1:7" ht="63" hidden="1" x14ac:dyDescent="0.25">
      <c r="A435" s="25" t="s">
        <v>1070</v>
      </c>
      <c r="B435" s="20" t="s">
        <v>234</v>
      </c>
      <c r="C435" s="20" t="s">
        <v>215</v>
      </c>
      <c r="D435" s="20" t="s">
        <v>1295</v>
      </c>
      <c r="E435" s="20"/>
      <c r="F435" s="6">
        <f>F436</f>
        <v>0</v>
      </c>
      <c r="G435" s="6">
        <f>G436</f>
        <v>0</v>
      </c>
    </row>
    <row r="436" spans="1:7" ht="31.5" hidden="1" x14ac:dyDescent="0.25">
      <c r="A436" s="25" t="s">
        <v>131</v>
      </c>
      <c r="B436" s="20" t="s">
        <v>234</v>
      </c>
      <c r="C436" s="20" t="s">
        <v>215</v>
      </c>
      <c r="D436" s="20" t="s">
        <v>1295</v>
      </c>
      <c r="E436" s="20" t="s">
        <v>132</v>
      </c>
      <c r="F436" s="6">
        <f>F437</f>
        <v>0</v>
      </c>
      <c r="G436" s="6">
        <f>G437</f>
        <v>0</v>
      </c>
    </row>
    <row r="437" spans="1:7" ht="47.25" hidden="1" x14ac:dyDescent="0.25">
      <c r="A437" s="25" t="s">
        <v>133</v>
      </c>
      <c r="B437" s="20" t="s">
        <v>234</v>
      </c>
      <c r="C437" s="20" t="s">
        <v>215</v>
      </c>
      <c r="D437" s="20" t="s">
        <v>1295</v>
      </c>
      <c r="E437" s="20" t="s">
        <v>134</v>
      </c>
      <c r="F437" s="6">
        <f>'пр.6.1.ведом.22-23'!G997</f>
        <v>0</v>
      </c>
      <c r="G437" s="6">
        <f>'пр.6.1.ведом.22-23'!H997</f>
        <v>0</v>
      </c>
    </row>
    <row r="438" spans="1:7" ht="78.75" x14ac:dyDescent="0.25">
      <c r="A438" s="23" t="s">
        <v>1530</v>
      </c>
      <c r="B438" s="24" t="s">
        <v>234</v>
      </c>
      <c r="C438" s="24" t="s">
        <v>215</v>
      </c>
      <c r="D438" s="24" t="s">
        <v>711</v>
      </c>
      <c r="E438" s="24"/>
      <c r="F438" s="4">
        <f t="shared" ref="F438:G438" si="34">F440</f>
        <v>500</v>
      </c>
      <c r="G438" s="4">
        <f t="shared" si="34"/>
        <v>500</v>
      </c>
    </row>
    <row r="439" spans="1:7" ht="31.5" x14ac:dyDescent="0.25">
      <c r="A439" s="23" t="s">
        <v>1066</v>
      </c>
      <c r="B439" s="24" t="s">
        <v>234</v>
      </c>
      <c r="C439" s="24" t="s">
        <v>215</v>
      </c>
      <c r="D439" s="24" t="s">
        <v>835</v>
      </c>
      <c r="E439" s="20"/>
      <c r="F439" s="4">
        <f t="shared" ref="F439:G441" si="35">F440</f>
        <v>500</v>
      </c>
      <c r="G439" s="4">
        <f t="shared" si="35"/>
        <v>500</v>
      </c>
    </row>
    <row r="440" spans="1:7" ht="31.5" x14ac:dyDescent="0.25">
      <c r="A440" s="253" t="s">
        <v>710</v>
      </c>
      <c r="B440" s="20" t="s">
        <v>234</v>
      </c>
      <c r="C440" s="20" t="s">
        <v>215</v>
      </c>
      <c r="D440" s="20" t="s">
        <v>835</v>
      </c>
      <c r="E440" s="20"/>
      <c r="F440" s="6">
        <f t="shared" si="35"/>
        <v>500</v>
      </c>
      <c r="G440" s="6">
        <f t="shared" si="35"/>
        <v>500</v>
      </c>
    </row>
    <row r="441" spans="1:7" ht="31.5" x14ac:dyDescent="0.25">
      <c r="A441" s="25" t="s">
        <v>131</v>
      </c>
      <c r="B441" s="20" t="s">
        <v>234</v>
      </c>
      <c r="C441" s="20" t="s">
        <v>215</v>
      </c>
      <c r="D441" s="20" t="s">
        <v>835</v>
      </c>
      <c r="E441" s="20" t="s">
        <v>132</v>
      </c>
      <c r="F441" s="6">
        <f t="shared" si="35"/>
        <v>500</v>
      </c>
      <c r="G441" s="6">
        <f t="shared" si="35"/>
        <v>500</v>
      </c>
    </row>
    <row r="442" spans="1:7" ht="47.25" x14ac:dyDescent="0.25">
      <c r="A442" s="25" t="s">
        <v>133</v>
      </c>
      <c r="B442" s="20" t="s">
        <v>234</v>
      </c>
      <c r="C442" s="20" t="s">
        <v>215</v>
      </c>
      <c r="D442" s="20" t="s">
        <v>835</v>
      </c>
      <c r="E442" s="20" t="s">
        <v>134</v>
      </c>
      <c r="F442" s="6">
        <f>'пр.6.1.ведом.22-23'!G1002</f>
        <v>500</v>
      </c>
      <c r="G442" s="6">
        <f>'пр.6.1.ведом.22-23'!H1002</f>
        <v>500</v>
      </c>
    </row>
    <row r="443" spans="1:7" ht="31.5" x14ac:dyDescent="0.25">
      <c r="A443" s="41" t="s">
        <v>569</v>
      </c>
      <c r="B443" s="7" t="s">
        <v>234</v>
      </c>
      <c r="C443" s="7" t="s">
        <v>234</v>
      </c>
      <c r="D443" s="7"/>
      <c r="E443" s="7"/>
      <c r="F443" s="4">
        <f>F444+F456+F473</f>
        <v>25304.5</v>
      </c>
      <c r="G443" s="4">
        <f>G444+G456+G473</f>
        <v>25304.5</v>
      </c>
    </row>
    <row r="444" spans="1:7" ht="31.5" x14ac:dyDescent="0.25">
      <c r="A444" s="23" t="s">
        <v>917</v>
      </c>
      <c r="B444" s="24" t="s">
        <v>234</v>
      </c>
      <c r="C444" s="24" t="s">
        <v>234</v>
      </c>
      <c r="D444" s="24" t="s">
        <v>858</v>
      </c>
      <c r="E444" s="24"/>
      <c r="F444" s="4">
        <f>F445</f>
        <v>12879.3</v>
      </c>
      <c r="G444" s="4">
        <f>G445</f>
        <v>12879.3</v>
      </c>
    </row>
    <row r="445" spans="1:7" ht="15.75" x14ac:dyDescent="0.25">
      <c r="A445" s="23" t="s">
        <v>918</v>
      </c>
      <c r="B445" s="24" t="s">
        <v>234</v>
      </c>
      <c r="C445" s="24" t="s">
        <v>234</v>
      </c>
      <c r="D445" s="24" t="s">
        <v>859</v>
      </c>
      <c r="E445" s="24"/>
      <c r="F445" s="4">
        <f>F446+F453</f>
        <v>12879.3</v>
      </c>
      <c r="G445" s="4">
        <f>G446+G453</f>
        <v>12879.3</v>
      </c>
    </row>
    <row r="446" spans="1:7" ht="31.5" x14ac:dyDescent="0.25">
      <c r="A446" s="25" t="s">
        <v>897</v>
      </c>
      <c r="B446" s="20" t="s">
        <v>234</v>
      </c>
      <c r="C446" s="20" t="s">
        <v>234</v>
      </c>
      <c r="D446" s="20" t="s">
        <v>860</v>
      </c>
      <c r="E446" s="20"/>
      <c r="F446" s="6">
        <f>F447+F449+F451</f>
        <v>12511.3</v>
      </c>
      <c r="G446" s="6">
        <f>G447+G449+G451</f>
        <v>12511.3</v>
      </c>
    </row>
    <row r="447" spans="1:7" ht="94.5" x14ac:dyDescent="0.25">
      <c r="A447" s="25" t="s">
        <v>127</v>
      </c>
      <c r="B447" s="20" t="s">
        <v>234</v>
      </c>
      <c r="C447" s="20" t="s">
        <v>234</v>
      </c>
      <c r="D447" s="20" t="s">
        <v>860</v>
      </c>
      <c r="E447" s="20" t="s">
        <v>128</v>
      </c>
      <c r="F447" s="6">
        <f>F448</f>
        <v>12439.3</v>
      </c>
      <c r="G447" s="6">
        <f>G448</f>
        <v>12439.3</v>
      </c>
    </row>
    <row r="448" spans="1:7" ht="36.75" customHeight="1" x14ac:dyDescent="0.25">
      <c r="A448" s="25" t="s">
        <v>129</v>
      </c>
      <c r="B448" s="20" t="s">
        <v>234</v>
      </c>
      <c r="C448" s="20" t="s">
        <v>234</v>
      </c>
      <c r="D448" s="20" t="s">
        <v>860</v>
      </c>
      <c r="E448" s="20" t="s">
        <v>130</v>
      </c>
      <c r="F448" s="6">
        <f>'пр.6.1.ведом.22-23'!G1008</f>
        <v>12439.3</v>
      </c>
      <c r="G448" s="6">
        <f>'пр.6.1.ведом.22-23'!H1008</f>
        <v>12439.3</v>
      </c>
    </row>
    <row r="449" spans="1:7" ht="31.5" x14ac:dyDescent="0.25">
      <c r="A449" s="25" t="s">
        <v>131</v>
      </c>
      <c r="B449" s="20" t="s">
        <v>234</v>
      </c>
      <c r="C449" s="20" t="s">
        <v>234</v>
      </c>
      <c r="D449" s="20" t="s">
        <v>860</v>
      </c>
      <c r="E449" s="20" t="s">
        <v>132</v>
      </c>
      <c r="F449" s="6">
        <f>F450</f>
        <v>25</v>
      </c>
      <c r="G449" s="6">
        <f>G450</f>
        <v>25</v>
      </c>
    </row>
    <row r="450" spans="1:7" ht="47.25" x14ac:dyDescent="0.25">
      <c r="A450" s="25" t="s">
        <v>133</v>
      </c>
      <c r="B450" s="20" t="s">
        <v>234</v>
      </c>
      <c r="C450" s="20" t="s">
        <v>234</v>
      </c>
      <c r="D450" s="20" t="s">
        <v>860</v>
      </c>
      <c r="E450" s="20" t="s">
        <v>134</v>
      </c>
      <c r="F450" s="6">
        <f>'пр.6.1.ведом.22-23'!G1010</f>
        <v>25</v>
      </c>
      <c r="G450" s="6">
        <f>'пр.6.1.ведом.22-23'!H1010</f>
        <v>25</v>
      </c>
    </row>
    <row r="451" spans="1:7" ht="15.75" x14ac:dyDescent="0.25">
      <c r="A451" s="25" t="s">
        <v>135</v>
      </c>
      <c r="B451" s="20" t="s">
        <v>234</v>
      </c>
      <c r="C451" s="20" t="s">
        <v>234</v>
      </c>
      <c r="D451" s="20" t="s">
        <v>860</v>
      </c>
      <c r="E451" s="20" t="s">
        <v>145</v>
      </c>
      <c r="F451" s="6">
        <f>F452</f>
        <v>47</v>
      </c>
      <c r="G451" s="6">
        <f>G452</f>
        <v>47</v>
      </c>
    </row>
    <row r="452" spans="1:7" ht="21.75" customHeight="1" x14ac:dyDescent="0.25">
      <c r="A452" s="25" t="s">
        <v>568</v>
      </c>
      <c r="B452" s="20" t="s">
        <v>234</v>
      </c>
      <c r="C452" s="20" t="s">
        <v>234</v>
      </c>
      <c r="D452" s="20" t="s">
        <v>860</v>
      </c>
      <c r="E452" s="20" t="s">
        <v>138</v>
      </c>
      <c r="F452" s="6">
        <f>'пр.6.1.ведом.22-23'!G1012</f>
        <v>47</v>
      </c>
      <c r="G452" s="6">
        <f>'пр.6.1.ведом.22-23'!H1012</f>
        <v>47</v>
      </c>
    </row>
    <row r="453" spans="1:7" ht="47.25" x14ac:dyDescent="0.25">
      <c r="A453" s="25" t="s">
        <v>839</v>
      </c>
      <c r="B453" s="20" t="s">
        <v>234</v>
      </c>
      <c r="C453" s="20" t="s">
        <v>234</v>
      </c>
      <c r="D453" s="20" t="s">
        <v>862</v>
      </c>
      <c r="E453" s="20"/>
      <c r="F453" s="6">
        <f>F454</f>
        <v>368</v>
      </c>
      <c r="G453" s="6">
        <f>G454</f>
        <v>368</v>
      </c>
    </row>
    <row r="454" spans="1:7" ht="94.5" x14ac:dyDescent="0.25">
      <c r="A454" s="25" t="s">
        <v>127</v>
      </c>
      <c r="B454" s="20" t="s">
        <v>234</v>
      </c>
      <c r="C454" s="20" t="s">
        <v>234</v>
      </c>
      <c r="D454" s="20" t="s">
        <v>862</v>
      </c>
      <c r="E454" s="20" t="s">
        <v>128</v>
      </c>
      <c r="F454" s="6">
        <f>F455</f>
        <v>368</v>
      </c>
      <c r="G454" s="6">
        <f>G455</f>
        <v>368</v>
      </c>
    </row>
    <row r="455" spans="1:7" ht="33" customHeight="1" x14ac:dyDescent="0.25">
      <c r="A455" s="25" t="s">
        <v>129</v>
      </c>
      <c r="B455" s="20" t="s">
        <v>234</v>
      </c>
      <c r="C455" s="20" t="s">
        <v>234</v>
      </c>
      <c r="D455" s="20" t="s">
        <v>862</v>
      </c>
      <c r="E455" s="20" t="s">
        <v>130</v>
      </c>
      <c r="F455" s="6">
        <f>'пр.6.1.ведом.22-23'!G1015</f>
        <v>368</v>
      </c>
      <c r="G455" s="6">
        <f>'пр.6.1.ведом.22-23'!H1015</f>
        <v>368</v>
      </c>
    </row>
    <row r="456" spans="1:7" ht="15.75" x14ac:dyDescent="0.25">
      <c r="A456" s="23" t="s">
        <v>141</v>
      </c>
      <c r="B456" s="24" t="s">
        <v>234</v>
      </c>
      <c r="C456" s="24" t="s">
        <v>234</v>
      </c>
      <c r="D456" s="24" t="s">
        <v>866</v>
      </c>
      <c r="E456" s="24"/>
      <c r="F456" s="4">
        <f>F457+F464</f>
        <v>12425.2</v>
      </c>
      <c r="G456" s="4">
        <f>G457+G464</f>
        <v>12425.2</v>
      </c>
    </row>
    <row r="457" spans="1:7" ht="31.5" x14ac:dyDescent="0.25">
      <c r="A457" s="23" t="s">
        <v>870</v>
      </c>
      <c r="B457" s="24" t="s">
        <v>234</v>
      </c>
      <c r="C457" s="24" t="s">
        <v>234</v>
      </c>
      <c r="D457" s="24" t="s">
        <v>865</v>
      </c>
      <c r="E457" s="24"/>
      <c r="F457" s="388">
        <f>F458+F461</f>
        <v>982</v>
      </c>
      <c r="G457" s="388">
        <f>G458+G461</f>
        <v>982</v>
      </c>
    </row>
    <row r="458" spans="1:7" ht="31.5" x14ac:dyDescent="0.25">
      <c r="A458" s="25" t="s">
        <v>570</v>
      </c>
      <c r="B458" s="20" t="s">
        <v>234</v>
      </c>
      <c r="C458" s="20" t="s">
        <v>234</v>
      </c>
      <c r="D458" s="20" t="s">
        <v>984</v>
      </c>
      <c r="E458" s="20"/>
      <c r="F458" s="6">
        <f>F459</f>
        <v>982</v>
      </c>
      <c r="G458" s="6">
        <f>G459</f>
        <v>982</v>
      </c>
    </row>
    <row r="459" spans="1:7" ht="15.75" x14ac:dyDescent="0.25">
      <c r="A459" s="25" t="s">
        <v>135</v>
      </c>
      <c r="B459" s="20" t="s">
        <v>234</v>
      </c>
      <c r="C459" s="20" t="s">
        <v>234</v>
      </c>
      <c r="D459" s="20" t="s">
        <v>984</v>
      </c>
      <c r="E459" s="20" t="s">
        <v>145</v>
      </c>
      <c r="F459" s="6">
        <f>F460</f>
        <v>982</v>
      </c>
      <c r="G459" s="6">
        <f>G460</f>
        <v>982</v>
      </c>
    </row>
    <row r="460" spans="1:7" ht="63" x14ac:dyDescent="0.25">
      <c r="A460" s="25" t="s">
        <v>184</v>
      </c>
      <c r="B460" s="20" t="s">
        <v>234</v>
      </c>
      <c r="C460" s="20" t="s">
        <v>234</v>
      </c>
      <c r="D460" s="20" t="s">
        <v>984</v>
      </c>
      <c r="E460" s="20" t="s">
        <v>160</v>
      </c>
      <c r="F460" s="6">
        <f>'пр.6.1.ведом.22-23'!G1020</f>
        <v>982</v>
      </c>
      <c r="G460" s="6">
        <f>'пр.6.1.ведом.22-23'!H1020</f>
        <v>982</v>
      </c>
    </row>
    <row r="461" spans="1:7" ht="31.5" hidden="1" x14ac:dyDescent="0.25">
      <c r="A461" s="25" t="s">
        <v>823</v>
      </c>
      <c r="B461" s="20" t="s">
        <v>234</v>
      </c>
      <c r="C461" s="20" t="s">
        <v>234</v>
      </c>
      <c r="D461" s="20" t="s">
        <v>1071</v>
      </c>
      <c r="E461" s="20"/>
      <c r="F461" s="6">
        <f>'Пр.3 Рд,пр, ЦС,ВР 22'!F506</f>
        <v>0</v>
      </c>
      <c r="G461" s="6">
        <f t="shared" si="33"/>
        <v>0</v>
      </c>
    </row>
    <row r="462" spans="1:7" ht="15.75" hidden="1" x14ac:dyDescent="0.25">
      <c r="A462" s="25" t="s">
        <v>135</v>
      </c>
      <c r="B462" s="20" t="s">
        <v>234</v>
      </c>
      <c r="C462" s="20" t="s">
        <v>234</v>
      </c>
      <c r="D462" s="20" t="s">
        <v>1071</v>
      </c>
      <c r="E462" s="20" t="s">
        <v>145</v>
      </c>
      <c r="F462" s="6">
        <f>'Пр.3 Рд,пр, ЦС,ВР 22'!F507</f>
        <v>0</v>
      </c>
      <c r="G462" s="6">
        <f t="shared" si="33"/>
        <v>0</v>
      </c>
    </row>
    <row r="463" spans="1:7" ht="63" hidden="1" x14ac:dyDescent="0.25">
      <c r="A463" s="25" t="s">
        <v>184</v>
      </c>
      <c r="B463" s="20" t="s">
        <v>234</v>
      </c>
      <c r="C463" s="20" t="s">
        <v>234</v>
      </c>
      <c r="D463" s="20" t="s">
        <v>1071</v>
      </c>
      <c r="E463" s="20" t="s">
        <v>160</v>
      </c>
      <c r="F463" s="6">
        <f>'Пр.3 Рд,пр, ЦС,ВР 22'!F508</f>
        <v>0</v>
      </c>
      <c r="G463" s="6">
        <f t="shared" si="33"/>
        <v>0</v>
      </c>
    </row>
    <row r="464" spans="1:7" ht="47.25" x14ac:dyDescent="0.25">
      <c r="A464" s="23" t="s">
        <v>929</v>
      </c>
      <c r="B464" s="24" t="s">
        <v>234</v>
      </c>
      <c r="C464" s="24" t="s">
        <v>234</v>
      </c>
      <c r="D464" s="24" t="s">
        <v>914</v>
      </c>
      <c r="E464" s="24"/>
      <c r="F464" s="388">
        <f>F465+F470</f>
        <v>11443.2</v>
      </c>
      <c r="G464" s="388">
        <f>G465+G470</f>
        <v>11443.2</v>
      </c>
    </row>
    <row r="465" spans="1:10" ht="31.5" x14ac:dyDescent="0.25">
      <c r="A465" s="25" t="s">
        <v>903</v>
      </c>
      <c r="B465" s="20" t="s">
        <v>234</v>
      </c>
      <c r="C465" s="20" t="s">
        <v>234</v>
      </c>
      <c r="D465" s="20" t="s">
        <v>915</v>
      </c>
      <c r="E465" s="20"/>
      <c r="F465" s="6">
        <f>F466+F469</f>
        <v>10845.2</v>
      </c>
      <c r="G465" s="6">
        <f>G466+G469</f>
        <v>10845.2</v>
      </c>
    </row>
    <row r="466" spans="1:10" ht="94.5" x14ac:dyDescent="0.25">
      <c r="A466" s="25" t="s">
        <v>127</v>
      </c>
      <c r="B466" s="20" t="s">
        <v>234</v>
      </c>
      <c r="C466" s="20" t="s">
        <v>234</v>
      </c>
      <c r="D466" s="20" t="s">
        <v>915</v>
      </c>
      <c r="E466" s="20" t="s">
        <v>128</v>
      </c>
      <c r="F466" s="6">
        <f>F467</f>
        <v>9193</v>
      </c>
      <c r="G466" s="6">
        <f>G467</f>
        <v>9193</v>
      </c>
    </row>
    <row r="467" spans="1:10" ht="31.5" x14ac:dyDescent="0.25">
      <c r="A467" s="25" t="s">
        <v>342</v>
      </c>
      <c r="B467" s="20" t="s">
        <v>234</v>
      </c>
      <c r="C467" s="20" t="s">
        <v>234</v>
      </c>
      <c r="D467" s="20" t="s">
        <v>915</v>
      </c>
      <c r="E467" s="20" t="s">
        <v>209</v>
      </c>
      <c r="F467" s="6">
        <f>'пр.6.1.ведом.22-23'!G1027</f>
        <v>9193</v>
      </c>
      <c r="G467" s="6">
        <f>'пр.6.1.ведом.22-23'!H1027</f>
        <v>9193</v>
      </c>
    </row>
    <row r="468" spans="1:10" ht="31.5" x14ac:dyDescent="0.25">
      <c r="A468" s="25" t="s">
        <v>131</v>
      </c>
      <c r="B468" s="20" t="s">
        <v>234</v>
      </c>
      <c r="C468" s="20" t="s">
        <v>234</v>
      </c>
      <c r="D468" s="20" t="s">
        <v>915</v>
      </c>
      <c r="E468" s="20" t="s">
        <v>132</v>
      </c>
      <c r="F468" s="6">
        <f>F469</f>
        <v>1652.2</v>
      </c>
      <c r="G468" s="6">
        <f>G469</f>
        <v>1652.2</v>
      </c>
    </row>
    <row r="469" spans="1:10" ht="47.25" x14ac:dyDescent="0.25">
      <c r="A469" s="25" t="s">
        <v>133</v>
      </c>
      <c r="B469" s="20" t="s">
        <v>234</v>
      </c>
      <c r="C469" s="20" t="s">
        <v>234</v>
      </c>
      <c r="D469" s="20" t="s">
        <v>915</v>
      </c>
      <c r="E469" s="20" t="s">
        <v>134</v>
      </c>
      <c r="F469" s="6">
        <f>'пр.6.1.ведом.22-23'!G1029</f>
        <v>1652.2</v>
      </c>
      <c r="G469" s="6">
        <f>'пр.6.1.ведом.22-23'!H1029</f>
        <v>1652.2</v>
      </c>
    </row>
    <row r="470" spans="1:10" ht="47.25" x14ac:dyDescent="0.25">
      <c r="A470" s="25" t="s">
        <v>839</v>
      </c>
      <c r="B470" s="20" t="s">
        <v>234</v>
      </c>
      <c r="C470" s="20" t="s">
        <v>234</v>
      </c>
      <c r="D470" s="20" t="s">
        <v>916</v>
      </c>
      <c r="E470" s="20"/>
      <c r="F470" s="6">
        <f>F471</f>
        <v>598</v>
      </c>
      <c r="G470" s="6">
        <f>G471</f>
        <v>598</v>
      </c>
    </row>
    <row r="471" spans="1:10" ht="94.5" x14ac:dyDescent="0.25">
      <c r="A471" s="25" t="s">
        <v>127</v>
      </c>
      <c r="B471" s="20" t="s">
        <v>234</v>
      </c>
      <c r="C471" s="20" t="s">
        <v>234</v>
      </c>
      <c r="D471" s="20" t="s">
        <v>916</v>
      </c>
      <c r="E471" s="20" t="s">
        <v>128</v>
      </c>
      <c r="F471" s="6">
        <f>F472</f>
        <v>598</v>
      </c>
      <c r="G471" s="6">
        <f>G472</f>
        <v>598</v>
      </c>
    </row>
    <row r="472" spans="1:10" ht="39.75" customHeight="1" x14ac:dyDescent="0.25">
      <c r="A472" s="25" t="s">
        <v>129</v>
      </c>
      <c r="B472" s="20" t="s">
        <v>234</v>
      </c>
      <c r="C472" s="20" t="s">
        <v>234</v>
      </c>
      <c r="D472" s="20" t="s">
        <v>916</v>
      </c>
      <c r="E472" s="20" t="s">
        <v>130</v>
      </c>
      <c r="F472" s="6">
        <f>'пр.6.1.ведом.22-23'!G1032</f>
        <v>598</v>
      </c>
      <c r="G472" s="6">
        <f>'пр.6.1.ведом.22-23'!H1032</f>
        <v>598</v>
      </c>
    </row>
    <row r="473" spans="1:10" s="203" customFormat="1" ht="63" hidden="1" x14ac:dyDescent="0.25">
      <c r="A473" s="34" t="s">
        <v>1357</v>
      </c>
      <c r="B473" s="24" t="s">
        <v>234</v>
      </c>
      <c r="C473" s="24" t="s">
        <v>234</v>
      </c>
      <c r="D473" s="24" t="s">
        <v>324</v>
      </c>
      <c r="E473" s="24"/>
      <c r="F473" s="21">
        <f t="shared" ref="F473:G476" si="36">F474</f>
        <v>0</v>
      </c>
      <c r="G473" s="21">
        <f t="shared" si="36"/>
        <v>0</v>
      </c>
    </row>
    <row r="474" spans="1:10" s="203" customFormat="1" ht="63" hidden="1" x14ac:dyDescent="0.25">
      <c r="A474" s="34" t="s">
        <v>1009</v>
      </c>
      <c r="B474" s="24" t="s">
        <v>234</v>
      </c>
      <c r="C474" s="24" t="s">
        <v>234</v>
      </c>
      <c r="D474" s="24" t="s">
        <v>934</v>
      </c>
      <c r="E474" s="24"/>
      <c r="F474" s="21">
        <f t="shared" si="36"/>
        <v>0</v>
      </c>
      <c r="G474" s="21">
        <f t="shared" si="36"/>
        <v>0</v>
      </c>
    </row>
    <row r="475" spans="1:10" s="203" customFormat="1" ht="47.25" hidden="1" x14ac:dyDescent="0.25">
      <c r="A475" s="31" t="s">
        <v>1080</v>
      </c>
      <c r="B475" s="20" t="s">
        <v>234</v>
      </c>
      <c r="C475" s="20" t="s">
        <v>234</v>
      </c>
      <c r="D475" s="20" t="s">
        <v>1026</v>
      </c>
      <c r="E475" s="20"/>
      <c r="F475" s="26">
        <f t="shared" si="36"/>
        <v>0</v>
      </c>
      <c r="G475" s="26">
        <f t="shared" si="36"/>
        <v>0</v>
      </c>
    </row>
    <row r="476" spans="1:10" s="203" customFormat="1" ht="31.5" hidden="1" x14ac:dyDescent="0.25">
      <c r="A476" s="25" t="s">
        <v>131</v>
      </c>
      <c r="B476" s="20" t="s">
        <v>234</v>
      </c>
      <c r="C476" s="20" t="s">
        <v>234</v>
      </c>
      <c r="D476" s="20" t="s">
        <v>1026</v>
      </c>
      <c r="E476" s="20" t="s">
        <v>132</v>
      </c>
      <c r="F476" s="26">
        <f t="shared" si="36"/>
        <v>0</v>
      </c>
      <c r="G476" s="26">
        <f t="shared" si="36"/>
        <v>0</v>
      </c>
    </row>
    <row r="477" spans="1:10" s="203" customFormat="1" ht="47.25" hidden="1" x14ac:dyDescent="0.25">
      <c r="A477" s="25" t="s">
        <v>133</v>
      </c>
      <c r="B477" s="20" t="s">
        <v>234</v>
      </c>
      <c r="C477" s="20" t="s">
        <v>234</v>
      </c>
      <c r="D477" s="20" t="s">
        <v>1026</v>
      </c>
      <c r="E477" s="20" t="s">
        <v>134</v>
      </c>
      <c r="F477" s="26">
        <f>'пр.6.1.ведом.22-23'!G1037</f>
        <v>0</v>
      </c>
      <c r="G477" s="6">
        <f>'пр.6.1.ведом.22-23'!H1037</f>
        <v>0</v>
      </c>
    </row>
    <row r="478" spans="1:10" ht="15.75" x14ac:dyDescent="0.25">
      <c r="A478" s="41" t="s">
        <v>263</v>
      </c>
      <c r="B478" s="7" t="s">
        <v>264</v>
      </c>
      <c r="C478" s="40"/>
      <c r="D478" s="40"/>
      <c r="E478" s="40"/>
      <c r="F478" s="4">
        <f>F479+F542+F714+F620+F689</f>
        <v>366206.80999999994</v>
      </c>
      <c r="G478" s="4">
        <f>G479+G542+G714+G620+G689</f>
        <v>389340.16000000003</v>
      </c>
      <c r="H478" s="225"/>
      <c r="I478" s="225"/>
      <c r="J478" s="225"/>
    </row>
    <row r="479" spans="1:10" ht="15.75" x14ac:dyDescent="0.25">
      <c r="A479" s="41" t="s">
        <v>404</v>
      </c>
      <c r="B479" s="7" t="s">
        <v>264</v>
      </c>
      <c r="C479" s="7" t="s">
        <v>118</v>
      </c>
      <c r="D479" s="7"/>
      <c r="E479" s="7"/>
      <c r="F479" s="4">
        <f>F480+F532+F537</f>
        <v>102250.3</v>
      </c>
      <c r="G479" s="4">
        <f>G480+G532+G537</f>
        <v>105829.20000000001</v>
      </c>
    </row>
    <row r="480" spans="1:10" ht="47.25" x14ac:dyDescent="0.25">
      <c r="A480" s="23" t="s">
        <v>1356</v>
      </c>
      <c r="B480" s="24" t="s">
        <v>264</v>
      </c>
      <c r="C480" s="24" t="s">
        <v>118</v>
      </c>
      <c r="D480" s="24" t="s">
        <v>406</v>
      </c>
      <c r="E480" s="24"/>
      <c r="F480" s="4">
        <f>F481+F485+F498+F508+F518+F525</f>
        <v>101599.40000000001</v>
      </c>
      <c r="G480" s="4">
        <f>G481+G485+G498+G508+G518+G525</f>
        <v>105210.40000000001</v>
      </c>
    </row>
    <row r="481" spans="1:7" ht="47.25" x14ac:dyDescent="0.25">
      <c r="A481" s="23" t="s">
        <v>937</v>
      </c>
      <c r="B481" s="24" t="s">
        <v>264</v>
      </c>
      <c r="C481" s="24" t="s">
        <v>118</v>
      </c>
      <c r="D481" s="24" t="s">
        <v>1230</v>
      </c>
      <c r="E481" s="24"/>
      <c r="F481" s="4">
        <f t="shared" ref="F481:G483" si="37">F482</f>
        <v>14795.6</v>
      </c>
      <c r="G481" s="4">
        <f t="shared" si="37"/>
        <v>14795.6</v>
      </c>
    </row>
    <row r="482" spans="1:7" ht="47.25" x14ac:dyDescent="0.25">
      <c r="A482" s="25" t="s">
        <v>1229</v>
      </c>
      <c r="B482" s="20" t="s">
        <v>264</v>
      </c>
      <c r="C482" s="20" t="s">
        <v>118</v>
      </c>
      <c r="D482" s="20" t="s">
        <v>1231</v>
      </c>
      <c r="E482" s="20"/>
      <c r="F482" s="6">
        <f t="shared" si="37"/>
        <v>14795.6</v>
      </c>
      <c r="G482" s="6">
        <f t="shared" si="37"/>
        <v>14795.6</v>
      </c>
    </row>
    <row r="483" spans="1:7" ht="47.25" x14ac:dyDescent="0.25">
      <c r="A483" s="25" t="s">
        <v>272</v>
      </c>
      <c r="B483" s="20" t="s">
        <v>264</v>
      </c>
      <c r="C483" s="20" t="s">
        <v>118</v>
      </c>
      <c r="D483" s="20" t="s">
        <v>1231</v>
      </c>
      <c r="E483" s="20" t="s">
        <v>273</v>
      </c>
      <c r="F483" s="6">
        <f t="shared" si="37"/>
        <v>14795.6</v>
      </c>
      <c r="G483" s="6">
        <f t="shared" si="37"/>
        <v>14795.6</v>
      </c>
    </row>
    <row r="484" spans="1:7" ht="25.5" customHeight="1" x14ac:dyDescent="0.25">
      <c r="A484" s="25" t="s">
        <v>274</v>
      </c>
      <c r="B484" s="20" t="s">
        <v>264</v>
      </c>
      <c r="C484" s="20" t="s">
        <v>118</v>
      </c>
      <c r="D484" s="20" t="s">
        <v>1231</v>
      </c>
      <c r="E484" s="20" t="s">
        <v>275</v>
      </c>
      <c r="F484" s="386">
        <f>'пр.6.1.ведом.22-23'!G554</f>
        <v>14795.6</v>
      </c>
      <c r="G484" s="386">
        <f>'пр.6.1.ведом.22-23'!H554</f>
        <v>14795.6</v>
      </c>
    </row>
    <row r="485" spans="1:7" ht="47.25" x14ac:dyDescent="0.25">
      <c r="A485" s="23" t="s">
        <v>900</v>
      </c>
      <c r="B485" s="24" t="s">
        <v>264</v>
      </c>
      <c r="C485" s="24" t="s">
        <v>118</v>
      </c>
      <c r="D485" s="24" t="s">
        <v>1232</v>
      </c>
      <c r="E485" s="24"/>
      <c r="F485" s="4">
        <f>F489+F492+F495+F486</f>
        <v>75561.5</v>
      </c>
      <c r="G485" s="4">
        <f>G489+G492+G495+G486</f>
        <v>79924.100000000006</v>
      </c>
    </row>
    <row r="486" spans="1:7" s="203" customFormat="1" ht="110.25" x14ac:dyDescent="0.25">
      <c r="A486" s="31" t="s">
        <v>293</v>
      </c>
      <c r="B486" s="20" t="s">
        <v>264</v>
      </c>
      <c r="C486" s="20" t="s">
        <v>118</v>
      </c>
      <c r="D486" s="20" t="s">
        <v>1390</v>
      </c>
      <c r="E486" s="20"/>
      <c r="F486" s="6">
        <f t="shared" ref="F486:G487" si="38">F487</f>
        <v>3230</v>
      </c>
      <c r="G486" s="6">
        <f t="shared" si="38"/>
        <v>3230</v>
      </c>
    </row>
    <row r="487" spans="1:7" s="203" customFormat="1" ht="47.25" x14ac:dyDescent="0.25">
      <c r="A487" s="25" t="s">
        <v>272</v>
      </c>
      <c r="B487" s="20" t="s">
        <v>264</v>
      </c>
      <c r="C487" s="20" t="s">
        <v>118</v>
      </c>
      <c r="D487" s="20" t="s">
        <v>1390</v>
      </c>
      <c r="E487" s="20" t="s">
        <v>273</v>
      </c>
      <c r="F487" s="6">
        <f t="shared" si="38"/>
        <v>3230</v>
      </c>
      <c r="G487" s="6">
        <f t="shared" si="38"/>
        <v>3230</v>
      </c>
    </row>
    <row r="488" spans="1:7" s="203" customFormat="1" ht="15.75" x14ac:dyDescent="0.25">
      <c r="A488" s="25" t="s">
        <v>274</v>
      </c>
      <c r="B488" s="20" t="s">
        <v>264</v>
      </c>
      <c r="C488" s="20" t="s">
        <v>118</v>
      </c>
      <c r="D488" s="20" t="s">
        <v>1390</v>
      </c>
      <c r="E488" s="20" t="s">
        <v>275</v>
      </c>
      <c r="F488" s="6">
        <f>'пр.6.1.ведом.22-23'!G558</f>
        <v>3230</v>
      </c>
      <c r="G488" s="6">
        <f>'пр.6.1.ведом.22-23'!H558</f>
        <v>3230</v>
      </c>
    </row>
    <row r="489" spans="1:7" ht="63" x14ac:dyDescent="0.25">
      <c r="A489" s="31" t="s">
        <v>289</v>
      </c>
      <c r="B489" s="20" t="s">
        <v>264</v>
      </c>
      <c r="C489" s="20" t="s">
        <v>118</v>
      </c>
      <c r="D489" s="20" t="s">
        <v>1233</v>
      </c>
      <c r="E489" s="20"/>
      <c r="F489" s="6">
        <f t="shared" ref="F489:G490" si="39">F490</f>
        <v>589</v>
      </c>
      <c r="G489" s="6">
        <f t="shared" si="39"/>
        <v>589</v>
      </c>
    </row>
    <row r="490" spans="1:7" ht="47.25" x14ac:dyDescent="0.25">
      <c r="A490" s="25" t="s">
        <v>272</v>
      </c>
      <c r="B490" s="20" t="s">
        <v>264</v>
      </c>
      <c r="C490" s="20" t="s">
        <v>118</v>
      </c>
      <c r="D490" s="20" t="s">
        <v>1233</v>
      </c>
      <c r="E490" s="20" t="s">
        <v>273</v>
      </c>
      <c r="F490" s="6">
        <f t="shared" si="39"/>
        <v>589</v>
      </c>
      <c r="G490" s="6">
        <f t="shared" si="39"/>
        <v>589</v>
      </c>
    </row>
    <row r="491" spans="1:7" ht="15.75" x14ac:dyDescent="0.25">
      <c r="A491" s="25" t="s">
        <v>274</v>
      </c>
      <c r="B491" s="20" t="s">
        <v>264</v>
      </c>
      <c r="C491" s="20" t="s">
        <v>118</v>
      </c>
      <c r="D491" s="20" t="s">
        <v>1233</v>
      </c>
      <c r="E491" s="20" t="s">
        <v>275</v>
      </c>
      <c r="F491" s="6">
        <f>'пр.6.1.ведом.22-23'!G561</f>
        <v>589</v>
      </c>
      <c r="G491" s="6">
        <f>'пр.6.1.ведом.22-23'!H561</f>
        <v>589</v>
      </c>
    </row>
    <row r="492" spans="1:7" ht="78.75" x14ac:dyDescent="0.25">
      <c r="A492" s="31" t="s">
        <v>291</v>
      </c>
      <c r="B492" s="20" t="s">
        <v>264</v>
      </c>
      <c r="C492" s="20" t="s">
        <v>118</v>
      </c>
      <c r="D492" s="20" t="s">
        <v>1234</v>
      </c>
      <c r="E492" s="20"/>
      <c r="F492" s="6">
        <f t="shared" ref="F492:G493" si="40">F493</f>
        <v>1629.3</v>
      </c>
      <c r="G492" s="6">
        <f t="shared" si="40"/>
        <v>1629.3</v>
      </c>
    </row>
    <row r="493" spans="1:7" ht="47.25" x14ac:dyDescent="0.25">
      <c r="A493" s="25" t="s">
        <v>272</v>
      </c>
      <c r="B493" s="20" t="s">
        <v>264</v>
      </c>
      <c r="C493" s="20" t="s">
        <v>118</v>
      </c>
      <c r="D493" s="20" t="s">
        <v>1234</v>
      </c>
      <c r="E493" s="20" t="s">
        <v>273</v>
      </c>
      <c r="F493" s="6">
        <f t="shared" si="40"/>
        <v>1629.3</v>
      </c>
      <c r="G493" s="6">
        <f t="shared" si="40"/>
        <v>1629.3</v>
      </c>
    </row>
    <row r="494" spans="1:7" ht="15.75" x14ac:dyDescent="0.25">
      <c r="A494" s="25" t="s">
        <v>274</v>
      </c>
      <c r="B494" s="20" t="s">
        <v>264</v>
      </c>
      <c r="C494" s="20" t="s">
        <v>118</v>
      </c>
      <c r="D494" s="20" t="s">
        <v>1234</v>
      </c>
      <c r="E494" s="20" t="s">
        <v>275</v>
      </c>
      <c r="F494" s="6">
        <f>'пр.6.1.ведом.22-23'!G564</f>
        <v>1629.3</v>
      </c>
      <c r="G494" s="6">
        <f>'пр.6.1.ведом.22-23'!H564</f>
        <v>1629.3</v>
      </c>
    </row>
    <row r="495" spans="1:7" ht="94.5" x14ac:dyDescent="0.25">
      <c r="A495" s="31" t="s">
        <v>1183</v>
      </c>
      <c r="B495" s="20" t="s">
        <v>264</v>
      </c>
      <c r="C495" s="20" t="s">
        <v>118</v>
      </c>
      <c r="D495" s="20" t="s">
        <v>1235</v>
      </c>
      <c r="E495" s="20"/>
      <c r="F495" s="6">
        <f t="shared" ref="F495:G496" si="41">F496</f>
        <v>70113.2</v>
      </c>
      <c r="G495" s="6">
        <f t="shared" si="41"/>
        <v>74475.8</v>
      </c>
    </row>
    <row r="496" spans="1:7" ht="47.25" x14ac:dyDescent="0.25">
      <c r="A496" s="25" t="s">
        <v>272</v>
      </c>
      <c r="B496" s="20" t="s">
        <v>264</v>
      </c>
      <c r="C496" s="20" t="s">
        <v>118</v>
      </c>
      <c r="D496" s="20" t="s">
        <v>1235</v>
      </c>
      <c r="E496" s="20" t="s">
        <v>273</v>
      </c>
      <c r="F496" s="6">
        <f t="shared" si="41"/>
        <v>70113.2</v>
      </c>
      <c r="G496" s="6">
        <f t="shared" si="41"/>
        <v>74475.8</v>
      </c>
    </row>
    <row r="497" spans="1:7" ht="15.75" x14ac:dyDescent="0.25">
      <c r="A497" s="25" t="s">
        <v>274</v>
      </c>
      <c r="B497" s="20" t="s">
        <v>264</v>
      </c>
      <c r="C497" s="20" t="s">
        <v>118</v>
      </c>
      <c r="D497" s="20" t="s">
        <v>1235</v>
      </c>
      <c r="E497" s="20" t="s">
        <v>275</v>
      </c>
      <c r="F497" s="6">
        <f>'пр.6.1.ведом.22-23'!G567</f>
        <v>70113.2</v>
      </c>
      <c r="G497" s="6">
        <f>'пр.6.1.ведом.22-23'!H567</f>
        <v>74475.8</v>
      </c>
    </row>
    <row r="498" spans="1:7" ht="31.5" x14ac:dyDescent="0.25">
      <c r="A498" s="23" t="s">
        <v>1292</v>
      </c>
      <c r="B498" s="24" t="s">
        <v>264</v>
      </c>
      <c r="C498" s="24" t="s">
        <v>118</v>
      </c>
      <c r="D498" s="24" t="s">
        <v>1237</v>
      </c>
      <c r="E498" s="24"/>
      <c r="F498" s="4">
        <f>F505</f>
        <v>4430</v>
      </c>
      <c r="G498" s="4">
        <f>G505</f>
        <v>4430</v>
      </c>
    </row>
    <row r="499" spans="1:7" ht="47.25" hidden="1" x14ac:dyDescent="0.25">
      <c r="A499" s="25" t="s">
        <v>278</v>
      </c>
      <c r="B499" s="20" t="s">
        <v>264</v>
      </c>
      <c r="C499" s="20" t="s">
        <v>118</v>
      </c>
      <c r="D499" s="20" t="s">
        <v>1318</v>
      </c>
      <c r="E499" s="20"/>
      <c r="F499" s="6">
        <f>F500</f>
        <v>0</v>
      </c>
      <c r="G499" s="6">
        <f>G500</f>
        <v>0</v>
      </c>
    </row>
    <row r="500" spans="1:7" ht="47.25" hidden="1" x14ac:dyDescent="0.25">
      <c r="A500" s="25" t="s">
        <v>272</v>
      </c>
      <c r="B500" s="20" t="s">
        <v>264</v>
      </c>
      <c r="C500" s="20" t="s">
        <v>118</v>
      </c>
      <c r="D500" s="20" t="s">
        <v>1318</v>
      </c>
      <c r="E500" s="20" t="s">
        <v>273</v>
      </c>
      <c r="F500" s="6">
        <f t="shared" ref="F500:G500" si="42">F501</f>
        <v>0</v>
      </c>
      <c r="G500" s="6">
        <f t="shared" si="42"/>
        <v>0</v>
      </c>
    </row>
    <row r="501" spans="1:7" ht="15.75" hidden="1" x14ac:dyDescent="0.25">
      <c r="A501" s="25" t="s">
        <v>274</v>
      </c>
      <c r="B501" s="20" t="s">
        <v>264</v>
      </c>
      <c r="C501" s="20" t="s">
        <v>118</v>
      </c>
      <c r="D501" s="20" t="s">
        <v>1318</v>
      </c>
      <c r="E501" s="20" t="s">
        <v>275</v>
      </c>
      <c r="F501" s="6">
        <f>'пр.6.1.ведом.22-23'!G571</f>
        <v>0</v>
      </c>
      <c r="G501" s="6">
        <f>'пр.6.1.ведом.22-23'!H571</f>
        <v>0</v>
      </c>
    </row>
    <row r="502" spans="1:7" ht="31.5" hidden="1" x14ac:dyDescent="0.25">
      <c r="A502" s="25" t="s">
        <v>280</v>
      </c>
      <c r="B502" s="20" t="s">
        <v>264</v>
      </c>
      <c r="C502" s="20" t="s">
        <v>118</v>
      </c>
      <c r="D502" s="20" t="s">
        <v>1319</v>
      </c>
      <c r="E502" s="20"/>
      <c r="F502" s="6">
        <f>F503</f>
        <v>0</v>
      </c>
      <c r="G502" s="6">
        <f>G503</f>
        <v>0</v>
      </c>
    </row>
    <row r="503" spans="1:7" ht="47.25" hidden="1" x14ac:dyDescent="0.25">
      <c r="A503" s="25" t="s">
        <v>272</v>
      </c>
      <c r="B503" s="20" t="s">
        <v>264</v>
      </c>
      <c r="C503" s="20" t="s">
        <v>118</v>
      </c>
      <c r="D503" s="20" t="s">
        <v>1319</v>
      </c>
      <c r="E503" s="20" t="s">
        <v>273</v>
      </c>
      <c r="F503" s="6">
        <f t="shared" ref="F503:G503" si="43">F504</f>
        <v>0</v>
      </c>
      <c r="G503" s="6">
        <f t="shared" si="43"/>
        <v>0</v>
      </c>
    </row>
    <row r="504" spans="1:7" ht="15.75" hidden="1" x14ac:dyDescent="0.25">
      <c r="A504" s="25" t="s">
        <v>274</v>
      </c>
      <c r="B504" s="20" t="s">
        <v>264</v>
      </c>
      <c r="C504" s="20" t="s">
        <v>118</v>
      </c>
      <c r="D504" s="20" t="s">
        <v>1319</v>
      </c>
      <c r="E504" s="20" t="s">
        <v>275</v>
      </c>
      <c r="F504" s="6">
        <f>'пр.6.1.ведом.22-23'!G574</f>
        <v>0</v>
      </c>
      <c r="G504" s="6">
        <f>'пр.6.1.ведом.22-23'!H574</f>
        <v>0</v>
      </c>
    </row>
    <row r="505" spans="1:7" ht="47.25" x14ac:dyDescent="0.25">
      <c r="A505" s="29" t="s">
        <v>415</v>
      </c>
      <c r="B505" s="20" t="s">
        <v>264</v>
      </c>
      <c r="C505" s="20" t="s">
        <v>118</v>
      </c>
      <c r="D505" s="20" t="s">
        <v>1238</v>
      </c>
      <c r="E505" s="20"/>
      <c r="F505" s="6">
        <f>F506</f>
        <v>4430</v>
      </c>
      <c r="G505" s="6">
        <f>G506</f>
        <v>4430</v>
      </c>
    </row>
    <row r="506" spans="1:7" ht="47.25" x14ac:dyDescent="0.25">
      <c r="A506" s="25" t="s">
        <v>272</v>
      </c>
      <c r="B506" s="20" t="s">
        <v>264</v>
      </c>
      <c r="C506" s="20" t="s">
        <v>118</v>
      </c>
      <c r="D506" s="20" t="s">
        <v>1238</v>
      </c>
      <c r="E506" s="20" t="s">
        <v>273</v>
      </c>
      <c r="F506" s="6">
        <f>F507</f>
        <v>4430</v>
      </c>
      <c r="G506" s="6">
        <f>G507</f>
        <v>4430</v>
      </c>
    </row>
    <row r="507" spans="1:7" ht="15.75" x14ac:dyDescent="0.25">
      <c r="A507" s="25" t="s">
        <v>274</v>
      </c>
      <c r="B507" s="20" t="s">
        <v>264</v>
      </c>
      <c r="C507" s="20" t="s">
        <v>118</v>
      </c>
      <c r="D507" s="20" t="s">
        <v>1238</v>
      </c>
      <c r="E507" s="20" t="s">
        <v>275</v>
      </c>
      <c r="F507" s="6">
        <f>'пр.6.1.ведом.22-23'!G577</f>
        <v>4430</v>
      </c>
      <c r="G507" s="6">
        <f>'пр.6.1.ведом.22-23'!H577</f>
        <v>4430</v>
      </c>
    </row>
    <row r="508" spans="1:7" ht="47.25" x14ac:dyDescent="0.25">
      <c r="A508" s="219" t="s">
        <v>948</v>
      </c>
      <c r="B508" s="24" t="s">
        <v>264</v>
      </c>
      <c r="C508" s="24" t="s">
        <v>118</v>
      </c>
      <c r="D508" s="24" t="s">
        <v>1240</v>
      </c>
      <c r="E508" s="24"/>
      <c r="F508" s="4">
        <f>F512+F515</f>
        <v>4848</v>
      </c>
      <c r="G508" s="4">
        <f>G512+G515</f>
        <v>4848</v>
      </c>
    </row>
    <row r="509" spans="1:7" ht="31.5" hidden="1" x14ac:dyDescent="0.25">
      <c r="A509" s="25" t="s">
        <v>284</v>
      </c>
      <c r="B509" s="20" t="s">
        <v>264</v>
      </c>
      <c r="C509" s="20" t="s">
        <v>118</v>
      </c>
      <c r="D509" s="20" t="s">
        <v>1258</v>
      </c>
      <c r="E509" s="20"/>
      <c r="F509" s="6">
        <f>F510</f>
        <v>0</v>
      </c>
      <c r="G509" s="6">
        <f>G510</f>
        <v>0</v>
      </c>
    </row>
    <row r="510" spans="1:7" ht="47.25" hidden="1" x14ac:dyDescent="0.25">
      <c r="A510" s="25" t="s">
        <v>272</v>
      </c>
      <c r="B510" s="20" t="s">
        <v>264</v>
      </c>
      <c r="C510" s="20" t="s">
        <v>118</v>
      </c>
      <c r="D510" s="20" t="s">
        <v>1258</v>
      </c>
      <c r="E510" s="20" t="s">
        <v>273</v>
      </c>
      <c r="F510" s="6">
        <f>F511</f>
        <v>0</v>
      </c>
      <c r="G510" s="6">
        <f>G511</f>
        <v>0</v>
      </c>
    </row>
    <row r="511" spans="1:7" ht="15.75" hidden="1" x14ac:dyDescent="0.25">
      <c r="A511" s="25" t="s">
        <v>274</v>
      </c>
      <c r="B511" s="20" t="s">
        <v>264</v>
      </c>
      <c r="C511" s="20" t="s">
        <v>118</v>
      </c>
      <c r="D511" s="20" t="s">
        <v>1258</v>
      </c>
      <c r="E511" s="20" t="s">
        <v>275</v>
      </c>
      <c r="F511" s="6">
        <f>'пр.6.1.ведом.22-23'!G581</f>
        <v>0</v>
      </c>
      <c r="G511" s="6">
        <f>'пр.6.1.ведом.22-23'!H581</f>
        <v>0</v>
      </c>
    </row>
    <row r="512" spans="1:7" ht="47.25" x14ac:dyDescent="0.25">
      <c r="A512" s="60" t="s">
        <v>764</v>
      </c>
      <c r="B512" s="20" t="s">
        <v>264</v>
      </c>
      <c r="C512" s="20" t="s">
        <v>118</v>
      </c>
      <c r="D512" s="20" t="s">
        <v>1241</v>
      </c>
      <c r="E512" s="20"/>
      <c r="F512" s="6">
        <f>F513</f>
        <v>3088</v>
      </c>
      <c r="G512" s="6">
        <f>G513</f>
        <v>3088</v>
      </c>
    </row>
    <row r="513" spans="1:7" ht="47.25" x14ac:dyDescent="0.25">
      <c r="A513" s="29" t="s">
        <v>272</v>
      </c>
      <c r="B513" s="20" t="s">
        <v>264</v>
      </c>
      <c r="C513" s="20" t="s">
        <v>118</v>
      </c>
      <c r="D513" s="20" t="s">
        <v>1241</v>
      </c>
      <c r="E513" s="20" t="s">
        <v>273</v>
      </c>
      <c r="F513" s="6">
        <f>F514</f>
        <v>3088</v>
      </c>
      <c r="G513" s="6">
        <f>G514</f>
        <v>3088</v>
      </c>
    </row>
    <row r="514" spans="1:7" ht="15.75" x14ac:dyDescent="0.25">
      <c r="A514" s="182" t="s">
        <v>274</v>
      </c>
      <c r="B514" s="20" t="s">
        <v>264</v>
      </c>
      <c r="C514" s="20" t="s">
        <v>118</v>
      </c>
      <c r="D514" s="20" t="s">
        <v>1241</v>
      </c>
      <c r="E514" s="20" t="s">
        <v>275</v>
      </c>
      <c r="F514" s="6">
        <f>'пр.6.1.ведом.22-23'!G584</f>
        <v>3088</v>
      </c>
      <c r="G514" s="6">
        <f>'пр.6.1.ведом.22-23'!H584</f>
        <v>3088</v>
      </c>
    </row>
    <row r="515" spans="1:7" ht="63" x14ac:dyDescent="0.25">
      <c r="A515" s="60" t="s">
        <v>765</v>
      </c>
      <c r="B515" s="20" t="s">
        <v>264</v>
      </c>
      <c r="C515" s="20" t="s">
        <v>118</v>
      </c>
      <c r="D515" s="20" t="s">
        <v>1242</v>
      </c>
      <c r="E515" s="20"/>
      <c r="F515" s="6">
        <f>F516</f>
        <v>1760</v>
      </c>
      <c r="G515" s="6">
        <f>G516</f>
        <v>1760</v>
      </c>
    </row>
    <row r="516" spans="1:7" ht="47.25" x14ac:dyDescent="0.25">
      <c r="A516" s="29" t="s">
        <v>272</v>
      </c>
      <c r="B516" s="20" t="s">
        <v>264</v>
      </c>
      <c r="C516" s="20" t="s">
        <v>118</v>
      </c>
      <c r="D516" s="20" t="s">
        <v>1242</v>
      </c>
      <c r="E516" s="20" t="s">
        <v>273</v>
      </c>
      <c r="F516" s="6">
        <f>F517</f>
        <v>1760</v>
      </c>
      <c r="G516" s="6">
        <f>G517</f>
        <v>1760</v>
      </c>
    </row>
    <row r="517" spans="1:7" ht="15.75" x14ac:dyDescent="0.25">
      <c r="A517" s="182" t="s">
        <v>274</v>
      </c>
      <c r="B517" s="20" t="s">
        <v>264</v>
      </c>
      <c r="C517" s="20" t="s">
        <v>118</v>
      </c>
      <c r="D517" s="20" t="s">
        <v>1242</v>
      </c>
      <c r="E517" s="20" t="s">
        <v>275</v>
      </c>
      <c r="F517" s="6">
        <f>'пр.6.1.ведом.22-23'!G587</f>
        <v>1760</v>
      </c>
      <c r="G517" s="6">
        <f>'пр.6.1.ведом.22-23'!H587</f>
        <v>1760</v>
      </c>
    </row>
    <row r="518" spans="1:7" ht="78" customHeight="1" x14ac:dyDescent="0.25">
      <c r="A518" s="23" t="s">
        <v>933</v>
      </c>
      <c r="B518" s="24" t="s">
        <v>264</v>
      </c>
      <c r="C518" s="24" t="s">
        <v>118</v>
      </c>
      <c r="D518" s="24" t="s">
        <v>1243</v>
      </c>
      <c r="E518" s="24"/>
      <c r="F518" s="4">
        <f t="shared" ref="F518:G520" si="44">F519</f>
        <v>297.70000000000005</v>
      </c>
      <c r="G518" s="4">
        <f t="shared" si="44"/>
        <v>297.70000000000005</v>
      </c>
    </row>
    <row r="519" spans="1:7" ht="110.25" x14ac:dyDescent="0.25">
      <c r="A519" s="25" t="s">
        <v>1506</v>
      </c>
      <c r="B519" s="20" t="s">
        <v>264</v>
      </c>
      <c r="C519" s="20" t="s">
        <v>118</v>
      </c>
      <c r="D519" s="20" t="s">
        <v>1244</v>
      </c>
      <c r="E519" s="20"/>
      <c r="F519" s="6">
        <f t="shared" si="44"/>
        <v>297.70000000000005</v>
      </c>
      <c r="G519" s="6">
        <f t="shared" si="44"/>
        <v>297.70000000000005</v>
      </c>
    </row>
    <row r="520" spans="1:7" ht="47.25" x14ac:dyDescent="0.25">
      <c r="A520" s="29" t="s">
        <v>272</v>
      </c>
      <c r="B520" s="20" t="s">
        <v>264</v>
      </c>
      <c r="C520" s="20" t="s">
        <v>118</v>
      </c>
      <c r="D520" s="20" t="s">
        <v>1244</v>
      </c>
      <c r="E520" s="20" t="s">
        <v>273</v>
      </c>
      <c r="F520" s="6">
        <f t="shared" si="44"/>
        <v>297.70000000000005</v>
      </c>
      <c r="G520" s="6">
        <f t="shared" si="44"/>
        <v>297.70000000000005</v>
      </c>
    </row>
    <row r="521" spans="1:7" ht="15.75" x14ac:dyDescent="0.25">
      <c r="A521" s="182" t="s">
        <v>274</v>
      </c>
      <c r="B521" s="20" t="s">
        <v>264</v>
      </c>
      <c r="C521" s="20" t="s">
        <v>118</v>
      </c>
      <c r="D521" s="20" t="s">
        <v>1244</v>
      </c>
      <c r="E521" s="20" t="s">
        <v>275</v>
      </c>
      <c r="F521" s="6">
        <f>'пр.6.1.ведом.22-23'!G591</f>
        <v>297.70000000000005</v>
      </c>
      <c r="G521" s="6">
        <f>'пр.6.1.ведом.22-23'!H591</f>
        <v>297.70000000000005</v>
      </c>
    </row>
    <row r="522" spans="1:7" ht="157.5" hidden="1" x14ac:dyDescent="0.25">
      <c r="A522" s="25" t="s">
        <v>423</v>
      </c>
      <c r="B522" s="20" t="s">
        <v>264</v>
      </c>
      <c r="C522" s="20" t="s">
        <v>118</v>
      </c>
      <c r="D522" s="20" t="s">
        <v>1245</v>
      </c>
      <c r="E522" s="20"/>
      <c r="F522" s="6" t="e">
        <f t="shared" ref="F522:G523" si="45">F523</f>
        <v>#REF!</v>
      </c>
      <c r="G522" s="6" t="e">
        <f t="shared" si="45"/>
        <v>#REF!</v>
      </c>
    </row>
    <row r="523" spans="1:7" ht="47.25" hidden="1" x14ac:dyDescent="0.25">
      <c r="A523" s="25" t="s">
        <v>272</v>
      </c>
      <c r="B523" s="20" t="s">
        <v>264</v>
      </c>
      <c r="C523" s="20" t="s">
        <v>118</v>
      </c>
      <c r="D523" s="20" t="s">
        <v>1245</v>
      </c>
      <c r="E523" s="20" t="s">
        <v>273</v>
      </c>
      <c r="F523" s="6" t="e">
        <f t="shared" si="45"/>
        <v>#REF!</v>
      </c>
      <c r="G523" s="6" t="e">
        <f t="shared" si="45"/>
        <v>#REF!</v>
      </c>
    </row>
    <row r="524" spans="1:7" ht="15.75" hidden="1" x14ac:dyDescent="0.25">
      <c r="A524" s="25" t="s">
        <v>274</v>
      </c>
      <c r="B524" s="20" t="s">
        <v>264</v>
      </c>
      <c r="C524" s="20" t="s">
        <v>118</v>
      </c>
      <c r="D524" s="20" t="s">
        <v>1245</v>
      </c>
      <c r="E524" s="20" t="s">
        <v>275</v>
      </c>
      <c r="F524" s="6" t="e">
        <f>'пр.6.1.ведом.22-23'!#REF!</f>
        <v>#REF!</v>
      </c>
      <c r="G524" s="6" t="e">
        <f>'пр.6.1.ведом.22-23'!#REF!</f>
        <v>#REF!</v>
      </c>
    </row>
    <row r="525" spans="1:7" s="203" customFormat="1" ht="110.25" x14ac:dyDescent="0.25">
      <c r="A525" s="23" t="s">
        <v>1166</v>
      </c>
      <c r="B525" s="24" t="s">
        <v>264</v>
      </c>
      <c r="C525" s="24" t="s">
        <v>118</v>
      </c>
      <c r="D525" s="24" t="s">
        <v>1246</v>
      </c>
      <c r="E525" s="24"/>
      <c r="F525" s="21">
        <f>F526+F529</f>
        <v>1666.6</v>
      </c>
      <c r="G525" s="21">
        <f>G526+G529</f>
        <v>915</v>
      </c>
    </row>
    <row r="526" spans="1:7" s="203" customFormat="1" ht="101.25" hidden="1" customHeight="1" x14ac:dyDescent="0.25">
      <c r="A526" s="149" t="s">
        <v>1185</v>
      </c>
      <c r="B526" s="20" t="s">
        <v>264</v>
      </c>
      <c r="C526" s="20" t="s">
        <v>118</v>
      </c>
      <c r="D526" s="20" t="s">
        <v>1247</v>
      </c>
      <c r="E526" s="20"/>
      <c r="F526" s="26">
        <f>F527</f>
        <v>0</v>
      </c>
      <c r="G526" s="26">
        <f>G527</f>
        <v>0</v>
      </c>
    </row>
    <row r="527" spans="1:7" ht="47.25" hidden="1" x14ac:dyDescent="0.25">
      <c r="A527" s="25" t="s">
        <v>272</v>
      </c>
      <c r="B527" s="20" t="s">
        <v>264</v>
      </c>
      <c r="C527" s="20" t="s">
        <v>118</v>
      </c>
      <c r="D527" s="20" t="s">
        <v>1247</v>
      </c>
      <c r="E527" s="20" t="s">
        <v>273</v>
      </c>
      <c r="F527" s="26">
        <f>F528</f>
        <v>0</v>
      </c>
      <c r="G527" s="26">
        <f>G528</f>
        <v>0</v>
      </c>
    </row>
    <row r="528" spans="1:7" ht="15.75" hidden="1" x14ac:dyDescent="0.25">
      <c r="A528" s="25" t="s">
        <v>274</v>
      </c>
      <c r="B528" s="20" t="s">
        <v>264</v>
      </c>
      <c r="C528" s="20" t="s">
        <v>118</v>
      </c>
      <c r="D528" s="20" t="s">
        <v>1247</v>
      </c>
      <c r="E528" s="20" t="s">
        <v>275</v>
      </c>
      <c r="F528" s="26">
        <f>'пр.6.1.ведом.22-23'!G595</f>
        <v>0</v>
      </c>
      <c r="G528" s="26">
        <f>'пр.6.1.ведом.22-23'!H595</f>
        <v>0</v>
      </c>
    </row>
    <row r="529" spans="1:7" ht="94.5" x14ac:dyDescent="0.25">
      <c r="A529" s="149" t="s">
        <v>1493</v>
      </c>
      <c r="B529" s="20" t="s">
        <v>264</v>
      </c>
      <c r="C529" s="20" t="s">
        <v>118</v>
      </c>
      <c r="D529" s="20" t="s">
        <v>1247</v>
      </c>
      <c r="E529" s="20"/>
      <c r="F529" s="26">
        <f>F530</f>
        <v>1666.6</v>
      </c>
      <c r="G529" s="26">
        <f>G530</f>
        <v>915</v>
      </c>
    </row>
    <row r="530" spans="1:7" ht="47.25" x14ac:dyDescent="0.25">
      <c r="A530" s="25" t="s">
        <v>272</v>
      </c>
      <c r="B530" s="20" t="s">
        <v>264</v>
      </c>
      <c r="C530" s="20" t="s">
        <v>118</v>
      </c>
      <c r="D530" s="20" t="s">
        <v>1247</v>
      </c>
      <c r="E530" s="20" t="s">
        <v>273</v>
      </c>
      <c r="F530" s="26">
        <f>F531</f>
        <v>1666.6</v>
      </c>
      <c r="G530" s="26">
        <f>G531</f>
        <v>915</v>
      </c>
    </row>
    <row r="531" spans="1:7" ht="15.75" x14ac:dyDescent="0.25">
      <c r="A531" s="25" t="s">
        <v>274</v>
      </c>
      <c r="B531" s="20" t="s">
        <v>264</v>
      </c>
      <c r="C531" s="20" t="s">
        <v>118</v>
      </c>
      <c r="D531" s="20" t="s">
        <v>1247</v>
      </c>
      <c r="E531" s="20" t="s">
        <v>275</v>
      </c>
      <c r="F531" s="26">
        <f>'пр.6.1.ведом.22-23'!G598</f>
        <v>1666.6</v>
      </c>
      <c r="G531" s="26">
        <f>'пр.6.1.ведом.22-23'!H598</f>
        <v>915</v>
      </c>
    </row>
    <row r="532" spans="1:7" s="203" customFormat="1" ht="63" x14ac:dyDescent="0.25">
      <c r="A532" s="34" t="s">
        <v>1357</v>
      </c>
      <c r="B532" s="24" t="s">
        <v>264</v>
      </c>
      <c r="C532" s="24" t="s">
        <v>118</v>
      </c>
      <c r="D532" s="24" t="s">
        <v>324</v>
      </c>
      <c r="E532" s="24"/>
      <c r="F532" s="21">
        <f t="shared" ref="F532:G535" si="46">F533</f>
        <v>80</v>
      </c>
      <c r="G532" s="21">
        <f t="shared" si="46"/>
        <v>25</v>
      </c>
    </row>
    <row r="533" spans="1:7" s="203" customFormat="1" ht="63" x14ac:dyDescent="0.25">
      <c r="A533" s="34" t="s">
        <v>1009</v>
      </c>
      <c r="B533" s="24" t="s">
        <v>264</v>
      </c>
      <c r="C533" s="24" t="s">
        <v>118</v>
      </c>
      <c r="D533" s="24" t="s">
        <v>934</v>
      </c>
      <c r="E533" s="24"/>
      <c r="F533" s="21">
        <f t="shared" si="46"/>
        <v>80</v>
      </c>
      <c r="G533" s="21">
        <f t="shared" si="46"/>
        <v>25</v>
      </c>
    </row>
    <row r="534" spans="1:7" s="203" customFormat="1" ht="47.25" x14ac:dyDescent="0.25">
      <c r="A534" s="31" t="s">
        <v>1081</v>
      </c>
      <c r="B534" s="20" t="s">
        <v>264</v>
      </c>
      <c r="C534" s="20" t="s">
        <v>118</v>
      </c>
      <c r="D534" s="20" t="s">
        <v>935</v>
      </c>
      <c r="E534" s="20"/>
      <c r="F534" s="26">
        <f t="shared" si="46"/>
        <v>80</v>
      </c>
      <c r="G534" s="26">
        <f t="shared" si="46"/>
        <v>25</v>
      </c>
    </row>
    <row r="535" spans="1:7" s="203" customFormat="1" ht="47.25" x14ac:dyDescent="0.25">
      <c r="A535" s="31" t="s">
        <v>272</v>
      </c>
      <c r="B535" s="20" t="s">
        <v>264</v>
      </c>
      <c r="C535" s="20" t="s">
        <v>118</v>
      </c>
      <c r="D535" s="20" t="s">
        <v>935</v>
      </c>
      <c r="E535" s="20" t="s">
        <v>273</v>
      </c>
      <c r="F535" s="26">
        <f t="shared" si="46"/>
        <v>80</v>
      </c>
      <c r="G535" s="26">
        <f t="shared" si="46"/>
        <v>25</v>
      </c>
    </row>
    <row r="536" spans="1:7" s="203" customFormat="1" ht="15.75" x14ac:dyDescent="0.25">
      <c r="A536" s="31" t="s">
        <v>274</v>
      </c>
      <c r="B536" s="20" t="s">
        <v>264</v>
      </c>
      <c r="C536" s="20" t="s">
        <v>118</v>
      </c>
      <c r="D536" s="20" t="s">
        <v>935</v>
      </c>
      <c r="E536" s="20" t="s">
        <v>275</v>
      </c>
      <c r="F536" s="26">
        <f>'пр.6.1.ведом.22-23'!G603</f>
        <v>80</v>
      </c>
      <c r="G536" s="26">
        <f>'пр.6.1.ведом.22-23'!H603</f>
        <v>25</v>
      </c>
    </row>
    <row r="537" spans="1:7" ht="63" x14ac:dyDescent="0.25">
      <c r="A537" s="41" t="s">
        <v>1352</v>
      </c>
      <c r="B537" s="24" t="s">
        <v>264</v>
      </c>
      <c r="C537" s="24" t="s">
        <v>118</v>
      </c>
      <c r="D537" s="24" t="s">
        <v>705</v>
      </c>
      <c r="E537" s="222"/>
      <c r="F537" s="4">
        <f>F538</f>
        <v>570.9</v>
      </c>
      <c r="G537" s="4">
        <f>G538</f>
        <v>593.79999999999995</v>
      </c>
    </row>
    <row r="538" spans="1:7" ht="63" x14ac:dyDescent="0.25">
      <c r="A538" s="41" t="s">
        <v>890</v>
      </c>
      <c r="B538" s="24" t="s">
        <v>264</v>
      </c>
      <c r="C538" s="24" t="s">
        <v>118</v>
      </c>
      <c r="D538" s="24" t="s">
        <v>888</v>
      </c>
      <c r="E538" s="222"/>
      <c r="F538" s="4">
        <f t="shared" ref="F538:G539" si="47">F539</f>
        <v>570.9</v>
      </c>
      <c r="G538" s="4">
        <f t="shared" si="47"/>
        <v>593.79999999999995</v>
      </c>
    </row>
    <row r="539" spans="1:7" ht="47.25" x14ac:dyDescent="0.25">
      <c r="A539" s="98" t="s">
        <v>780</v>
      </c>
      <c r="B539" s="20" t="s">
        <v>264</v>
      </c>
      <c r="C539" s="20" t="s">
        <v>118</v>
      </c>
      <c r="D539" s="20" t="s">
        <v>936</v>
      </c>
      <c r="E539" s="32"/>
      <c r="F539" s="6">
        <f t="shared" si="47"/>
        <v>570.9</v>
      </c>
      <c r="G539" s="6">
        <f t="shared" si="47"/>
        <v>593.79999999999995</v>
      </c>
    </row>
    <row r="540" spans="1:7" ht="47.25" x14ac:dyDescent="0.25">
      <c r="A540" s="29" t="s">
        <v>272</v>
      </c>
      <c r="B540" s="20" t="s">
        <v>264</v>
      </c>
      <c r="C540" s="20" t="s">
        <v>118</v>
      </c>
      <c r="D540" s="20" t="s">
        <v>936</v>
      </c>
      <c r="E540" s="32" t="s">
        <v>273</v>
      </c>
      <c r="F540" s="6">
        <f>F541</f>
        <v>570.9</v>
      </c>
      <c r="G540" s="6">
        <f>G541</f>
        <v>593.79999999999995</v>
      </c>
    </row>
    <row r="541" spans="1:7" ht="15.75" x14ac:dyDescent="0.25">
      <c r="A541" s="182" t="s">
        <v>274</v>
      </c>
      <c r="B541" s="20" t="s">
        <v>264</v>
      </c>
      <c r="C541" s="20" t="s">
        <v>118</v>
      </c>
      <c r="D541" s="20" t="s">
        <v>936</v>
      </c>
      <c r="E541" s="32" t="s">
        <v>275</v>
      </c>
      <c r="F541" s="6">
        <f>'пр.6.1.ведом.22-23'!G608</f>
        <v>570.9</v>
      </c>
      <c r="G541" s="6">
        <f>'пр.6.1.ведом.22-23'!H608</f>
        <v>593.79999999999995</v>
      </c>
    </row>
    <row r="542" spans="1:7" ht="15.75" x14ac:dyDescent="0.25">
      <c r="A542" s="41" t="s">
        <v>425</v>
      </c>
      <c r="B542" s="7" t="s">
        <v>264</v>
      </c>
      <c r="C542" s="7" t="s">
        <v>213</v>
      </c>
      <c r="D542" s="7"/>
      <c r="E542" s="7"/>
      <c r="F542" s="4">
        <f>F543+F615+F610</f>
        <v>177341.49999999997</v>
      </c>
      <c r="G542" s="4">
        <f>G543+G615+G610</f>
        <v>196805.15000000002</v>
      </c>
    </row>
    <row r="543" spans="1:7" ht="47.25" x14ac:dyDescent="0.25">
      <c r="A543" s="23" t="s">
        <v>1358</v>
      </c>
      <c r="B543" s="24" t="s">
        <v>264</v>
      </c>
      <c r="C543" s="24" t="s">
        <v>213</v>
      </c>
      <c r="D543" s="24" t="s">
        <v>406</v>
      </c>
      <c r="E543" s="24"/>
      <c r="F543" s="4">
        <f>F544+F548+F567+F580+F587+F591+F595+F602+F606</f>
        <v>176410.99999999997</v>
      </c>
      <c r="G543" s="4">
        <f>G544+G548+G567+G580+G587+G591+G595+G602+G606</f>
        <v>195829.85000000003</v>
      </c>
    </row>
    <row r="544" spans="1:7" ht="47.25" x14ac:dyDescent="0.25">
      <c r="A544" s="23" t="s">
        <v>937</v>
      </c>
      <c r="B544" s="24" t="s">
        <v>264</v>
      </c>
      <c r="C544" s="24" t="s">
        <v>213</v>
      </c>
      <c r="D544" s="24" t="s">
        <v>1230</v>
      </c>
      <c r="E544" s="24"/>
      <c r="F544" s="4">
        <f>F545</f>
        <v>28690.799999999999</v>
      </c>
      <c r="G544" s="4">
        <f>G545</f>
        <v>28690.799999999999</v>
      </c>
    </row>
    <row r="545" spans="1:7" ht="47.25" x14ac:dyDescent="0.25">
      <c r="A545" s="25" t="s">
        <v>1236</v>
      </c>
      <c r="B545" s="20" t="s">
        <v>264</v>
      </c>
      <c r="C545" s="20" t="s">
        <v>213</v>
      </c>
      <c r="D545" s="20" t="s">
        <v>1249</v>
      </c>
      <c r="E545" s="20"/>
      <c r="F545" s="386">
        <f t="shared" ref="F545:G545" si="48">F546</f>
        <v>28690.799999999999</v>
      </c>
      <c r="G545" s="386">
        <f t="shared" si="48"/>
        <v>28690.799999999999</v>
      </c>
    </row>
    <row r="546" spans="1:7" ht="47.25" x14ac:dyDescent="0.25">
      <c r="A546" s="25" t="s">
        <v>272</v>
      </c>
      <c r="B546" s="20" t="s">
        <v>264</v>
      </c>
      <c r="C546" s="20" t="s">
        <v>213</v>
      </c>
      <c r="D546" s="20" t="s">
        <v>1249</v>
      </c>
      <c r="E546" s="20" t="s">
        <v>273</v>
      </c>
      <c r="F546" s="386">
        <f>F547</f>
        <v>28690.799999999999</v>
      </c>
      <c r="G546" s="386">
        <f>G547</f>
        <v>28690.799999999999</v>
      </c>
    </row>
    <row r="547" spans="1:7" ht="15.75" x14ac:dyDescent="0.25">
      <c r="A547" s="25" t="s">
        <v>274</v>
      </c>
      <c r="B547" s="20" t="s">
        <v>264</v>
      </c>
      <c r="C547" s="20" t="s">
        <v>213</v>
      </c>
      <c r="D547" s="20" t="s">
        <v>1249</v>
      </c>
      <c r="E547" s="20" t="s">
        <v>275</v>
      </c>
      <c r="F547" s="6">
        <f>'пр.6.1.ведом.22-23'!G614</f>
        <v>28690.799999999999</v>
      </c>
      <c r="G547" s="6">
        <f>'пр.6.1.ведом.22-23'!H614</f>
        <v>28690.799999999999</v>
      </c>
    </row>
    <row r="548" spans="1:7" ht="47.25" x14ac:dyDescent="0.25">
      <c r="A548" s="23" t="s">
        <v>900</v>
      </c>
      <c r="B548" s="24" t="s">
        <v>264</v>
      </c>
      <c r="C548" s="24" t="s">
        <v>213</v>
      </c>
      <c r="D548" s="24" t="s">
        <v>1232</v>
      </c>
      <c r="E548" s="24"/>
      <c r="F548" s="4">
        <f>F555+F558+F561+F564+F552+F549</f>
        <v>131370.9</v>
      </c>
      <c r="G548" s="4">
        <f>G555+G558+G561+G564+G552+G549</f>
        <v>150534.80000000002</v>
      </c>
    </row>
    <row r="549" spans="1:7" s="203" customFormat="1" ht="78.75" x14ac:dyDescent="0.25">
      <c r="A549" s="25" t="s">
        <v>1392</v>
      </c>
      <c r="B549" s="20" t="s">
        <v>264</v>
      </c>
      <c r="C549" s="20" t="s">
        <v>213</v>
      </c>
      <c r="D549" s="20" t="s">
        <v>1393</v>
      </c>
      <c r="E549" s="20"/>
      <c r="F549" s="27">
        <f>F550</f>
        <v>7226.1</v>
      </c>
      <c r="G549" s="27">
        <f>G550</f>
        <v>7226.1</v>
      </c>
    </row>
    <row r="550" spans="1:7" s="203" customFormat="1" ht="47.25" x14ac:dyDescent="0.25">
      <c r="A550" s="25" t="s">
        <v>272</v>
      </c>
      <c r="B550" s="20" t="s">
        <v>264</v>
      </c>
      <c r="C550" s="20" t="s">
        <v>213</v>
      </c>
      <c r="D550" s="20" t="s">
        <v>1393</v>
      </c>
      <c r="E550" s="20" t="s">
        <v>273</v>
      </c>
      <c r="F550" s="27">
        <f>F551</f>
        <v>7226.1</v>
      </c>
      <c r="G550" s="27">
        <f>G551</f>
        <v>7226.1</v>
      </c>
    </row>
    <row r="551" spans="1:7" s="203" customFormat="1" ht="15.75" x14ac:dyDescent="0.25">
      <c r="A551" s="25" t="s">
        <v>274</v>
      </c>
      <c r="B551" s="20" t="s">
        <v>264</v>
      </c>
      <c r="C551" s="20" t="s">
        <v>213</v>
      </c>
      <c r="D551" s="20" t="s">
        <v>1393</v>
      </c>
      <c r="E551" s="20" t="s">
        <v>275</v>
      </c>
      <c r="F551" s="27">
        <f>'пр.6.1.ведом.22-23'!G618</f>
        <v>7226.1</v>
      </c>
      <c r="G551" s="27">
        <f>'пр.6.1.ведом.22-23'!H618</f>
        <v>7226.1</v>
      </c>
    </row>
    <row r="552" spans="1:7" s="203" customFormat="1" ht="110.25" x14ac:dyDescent="0.25">
      <c r="A552" s="31" t="s">
        <v>464</v>
      </c>
      <c r="B552" s="20" t="s">
        <v>264</v>
      </c>
      <c r="C552" s="20" t="s">
        <v>213</v>
      </c>
      <c r="D552" s="20" t="s">
        <v>1390</v>
      </c>
      <c r="E552" s="20"/>
      <c r="F552" s="6">
        <f>F553</f>
        <v>4610</v>
      </c>
      <c r="G552" s="6">
        <f>G553</f>
        <v>4610</v>
      </c>
    </row>
    <row r="553" spans="1:7" s="203" customFormat="1" ht="47.25" x14ac:dyDescent="0.25">
      <c r="A553" s="25" t="s">
        <v>272</v>
      </c>
      <c r="B553" s="20" t="s">
        <v>264</v>
      </c>
      <c r="C553" s="20" t="s">
        <v>213</v>
      </c>
      <c r="D553" s="20" t="s">
        <v>1390</v>
      </c>
      <c r="E553" s="20" t="s">
        <v>273</v>
      </c>
      <c r="F553" s="6">
        <f>F554</f>
        <v>4610</v>
      </c>
      <c r="G553" s="6">
        <f>G554</f>
        <v>4610</v>
      </c>
    </row>
    <row r="554" spans="1:7" s="203" customFormat="1" ht="15.75" x14ac:dyDescent="0.25">
      <c r="A554" s="25" t="s">
        <v>274</v>
      </c>
      <c r="B554" s="20" t="s">
        <v>264</v>
      </c>
      <c r="C554" s="20" t="s">
        <v>213</v>
      </c>
      <c r="D554" s="20" t="s">
        <v>1390</v>
      </c>
      <c r="E554" s="20" t="s">
        <v>275</v>
      </c>
      <c r="F554" s="6">
        <f>'пр.6.1.ведом.22-23'!G621</f>
        <v>4610</v>
      </c>
      <c r="G554" s="6">
        <f>'пр.6.1.ведом.22-23'!H621</f>
        <v>4610</v>
      </c>
    </row>
    <row r="555" spans="1:7" ht="102.75" customHeight="1" x14ac:dyDescent="0.25">
      <c r="A555" s="31" t="s">
        <v>1184</v>
      </c>
      <c r="B555" s="20" t="s">
        <v>264</v>
      </c>
      <c r="C555" s="20" t="s">
        <v>213</v>
      </c>
      <c r="D555" s="20" t="s">
        <v>1250</v>
      </c>
      <c r="E555" s="20"/>
      <c r="F555" s="6">
        <f>F556</f>
        <v>115047.8</v>
      </c>
      <c r="G555" s="6">
        <f>G556</f>
        <v>134211.70000000001</v>
      </c>
    </row>
    <row r="556" spans="1:7" ht="51" customHeight="1" x14ac:dyDescent="0.25">
      <c r="A556" s="25" t="s">
        <v>272</v>
      </c>
      <c r="B556" s="20" t="s">
        <v>264</v>
      </c>
      <c r="C556" s="20" t="s">
        <v>213</v>
      </c>
      <c r="D556" s="20" t="s">
        <v>1250</v>
      </c>
      <c r="E556" s="20" t="s">
        <v>273</v>
      </c>
      <c r="F556" s="6">
        <f t="shared" ref="F556:G556" si="49">F557</f>
        <v>115047.8</v>
      </c>
      <c r="G556" s="6">
        <f t="shared" si="49"/>
        <v>134211.70000000001</v>
      </c>
    </row>
    <row r="557" spans="1:7" ht="15.75" x14ac:dyDescent="0.25">
      <c r="A557" s="25" t="s">
        <v>274</v>
      </c>
      <c r="B557" s="20" t="s">
        <v>264</v>
      </c>
      <c r="C557" s="20" t="s">
        <v>213</v>
      </c>
      <c r="D557" s="20" t="s">
        <v>1250</v>
      </c>
      <c r="E557" s="20" t="s">
        <v>275</v>
      </c>
      <c r="F557" s="6">
        <f>'пр.6.1.ведом.22-23'!G624</f>
        <v>115047.8</v>
      </c>
      <c r="G557" s="6">
        <f>'пр.6.1.ведом.22-23'!H624</f>
        <v>134211.70000000001</v>
      </c>
    </row>
    <row r="558" spans="1:7" ht="63" x14ac:dyDescent="0.25">
      <c r="A558" s="31" t="s">
        <v>289</v>
      </c>
      <c r="B558" s="20" t="s">
        <v>264</v>
      </c>
      <c r="C558" s="20" t="s">
        <v>213</v>
      </c>
      <c r="D558" s="20" t="s">
        <v>1233</v>
      </c>
      <c r="E558" s="20"/>
      <c r="F558" s="6">
        <f>F559</f>
        <v>1311</v>
      </c>
      <c r="G558" s="6">
        <f>G559</f>
        <v>1311</v>
      </c>
    </row>
    <row r="559" spans="1:7" ht="47.25" x14ac:dyDescent="0.25">
      <c r="A559" s="25" t="s">
        <v>272</v>
      </c>
      <c r="B559" s="20" t="s">
        <v>264</v>
      </c>
      <c r="C559" s="20" t="s">
        <v>213</v>
      </c>
      <c r="D559" s="20" t="s">
        <v>1233</v>
      </c>
      <c r="E559" s="20" t="s">
        <v>273</v>
      </c>
      <c r="F559" s="6">
        <f t="shared" ref="F559:G559" si="50">F560</f>
        <v>1311</v>
      </c>
      <c r="G559" s="6">
        <f t="shared" si="50"/>
        <v>1311</v>
      </c>
    </row>
    <row r="560" spans="1:7" ht="15.75" x14ac:dyDescent="0.25">
      <c r="A560" s="25" t="s">
        <v>274</v>
      </c>
      <c r="B560" s="20" t="s">
        <v>264</v>
      </c>
      <c r="C560" s="20" t="s">
        <v>213</v>
      </c>
      <c r="D560" s="20" t="s">
        <v>1233</v>
      </c>
      <c r="E560" s="20" t="s">
        <v>275</v>
      </c>
      <c r="F560" s="6">
        <f>'пр.6.1.ведом.22-23'!G627</f>
        <v>1311</v>
      </c>
      <c r="G560" s="6">
        <f>'пр.6.1.ведом.22-23'!H627</f>
        <v>1311</v>
      </c>
    </row>
    <row r="561" spans="1:7" ht="78.75" x14ac:dyDescent="0.25">
      <c r="A561" s="31" t="s">
        <v>291</v>
      </c>
      <c r="B561" s="20" t="s">
        <v>264</v>
      </c>
      <c r="C561" s="20" t="s">
        <v>213</v>
      </c>
      <c r="D561" s="20" t="s">
        <v>1234</v>
      </c>
      <c r="E561" s="20"/>
      <c r="F561" s="6">
        <f>F562</f>
        <v>2266.6999999999998</v>
      </c>
      <c r="G561" s="6">
        <f>G562</f>
        <v>2266.6999999999998</v>
      </c>
    </row>
    <row r="562" spans="1:7" ht="47.25" x14ac:dyDescent="0.25">
      <c r="A562" s="25" t="s">
        <v>272</v>
      </c>
      <c r="B562" s="20" t="s">
        <v>264</v>
      </c>
      <c r="C562" s="20" t="s">
        <v>213</v>
      </c>
      <c r="D562" s="20" t="s">
        <v>1234</v>
      </c>
      <c r="E562" s="20" t="s">
        <v>273</v>
      </c>
      <c r="F562" s="6">
        <f t="shared" ref="F562:G562" si="51">F563</f>
        <v>2266.6999999999998</v>
      </c>
      <c r="G562" s="6">
        <f t="shared" si="51"/>
        <v>2266.6999999999998</v>
      </c>
    </row>
    <row r="563" spans="1:7" ht="15.75" x14ac:dyDescent="0.25">
      <c r="A563" s="25" t="s">
        <v>274</v>
      </c>
      <c r="B563" s="20" t="s">
        <v>264</v>
      </c>
      <c r="C563" s="20" t="s">
        <v>213</v>
      </c>
      <c r="D563" s="20" t="s">
        <v>1234</v>
      </c>
      <c r="E563" s="20" t="s">
        <v>275</v>
      </c>
      <c r="F563" s="6">
        <f>'пр.6.1.ведом.22-23'!G630</f>
        <v>2266.6999999999998</v>
      </c>
      <c r="G563" s="6">
        <f>'пр.6.1.ведом.22-23'!H630</f>
        <v>2266.6999999999998</v>
      </c>
    </row>
    <row r="564" spans="1:7" ht="47.25" x14ac:dyDescent="0.25">
      <c r="A564" s="31" t="s">
        <v>462</v>
      </c>
      <c r="B564" s="20" t="s">
        <v>264</v>
      </c>
      <c r="C564" s="20" t="s">
        <v>213</v>
      </c>
      <c r="D564" s="20" t="s">
        <v>1251</v>
      </c>
      <c r="E564" s="20"/>
      <c r="F564" s="6">
        <f>F565</f>
        <v>909.3</v>
      </c>
      <c r="G564" s="6">
        <f>G565</f>
        <v>909.3</v>
      </c>
    </row>
    <row r="565" spans="1:7" ht="47.25" x14ac:dyDescent="0.25">
      <c r="A565" s="25" t="s">
        <v>272</v>
      </c>
      <c r="B565" s="20" t="s">
        <v>264</v>
      </c>
      <c r="C565" s="20" t="s">
        <v>213</v>
      </c>
      <c r="D565" s="20" t="s">
        <v>1251</v>
      </c>
      <c r="E565" s="20" t="s">
        <v>273</v>
      </c>
      <c r="F565" s="6">
        <f t="shared" ref="F565:G565" si="52">F566</f>
        <v>909.3</v>
      </c>
      <c r="G565" s="6">
        <f t="shared" si="52"/>
        <v>909.3</v>
      </c>
    </row>
    <row r="566" spans="1:7" ht="15.75" x14ac:dyDescent="0.25">
      <c r="A566" s="25" t="s">
        <v>274</v>
      </c>
      <c r="B566" s="20" t="s">
        <v>264</v>
      </c>
      <c r="C566" s="20" t="s">
        <v>213</v>
      </c>
      <c r="D566" s="20" t="s">
        <v>1251</v>
      </c>
      <c r="E566" s="20" t="s">
        <v>275</v>
      </c>
      <c r="F566" s="6">
        <f>'пр.6.1.ведом.22-23'!G633</f>
        <v>909.3</v>
      </c>
      <c r="G566" s="6">
        <f>'пр.6.1.ведом.22-23'!H633</f>
        <v>909.3</v>
      </c>
    </row>
    <row r="567" spans="1:7" ht="31.5" x14ac:dyDescent="0.25">
      <c r="A567" s="23" t="s">
        <v>1304</v>
      </c>
      <c r="B567" s="24" t="s">
        <v>264</v>
      </c>
      <c r="C567" s="24" t="s">
        <v>213</v>
      </c>
      <c r="D567" s="24" t="s">
        <v>1237</v>
      </c>
      <c r="E567" s="24"/>
      <c r="F567" s="4">
        <f>F568+F571+F574+F577</f>
        <v>224</v>
      </c>
      <c r="G567" s="4">
        <f>G568+G571+G574+G577</f>
        <v>224</v>
      </c>
    </row>
    <row r="568" spans="1:7" ht="47.25" hidden="1" x14ac:dyDescent="0.25">
      <c r="A568" s="25" t="s">
        <v>440</v>
      </c>
      <c r="B568" s="20" t="s">
        <v>264</v>
      </c>
      <c r="C568" s="20" t="s">
        <v>213</v>
      </c>
      <c r="D568" s="20" t="s">
        <v>1317</v>
      </c>
      <c r="E568" s="20"/>
      <c r="F568" s="6">
        <f t="shared" ref="F568:G568" si="53">F569</f>
        <v>0</v>
      </c>
      <c r="G568" s="6">
        <f t="shared" si="53"/>
        <v>0</v>
      </c>
    </row>
    <row r="569" spans="1:7" ht="47.25" hidden="1" x14ac:dyDescent="0.25">
      <c r="A569" s="25" t="s">
        <v>272</v>
      </c>
      <c r="B569" s="20" t="s">
        <v>264</v>
      </c>
      <c r="C569" s="20" t="s">
        <v>213</v>
      </c>
      <c r="D569" s="20" t="s">
        <v>1317</v>
      </c>
      <c r="E569" s="20" t="s">
        <v>273</v>
      </c>
      <c r="F569" s="6">
        <f>F570</f>
        <v>0</v>
      </c>
      <c r="G569" s="6">
        <f>G570</f>
        <v>0</v>
      </c>
    </row>
    <row r="570" spans="1:7" ht="15.75" hidden="1" x14ac:dyDescent="0.25">
      <c r="A570" s="25" t="s">
        <v>274</v>
      </c>
      <c r="B570" s="20" t="s">
        <v>264</v>
      </c>
      <c r="C570" s="20" t="s">
        <v>213</v>
      </c>
      <c r="D570" s="20" t="s">
        <v>1317</v>
      </c>
      <c r="E570" s="20" t="s">
        <v>275</v>
      </c>
      <c r="F570" s="6">
        <f>'пр.6.1.ведом.22-23'!G637</f>
        <v>0</v>
      </c>
      <c r="G570" s="6">
        <f>'пр.6.1.ведом.22-23'!H637</f>
        <v>0</v>
      </c>
    </row>
    <row r="571" spans="1:7" ht="47.25" hidden="1" x14ac:dyDescent="0.25">
      <c r="A571" s="25" t="s">
        <v>278</v>
      </c>
      <c r="B571" s="20" t="s">
        <v>264</v>
      </c>
      <c r="C571" s="20" t="s">
        <v>213</v>
      </c>
      <c r="D571" s="20" t="s">
        <v>1318</v>
      </c>
      <c r="E571" s="20"/>
      <c r="F571" s="6">
        <f t="shared" ref="F571:G571" si="54">F572</f>
        <v>0</v>
      </c>
      <c r="G571" s="6">
        <f t="shared" si="54"/>
        <v>0</v>
      </c>
    </row>
    <row r="572" spans="1:7" ht="47.25" hidden="1" x14ac:dyDescent="0.25">
      <c r="A572" s="25" t="s">
        <v>272</v>
      </c>
      <c r="B572" s="20" t="s">
        <v>264</v>
      </c>
      <c r="C572" s="20" t="s">
        <v>213</v>
      </c>
      <c r="D572" s="20" t="s">
        <v>1318</v>
      </c>
      <c r="E572" s="20" t="s">
        <v>273</v>
      </c>
      <c r="F572" s="6">
        <f>F573</f>
        <v>0</v>
      </c>
      <c r="G572" s="6">
        <f>G573</f>
        <v>0</v>
      </c>
    </row>
    <row r="573" spans="1:7" ht="15.75" hidden="1" x14ac:dyDescent="0.25">
      <c r="A573" s="25" t="s">
        <v>274</v>
      </c>
      <c r="B573" s="20" t="s">
        <v>264</v>
      </c>
      <c r="C573" s="20" t="s">
        <v>213</v>
      </c>
      <c r="D573" s="20" t="s">
        <v>1318</v>
      </c>
      <c r="E573" s="20" t="s">
        <v>275</v>
      </c>
      <c r="F573" s="6">
        <f>'пр.6.1.ведом.22-23'!G640</f>
        <v>0</v>
      </c>
      <c r="G573" s="6">
        <f>'пр.6.1.ведом.22-23'!H640</f>
        <v>0</v>
      </c>
    </row>
    <row r="574" spans="1:7" ht="31.5" hidden="1" x14ac:dyDescent="0.25">
      <c r="A574" s="25" t="s">
        <v>280</v>
      </c>
      <c r="B574" s="20" t="s">
        <v>264</v>
      </c>
      <c r="C574" s="20" t="s">
        <v>213</v>
      </c>
      <c r="D574" s="20" t="s">
        <v>1319</v>
      </c>
      <c r="E574" s="20"/>
      <c r="F574" s="6">
        <f t="shared" ref="F574:G574" si="55">F575</f>
        <v>0</v>
      </c>
      <c r="G574" s="6">
        <f t="shared" si="55"/>
        <v>0</v>
      </c>
    </row>
    <row r="575" spans="1:7" ht="47.25" hidden="1" x14ac:dyDescent="0.25">
      <c r="A575" s="25" t="s">
        <v>272</v>
      </c>
      <c r="B575" s="20" t="s">
        <v>264</v>
      </c>
      <c r="C575" s="20" t="s">
        <v>213</v>
      </c>
      <c r="D575" s="20" t="s">
        <v>1319</v>
      </c>
      <c r="E575" s="20" t="s">
        <v>273</v>
      </c>
      <c r="F575" s="6">
        <f>F576</f>
        <v>0</v>
      </c>
      <c r="G575" s="6">
        <f>G576</f>
        <v>0</v>
      </c>
    </row>
    <row r="576" spans="1:7" ht="15.75" hidden="1" x14ac:dyDescent="0.25">
      <c r="A576" s="25" t="s">
        <v>274</v>
      </c>
      <c r="B576" s="20" t="s">
        <v>264</v>
      </c>
      <c r="C576" s="20" t="s">
        <v>213</v>
      </c>
      <c r="D576" s="20" t="s">
        <v>1319</v>
      </c>
      <c r="E576" s="20" t="s">
        <v>275</v>
      </c>
      <c r="F576" s="6">
        <f>'пр.6.1.ведом.22-23'!G643</f>
        <v>0</v>
      </c>
      <c r="G576" s="6">
        <f>'пр.6.1.ведом.22-23'!H643</f>
        <v>0</v>
      </c>
    </row>
    <row r="577" spans="1:7" ht="47.25" x14ac:dyDescent="0.25">
      <c r="A577" s="25" t="s">
        <v>282</v>
      </c>
      <c r="B577" s="20" t="s">
        <v>264</v>
      </c>
      <c r="C577" s="20" t="s">
        <v>213</v>
      </c>
      <c r="D577" s="20" t="s">
        <v>1253</v>
      </c>
      <c r="E577" s="20"/>
      <c r="F577" s="6">
        <f t="shared" ref="F577:G577" si="56">F578</f>
        <v>224</v>
      </c>
      <c r="G577" s="6">
        <f t="shared" si="56"/>
        <v>224</v>
      </c>
    </row>
    <row r="578" spans="1:7" ht="47.25" x14ac:dyDescent="0.25">
      <c r="A578" s="25" t="s">
        <v>272</v>
      </c>
      <c r="B578" s="20" t="s">
        <v>264</v>
      </c>
      <c r="C578" s="20" t="s">
        <v>213</v>
      </c>
      <c r="D578" s="20" t="s">
        <v>1253</v>
      </c>
      <c r="E578" s="20" t="s">
        <v>273</v>
      </c>
      <c r="F578" s="6">
        <f>F579</f>
        <v>224</v>
      </c>
      <c r="G578" s="6">
        <f>G579</f>
        <v>224</v>
      </c>
    </row>
    <row r="579" spans="1:7" ht="15.75" x14ac:dyDescent="0.25">
      <c r="A579" s="25" t="s">
        <v>274</v>
      </c>
      <c r="B579" s="20" t="s">
        <v>264</v>
      </c>
      <c r="C579" s="20" t="s">
        <v>213</v>
      </c>
      <c r="D579" s="20" t="s">
        <v>1253</v>
      </c>
      <c r="E579" s="20" t="s">
        <v>275</v>
      </c>
      <c r="F579" s="6">
        <f>'пр.6.1.ведом.22-23'!G646</f>
        <v>224</v>
      </c>
      <c r="G579" s="6">
        <f>'пр.6.1.ведом.22-23'!H646</f>
        <v>224</v>
      </c>
    </row>
    <row r="580" spans="1:7" ht="47.25" x14ac:dyDescent="0.25">
      <c r="A580" s="219" t="s">
        <v>948</v>
      </c>
      <c r="B580" s="24" t="s">
        <v>264</v>
      </c>
      <c r="C580" s="24" t="s">
        <v>213</v>
      </c>
      <c r="D580" s="24" t="s">
        <v>1240</v>
      </c>
      <c r="E580" s="24"/>
      <c r="F580" s="4">
        <f>F581+F584</f>
        <v>2888</v>
      </c>
      <c r="G580" s="4">
        <f>G581+G584</f>
        <v>2888</v>
      </c>
    </row>
    <row r="581" spans="1:7" ht="31.5" hidden="1" x14ac:dyDescent="0.25">
      <c r="A581" s="25" t="s">
        <v>284</v>
      </c>
      <c r="B581" s="20" t="s">
        <v>264</v>
      </c>
      <c r="C581" s="20" t="s">
        <v>213</v>
      </c>
      <c r="D581" s="20" t="s">
        <v>1258</v>
      </c>
      <c r="E581" s="20"/>
      <c r="F581" s="6">
        <f>F582</f>
        <v>0</v>
      </c>
      <c r="G581" s="6">
        <f>G582</f>
        <v>0</v>
      </c>
    </row>
    <row r="582" spans="1:7" ht="47.25" hidden="1" x14ac:dyDescent="0.25">
      <c r="A582" s="25" t="s">
        <v>272</v>
      </c>
      <c r="B582" s="20" t="s">
        <v>264</v>
      </c>
      <c r="C582" s="20" t="s">
        <v>213</v>
      </c>
      <c r="D582" s="20" t="s">
        <v>1258</v>
      </c>
      <c r="E582" s="20" t="s">
        <v>273</v>
      </c>
      <c r="F582" s="6">
        <f>F583</f>
        <v>0</v>
      </c>
      <c r="G582" s="6">
        <f>G583</f>
        <v>0</v>
      </c>
    </row>
    <row r="583" spans="1:7" ht="18.75" hidden="1" customHeight="1" x14ac:dyDescent="0.25">
      <c r="A583" s="25" t="s">
        <v>274</v>
      </c>
      <c r="B583" s="20" t="s">
        <v>264</v>
      </c>
      <c r="C583" s="20" t="s">
        <v>213</v>
      </c>
      <c r="D583" s="20" t="s">
        <v>1258</v>
      </c>
      <c r="E583" s="20" t="s">
        <v>275</v>
      </c>
      <c r="F583" s="6">
        <f>'пр.6.1.ведом.22-23'!G650</f>
        <v>0</v>
      </c>
      <c r="G583" s="6">
        <f>'пр.6.1.ведом.22-23'!H650</f>
        <v>0</v>
      </c>
    </row>
    <row r="584" spans="1:7" ht="47.25" x14ac:dyDescent="0.25">
      <c r="A584" s="60" t="s">
        <v>764</v>
      </c>
      <c r="B584" s="20" t="s">
        <v>264</v>
      </c>
      <c r="C584" s="20" t="s">
        <v>213</v>
      </c>
      <c r="D584" s="20" t="s">
        <v>1241</v>
      </c>
      <c r="E584" s="20"/>
      <c r="F584" s="6">
        <f>F585</f>
        <v>2888</v>
      </c>
      <c r="G584" s="6">
        <f>G585</f>
        <v>2888</v>
      </c>
    </row>
    <row r="585" spans="1:7" ht="47.25" x14ac:dyDescent="0.25">
      <c r="A585" s="29" t="s">
        <v>272</v>
      </c>
      <c r="B585" s="20" t="s">
        <v>264</v>
      </c>
      <c r="C585" s="20" t="s">
        <v>213</v>
      </c>
      <c r="D585" s="20" t="s">
        <v>1241</v>
      </c>
      <c r="E585" s="20" t="s">
        <v>273</v>
      </c>
      <c r="F585" s="6">
        <f>F586</f>
        <v>2888</v>
      </c>
      <c r="G585" s="6">
        <f>G586</f>
        <v>2888</v>
      </c>
    </row>
    <row r="586" spans="1:7" ht="15.75" x14ac:dyDescent="0.25">
      <c r="A586" s="182" t="s">
        <v>274</v>
      </c>
      <c r="B586" s="20" t="s">
        <v>264</v>
      </c>
      <c r="C586" s="20" t="s">
        <v>213</v>
      </c>
      <c r="D586" s="20" t="s">
        <v>1241</v>
      </c>
      <c r="E586" s="20" t="s">
        <v>275</v>
      </c>
      <c r="F586" s="6">
        <f>'пр.6.1.ведом.22-23'!G653</f>
        <v>2888</v>
      </c>
      <c r="G586" s="6">
        <f>'пр.6.1.ведом.22-23'!H653</f>
        <v>2888</v>
      </c>
    </row>
    <row r="587" spans="1:7" ht="31.5" x14ac:dyDescent="0.25">
      <c r="A587" s="23" t="s">
        <v>938</v>
      </c>
      <c r="B587" s="24" t="s">
        <v>264</v>
      </c>
      <c r="C587" s="24" t="s">
        <v>213</v>
      </c>
      <c r="D587" s="24" t="s">
        <v>1254</v>
      </c>
      <c r="E587" s="24"/>
      <c r="F587" s="4">
        <f t="shared" ref="F587:G589" si="57">F588</f>
        <v>3931.8</v>
      </c>
      <c r="G587" s="4">
        <f t="shared" si="57"/>
        <v>3865.2</v>
      </c>
    </row>
    <row r="588" spans="1:7" ht="47.25" x14ac:dyDescent="0.25">
      <c r="A588" s="29" t="s">
        <v>602</v>
      </c>
      <c r="B588" s="20" t="s">
        <v>264</v>
      </c>
      <c r="C588" s="20" t="s">
        <v>213</v>
      </c>
      <c r="D588" s="20" t="s">
        <v>1255</v>
      </c>
      <c r="E588" s="20"/>
      <c r="F588" s="6">
        <f t="shared" si="57"/>
        <v>3931.8</v>
      </c>
      <c r="G588" s="6">
        <f t="shared" si="57"/>
        <v>3865.2</v>
      </c>
    </row>
    <row r="589" spans="1:7" ht="47.25" x14ac:dyDescent="0.25">
      <c r="A589" s="25" t="s">
        <v>272</v>
      </c>
      <c r="B589" s="20" t="s">
        <v>264</v>
      </c>
      <c r="C589" s="20" t="s">
        <v>213</v>
      </c>
      <c r="D589" s="20" t="s">
        <v>1255</v>
      </c>
      <c r="E589" s="20" t="s">
        <v>273</v>
      </c>
      <c r="F589" s="6">
        <f t="shared" si="57"/>
        <v>3931.8</v>
      </c>
      <c r="G589" s="6">
        <f t="shared" si="57"/>
        <v>3865.2</v>
      </c>
    </row>
    <row r="590" spans="1:7" ht="15.75" x14ac:dyDescent="0.25">
      <c r="A590" s="25" t="s">
        <v>274</v>
      </c>
      <c r="B590" s="20" t="s">
        <v>264</v>
      </c>
      <c r="C590" s="20" t="s">
        <v>213</v>
      </c>
      <c r="D590" s="20" t="s">
        <v>1255</v>
      </c>
      <c r="E590" s="20" t="s">
        <v>275</v>
      </c>
      <c r="F590" s="6">
        <f>'пр.6.1.ведом.22-23'!G657</f>
        <v>3931.8</v>
      </c>
      <c r="G590" s="6">
        <f>'пр.6.1.ведом.22-23'!H657</f>
        <v>3865.2</v>
      </c>
    </row>
    <row r="591" spans="1:7" ht="31.5" x14ac:dyDescent="0.25">
      <c r="A591" s="23" t="s">
        <v>939</v>
      </c>
      <c r="B591" s="24" t="s">
        <v>264</v>
      </c>
      <c r="C591" s="24" t="s">
        <v>213</v>
      </c>
      <c r="D591" s="24" t="s">
        <v>1256</v>
      </c>
      <c r="E591" s="24"/>
      <c r="F591" s="4">
        <f t="shared" ref="F591:G593" si="58">F592</f>
        <v>1384.6</v>
      </c>
      <c r="G591" s="4">
        <f t="shared" si="58"/>
        <v>1384.6</v>
      </c>
    </row>
    <row r="592" spans="1:7" ht="63" x14ac:dyDescent="0.25">
      <c r="A592" s="25" t="s">
        <v>438</v>
      </c>
      <c r="B592" s="20" t="s">
        <v>264</v>
      </c>
      <c r="C592" s="20" t="s">
        <v>213</v>
      </c>
      <c r="D592" s="20" t="s">
        <v>1257</v>
      </c>
      <c r="E592" s="20"/>
      <c r="F592" s="6">
        <f t="shared" si="58"/>
        <v>1384.6</v>
      </c>
      <c r="G592" s="6">
        <f t="shared" si="58"/>
        <v>1384.6</v>
      </c>
    </row>
    <row r="593" spans="1:7" ht="47.25" x14ac:dyDescent="0.25">
      <c r="A593" s="25" t="s">
        <v>272</v>
      </c>
      <c r="B593" s="20" t="s">
        <v>264</v>
      </c>
      <c r="C593" s="20" t="s">
        <v>213</v>
      </c>
      <c r="D593" s="20" t="s">
        <v>1257</v>
      </c>
      <c r="E593" s="20" t="s">
        <v>273</v>
      </c>
      <c r="F593" s="6">
        <f t="shared" si="58"/>
        <v>1384.6</v>
      </c>
      <c r="G593" s="6">
        <f t="shared" si="58"/>
        <v>1384.6</v>
      </c>
    </row>
    <row r="594" spans="1:7" ht="15.75" x14ac:dyDescent="0.25">
      <c r="A594" s="25" t="s">
        <v>274</v>
      </c>
      <c r="B594" s="20" t="s">
        <v>264</v>
      </c>
      <c r="C594" s="20" t="s">
        <v>213</v>
      </c>
      <c r="D594" s="20" t="s">
        <v>1257</v>
      </c>
      <c r="E594" s="20" t="s">
        <v>275</v>
      </c>
      <c r="F594" s="6">
        <f>'пр.6.1.ведом.22-23'!G661</f>
        <v>1384.6</v>
      </c>
      <c r="G594" s="6">
        <f>'пр.6.1.ведом.22-23'!H661</f>
        <v>1384.6</v>
      </c>
    </row>
    <row r="595" spans="1:7" ht="31.5" x14ac:dyDescent="0.25">
      <c r="A595" s="217" t="s">
        <v>940</v>
      </c>
      <c r="B595" s="24" t="s">
        <v>264</v>
      </c>
      <c r="C595" s="24" t="s">
        <v>213</v>
      </c>
      <c r="D595" s="24" t="s">
        <v>1259</v>
      </c>
      <c r="E595" s="24"/>
      <c r="F595" s="4">
        <f>F596+F599</f>
        <v>755.8</v>
      </c>
      <c r="G595" s="4">
        <f>G596+G599</f>
        <v>759</v>
      </c>
    </row>
    <row r="596" spans="1:7" ht="63" x14ac:dyDescent="0.25">
      <c r="A596" s="182" t="s">
        <v>828</v>
      </c>
      <c r="B596" s="20" t="s">
        <v>264</v>
      </c>
      <c r="C596" s="20" t="s">
        <v>213</v>
      </c>
      <c r="D596" s="20" t="s">
        <v>1425</v>
      </c>
      <c r="E596" s="20"/>
      <c r="F596" s="6">
        <f t="shared" ref="F596:G596" si="59">F597</f>
        <v>755.8</v>
      </c>
      <c r="G596" s="6">
        <f t="shared" si="59"/>
        <v>759</v>
      </c>
    </row>
    <row r="597" spans="1:7" ht="47.25" x14ac:dyDescent="0.25">
      <c r="A597" s="31" t="s">
        <v>272</v>
      </c>
      <c r="B597" s="20" t="s">
        <v>264</v>
      </c>
      <c r="C597" s="20" t="s">
        <v>213</v>
      </c>
      <c r="D597" s="20" t="s">
        <v>1425</v>
      </c>
      <c r="E597" s="20" t="s">
        <v>273</v>
      </c>
      <c r="F597" s="6">
        <f>F598</f>
        <v>755.8</v>
      </c>
      <c r="G597" s="6">
        <f>G598</f>
        <v>759</v>
      </c>
    </row>
    <row r="598" spans="1:7" ht="15.75" x14ac:dyDescent="0.25">
      <c r="A598" s="31" t="s">
        <v>274</v>
      </c>
      <c r="B598" s="20" t="s">
        <v>264</v>
      </c>
      <c r="C598" s="20" t="s">
        <v>213</v>
      </c>
      <c r="D598" s="20" t="s">
        <v>1425</v>
      </c>
      <c r="E598" s="20" t="s">
        <v>275</v>
      </c>
      <c r="F598" s="6">
        <f>'пр.6.1.ведом.22-23'!G665</f>
        <v>755.8</v>
      </c>
      <c r="G598" s="6">
        <f>'пр.6.1.ведом.22-23'!H665</f>
        <v>759</v>
      </c>
    </row>
    <row r="599" spans="1:7" s="203" customFormat="1" ht="31.5" hidden="1" x14ac:dyDescent="0.25">
      <c r="A599" s="353" t="s">
        <v>1424</v>
      </c>
      <c r="B599" s="20" t="s">
        <v>264</v>
      </c>
      <c r="C599" s="20" t="s">
        <v>213</v>
      </c>
      <c r="D599" s="20" t="s">
        <v>1426</v>
      </c>
      <c r="E599" s="20"/>
      <c r="F599" s="26">
        <f>F600</f>
        <v>0</v>
      </c>
      <c r="G599" s="6">
        <f>G600</f>
        <v>0</v>
      </c>
    </row>
    <row r="600" spans="1:7" s="203" customFormat="1" ht="47.25" hidden="1" x14ac:dyDescent="0.25">
      <c r="A600" s="31" t="s">
        <v>272</v>
      </c>
      <c r="B600" s="20" t="s">
        <v>264</v>
      </c>
      <c r="C600" s="20" t="s">
        <v>213</v>
      </c>
      <c r="D600" s="20" t="s">
        <v>1426</v>
      </c>
      <c r="E600" s="20" t="s">
        <v>273</v>
      </c>
      <c r="F600" s="26">
        <f>F601</f>
        <v>0</v>
      </c>
      <c r="G600" s="6">
        <f>G601</f>
        <v>0</v>
      </c>
    </row>
    <row r="601" spans="1:7" s="203" customFormat="1" ht="15.75" hidden="1" x14ac:dyDescent="0.25">
      <c r="A601" s="31" t="s">
        <v>274</v>
      </c>
      <c r="B601" s="20" t="s">
        <v>264</v>
      </c>
      <c r="C601" s="20" t="s">
        <v>213</v>
      </c>
      <c r="D601" s="20" t="s">
        <v>1426</v>
      </c>
      <c r="E601" s="20" t="s">
        <v>275</v>
      </c>
      <c r="F601" s="26">
        <v>0</v>
      </c>
      <c r="G601" s="6">
        <v>0</v>
      </c>
    </row>
    <row r="602" spans="1:7" s="203" customFormat="1" ht="47.25" x14ac:dyDescent="0.25">
      <c r="A602" s="304" t="s">
        <v>1405</v>
      </c>
      <c r="B602" s="24" t="s">
        <v>264</v>
      </c>
      <c r="C602" s="24" t="s">
        <v>213</v>
      </c>
      <c r="D602" s="24" t="s">
        <v>1404</v>
      </c>
      <c r="E602" s="24"/>
      <c r="F602" s="21">
        <f t="shared" ref="F602:G604" si="60">F603</f>
        <v>5415.6500000000005</v>
      </c>
      <c r="G602" s="21">
        <f t="shared" si="60"/>
        <v>5142.4500000000007</v>
      </c>
    </row>
    <row r="603" spans="1:7" s="203" customFormat="1" ht="78.75" x14ac:dyDescent="0.25">
      <c r="A603" s="303" t="s">
        <v>1391</v>
      </c>
      <c r="B603" s="20" t="s">
        <v>264</v>
      </c>
      <c r="C603" s="20" t="s">
        <v>213</v>
      </c>
      <c r="D603" s="20" t="s">
        <v>1449</v>
      </c>
      <c r="E603" s="20"/>
      <c r="F603" s="26">
        <f t="shared" si="60"/>
        <v>5415.6500000000005</v>
      </c>
      <c r="G603" s="26">
        <f t="shared" si="60"/>
        <v>5142.4500000000007</v>
      </c>
    </row>
    <row r="604" spans="1:7" s="203" customFormat="1" ht="47.25" x14ac:dyDescent="0.25">
      <c r="A604" s="31" t="s">
        <v>272</v>
      </c>
      <c r="B604" s="20" t="s">
        <v>264</v>
      </c>
      <c r="C604" s="20" t="s">
        <v>213</v>
      </c>
      <c r="D604" s="20" t="s">
        <v>1449</v>
      </c>
      <c r="E604" s="20" t="s">
        <v>273</v>
      </c>
      <c r="F604" s="26">
        <f t="shared" si="60"/>
        <v>5415.6500000000005</v>
      </c>
      <c r="G604" s="26">
        <f t="shared" si="60"/>
        <v>5142.4500000000007</v>
      </c>
    </row>
    <row r="605" spans="1:7" s="203" customFormat="1" ht="15.75" x14ac:dyDescent="0.25">
      <c r="A605" s="31" t="s">
        <v>274</v>
      </c>
      <c r="B605" s="20" t="s">
        <v>264</v>
      </c>
      <c r="C605" s="20" t="s">
        <v>213</v>
      </c>
      <c r="D605" s="20" t="s">
        <v>1449</v>
      </c>
      <c r="E605" s="20" t="s">
        <v>275</v>
      </c>
      <c r="F605" s="26">
        <f>'пр.6.1.ведом.22-23'!G672</f>
        <v>5415.6500000000005</v>
      </c>
      <c r="G605" s="6">
        <f>'пр.6.1.ведом.22-23'!H672</f>
        <v>5142.4500000000007</v>
      </c>
    </row>
    <row r="606" spans="1:7" s="203" customFormat="1" ht="31.5" x14ac:dyDescent="0.25">
      <c r="A606" s="34" t="s">
        <v>1472</v>
      </c>
      <c r="B606" s="24" t="s">
        <v>264</v>
      </c>
      <c r="C606" s="24" t="s">
        <v>213</v>
      </c>
      <c r="D606" s="24" t="s">
        <v>1470</v>
      </c>
      <c r="E606" s="24"/>
      <c r="F606" s="21">
        <f t="shared" ref="F606:G608" si="61">F607</f>
        <v>1749.4499999999998</v>
      </c>
      <c r="G606" s="21">
        <f t="shared" si="61"/>
        <v>2341</v>
      </c>
    </row>
    <row r="607" spans="1:7" s="203" customFormat="1" ht="47.25" x14ac:dyDescent="0.25">
      <c r="A607" s="31" t="s">
        <v>1521</v>
      </c>
      <c r="B607" s="20" t="s">
        <v>264</v>
      </c>
      <c r="C607" s="20" t="s">
        <v>213</v>
      </c>
      <c r="D607" s="20" t="s">
        <v>1471</v>
      </c>
      <c r="E607" s="20"/>
      <c r="F607" s="26">
        <f t="shared" si="61"/>
        <v>1749.4499999999998</v>
      </c>
      <c r="G607" s="26">
        <f t="shared" si="61"/>
        <v>2341</v>
      </c>
    </row>
    <row r="608" spans="1:7" s="203" customFormat="1" ht="47.25" x14ac:dyDescent="0.25">
      <c r="A608" s="31" t="s">
        <v>272</v>
      </c>
      <c r="B608" s="20" t="s">
        <v>264</v>
      </c>
      <c r="C608" s="20" t="s">
        <v>213</v>
      </c>
      <c r="D608" s="20" t="s">
        <v>1471</v>
      </c>
      <c r="E608" s="20" t="s">
        <v>273</v>
      </c>
      <c r="F608" s="26">
        <f t="shared" si="61"/>
        <v>1749.4499999999998</v>
      </c>
      <c r="G608" s="26">
        <f t="shared" si="61"/>
        <v>2341</v>
      </c>
    </row>
    <row r="609" spans="1:7" s="203" customFormat="1" ht="15.75" x14ac:dyDescent="0.25">
      <c r="A609" s="31" t="s">
        <v>274</v>
      </c>
      <c r="B609" s="20" t="s">
        <v>264</v>
      </c>
      <c r="C609" s="20" t="s">
        <v>213</v>
      </c>
      <c r="D609" s="20" t="s">
        <v>1471</v>
      </c>
      <c r="E609" s="20" t="s">
        <v>275</v>
      </c>
      <c r="F609" s="26">
        <f>'пр.6.1.ведом.22-23'!G680</f>
        <v>1749.4499999999998</v>
      </c>
      <c r="G609" s="26">
        <f>'пр.6.1.ведом.22-23'!H680</f>
        <v>2341</v>
      </c>
    </row>
    <row r="610" spans="1:7" ht="63" x14ac:dyDescent="0.25">
      <c r="A610" s="34" t="s">
        <v>1357</v>
      </c>
      <c r="B610" s="24" t="s">
        <v>264</v>
      </c>
      <c r="C610" s="24" t="s">
        <v>213</v>
      </c>
      <c r="D610" s="24" t="s">
        <v>324</v>
      </c>
      <c r="E610" s="24"/>
      <c r="F610" s="4">
        <f t="shared" ref="F610:G613" si="62">F611</f>
        <v>60</v>
      </c>
      <c r="G610" s="4">
        <f t="shared" si="62"/>
        <v>70</v>
      </c>
    </row>
    <row r="611" spans="1:7" ht="63" x14ac:dyDescent="0.25">
      <c r="A611" s="34" t="s">
        <v>1024</v>
      </c>
      <c r="B611" s="24" t="s">
        <v>264</v>
      </c>
      <c r="C611" s="24" t="s">
        <v>213</v>
      </c>
      <c r="D611" s="24" t="s">
        <v>934</v>
      </c>
      <c r="E611" s="24"/>
      <c r="F611" s="4">
        <f t="shared" si="62"/>
        <v>60</v>
      </c>
      <c r="G611" s="4">
        <f t="shared" si="62"/>
        <v>70</v>
      </c>
    </row>
    <row r="612" spans="1:7" ht="47.25" x14ac:dyDescent="0.25">
      <c r="A612" s="31" t="s">
        <v>1008</v>
      </c>
      <c r="B612" s="20" t="s">
        <v>264</v>
      </c>
      <c r="C612" s="20" t="s">
        <v>213</v>
      </c>
      <c r="D612" s="20" t="s">
        <v>935</v>
      </c>
      <c r="E612" s="20"/>
      <c r="F612" s="6">
        <f t="shared" si="62"/>
        <v>60</v>
      </c>
      <c r="G612" s="6">
        <f t="shared" si="62"/>
        <v>70</v>
      </c>
    </row>
    <row r="613" spans="1:7" ht="47.25" x14ac:dyDescent="0.25">
      <c r="A613" s="31" t="s">
        <v>272</v>
      </c>
      <c r="B613" s="20" t="s">
        <v>264</v>
      </c>
      <c r="C613" s="20" t="s">
        <v>213</v>
      </c>
      <c r="D613" s="20" t="s">
        <v>935</v>
      </c>
      <c r="E613" s="20" t="s">
        <v>273</v>
      </c>
      <c r="F613" s="6">
        <f t="shared" si="62"/>
        <v>60</v>
      </c>
      <c r="G613" s="6">
        <f t="shared" si="62"/>
        <v>70</v>
      </c>
    </row>
    <row r="614" spans="1:7" ht="15.75" x14ac:dyDescent="0.25">
      <c r="A614" s="31" t="s">
        <v>274</v>
      </c>
      <c r="B614" s="20" t="s">
        <v>264</v>
      </c>
      <c r="C614" s="20" t="s">
        <v>213</v>
      </c>
      <c r="D614" s="20" t="s">
        <v>935</v>
      </c>
      <c r="E614" s="20" t="s">
        <v>275</v>
      </c>
      <c r="F614" s="6">
        <f>'пр.7.1.МП 22-23'!G621</f>
        <v>60</v>
      </c>
      <c r="G614" s="6">
        <f>'пр.7.1.МП 22-23'!H621</f>
        <v>70</v>
      </c>
    </row>
    <row r="615" spans="1:7" ht="63" x14ac:dyDescent="0.25">
      <c r="A615" s="41" t="s">
        <v>1352</v>
      </c>
      <c r="B615" s="24" t="s">
        <v>264</v>
      </c>
      <c r="C615" s="24" t="s">
        <v>213</v>
      </c>
      <c r="D615" s="24" t="s">
        <v>705</v>
      </c>
      <c r="E615" s="222"/>
      <c r="F615" s="4">
        <f t="shared" ref="F615:G616" si="63">F616</f>
        <v>870.5</v>
      </c>
      <c r="G615" s="4">
        <f t="shared" si="63"/>
        <v>905.3</v>
      </c>
    </row>
    <row r="616" spans="1:7" ht="63" x14ac:dyDescent="0.25">
      <c r="A616" s="41" t="s">
        <v>890</v>
      </c>
      <c r="B616" s="24" t="s">
        <v>264</v>
      </c>
      <c r="C616" s="24" t="s">
        <v>213</v>
      </c>
      <c r="D616" s="24" t="s">
        <v>888</v>
      </c>
      <c r="E616" s="222"/>
      <c r="F616" s="4">
        <f t="shared" si="63"/>
        <v>870.5</v>
      </c>
      <c r="G616" s="4">
        <f t="shared" si="63"/>
        <v>905.3</v>
      </c>
    </row>
    <row r="617" spans="1:7" ht="47.25" x14ac:dyDescent="0.25">
      <c r="A617" s="98" t="s">
        <v>780</v>
      </c>
      <c r="B617" s="20" t="s">
        <v>264</v>
      </c>
      <c r="C617" s="20" t="s">
        <v>213</v>
      </c>
      <c r="D617" s="20" t="s">
        <v>936</v>
      </c>
      <c r="E617" s="32"/>
      <c r="F617" s="6">
        <f>F618</f>
        <v>870.5</v>
      </c>
      <c r="G617" s="6">
        <f>G618</f>
        <v>905.3</v>
      </c>
    </row>
    <row r="618" spans="1:7" ht="47.25" x14ac:dyDescent="0.25">
      <c r="A618" s="29" t="s">
        <v>272</v>
      </c>
      <c r="B618" s="20" t="s">
        <v>264</v>
      </c>
      <c r="C618" s="20" t="s">
        <v>213</v>
      </c>
      <c r="D618" s="20" t="s">
        <v>936</v>
      </c>
      <c r="E618" s="32" t="s">
        <v>273</v>
      </c>
      <c r="F618" s="6">
        <f>F619</f>
        <v>870.5</v>
      </c>
      <c r="G618" s="6">
        <f>G619</f>
        <v>905.3</v>
      </c>
    </row>
    <row r="619" spans="1:7" ht="15.75" x14ac:dyDescent="0.25">
      <c r="A619" s="182" t="s">
        <v>274</v>
      </c>
      <c r="B619" s="20" t="s">
        <v>264</v>
      </c>
      <c r="C619" s="20" t="s">
        <v>213</v>
      </c>
      <c r="D619" s="20" t="s">
        <v>936</v>
      </c>
      <c r="E619" s="32" t="s">
        <v>275</v>
      </c>
      <c r="F619" s="6">
        <f>'пр.6.1.ведом.22-23'!G690</f>
        <v>870.5</v>
      </c>
      <c r="G619" s="6">
        <f>'пр.6.1.ведом.22-23'!H690</f>
        <v>905.3</v>
      </c>
    </row>
    <row r="620" spans="1:7" ht="15.75" x14ac:dyDescent="0.25">
      <c r="A620" s="41" t="s">
        <v>265</v>
      </c>
      <c r="B620" s="7" t="s">
        <v>264</v>
      </c>
      <c r="C620" s="7" t="s">
        <v>215</v>
      </c>
      <c r="D620" s="24"/>
      <c r="E620" s="7"/>
      <c r="F620" s="4">
        <f>F621+F644+F681+F676</f>
        <v>60278.110000000008</v>
      </c>
      <c r="G620" s="4">
        <f>G621+G644+G681+G676</f>
        <v>60303.91</v>
      </c>
    </row>
    <row r="621" spans="1:7" ht="47.25" x14ac:dyDescent="0.25">
      <c r="A621" s="23" t="s">
        <v>1358</v>
      </c>
      <c r="B621" s="24" t="s">
        <v>264</v>
      </c>
      <c r="C621" s="24" t="s">
        <v>215</v>
      </c>
      <c r="D621" s="24" t="s">
        <v>406</v>
      </c>
      <c r="E621" s="24"/>
      <c r="F621" s="4">
        <f>F622+F626+F640</f>
        <v>40748.800000000003</v>
      </c>
      <c r="G621" s="4">
        <f>G622+G626+G640</f>
        <v>40748.800000000003</v>
      </c>
    </row>
    <row r="622" spans="1:7" ht="47.25" x14ac:dyDescent="0.25">
      <c r="A622" s="23" t="s">
        <v>937</v>
      </c>
      <c r="B622" s="24" t="s">
        <v>264</v>
      </c>
      <c r="C622" s="24" t="s">
        <v>215</v>
      </c>
      <c r="D622" s="24" t="s">
        <v>1230</v>
      </c>
      <c r="E622" s="24"/>
      <c r="F622" s="4">
        <f t="shared" ref="F622:G622" si="64">F623</f>
        <v>37056.300000000003</v>
      </c>
      <c r="G622" s="4">
        <f t="shared" si="64"/>
        <v>37056.300000000003</v>
      </c>
    </row>
    <row r="623" spans="1:7" ht="47.25" x14ac:dyDescent="0.25">
      <c r="A623" s="25" t="s">
        <v>270</v>
      </c>
      <c r="B623" s="20" t="s">
        <v>264</v>
      </c>
      <c r="C623" s="20" t="s">
        <v>215</v>
      </c>
      <c r="D623" s="20" t="s">
        <v>1260</v>
      </c>
      <c r="E623" s="20"/>
      <c r="F623" s="6">
        <f>F624</f>
        <v>37056.300000000003</v>
      </c>
      <c r="G623" s="6">
        <f>G624</f>
        <v>37056.300000000003</v>
      </c>
    </row>
    <row r="624" spans="1:7" ht="47.25" x14ac:dyDescent="0.25">
      <c r="A624" s="25" t="s">
        <v>272</v>
      </c>
      <c r="B624" s="20" t="s">
        <v>264</v>
      </c>
      <c r="C624" s="20" t="s">
        <v>215</v>
      </c>
      <c r="D624" s="20" t="s">
        <v>1260</v>
      </c>
      <c r="E624" s="20" t="s">
        <v>273</v>
      </c>
      <c r="F624" s="6">
        <f>F625</f>
        <v>37056.300000000003</v>
      </c>
      <c r="G624" s="6">
        <f>G625</f>
        <v>37056.300000000003</v>
      </c>
    </row>
    <row r="625" spans="1:7" ht="15.75" x14ac:dyDescent="0.25">
      <c r="A625" s="25" t="s">
        <v>274</v>
      </c>
      <c r="B625" s="20" t="s">
        <v>264</v>
      </c>
      <c r="C625" s="20" t="s">
        <v>215</v>
      </c>
      <c r="D625" s="20" t="s">
        <v>1260</v>
      </c>
      <c r="E625" s="20" t="s">
        <v>275</v>
      </c>
      <c r="F625" s="6">
        <f>'пр.6.1.ведом.22-23'!G696</f>
        <v>37056.300000000003</v>
      </c>
      <c r="G625" s="6">
        <f>'пр.6.1.ведом.22-23'!H696</f>
        <v>37056.300000000003</v>
      </c>
    </row>
    <row r="626" spans="1:7" ht="47.25" x14ac:dyDescent="0.25">
      <c r="A626" s="23" t="s">
        <v>900</v>
      </c>
      <c r="B626" s="24" t="s">
        <v>264</v>
      </c>
      <c r="C626" s="24" t="s">
        <v>215</v>
      </c>
      <c r="D626" s="24" t="s">
        <v>1232</v>
      </c>
      <c r="E626" s="24"/>
      <c r="F626" s="4">
        <f>F630+F633+F627</f>
        <v>2128.5</v>
      </c>
      <c r="G626" s="4">
        <f>G630+G633+G627</f>
        <v>2128.5</v>
      </c>
    </row>
    <row r="627" spans="1:7" s="203" customFormat="1" ht="110.25" x14ac:dyDescent="0.25">
      <c r="A627" s="31" t="s">
        <v>293</v>
      </c>
      <c r="B627" s="20" t="s">
        <v>264</v>
      </c>
      <c r="C627" s="20" t="s">
        <v>215</v>
      </c>
      <c r="D627" s="20" t="s">
        <v>1390</v>
      </c>
      <c r="E627" s="20"/>
      <c r="F627" s="6">
        <f>F628</f>
        <v>1400</v>
      </c>
      <c r="G627" s="6">
        <f>G628</f>
        <v>1400</v>
      </c>
    </row>
    <row r="628" spans="1:7" s="203" customFormat="1" ht="47.25" x14ac:dyDescent="0.25">
      <c r="A628" s="25" t="s">
        <v>272</v>
      </c>
      <c r="B628" s="20" t="s">
        <v>264</v>
      </c>
      <c r="C628" s="20" t="s">
        <v>215</v>
      </c>
      <c r="D628" s="20" t="s">
        <v>1390</v>
      </c>
      <c r="E628" s="20" t="s">
        <v>273</v>
      </c>
      <c r="F628" s="6">
        <f>F629</f>
        <v>1400</v>
      </c>
      <c r="G628" s="6">
        <f>G629</f>
        <v>1400</v>
      </c>
    </row>
    <row r="629" spans="1:7" s="203" customFormat="1" ht="15.75" x14ac:dyDescent="0.25">
      <c r="A629" s="25" t="s">
        <v>274</v>
      </c>
      <c r="B629" s="20" t="s">
        <v>264</v>
      </c>
      <c r="C629" s="20" t="s">
        <v>215</v>
      </c>
      <c r="D629" s="20" t="s">
        <v>1390</v>
      </c>
      <c r="E629" s="20" t="s">
        <v>275</v>
      </c>
      <c r="F629" s="6">
        <f>'пр.6.1.ведом.22-23'!G700</f>
        <v>1400</v>
      </c>
      <c r="G629" s="6">
        <f>'пр.6.1.ведом.22-23'!H700</f>
        <v>1400</v>
      </c>
    </row>
    <row r="630" spans="1:7" ht="63" x14ac:dyDescent="0.25">
      <c r="A630" s="31" t="s">
        <v>289</v>
      </c>
      <c r="B630" s="20" t="s">
        <v>264</v>
      </c>
      <c r="C630" s="20" t="s">
        <v>215</v>
      </c>
      <c r="D630" s="20" t="s">
        <v>1233</v>
      </c>
      <c r="E630" s="20"/>
      <c r="F630" s="6">
        <f>F631</f>
        <v>179</v>
      </c>
      <c r="G630" s="6">
        <f>G631</f>
        <v>179</v>
      </c>
    </row>
    <row r="631" spans="1:7" ht="47.25" x14ac:dyDescent="0.25">
      <c r="A631" s="25" t="s">
        <v>272</v>
      </c>
      <c r="B631" s="20" t="s">
        <v>264</v>
      </c>
      <c r="C631" s="20" t="s">
        <v>215</v>
      </c>
      <c r="D631" s="20" t="s">
        <v>1233</v>
      </c>
      <c r="E631" s="20" t="s">
        <v>273</v>
      </c>
      <c r="F631" s="6">
        <f>F632</f>
        <v>179</v>
      </c>
      <c r="G631" s="6">
        <f>G632</f>
        <v>179</v>
      </c>
    </row>
    <row r="632" spans="1:7" ht="15.75" x14ac:dyDescent="0.25">
      <c r="A632" s="25" t="s">
        <v>274</v>
      </c>
      <c r="B632" s="20" t="s">
        <v>264</v>
      </c>
      <c r="C632" s="20" t="s">
        <v>215</v>
      </c>
      <c r="D632" s="20" t="s">
        <v>1233</v>
      </c>
      <c r="E632" s="20" t="s">
        <v>275</v>
      </c>
      <c r="F632" s="6">
        <f>'пр.6.1.ведом.22-23'!G703</f>
        <v>179</v>
      </c>
      <c r="G632" s="6">
        <f>'пр.6.1.ведом.22-23'!H703</f>
        <v>179</v>
      </c>
    </row>
    <row r="633" spans="1:7" ht="78.75" x14ac:dyDescent="0.25">
      <c r="A633" s="31" t="s">
        <v>291</v>
      </c>
      <c r="B633" s="20" t="s">
        <v>264</v>
      </c>
      <c r="C633" s="20" t="s">
        <v>215</v>
      </c>
      <c r="D633" s="20" t="s">
        <v>1234</v>
      </c>
      <c r="E633" s="20"/>
      <c r="F633" s="6">
        <f>F634</f>
        <v>549.5</v>
      </c>
      <c r="G633" s="6">
        <f>G634</f>
        <v>549.5</v>
      </c>
    </row>
    <row r="634" spans="1:7" ht="47.25" x14ac:dyDescent="0.25">
      <c r="A634" s="25" t="s">
        <v>272</v>
      </c>
      <c r="B634" s="20" t="s">
        <v>264</v>
      </c>
      <c r="C634" s="20" t="s">
        <v>215</v>
      </c>
      <c r="D634" s="20" t="s">
        <v>1234</v>
      </c>
      <c r="E634" s="20" t="s">
        <v>273</v>
      </c>
      <c r="F634" s="6">
        <f>F635</f>
        <v>549.5</v>
      </c>
      <c r="G634" s="6">
        <f>G635</f>
        <v>549.5</v>
      </c>
    </row>
    <row r="635" spans="1:7" ht="15.75" x14ac:dyDescent="0.25">
      <c r="A635" s="25" t="s">
        <v>274</v>
      </c>
      <c r="B635" s="20" t="s">
        <v>264</v>
      </c>
      <c r="C635" s="20" t="s">
        <v>215</v>
      </c>
      <c r="D635" s="20" t="s">
        <v>1234</v>
      </c>
      <c r="E635" s="20" t="s">
        <v>275</v>
      </c>
      <c r="F635" s="6">
        <f>'пр.6.1.ведом.22-23'!G706</f>
        <v>549.5</v>
      </c>
      <c r="G635" s="6">
        <f>'пр.6.1.ведом.22-23'!H706</f>
        <v>549.5</v>
      </c>
    </row>
    <row r="636" spans="1:7" ht="31.5" hidden="1" x14ac:dyDescent="0.25">
      <c r="A636" s="23" t="s">
        <v>1292</v>
      </c>
      <c r="B636" s="24" t="s">
        <v>264</v>
      </c>
      <c r="C636" s="24" t="s">
        <v>215</v>
      </c>
      <c r="D636" s="24" t="s">
        <v>1237</v>
      </c>
      <c r="E636" s="24"/>
      <c r="F636" s="4">
        <f>F637</f>
        <v>0</v>
      </c>
      <c r="G636" s="4">
        <f>G637</f>
        <v>0</v>
      </c>
    </row>
    <row r="637" spans="1:7" ht="31.5" hidden="1" x14ac:dyDescent="0.25">
      <c r="A637" s="45" t="s">
        <v>766</v>
      </c>
      <c r="B637" s="20" t="s">
        <v>264</v>
      </c>
      <c r="C637" s="20" t="s">
        <v>215</v>
      </c>
      <c r="D637" s="20" t="s">
        <v>1329</v>
      </c>
      <c r="E637" s="20"/>
      <c r="F637" s="6">
        <f>'Пр.3 Рд,пр, ЦС,ВР 22'!F687</f>
        <v>0</v>
      </c>
      <c r="G637" s="6">
        <f t="shared" ref="G637:G661" si="65">F637</f>
        <v>0</v>
      </c>
    </row>
    <row r="638" spans="1:7" ht="47.25" hidden="1" x14ac:dyDescent="0.25">
      <c r="A638" s="31" t="s">
        <v>272</v>
      </c>
      <c r="B638" s="20" t="s">
        <v>264</v>
      </c>
      <c r="C638" s="20" t="s">
        <v>215</v>
      </c>
      <c r="D638" s="20" t="s">
        <v>1329</v>
      </c>
      <c r="E638" s="20" t="s">
        <v>273</v>
      </c>
      <c r="F638" s="6">
        <f>'Пр.3 Рд,пр, ЦС,ВР 22'!F688</f>
        <v>0</v>
      </c>
      <c r="G638" s="6">
        <f t="shared" si="65"/>
        <v>0</v>
      </c>
    </row>
    <row r="639" spans="1:7" ht="15.75" hidden="1" x14ac:dyDescent="0.25">
      <c r="A639" s="31" t="s">
        <v>274</v>
      </c>
      <c r="B639" s="20" t="s">
        <v>264</v>
      </c>
      <c r="C639" s="20" t="s">
        <v>215</v>
      </c>
      <c r="D639" s="20" t="s">
        <v>1329</v>
      </c>
      <c r="E639" s="20" t="s">
        <v>275</v>
      </c>
      <c r="F639" s="6">
        <f>'Пр.3 Рд,пр, ЦС,ВР 22'!F689</f>
        <v>0</v>
      </c>
      <c r="G639" s="6">
        <f t="shared" si="65"/>
        <v>0</v>
      </c>
    </row>
    <row r="640" spans="1:7" ht="47.25" x14ac:dyDescent="0.25">
      <c r="A640" s="219" t="s">
        <v>948</v>
      </c>
      <c r="B640" s="24" t="s">
        <v>264</v>
      </c>
      <c r="C640" s="24" t="s">
        <v>215</v>
      </c>
      <c r="D640" s="24" t="s">
        <v>1240</v>
      </c>
      <c r="E640" s="24"/>
      <c r="F640" s="4">
        <f t="shared" ref="F640:G642" si="66">F641</f>
        <v>1564</v>
      </c>
      <c r="G640" s="4">
        <f t="shared" si="66"/>
        <v>1564</v>
      </c>
    </row>
    <row r="641" spans="1:7" ht="47.25" x14ac:dyDescent="0.25">
      <c r="A641" s="45" t="s">
        <v>764</v>
      </c>
      <c r="B641" s="20" t="s">
        <v>264</v>
      </c>
      <c r="C641" s="20" t="s">
        <v>215</v>
      </c>
      <c r="D641" s="20" t="s">
        <v>1241</v>
      </c>
      <c r="E641" s="20"/>
      <c r="F641" s="6">
        <f t="shared" si="66"/>
        <v>1564</v>
      </c>
      <c r="G641" s="6">
        <f t="shared" si="66"/>
        <v>1564</v>
      </c>
    </row>
    <row r="642" spans="1:7" ht="47.25" x14ac:dyDescent="0.25">
      <c r="A642" s="25" t="s">
        <v>272</v>
      </c>
      <c r="B642" s="20" t="s">
        <v>264</v>
      </c>
      <c r="C642" s="20" t="s">
        <v>215</v>
      </c>
      <c r="D642" s="20" t="s">
        <v>1241</v>
      </c>
      <c r="E642" s="20" t="s">
        <v>273</v>
      </c>
      <c r="F642" s="6">
        <f t="shared" si="66"/>
        <v>1564</v>
      </c>
      <c r="G642" s="6">
        <f t="shared" si="66"/>
        <v>1564</v>
      </c>
    </row>
    <row r="643" spans="1:7" ht="15.75" x14ac:dyDescent="0.25">
      <c r="A643" s="31" t="s">
        <v>274</v>
      </c>
      <c r="B643" s="20" t="s">
        <v>264</v>
      </c>
      <c r="C643" s="20" t="s">
        <v>215</v>
      </c>
      <c r="D643" s="20" t="s">
        <v>1241</v>
      </c>
      <c r="E643" s="20" t="s">
        <v>275</v>
      </c>
      <c r="F643" s="6">
        <f>'пр.6.1.ведом.22-23'!G714</f>
        <v>1564</v>
      </c>
      <c r="G643" s="6">
        <f>'пр.6.1.ведом.22-23'!H714</f>
        <v>1564</v>
      </c>
    </row>
    <row r="644" spans="1:7" ht="47.25" x14ac:dyDescent="0.25">
      <c r="A644" s="23" t="s">
        <v>1351</v>
      </c>
      <c r="B644" s="24" t="s">
        <v>264</v>
      </c>
      <c r="C644" s="24" t="s">
        <v>215</v>
      </c>
      <c r="D644" s="24" t="s">
        <v>267</v>
      </c>
      <c r="E644" s="24"/>
      <c r="F644" s="4">
        <f>F645+F653+F662+F666</f>
        <v>18730.410000000003</v>
      </c>
      <c r="G644" s="4">
        <f>G645+G653+G662+G666</f>
        <v>18730.410000000003</v>
      </c>
    </row>
    <row r="645" spans="1:7" ht="47.25" x14ac:dyDescent="0.25">
      <c r="A645" s="23" t="s">
        <v>1299</v>
      </c>
      <c r="B645" s="24" t="s">
        <v>264</v>
      </c>
      <c r="C645" s="24" t="s">
        <v>215</v>
      </c>
      <c r="D645" s="24" t="s">
        <v>1203</v>
      </c>
      <c r="E645" s="24"/>
      <c r="F645" s="4">
        <f>F646</f>
        <v>15854.01</v>
      </c>
      <c r="G645" s="4">
        <f>G646</f>
        <v>15854.01</v>
      </c>
    </row>
    <row r="646" spans="1:7" ht="31.5" x14ac:dyDescent="0.25">
      <c r="A646" s="25" t="s">
        <v>800</v>
      </c>
      <c r="B646" s="20" t="s">
        <v>264</v>
      </c>
      <c r="C646" s="20" t="s">
        <v>215</v>
      </c>
      <c r="D646" s="20" t="s">
        <v>1204</v>
      </c>
      <c r="E646" s="20"/>
      <c r="F646" s="6">
        <f>F647+F649+F651</f>
        <v>15854.01</v>
      </c>
      <c r="G646" s="6">
        <f>G647+G649+G651</f>
        <v>15854.01</v>
      </c>
    </row>
    <row r="647" spans="1:7" ht="94.5" x14ac:dyDescent="0.25">
      <c r="A647" s="25" t="s">
        <v>127</v>
      </c>
      <c r="B647" s="20" t="s">
        <v>264</v>
      </c>
      <c r="C647" s="20" t="s">
        <v>215</v>
      </c>
      <c r="D647" s="20" t="s">
        <v>1204</v>
      </c>
      <c r="E647" s="20" t="s">
        <v>128</v>
      </c>
      <c r="F647" s="6">
        <f>F648</f>
        <v>14172.31</v>
      </c>
      <c r="G647" s="6">
        <f>G648</f>
        <v>14172.31</v>
      </c>
    </row>
    <row r="648" spans="1:7" ht="31.5" x14ac:dyDescent="0.25">
      <c r="A648" s="46" t="s">
        <v>342</v>
      </c>
      <c r="B648" s="20" t="s">
        <v>264</v>
      </c>
      <c r="C648" s="20" t="s">
        <v>215</v>
      </c>
      <c r="D648" s="20" t="s">
        <v>1204</v>
      </c>
      <c r="E648" s="20" t="s">
        <v>209</v>
      </c>
      <c r="F648" s="6">
        <f>'пр.6.1.ведом.22-23'!G299</f>
        <v>14172.31</v>
      </c>
      <c r="G648" s="6">
        <f>'пр.6.1.ведом.22-23'!H299</f>
        <v>14172.31</v>
      </c>
    </row>
    <row r="649" spans="1:7" ht="31.5" x14ac:dyDescent="0.25">
      <c r="A649" s="25" t="s">
        <v>131</v>
      </c>
      <c r="B649" s="20" t="s">
        <v>264</v>
      </c>
      <c r="C649" s="20" t="s">
        <v>215</v>
      </c>
      <c r="D649" s="20" t="s">
        <v>1204</v>
      </c>
      <c r="E649" s="20" t="s">
        <v>132</v>
      </c>
      <c r="F649" s="6">
        <f>F650</f>
        <v>1603.7</v>
      </c>
      <c r="G649" s="6">
        <f>G650</f>
        <v>1603.7</v>
      </c>
    </row>
    <row r="650" spans="1:7" ht="47.25" x14ac:dyDescent="0.25">
      <c r="A650" s="25" t="s">
        <v>133</v>
      </c>
      <c r="B650" s="20" t="s">
        <v>264</v>
      </c>
      <c r="C650" s="20" t="s">
        <v>215</v>
      </c>
      <c r="D650" s="20" t="s">
        <v>1204</v>
      </c>
      <c r="E650" s="20" t="s">
        <v>134</v>
      </c>
      <c r="F650" s="6">
        <f>'пр.6.1.ведом.22-23'!G301</f>
        <v>1603.7</v>
      </c>
      <c r="G650" s="6">
        <f>'пр.6.1.ведом.22-23'!H301</f>
        <v>1603.7</v>
      </c>
    </row>
    <row r="651" spans="1:7" ht="15.75" x14ac:dyDescent="0.25">
      <c r="A651" s="25" t="s">
        <v>135</v>
      </c>
      <c r="B651" s="20" t="s">
        <v>264</v>
      </c>
      <c r="C651" s="20" t="s">
        <v>215</v>
      </c>
      <c r="D651" s="20" t="s">
        <v>1204</v>
      </c>
      <c r="E651" s="20" t="s">
        <v>145</v>
      </c>
      <c r="F651" s="6">
        <f>F652</f>
        <v>78</v>
      </c>
      <c r="G651" s="6">
        <f>G652</f>
        <v>78</v>
      </c>
    </row>
    <row r="652" spans="1:7" ht="15.75" x14ac:dyDescent="0.25">
      <c r="A652" s="25" t="s">
        <v>704</v>
      </c>
      <c r="B652" s="20" t="s">
        <v>264</v>
      </c>
      <c r="C652" s="20" t="s">
        <v>215</v>
      </c>
      <c r="D652" s="20" t="s">
        <v>1204</v>
      </c>
      <c r="E652" s="20" t="s">
        <v>138</v>
      </c>
      <c r="F652" s="6">
        <f>'пр.6.1.ведом.22-23'!G303</f>
        <v>78</v>
      </c>
      <c r="G652" s="6">
        <f>'пр.6.1.ведом.22-23'!H303</f>
        <v>78</v>
      </c>
    </row>
    <row r="653" spans="1:7" ht="31.5" x14ac:dyDescent="0.25">
      <c r="A653" s="216" t="s">
        <v>1301</v>
      </c>
      <c r="B653" s="24" t="s">
        <v>264</v>
      </c>
      <c r="C653" s="24" t="s">
        <v>215</v>
      </c>
      <c r="D653" s="24" t="s">
        <v>1205</v>
      </c>
      <c r="E653" s="24"/>
      <c r="F653" s="4">
        <f>F654+F657</f>
        <v>1295</v>
      </c>
      <c r="G653" s="4">
        <f>G654+G657</f>
        <v>1295</v>
      </c>
    </row>
    <row r="654" spans="1:7" ht="31.5" x14ac:dyDescent="0.25">
      <c r="A654" s="195" t="s">
        <v>799</v>
      </c>
      <c r="B654" s="20" t="s">
        <v>264</v>
      </c>
      <c r="C654" s="20" t="s">
        <v>215</v>
      </c>
      <c r="D654" s="20" t="s">
        <v>1206</v>
      </c>
      <c r="E654" s="20"/>
      <c r="F654" s="6">
        <f t="shared" ref="F654:G655" si="67">F655</f>
        <v>45</v>
      </c>
      <c r="G654" s="6">
        <f t="shared" si="67"/>
        <v>45</v>
      </c>
    </row>
    <row r="655" spans="1:7" ht="31.5" x14ac:dyDescent="0.25">
      <c r="A655" s="25" t="s">
        <v>248</v>
      </c>
      <c r="B655" s="20" t="s">
        <v>264</v>
      </c>
      <c r="C655" s="20" t="s">
        <v>215</v>
      </c>
      <c r="D655" s="20" t="s">
        <v>1206</v>
      </c>
      <c r="E655" s="20" t="s">
        <v>249</v>
      </c>
      <c r="F655" s="6">
        <f t="shared" si="67"/>
        <v>45</v>
      </c>
      <c r="G655" s="6">
        <f t="shared" si="67"/>
        <v>45</v>
      </c>
    </row>
    <row r="656" spans="1:7" ht="15.75" x14ac:dyDescent="0.25">
      <c r="A656" s="25" t="s">
        <v>820</v>
      </c>
      <c r="B656" s="20" t="s">
        <v>264</v>
      </c>
      <c r="C656" s="20" t="s">
        <v>215</v>
      </c>
      <c r="D656" s="20" t="s">
        <v>1206</v>
      </c>
      <c r="E656" s="20" t="s">
        <v>819</v>
      </c>
      <c r="F656" s="6">
        <f>'пр.6.1.ведом.22-23'!G307</f>
        <v>45</v>
      </c>
      <c r="G656" s="6">
        <f>'пр.6.1.ведом.22-23'!H307</f>
        <v>45</v>
      </c>
    </row>
    <row r="657" spans="1:7" ht="31.5" x14ac:dyDescent="0.25">
      <c r="A657" s="31" t="s">
        <v>816</v>
      </c>
      <c r="B657" s="20" t="s">
        <v>264</v>
      </c>
      <c r="C657" s="20" t="s">
        <v>215</v>
      </c>
      <c r="D657" s="20" t="s">
        <v>1207</v>
      </c>
      <c r="E657" s="20"/>
      <c r="F657" s="6">
        <f t="shared" ref="F657:G658" si="68">F658</f>
        <v>1250</v>
      </c>
      <c r="G657" s="6">
        <f t="shared" si="68"/>
        <v>1250</v>
      </c>
    </row>
    <row r="658" spans="1:7" ht="94.5" x14ac:dyDescent="0.25">
      <c r="A658" s="25" t="s">
        <v>127</v>
      </c>
      <c r="B658" s="20" t="s">
        <v>264</v>
      </c>
      <c r="C658" s="20" t="s">
        <v>215</v>
      </c>
      <c r="D658" s="20" t="s">
        <v>1207</v>
      </c>
      <c r="E658" s="20" t="s">
        <v>128</v>
      </c>
      <c r="F658" s="6">
        <f t="shared" si="68"/>
        <v>1250</v>
      </c>
      <c r="G658" s="6">
        <f t="shared" si="68"/>
        <v>1250</v>
      </c>
    </row>
    <row r="659" spans="1:7" ht="31.5" x14ac:dyDescent="0.25">
      <c r="A659" s="46" t="s">
        <v>342</v>
      </c>
      <c r="B659" s="20" t="s">
        <v>264</v>
      </c>
      <c r="C659" s="20" t="s">
        <v>215</v>
      </c>
      <c r="D659" s="20" t="s">
        <v>1207</v>
      </c>
      <c r="E659" s="20" t="s">
        <v>209</v>
      </c>
      <c r="F659" s="6">
        <f>'пр.6.1.ведом.22-23'!G310</f>
        <v>1250</v>
      </c>
      <c r="G659" s="6">
        <f>'пр.6.1.ведом.22-23'!H310</f>
        <v>1250</v>
      </c>
    </row>
    <row r="660" spans="1:7" ht="31.5" hidden="1" x14ac:dyDescent="0.25">
      <c r="A660" s="25" t="s">
        <v>131</v>
      </c>
      <c r="B660" s="20" t="s">
        <v>264</v>
      </c>
      <c r="C660" s="20" t="s">
        <v>215</v>
      </c>
      <c r="D660" s="20" t="s">
        <v>1207</v>
      </c>
      <c r="E660" s="20" t="s">
        <v>132</v>
      </c>
      <c r="F660" s="6">
        <f>'Пр.3 Рд,пр, ЦС,ВР 22'!F717</f>
        <v>0</v>
      </c>
      <c r="G660" s="6">
        <f t="shared" si="65"/>
        <v>0</v>
      </c>
    </row>
    <row r="661" spans="1:7" ht="47.25" hidden="1" x14ac:dyDescent="0.25">
      <c r="A661" s="25" t="s">
        <v>133</v>
      </c>
      <c r="B661" s="20" t="s">
        <v>264</v>
      </c>
      <c r="C661" s="20" t="s">
        <v>215</v>
      </c>
      <c r="D661" s="20" t="s">
        <v>1207</v>
      </c>
      <c r="E661" s="20" t="s">
        <v>134</v>
      </c>
      <c r="F661" s="6">
        <f>'Пр.3 Рд,пр, ЦС,ВР 22'!F718</f>
        <v>0</v>
      </c>
      <c r="G661" s="6">
        <f t="shared" si="65"/>
        <v>0</v>
      </c>
    </row>
    <row r="662" spans="1:7" ht="47.25" x14ac:dyDescent="0.25">
      <c r="A662" s="23" t="s">
        <v>947</v>
      </c>
      <c r="B662" s="24" t="s">
        <v>264</v>
      </c>
      <c r="C662" s="24" t="s">
        <v>215</v>
      </c>
      <c r="D662" s="24" t="s">
        <v>1208</v>
      </c>
      <c r="E662" s="24"/>
      <c r="F662" s="4">
        <f t="shared" ref="F662:G664" si="69">F663</f>
        <v>506</v>
      </c>
      <c r="G662" s="4">
        <f t="shared" si="69"/>
        <v>506</v>
      </c>
    </row>
    <row r="663" spans="1:7" ht="47.25" x14ac:dyDescent="0.25">
      <c r="A663" s="25" t="s">
        <v>839</v>
      </c>
      <c r="B663" s="20" t="s">
        <v>264</v>
      </c>
      <c r="C663" s="20" t="s">
        <v>215</v>
      </c>
      <c r="D663" s="20" t="s">
        <v>1209</v>
      </c>
      <c r="E663" s="20"/>
      <c r="F663" s="6">
        <f t="shared" si="69"/>
        <v>506</v>
      </c>
      <c r="G663" s="6">
        <f t="shared" si="69"/>
        <v>506</v>
      </c>
    </row>
    <row r="664" spans="1:7" ht="94.5" x14ac:dyDescent="0.25">
      <c r="A664" s="25" t="s">
        <v>127</v>
      </c>
      <c r="B664" s="20" t="s">
        <v>264</v>
      </c>
      <c r="C664" s="20" t="s">
        <v>215</v>
      </c>
      <c r="D664" s="20" t="s">
        <v>1209</v>
      </c>
      <c r="E664" s="20" t="s">
        <v>128</v>
      </c>
      <c r="F664" s="6">
        <f t="shared" si="69"/>
        <v>506</v>
      </c>
      <c r="G664" s="6">
        <f t="shared" si="69"/>
        <v>506</v>
      </c>
    </row>
    <row r="665" spans="1:7" ht="31.5" x14ac:dyDescent="0.25">
      <c r="A665" s="25" t="s">
        <v>129</v>
      </c>
      <c r="B665" s="20" t="s">
        <v>264</v>
      </c>
      <c r="C665" s="20" t="s">
        <v>215</v>
      </c>
      <c r="D665" s="20" t="s">
        <v>1209</v>
      </c>
      <c r="E665" s="20" t="s">
        <v>209</v>
      </c>
      <c r="F665" s="6">
        <f>'пр.6.1.ведом.22-23'!G316</f>
        <v>506</v>
      </c>
      <c r="G665" s="6">
        <f>'пр.6.1.ведом.22-23'!H316</f>
        <v>506</v>
      </c>
    </row>
    <row r="666" spans="1:7" ht="56.25" customHeight="1" x14ac:dyDescent="0.25">
      <c r="A666" s="23" t="s">
        <v>900</v>
      </c>
      <c r="B666" s="24" t="s">
        <v>264</v>
      </c>
      <c r="C666" s="24" t="s">
        <v>215</v>
      </c>
      <c r="D666" s="24" t="s">
        <v>1210</v>
      </c>
      <c r="E666" s="24"/>
      <c r="F666" s="4">
        <f>F670+F673+F667</f>
        <v>1075.4000000000001</v>
      </c>
      <c r="G666" s="4">
        <f>G670+G673+G667</f>
        <v>1075.4000000000001</v>
      </c>
    </row>
    <row r="667" spans="1:7" s="203" customFormat="1" ht="120.95" customHeight="1" x14ac:dyDescent="0.25">
      <c r="A667" s="31" t="s">
        <v>293</v>
      </c>
      <c r="B667" s="20" t="s">
        <v>264</v>
      </c>
      <c r="C667" s="20" t="s">
        <v>215</v>
      </c>
      <c r="D667" s="20" t="s">
        <v>1403</v>
      </c>
      <c r="E667" s="20"/>
      <c r="F667" s="6">
        <f>F668</f>
        <v>671</v>
      </c>
      <c r="G667" s="6">
        <f>G668</f>
        <v>671</v>
      </c>
    </row>
    <row r="668" spans="1:7" s="203" customFormat="1" ht="93.75" customHeight="1" x14ac:dyDescent="0.25">
      <c r="A668" s="25" t="s">
        <v>127</v>
      </c>
      <c r="B668" s="20" t="s">
        <v>264</v>
      </c>
      <c r="C668" s="20" t="s">
        <v>215</v>
      </c>
      <c r="D668" s="20" t="s">
        <v>1403</v>
      </c>
      <c r="E668" s="20" t="s">
        <v>128</v>
      </c>
      <c r="F668" s="6">
        <f>F669</f>
        <v>671</v>
      </c>
      <c r="G668" s="6">
        <f>G669</f>
        <v>671</v>
      </c>
    </row>
    <row r="669" spans="1:7" s="203" customFormat="1" ht="39.4" customHeight="1" x14ac:dyDescent="0.25">
      <c r="A669" s="46" t="s">
        <v>342</v>
      </c>
      <c r="B669" s="20" t="s">
        <v>264</v>
      </c>
      <c r="C669" s="20" t="s">
        <v>215</v>
      </c>
      <c r="D669" s="20" t="s">
        <v>1403</v>
      </c>
      <c r="E669" s="20" t="s">
        <v>209</v>
      </c>
      <c r="F669" s="6">
        <f>'пр.6.1.ведом.22-23'!G320</f>
        <v>671</v>
      </c>
      <c r="G669" s="6">
        <f>'пр.6.1.ведом.22-23'!H320</f>
        <v>671</v>
      </c>
    </row>
    <row r="670" spans="1:7" ht="63" x14ac:dyDescent="0.25">
      <c r="A670" s="31" t="s">
        <v>289</v>
      </c>
      <c r="B670" s="20" t="s">
        <v>264</v>
      </c>
      <c r="C670" s="20" t="s">
        <v>215</v>
      </c>
      <c r="D670" s="20" t="s">
        <v>1211</v>
      </c>
      <c r="E670" s="20"/>
      <c r="F670" s="6">
        <f>F671</f>
        <v>106</v>
      </c>
      <c r="G670" s="6">
        <f>G671</f>
        <v>106</v>
      </c>
    </row>
    <row r="671" spans="1:7" ht="94.5" x14ac:dyDescent="0.25">
      <c r="A671" s="25" t="s">
        <v>127</v>
      </c>
      <c r="B671" s="20" t="s">
        <v>264</v>
      </c>
      <c r="C671" s="20" t="s">
        <v>215</v>
      </c>
      <c r="D671" s="20" t="s">
        <v>1211</v>
      </c>
      <c r="E671" s="20" t="s">
        <v>128</v>
      </c>
      <c r="F671" s="6">
        <f>F672</f>
        <v>106</v>
      </c>
      <c r="G671" s="6">
        <f>G672</f>
        <v>106</v>
      </c>
    </row>
    <row r="672" spans="1:7" ht="31.5" x14ac:dyDescent="0.25">
      <c r="A672" s="46" t="s">
        <v>342</v>
      </c>
      <c r="B672" s="20" t="s">
        <v>264</v>
      </c>
      <c r="C672" s="20" t="s">
        <v>215</v>
      </c>
      <c r="D672" s="20" t="s">
        <v>1211</v>
      </c>
      <c r="E672" s="20" t="s">
        <v>209</v>
      </c>
      <c r="F672" s="6">
        <f>'пр.6.1.ведом.22-23'!G323</f>
        <v>106</v>
      </c>
      <c r="G672" s="6">
        <f>'пр.6.1.ведом.22-23'!H323</f>
        <v>106</v>
      </c>
    </row>
    <row r="673" spans="1:7" ht="78.75" x14ac:dyDescent="0.25">
      <c r="A673" s="31" t="s">
        <v>291</v>
      </c>
      <c r="B673" s="20" t="s">
        <v>264</v>
      </c>
      <c r="C673" s="20" t="s">
        <v>215</v>
      </c>
      <c r="D673" s="20" t="s">
        <v>1212</v>
      </c>
      <c r="E673" s="20"/>
      <c r="F673" s="6">
        <f>F674</f>
        <v>298.39999999999998</v>
      </c>
      <c r="G673" s="6">
        <f>G674</f>
        <v>298.39999999999998</v>
      </c>
    </row>
    <row r="674" spans="1:7" ht="94.5" x14ac:dyDescent="0.25">
      <c r="A674" s="25" t="s">
        <v>127</v>
      </c>
      <c r="B674" s="20" t="s">
        <v>264</v>
      </c>
      <c r="C674" s="20" t="s">
        <v>215</v>
      </c>
      <c r="D674" s="20" t="s">
        <v>1212</v>
      </c>
      <c r="E674" s="20" t="s">
        <v>128</v>
      </c>
      <c r="F674" s="6">
        <f>F675</f>
        <v>298.39999999999998</v>
      </c>
      <c r="G674" s="6">
        <f>G675</f>
        <v>298.39999999999998</v>
      </c>
    </row>
    <row r="675" spans="1:7" ht="31.5" x14ac:dyDescent="0.25">
      <c r="A675" s="46" t="s">
        <v>342</v>
      </c>
      <c r="B675" s="20" t="s">
        <v>264</v>
      </c>
      <c r="C675" s="20" t="s">
        <v>215</v>
      </c>
      <c r="D675" s="20" t="s">
        <v>1212</v>
      </c>
      <c r="E675" s="20" t="s">
        <v>209</v>
      </c>
      <c r="F675" s="6">
        <f>'пр.6.1.ведом.22-23'!G326</f>
        <v>298.39999999999998</v>
      </c>
      <c r="G675" s="6">
        <f>'пр.6.1.ведом.22-23'!H326</f>
        <v>298.39999999999998</v>
      </c>
    </row>
    <row r="676" spans="1:7" s="203" customFormat="1" ht="63" x14ac:dyDescent="0.25">
      <c r="A676" s="34" t="s">
        <v>1220</v>
      </c>
      <c r="B676" s="24" t="s">
        <v>264</v>
      </c>
      <c r="C676" s="24" t="s">
        <v>215</v>
      </c>
      <c r="D676" s="24" t="s">
        <v>324</v>
      </c>
      <c r="E676" s="24"/>
      <c r="F676" s="21">
        <f>F678</f>
        <v>6</v>
      </c>
      <c r="G676" s="21">
        <f>G678</f>
        <v>0</v>
      </c>
    </row>
    <row r="677" spans="1:7" s="203" customFormat="1" ht="63" x14ac:dyDescent="0.25">
      <c r="A677" s="34" t="s">
        <v>1025</v>
      </c>
      <c r="B677" s="24" t="s">
        <v>264</v>
      </c>
      <c r="C677" s="24" t="s">
        <v>215</v>
      </c>
      <c r="D677" s="24" t="s">
        <v>934</v>
      </c>
      <c r="E677" s="24"/>
      <c r="F677" s="21">
        <f>F680</f>
        <v>6</v>
      </c>
      <c r="G677" s="21">
        <f>G680</f>
        <v>0</v>
      </c>
    </row>
    <row r="678" spans="1:7" s="203" customFormat="1" ht="47.25" x14ac:dyDescent="0.25">
      <c r="A678" s="31" t="s">
        <v>1080</v>
      </c>
      <c r="B678" s="20" t="s">
        <v>264</v>
      </c>
      <c r="C678" s="20" t="s">
        <v>215</v>
      </c>
      <c r="D678" s="20" t="s">
        <v>1026</v>
      </c>
      <c r="E678" s="20"/>
      <c r="F678" s="26">
        <f>F679</f>
        <v>6</v>
      </c>
      <c r="G678" s="26">
        <f>G679</f>
        <v>0</v>
      </c>
    </row>
    <row r="679" spans="1:7" s="203" customFormat="1" ht="31.5" x14ac:dyDescent="0.25">
      <c r="A679" s="25" t="s">
        <v>131</v>
      </c>
      <c r="B679" s="20" t="s">
        <v>264</v>
      </c>
      <c r="C679" s="20" t="s">
        <v>215</v>
      </c>
      <c r="D679" s="20" t="s">
        <v>1026</v>
      </c>
      <c r="E679" s="20" t="s">
        <v>132</v>
      </c>
      <c r="F679" s="26">
        <f>F680</f>
        <v>6</v>
      </c>
      <c r="G679" s="26">
        <f>G680</f>
        <v>0</v>
      </c>
    </row>
    <row r="680" spans="1:7" s="203" customFormat="1" ht="47.25" x14ac:dyDescent="0.25">
      <c r="A680" s="25" t="s">
        <v>133</v>
      </c>
      <c r="B680" s="20" t="s">
        <v>264</v>
      </c>
      <c r="C680" s="20" t="s">
        <v>215</v>
      </c>
      <c r="D680" s="20" t="s">
        <v>1026</v>
      </c>
      <c r="E680" s="20" t="s">
        <v>134</v>
      </c>
      <c r="F680" s="26">
        <f>'пр.6.1.ведом.22-23'!G331</f>
        <v>6</v>
      </c>
      <c r="G680" s="26">
        <f>'пр.6.1.ведом.22-23'!H331</f>
        <v>0</v>
      </c>
    </row>
    <row r="681" spans="1:7" ht="63" x14ac:dyDescent="0.25">
      <c r="A681" s="41" t="s">
        <v>1352</v>
      </c>
      <c r="B681" s="24" t="s">
        <v>264</v>
      </c>
      <c r="C681" s="24" t="s">
        <v>215</v>
      </c>
      <c r="D681" s="24" t="s">
        <v>705</v>
      </c>
      <c r="E681" s="24"/>
      <c r="F681" s="4">
        <f>F682</f>
        <v>792.9</v>
      </c>
      <c r="G681" s="4">
        <f>G682</f>
        <v>824.7</v>
      </c>
    </row>
    <row r="682" spans="1:7" ht="63" x14ac:dyDescent="0.25">
      <c r="A682" s="41" t="s">
        <v>890</v>
      </c>
      <c r="B682" s="24" t="s">
        <v>264</v>
      </c>
      <c r="C682" s="24" t="s">
        <v>215</v>
      </c>
      <c r="D682" s="24" t="s">
        <v>888</v>
      </c>
      <c r="E682" s="24"/>
      <c r="F682" s="4">
        <f>F683+F686</f>
        <v>792.9</v>
      </c>
      <c r="G682" s="4">
        <f>G683+G686</f>
        <v>824.7</v>
      </c>
    </row>
    <row r="683" spans="1:7" ht="47.25" x14ac:dyDescent="0.25">
      <c r="A683" s="98" t="s">
        <v>1004</v>
      </c>
      <c r="B683" s="20" t="s">
        <v>264</v>
      </c>
      <c r="C683" s="20" t="s">
        <v>215</v>
      </c>
      <c r="D683" s="20" t="s">
        <v>889</v>
      </c>
      <c r="E683" s="32"/>
      <c r="F683" s="6">
        <f>F684</f>
        <v>490.2</v>
      </c>
      <c r="G683" s="6">
        <f>G684</f>
        <v>509.8</v>
      </c>
    </row>
    <row r="684" spans="1:7" ht="31.5" x14ac:dyDescent="0.25">
      <c r="A684" s="25" t="s">
        <v>131</v>
      </c>
      <c r="B684" s="20" t="s">
        <v>264</v>
      </c>
      <c r="C684" s="20" t="s">
        <v>215</v>
      </c>
      <c r="D684" s="20" t="s">
        <v>889</v>
      </c>
      <c r="E684" s="32" t="s">
        <v>132</v>
      </c>
      <c r="F684" s="6">
        <f>F685</f>
        <v>490.2</v>
      </c>
      <c r="G684" s="6">
        <f>G685</f>
        <v>509.8</v>
      </c>
    </row>
    <row r="685" spans="1:7" ht="47.25" x14ac:dyDescent="0.25">
      <c r="A685" s="25" t="s">
        <v>133</v>
      </c>
      <c r="B685" s="20" t="s">
        <v>264</v>
      </c>
      <c r="C685" s="20" t="s">
        <v>215</v>
      </c>
      <c r="D685" s="20" t="s">
        <v>889</v>
      </c>
      <c r="E685" s="32" t="s">
        <v>134</v>
      </c>
      <c r="F685" s="6">
        <f>'пр.6.1.ведом.22-23'!G336</f>
        <v>490.2</v>
      </c>
      <c r="G685" s="6">
        <f>'пр.6.1.ведом.22-23'!H336</f>
        <v>509.8</v>
      </c>
    </row>
    <row r="686" spans="1:7" ht="47.25" x14ac:dyDescent="0.25">
      <c r="A686" s="98" t="s">
        <v>780</v>
      </c>
      <c r="B686" s="20" t="s">
        <v>264</v>
      </c>
      <c r="C686" s="20" t="s">
        <v>215</v>
      </c>
      <c r="D686" s="20" t="s">
        <v>936</v>
      </c>
      <c r="E686" s="32"/>
      <c r="F686" s="6">
        <f>F687</f>
        <v>302.7</v>
      </c>
      <c r="G686" s="6">
        <f>G687</f>
        <v>314.89999999999998</v>
      </c>
    </row>
    <row r="687" spans="1:7" ht="47.25" x14ac:dyDescent="0.25">
      <c r="A687" s="29" t="s">
        <v>272</v>
      </c>
      <c r="B687" s="20" t="s">
        <v>264</v>
      </c>
      <c r="C687" s="20" t="s">
        <v>215</v>
      </c>
      <c r="D687" s="20" t="s">
        <v>936</v>
      </c>
      <c r="E687" s="32" t="s">
        <v>273</v>
      </c>
      <c r="F687" s="6">
        <f>F688</f>
        <v>302.7</v>
      </c>
      <c r="G687" s="6">
        <f>G688</f>
        <v>314.89999999999998</v>
      </c>
    </row>
    <row r="688" spans="1:7" ht="15.75" x14ac:dyDescent="0.25">
      <c r="A688" s="182" t="s">
        <v>274</v>
      </c>
      <c r="B688" s="20" t="s">
        <v>264</v>
      </c>
      <c r="C688" s="20" t="s">
        <v>215</v>
      </c>
      <c r="D688" s="20" t="s">
        <v>936</v>
      </c>
      <c r="E688" s="32" t="s">
        <v>275</v>
      </c>
      <c r="F688" s="6">
        <f>'пр.6.1.ведом.22-23'!G719</f>
        <v>302.7</v>
      </c>
      <c r="G688" s="6">
        <f>'пр.6.1.ведом.22-23'!H719</f>
        <v>314.89999999999998</v>
      </c>
    </row>
    <row r="689" spans="1:7" ht="21.2" customHeight="1" x14ac:dyDescent="0.25">
      <c r="A689" s="23" t="s">
        <v>466</v>
      </c>
      <c r="B689" s="24" t="s">
        <v>264</v>
      </c>
      <c r="C689" s="24" t="s">
        <v>264</v>
      </c>
      <c r="D689" s="24"/>
      <c r="E689" s="222"/>
      <c r="F689" s="4">
        <f>F690+F709</f>
        <v>6505.1</v>
      </c>
      <c r="G689" s="4">
        <f>G690+G709</f>
        <v>6570.1</v>
      </c>
    </row>
    <row r="690" spans="1:7" ht="47.25" x14ac:dyDescent="0.25">
      <c r="A690" s="23" t="s">
        <v>1372</v>
      </c>
      <c r="B690" s="24" t="s">
        <v>264</v>
      </c>
      <c r="C690" s="24" t="s">
        <v>264</v>
      </c>
      <c r="D690" s="24" t="s">
        <v>344</v>
      </c>
      <c r="E690" s="24"/>
      <c r="F690" s="4">
        <f>F691</f>
        <v>760</v>
      </c>
      <c r="G690" s="4">
        <f>G691</f>
        <v>825</v>
      </c>
    </row>
    <row r="691" spans="1:7" ht="31.5" x14ac:dyDescent="0.25">
      <c r="A691" s="23" t="s">
        <v>345</v>
      </c>
      <c r="B691" s="24" t="s">
        <v>264</v>
      </c>
      <c r="C691" s="24" t="s">
        <v>264</v>
      </c>
      <c r="D691" s="24" t="s">
        <v>346</v>
      </c>
      <c r="E691" s="24"/>
      <c r="F691" s="4">
        <f>F692+F699+F705</f>
        <v>760</v>
      </c>
      <c r="G691" s="4">
        <f>G692+G699+G705</f>
        <v>825</v>
      </c>
    </row>
    <row r="692" spans="1:7" ht="63" x14ac:dyDescent="0.25">
      <c r="A692" s="211" t="s">
        <v>1029</v>
      </c>
      <c r="B692" s="24" t="s">
        <v>264</v>
      </c>
      <c r="C692" s="24" t="s">
        <v>264</v>
      </c>
      <c r="D692" s="24" t="s">
        <v>892</v>
      </c>
      <c r="E692" s="24"/>
      <c r="F692" s="4">
        <f>F693+F696</f>
        <v>280</v>
      </c>
      <c r="G692" s="4">
        <f>G693+G696</f>
        <v>280</v>
      </c>
    </row>
    <row r="693" spans="1:7" ht="31.5" x14ac:dyDescent="0.25">
      <c r="A693" s="98" t="s">
        <v>1035</v>
      </c>
      <c r="B693" s="20" t="s">
        <v>264</v>
      </c>
      <c r="C693" s="20" t="s">
        <v>264</v>
      </c>
      <c r="D693" s="20" t="s">
        <v>893</v>
      </c>
      <c r="E693" s="20"/>
      <c r="F693" s="6">
        <f>F694</f>
        <v>280</v>
      </c>
      <c r="G693" s="6">
        <f>G694</f>
        <v>280</v>
      </c>
    </row>
    <row r="694" spans="1:7" ht="94.5" x14ac:dyDescent="0.25">
      <c r="A694" s="25" t="s">
        <v>127</v>
      </c>
      <c r="B694" s="20" t="s">
        <v>264</v>
      </c>
      <c r="C694" s="20" t="s">
        <v>264</v>
      </c>
      <c r="D694" s="20" t="s">
        <v>893</v>
      </c>
      <c r="E694" s="20" t="s">
        <v>128</v>
      </c>
      <c r="F694" s="6">
        <f>F695</f>
        <v>280</v>
      </c>
      <c r="G694" s="6">
        <f>G695</f>
        <v>280</v>
      </c>
    </row>
    <row r="695" spans="1:7" ht="31.5" x14ac:dyDescent="0.25">
      <c r="A695" s="25" t="s">
        <v>342</v>
      </c>
      <c r="B695" s="20" t="s">
        <v>264</v>
      </c>
      <c r="C695" s="20" t="s">
        <v>264</v>
      </c>
      <c r="D695" s="20" t="s">
        <v>893</v>
      </c>
      <c r="E695" s="20" t="s">
        <v>209</v>
      </c>
      <c r="F695" s="6">
        <f>'пр.6.1.ведом.22-23'!G343</f>
        <v>280</v>
      </c>
      <c r="G695" s="6">
        <f>'пр.6.1.ведом.22-23'!H343</f>
        <v>280</v>
      </c>
    </row>
    <row r="696" spans="1:7" ht="31.5" hidden="1" x14ac:dyDescent="0.25">
      <c r="A696" s="25" t="s">
        <v>1030</v>
      </c>
      <c r="B696" s="20" t="s">
        <v>264</v>
      </c>
      <c r="C696" s="20" t="s">
        <v>264</v>
      </c>
      <c r="D696" s="20" t="s">
        <v>1046</v>
      </c>
      <c r="E696" s="20"/>
      <c r="F696" s="6">
        <f>'Пр.3 Рд,пр, ЦС,ВР 22'!F750</f>
        <v>0</v>
      </c>
      <c r="G696" s="6">
        <f t="shared" ref="G696:G698" si="70">F696</f>
        <v>0</v>
      </c>
    </row>
    <row r="697" spans="1:7" ht="31.5" hidden="1" x14ac:dyDescent="0.25">
      <c r="A697" s="25" t="s">
        <v>131</v>
      </c>
      <c r="B697" s="20" t="s">
        <v>264</v>
      </c>
      <c r="C697" s="20" t="s">
        <v>264</v>
      </c>
      <c r="D697" s="20" t="s">
        <v>1046</v>
      </c>
      <c r="E697" s="20" t="s">
        <v>132</v>
      </c>
      <c r="F697" s="6">
        <f>'Пр.3 Рд,пр, ЦС,ВР 22'!F751</f>
        <v>0</v>
      </c>
      <c r="G697" s="6">
        <f t="shared" si="70"/>
        <v>0</v>
      </c>
    </row>
    <row r="698" spans="1:7" ht="47.25" hidden="1" x14ac:dyDescent="0.25">
      <c r="A698" s="25" t="s">
        <v>133</v>
      </c>
      <c r="B698" s="20" t="s">
        <v>264</v>
      </c>
      <c r="C698" s="20" t="s">
        <v>264</v>
      </c>
      <c r="D698" s="20" t="s">
        <v>1046</v>
      </c>
      <c r="E698" s="20" t="s">
        <v>134</v>
      </c>
      <c r="F698" s="6">
        <f>'Пр.3 Рд,пр, ЦС,ВР 22'!F752</f>
        <v>0</v>
      </c>
      <c r="G698" s="6">
        <f t="shared" si="70"/>
        <v>0</v>
      </c>
    </row>
    <row r="699" spans="1:7" ht="78.75" x14ac:dyDescent="0.25">
      <c r="A699" s="23" t="s">
        <v>1031</v>
      </c>
      <c r="B699" s="24" t="s">
        <v>264</v>
      </c>
      <c r="C699" s="24" t="s">
        <v>264</v>
      </c>
      <c r="D699" s="24" t="s">
        <v>894</v>
      </c>
      <c r="E699" s="24"/>
      <c r="F699" s="4">
        <f>F700</f>
        <v>455</v>
      </c>
      <c r="G699" s="4">
        <f>G700</f>
        <v>520</v>
      </c>
    </row>
    <row r="700" spans="1:7" ht="31.5" x14ac:dyDescent="0.25">
      <c r="A700" s="25" t="s">
        <v>1032</v>
      </c>
      <c r="B700" s="20" t="s">
        <v>264</v>
      </c>
      <c r="C700" s="20" t="s">
        <v>264</v>
      </c>
      <c r="D700" s="20" t="s">
        <v>901</v>
      </c>
      <c r="E700" s="20"/>
      <c r="F700" s="6">
        <f>F701+F704</f>
        <v>455</v>
      </c>
      <c r="G700" s="6">
        <f>G701+G704</f>
        <v>520</v>
      </c>
    </row>
    <row r="701" spans="1:7" ht="94.5" x14ac:dyDescent="0.25">
      <c r="A701" s="25" t="s">
        <v>127</v>
      </c>
      <c r="B701" s="20" t="s">
        <v>264</v>
      </c>
      <c r="C701" s="20" t="s">
        <v>264</v>
      </c>
      <c r="D701" s="20" t="s">
        <v>901</v>
      </c>
      <c r="E701" s="20" t="s">
        <v>128</v>
      </c>
      <c r="F701" s="6">
        <f>F702</f>
        <v>40</v>
      </c>
      <c r="G701" s="6">
        <f>G702</f>
        <v>40</v>
      </c>
    </row>
    <row r="702" spans="1:7" ht="31.5" x14ac:dyDescent="0.25">
      <c r="A702" s="25" t="s">
        <v>342</v>
      </c>
      <c r="B702" s="20" t="s">
        <v>264</v>
      </c>
      <c r="C702" s="20" t="s">
        <v>264</v>
      </c>
      <c r="D702" s="20" t="s">
        <v>901</v>
      </c>
      <c r="E702" s="20" t="s">
        <v>209</v>
      </c>
      <c r="F702" s="6">
        <f>'пр.6.1.ведом.22-23'!G350</f>
        <v>40</v>
      </c>
      <c r="G702" s="6">
        <f>'пр.6.1.ведом.22-23'!H350</f>
        <v>40</v>
      </c>
    </row>
    <row r="703" spans="1:7" ht="31.5" x14ac:dyDescent="0.25">
      <c r="A703" s="25" t="s">
        <v>131</v>
      </c>
      <c r="B703" s="20" t="s">
        <v>264</v>
      </c>
      <c r="C703" s="20" t="s">
        <v>264</v>
      </c>
      <c r="D703" s="20" t="s">
        <v>901</v>
      </c>
      <c r="E703" s="20" t="s">
        <v>132</v>
      </c>
      <c r="F703" s="6">
        <f>F704</f>
        <v>415</v>
      </c>
      <c r="G703" s="6">
        <f>G704</f>
        <v>480</v>
      </c>
    </row>
    <row r="704" spans="1:7" ht="47.25" x14ac:dyDescent="0.25">
      <c r="A704" s="25" t="s">
        <v>133</v>
      </c>
      <c r="B704" s="20" t="s">
        <v>264</v>
      </c>
      <c r="C704" s="20" t="s">
        <v>264</v>
      </c>
      <c r="D704" s="20" t="s">
        <v>901</v>
      </c>
      <c r="E704" s="20" t="s">
        <v>134</v>
      </c>
      <c r="F704" s="6">
        <f>'пр.6.1.ведом.22-23'!G352</f>
        <v>415</v>
      </c>
      <c r="G704" s="6">
        <f>'пр.6.1.ведом.22-23'!H352</f>
        <v>480</v>
      </c>
    </row>
    <row r="705" spans="1:7" ht="47.25" x14ac:dyDescent="0.25">
      <c r="A705" s="23" t="s">
        <v>1037</v>
      </c>
      <c r="B705" s="24" t="s">
        <v>264</v>
      </c>
      <c r="C705" s="24" t="s">
        <v>264</v>
      </c>
      <c r="D705" s="24" t="s">
        <v>1033</v>
      </c>
      <c r="E705" s="24"/>
      <c r="F705" s="4">
        <f t="shared" ref="F705:G707" si="71">F706</f>
        <v>25</v>
      </c>
      <c r="G705" s="4">
        <f t="shared" si="71"/>
        <v>25</v>
      </c>
    </row>
    <row r="706" spans="1:7" ht="47.25" x14ac:dyDescent="0.25">
      <c r="A706" s="231" t="s">
        <v>1034</v>
      </c>
      <c r="B706" s="20" t="s">
        <v>264</v>
      </c>
      <c r="C706" s="20" t="s">
        <v>264</v>
      </c>
      <c r="D706" s="20" t="s">
        <v>1047</v>
      </c>
      <c r="E706" s="20"/>
      <c r="F706" s="6">
        <f t="shared" si="71"/>
        <v>25</v>
      </c>
      <c r="G706" s="6">
        <f t="shared" si="71"/>
        <v>25</v>
      </c>
    </row>
    <row r="707" spans="1:7" ht="31.5" x14ac:dyDescent="0.25">
      <c r="A707" s="25" t="s">
        <v>248</v>
      </c>
      <c r="B707" s="20" t="s">
        <v>264</v>
      </c>
      <c r="C707" s="20" t="s">
        <v>264</v>
      </c>
      <c r="D707" s="20" t="s">
        <v>1047</v>
      </c>
      <c r="E707" s="20" t="s">
        <v>249</v>
      </c>
      <c r="F707" s="6">
        <f t="shared" si="71"/>
        <v>25</v>
      </c>
      <c r="G707" s="6">
        <f t="shared" si="71"/>
        <v>25</v>
      </c>
    </row>
    <row r="708" spans="1:7" ht="37.5" customHeight="1" x14ac:dyDescent="0.25">
      <c r="A708" s="25" t="s">
        <v>1196</v>
      </c>
      <c r="B708" s="20" t="s">
        <v>264</v>
      </c>
      <c r="C708" s="20" t="s">
        <v>264</v>
      </c>
      <c r="D708" s="20" t="s">
        <v>1047</v>
      </c>
      <c r="E708" s="20" t="s">
        <v>1195</v>
      </c>
      <c r="F708" s="6">
        <f>'пр.6.1.ведом.22-23'!G356</f>
        <v>25</v>
      </c>
      <c r="G708" s="6">
        <f>'пр.6.1.ведом.22-23'!H356</f>
        <v>25</v>
      </c>
    </row>
    <row r="709" spans="1:7" ht="47.25" x14ac:dyDescent="0.25">
      <c r="A709" s="23" t="s">
        <v>1358</v>
      </c>
      <c r="B709" s="24" t="s">
        <v>264</v>
      </c>
      <c r="C709" s="24" t="s">
        <v>264</v>
      </c>
      <c r="D709" s="24" t="s">
        <v>406</v>
      </c>
      <c r="E709" s="24"/>
      <c r="F709" s="4">
        <f t="shared" ref="F709:G712" si="72">F710</f>
        <v>5745.1</v>
      </c>
      <c r="G709" s="4">
        <f t="shared" si="72"/>
        <v>5745.1</v>
      </c>
    </row>
    <row r="710" spans="1:7" ht="31.5" x14ac:dyDescent="0.25">
      <c r="A710" s="23" t="s">
        <v>943</v>
      </c>
      <c r="B710" s="24" t="s">
        <v>264</v>
      </c>
      <c r="C710" s="24" t="s">
        <v>264</v>
      </c>
      <c r="D710" s="24" t="s">
        <v>1239</v>
      </c>
      <c r="E710" s="24"/>
      <c r="F710" s="4">
        <f t="shared" si="72"/>
        <v>5745.1</v>
      </c>
      <c r="G710" s="4">
        <f t="shared" si="72"/>
        <v>5745.1</v>
      </c>
    </row>
    <row r="711" spans="1:7" ht="47.25" x14ac:dyDescent="0.25">
      <c r="A711" s="31" t="s">
        <v>1059</v>
      </c>
      <c r="B711" s="20" t="s">
        <v>264</v>
      </c>
      <c r="C711" s="20" t="s">
        <v>264</v>
      </c>
      <c r="D711" s="20" t="s">
        <v>1261</v>
      </c>
      <c r="E711" s="20"/>
      <c r="F711" s="6">
        <f t="shared" si="72"/>
        <v>5745.1</v>
      </c>
      <c r="G711" s="6">
        <f t="shared" si="72"/>
        <v>5745.1</v>
      </c>
    </row>
    <row r="712" spans="1:7" ht="47.25" x14ac:dyDescent="0.25">
      <c r="A712" s="25" t="s">
        <v>272</v>
      </c>
      <c r="B712" s="20" t="s">
        <v>264</v>
      </c>
      <c r="C712" s="20" t="s">
        <v>264</v>
      </c>
      <c r="D712" s="20" t="s">
        <v>1261</v>
      </c>
      <c r="E712" s="20" t="s">
        <v>273</v>
      </c>
      <c r="F712" s="6">
        <f t="shared" si="72"/>
        <v>5745.1</v>
      </c>
      <c r="G712" s="6">
        <f t="shared" si="72"/>
        <v>5745.1</v>
      </c>
    </row>
    <row r="713" spans="1:7" ht="15.75" x14ac:dyDescent="0.25">
      <c r="A713" s="25" t="s">
        <v>274</v>
      </c>
      <c r="B713" s="20" t="s">
        <v>264</v>
      </c>
      <c r="C713" s="20" t="s">
        <v>264</v>
      </c>
      <c r="D713" s="20" t="s">
        <v>1261</v>
      </c>
      <c r="E713" s="20" t="s">
        <v>275</v>
      </c>
      <c r="F713" s="6">
        <f>'пр.6.1.ведом.22-23'!G725</f>
        <v>5745.1</v>
      </c>
      <c r="G713" s="6">
        <f>'пр.6.1.ведом.22-23'!H725</f>
        <v>5745.1</v>
      </c>
    </row>
    <row r="714" spans="1:7" ht="15.75" x14ac:dyDescent="0.25">
      <c r="A714" s="23" t="s">
        <v>295</v>
      </c>
      <c r="B714" s="24" t="s">
        <v>264</v>
      </c>
      <c r="C714" s="24" t="s">
        <v>219</v>
      </c>
      <c r="D714" s="24"/>
      <c r="E714" s="24"/>
      <c r="F714" s="4">
        <f>F715+F725</f>
        <v>19831.8</v>
      </c>
      <c r="G714" s="4">
        <f>G715+G725</f>
        <v>19831.8</v>
      </c>
    </row>
    <row r="715" spans="1:7" ht="31.5" x14ac:dyDescent="0.25">
      <c r="A715" s="23" t="s">
        <v>917</v>
      </c>
      <c r="B715" s="24" t="s">
        <v>264</v>
      </c>
      <c r="C715" s="24" t="s">
        <v>219</v>
      </c>
      <c r="D715" s="24" t="s">
        <v>858</v>
      </c>
      <c r="E715" s="24"/>
      <c r="F715" s="4">
        <f>F716</f>
        <v>6048.7</v>
      </c>
      <c r="G715" s="4">
        <f>G716</f>
        <v>6048.7</v>
      </c>
    </row>
    <row r="716" spans="1:7" ht="15.75" x14ac:dyDescent="0.25">
      <c r="A716" s="23" t="s">
        <v>918</v>
      </c>
      <c r="B716" s="24" t="s">
        <v>264</v>
      </c>
      <c r="C716" s="24" t="s">
        <v>219</v>
      </c>
      <c r="D716" s="24" t="s">
        <v>859</v>
      </c>
      <c r="E716" s="24"/>
      <c r="F716" s="4">
        <f>F717+F722</f>
        <v>6048.7</v>
      </c>
      <c r="G716" s="4">
        <f>G717+G722</f>
        <v>6048.7</v>
      </c>
    </row>
    <row r="717" spans="1:7" ht="31.5" x14ac:dyDescent="0.25">
      <c r="A717" s="25" t="s">
        <v>897</v>
      </c>
      <c r="B717" s="20" t="s">
        <v>264</v>
      </c>
      <c r="C717" s="20" t="s">
        <v>219</v>
      </c>
      <c r="D717" s="20" t="s">
        <v>860</v>
      </c>
      <c r="E717" s="20"/>
      <c r="F717" s="6">
        <f>F718+F720</f>
        <v>5922.7</v>
      </c>
      <c r="G717" s="6">
        <f>G718+G720</f>
        <v>5922.7</v>
      </c>
    </row>
    <row r="718" spans="1:7" ht="94.5" x14ac:dyDescent="0.25">
      <c r="A718" s="25" t="s">
        <v>127</v>
      </c>
      <c r="B718" s="20" t="s">
        <v>264</v>
      </c>
      <c r="C718" s="20" t="s">
        <v>219</v>
      </c>
      <c r="D718" s="20" t="s">
        <v>860</v>
      </c>
      <c r="E718" s="20" t="s">
        <v>128</v>
      </c>
      <c r="F718" s="6">
        <f>F719</f>
        <v>5710.7</v>
      </c>
      <c r="G718" s="6">
        <f>G719</f>
        <v>5710.7</v>
      </c>
    </row>
    <row r="719" spans="1:7" ht="31.5" x14ac:dyDescent="0.25">
      <c r="A719" s="25" t="s">
        <v>129</v>
      </c>
      <c r="B719" s="20" t="s">
        <v>264</v>
      </c>
      <c r="C719" s="20" t="s">
        <v>219</v>
      </c>
      <c r="D719" s="20" t="s">
        <v>860</v>
      </c>
      <c r="E719" s="20" t="s">
        <v>130</v>
      </c>
      <c r="F719" s="6">
        <f>'пр.6.1.ведом.22-23'!G734</f>
        <v>5710.7</v>
      </c>
      <c r="G719" s="6">
        <f>'пр.6.1.ведом.22-23'!H734</f>
        <v>5710.7</v>
      </c>
    </row>
    <row r="720" spans="1:7" ht="31.5" x14ac:dyDescent="0.25">
      <c r="A720" s="25" t="s">
        <v>131</v>
      </c>
      <c r="B720" s="20" t="s">
        <v>264</v>
      </c>
      <c r="C720" s="20" t="s">
        <v>219</v>
      </c>
      <c r="D720" s="20" t="s">
        <v>860</v>
      </c>
      <c r="E720" s="20" t="s">
        <v>132</v>
      </c>
      <c r="F720" s="6">
        <f>F721</f>
        <v>212</v>
      </c>
      <c r="G720" s="6">
        <f>G721</f>
        <v>212</v>
      </c>
    </row>
    <row r="721" spans="1:7" ht="47.25" x14ac:dyDescent="0.25">
      <c r="A721" s="25" t="s">
        <v>133</v>
      </c>
      <c r="B721" s="20" t="s">
        <v>264</v>
      </c>
      <c r="C721" s="20" t="s">
        <v>219</v>
      </c>
      <c r="D721" s="20" t="s">
        <v>860</v>
      </c>
      <c r="E721" s="20" t="s">
        <v>134</v>
      </c>
      <c r="F721" s="6">
        <f>'пр.6.1.ведом.22-23'!G736</f>
        <v>212</v>
      </c>
      <c r="G721" s="6">
        <f>'пр.6.1.ведом.22-23'!H736</f>
        <v>212</v>
      </c>
    </row>
    <row r="722" spans="1:7" ht="47.25" x14ac:dyDescent="0.25">
      <c r="A722" s="25" t="s">
        <v>839</v>
      </c>
      <c r="B722" s="20" t="s">
        <v>264</v>
      </c>
      <c r="C722" s="20" t="s">
        <v>219</v>
      </c>
      <c r="D722" s="20" t="s">
        <v>862</v>
      </c>
      <c r="E722" s="20"/>
      <c r="F722" s="6">
        <f>F723</f>
        <v>126</v>
      </c>
      <c r="G722" s="6">
        <f>G723</f>
        <v>126</v>
      </c>
    </row>
    <row r="723" spans="1:7" ht="94.5" x14ac:dyDescent="0.25">
      <c r="A723" s="25" t="s">
        <v>127</v>
      </c>
      <c r="B723" s="20" t="s">
        <v>264</v>
      </c>
      <c r="C723" s="20" t="s">
        <v>219</v>
      </c>
      <c r="D723" s="20" t="s">
        <v>862</v>
      </c>
      <c r="E723" s="20" t="s">
        <v>128</v>
      </c>
      <c r="F723" s="6">
        <f>F724</f>
        <v>126</v>
      </c>
      <c r="G723" s="6">
        <f>G724</f>
        <v>126</v>
      </c>
    </row>
    <row r="724" spans="1:7" ht="31.5" x14ac:dyDescent="0.25">
      <c r="A724" s="25" t="s">
        <v>129</v>
      </c>
      <c r="B724" s="20" t="s">
        <v>264</v>
      </c>
      <c r="C724" s="20" t="s">
        <v>219</v>
      </c>
      <c r="D724" s="20" t="s">
        <v>862</v>
      </c>
      <c r="E724" s="20" t="s">
        <v>130</v>
      </c>
      <c r="F724" s="6">
        <f>'пр.6.1.ведом.22-23'!G739</f>
        <v>126</v>
      </c>
      <c r="G724" s="6">
        <f>'пр.6.1.ведом.22-23'!H739</f>
        <v>126</v>
      </c>
    </row>
    <row r="725" spans="1:7" ht="15.75" x14ac:dyDescent="0.25">
      <c r="A725" s="23" t="s">
        <v>141</v>
      </c>
      <c r="B725" s="24" t="s">
        <v>264</v>
      </c>
      <c r="C725" s="24" t="s">
        <v>219</v>
      </c>
      <c r="D725" s="24" t="s">
        <v>866</v>
      </c>
      <c r="E725" s="24"/>
      <c r="F725" s="4">
        <f>F726+F730</f>
        <v>13783.1</v>
      </c>
      <c r="G725" s="4">
        <f>G726+G730</f>
        <v>13783.1</v>
      </c>
    </row>
    <row r="726" spans="1:7" ht="31.5" x14ac:dyDescent="0.25">
      <c r="A726" s="23" t="s">
        <v>870</v>
      </c>
      <c r="B726" s="24" t="s">
        <v>264</v>
      </c>
      <c r="C726" s="24" t="s">
        <v>219</v>
      </c>
      <c r="D726" s="24" t="s">
        <v>865</v>
      </c>
      <c r="E726" s="24"/>
      <c r="F726" s="4">
        <f t="shared" ref="F726:G728" si="73">F727</f>
        <v>300</v>
      </c>
      <c r="G726" s="4">
        <f t="shared" si="73"/>
        <v>300</v>
      </c>
    </row>
    <row r="727" spans="1:7" ht="21.2" customHeight="1" x14ac:dyDescent="0.25">
      <c r="A727" s="25" t="s">
        <v>478</v>
      </c>
      <c r="B727" s="20" t="s">
        <v>264</v>
      </c>
      <c r="C727" s="20" t="s">
        <v>219</v>
      </c>
      <c r="D727" s="20" t="s">
        <v>944</v>
      </c>
      <c r="E727" s="20"/>
      <c r="F727" s="6">
        <f t="shared" si="73"/>
        <v>300</v>
      </c>
      <c r="G727" s="6">
        <f t="shared" si="73"/>
        <v>300</v>
      </c>
    </row>
    <row r="728" spans="1:7" ht="31.5" x14ac:dyDescent="0.25">
      <c r="A728" s="25" t="s">
        <v>131</v>
      </c>
      <c r="B728" s="20" t="s">
        <v>264</v>
      </c>
      <c r="C728" s="20" t="s">
        <v>219</v>
      </c>
      <c r="D728" s="20" t="s">
        <v>944</v>
      </c>
      <c r="E728" s="20" t="s">
        <v>132</v>
      </c>
      <c r="F728" s="6">
        <f t="shared" si="73"/>
        <v>300</v>
      </c>
      <c r="G728" s="6">
        <f t="shared" si="73"/>
        <v>300</v>
      </c>
    </row>
    <row r="729" spans="1:7" ht="47.25" x14ac:dyDescent="0.25">
      <c r="A729" s="25" t="s">
        <v>133</v>
      </c>
      <c r="B729" s="20" t="s">
        <v>264</v>
      </c>
      <c r="C729" s="20" t="s">
        <v>219</v>
      </c>
      <c r="D729" s="20" t="s">
        <v>944</v>
      </c>
      <c r="E729" s="20" t="s">
        <v>134</v>
      </c>
      <c r="F729" s="6">
        <f>'пр.6.1.ведом.22-23'!G744</f>
        <v>300</v>
      </c>
      <c r="G729" s="6">
        <f>'пр.6.1.ведом.22-23'!H744</f>
        <v>300</v>
      </c>
    </row>
    <row r="730" spans="1:7" ht="36" customHeight="1" x14ac:dyDescent="0.25">
      <c r="A730" s="23" t="s">
        <v>929</v>
      </c>
      <c r="B730" s="24" t="s">
        <v>264</v>
      </c>
      <c r="C730" s="24" t="s">
        <v>219</v>
      </c>
      <c r="D730" s="24" t="s">
        <v>914</v>
      </c>
      <c r="E730" s="24"/>
      <c r="F730" s="4">
        <f>F731+F738</f>
        <v>13483.1</v>
      </c>
      <c r="G730" s="4">
        <f>G731+G738</f>
        <v>13483.1</v>
      </c>
    </row>
    <row r="731" spans="1:7" ht="31.5" x14ac:dyDescent="0.25">
      <c r="A731" s="25" t="s">
        <v>903</v>
      </c>
      <c r="B731" s="20" t="s">
        <v>264</v>
      </c>
      <c r="C731" s="20" t="s">
        <v>219</v>
      </c>
      <c r="D731" s="20" t="s">
        <v>915</v>
      </c>
      <c r="E731" s="20"/>
      <c r="F731" s="6">
        <f>F732+F734+F736</f>
        <v>12977.1</v>
      </c>
      <c r="G731" s="6">
        <f>G732+G734+G736</f>
        <v>12977.1</v>
      </c>
    </row>
    <row r="732" spans="1:7" ht="94.5" x14ac:dyDescent="0.25">
      <c r="A732" s="25" t="s">
        <v>127</v>
      </c>
      <c r="B732" s="20" t="s">
        <v>264</v>
      </c>
      <c r="C732" s="20" t="s">
        <v>219</v>
      </c>
      <c r="D732" s="20" t="s">
        <v>915</v>
      </c>
      <c r="E732" s="20" t="s">
        <v>128</v>
      </c>
      <c r="F732" s="6">
        <f>F733</f>
        <v>11885.1</v>
      </c>
      <c r="G732" s="6">
        <f>G733</f>
        <v>11885.1</v>
      </c>
    </row>
    <row r="733" spans="1:7" ht="31.5" x14ac:dyDescent="0.25">
      <c r="A733" s="25" t="s">
        <v>342</v>
      </c>
      <c r="B733" s="20" t="s">
        <v>264</v>
      </c>
      <c r="C733" s="20" t="s">
        <v>219</v>
      </c>
      <c r="D733" s="20" t="s">
        <v>915</v>
      </c>
      <c r="E733" s="20" t="s">
        <v>209</v>
      </c>
      <c r="F733" s="6">
        <f>'пр.6.1.ведом.22-23'!G748</f>
        <v>11885.1</v>
      </c>
      <c r="G733" s="6">
        <f>'пр.6.1.ведом.22-23'!H748</f>
        <v>11885.1</v>
      </c>
    </row>
    <row r="734" spans="1:7" ht="31.5" x14ac:dyDescent="0.25">
      <c r="A734" s="25" t="s">
        <v>131</v>
      </c>
      <c r="B734" s="20" t="s">
        <v>264</v>
      </c>
      <c r="C734" s="20" t="s">
        <v>219</v>
      </c>
      <c r="D734" s="20" t="s">
        <v>915</v>
      </c>
      <c r="E734" s="20" t="s">
        <v>132</v>
      </c>
      <c r="F734" s="6">
        <f>F735</f>
        <v>1077</v>
      </c>
      <c r="G734" s="6">
        <f>G735</f>
        <v>1077</v>
      </c>
    </row>
    <row r="735" spans="1:7" ht="47.25" x14ac:dyDescent="0.25">
      <c r="A735" s="25" t="s">
        <v>133</v>
      </c>
      <c r="B735" s="20" t="s">
        <v>264</v>
      </c>
      <c r="C735" s="20" t="s">
        <v>219</v>
      </c>
      <c r="D735" s="20" t="s">
        <v>915</v>
      </c>
      <c r="E735" s="20" t="s">
        <v>134</v>
      </c>
      <c r="F735" s="6">
        <f>'пр.6.1.ведом.22-23'!G750</f>
        <v>1077</v>
      </c>
      <c r="G735" s="6">
        <f>'пр.6.1.ведом.22-23'!H750</f>
        <v>1077</v>
      </c>
    </row>
    <row r="736" spans="1:7" ht="15.75" x14ac:dyDescent="0.25">
      <c r="A736" s="25" t="s">
        <v>135</v>
      </c>
      <c r="B736" s="20" t="s">
        <v>264</v>
      </c>
      <c r="C736" s="20" t="s">
        <v>219</v>
      </c>
      <c r="D736" s="20" t="s">
        <v>915</v>
      </c>
      <c r="E736" s="20" t="s">
        <v>145</v>
      </c>
      <c r="F736" s="6">
        <f>F737</f>
        <v>15</v>
      </c>
      <c r="G736" s="6">
        <f>G737</f>
        <v>15</v>
      </c>
    </row>
    <row r="737" spans="1:9" ht="15.75" customHeight="1" x14ac:dyDescent="0.25">
      <c r="A737" s="25" t="s">
        <v>568</v>
      </c>
      <c r="B737" s="20" t="s">
        <v>264</v>
      </c>
      <c r="C737" s="20" t="s">
        <v>219</v>
      </c>
      <c r="D737" s="20" t="s">
        <v>915</v>
      </c>
      <c r="E737" s="20" t="s">
        <v>138</v>
      </c>
      <c r="F737" s="6">
        <f>'пр.6.1.ведом.22-23'!G752</f>
        <v>15</v>
      </c>
      <c r="G737" s="6">
        <f>'пр.6.1.ведом.22-23'!H752</f>
        <v>15</v>
      </c>
    </row>
    <row r="738" spans="1:9" ht="47.25" x14ac:dyDescent="0.25">
      <c r="A738" s="25" t="s">
        <v>839</v>
      </c>
      <c r="B738" s="20" t="s">
        <v>264</v>
      </c>
      <c r="C738" s="20" t="s">
        <v>219</v>
      </c>
      <c r="D738" s="20" t="s">
        <v>916</v>
      </c>
      <c r="E738" s="20"/>
      <c r="F738" s="6">
        <f>F739</f>
        <v>506</v>
      </c>
      <c r="G738" s="6">
        <f>G739</f>
        <v>506</v>
      </c>
    </row>
    <row r="739" spans="1:9" ht="94.5" x14ac:dyDescent="0.25">
      <c r="A739" s="25" t="s">
        <v>127</v>
      </c>
      <c r="B739" s="20" t="s">
        <v>264</v>
      </c>
      <c r="C739" s="20" t="s">
        <v>219</v>
      </c>
      <c r="D739" s="20" t="s">
        <v>916</v>
      </c>
      <c r="E739" s="20" t="s">
        <v>128</v>
      </c>
      <c r="F739" s="6">
        <f>F740</f>
        <v>506</v>
      </c>
      <c r="G739" s="6">
        <f>G740</f>
        <v>506</v>
      </c>
    </row>
    <row r="740" spans="1:9" ht="31.5" x14ac:dyDescent="0.25">
      <c r="A740" s="25" t="s">
        <v>129</v>
      </c>
      <c r="B740" s="20" t="s">
        <v>264</v>
      </c>
      <c r="C740" s="20" t="s">
        <v>219</v>
      </c>
      <c r="D740" s="20" t="s">
        <v>916</v>
      </c>
      <c r="E740" s="20" t="s">
        <v>130</v>
      </c>
      <c r="F740" s="6">
        <f>'пр.6.1.ведом.22-23'!G755</f>
        <v>506</v>
      </c>
      <c r="G740" s="6">
        <f>'пр.6.1.ведом.22-23'!H755</f>
        <v>506</v>
      </c>
    </row>
    <row r="741" spans="1:9" ht="15.75" x14ac:dyDescent="0.25">
      <c r="A741" s="41" t="s">
        <v>298</v>
      </c>
      <c r="B741" s="7" t="s">
        <v>299</v>
      </c>
      <c r="C741" s="7"/>
      <c r="D741" s="7"/>
      <c r="E741" s="7"/>
      <c r="F741" s="4">
        <f>F742+F795</f>
        <v>76411.28</v>
      </c>
      <c r="G741" s="4">
        <f>G742+G795</f>
        <v>77665.48</v>
      </c>
      <c r="H741">
        <v>72370</v>
      </c>
      <c r="I741">
        <v>73630.2</v>
      </c>
    </row>
    <row r="742" spans="1:9" ht="15.75" x14ac:dyDescent="0.25">
      <c r="A742" s="41" t="s">
        <v>300</v>
      </c>
      <c r="B742" s="7" t="s">
        <v>299</v>
      </c>
      <c r="C742" s="7" t="s">
        <v>118</v>
      </c>
      <c r="D742" s="7"/>
      <c r="E742" s="7"/>
      <c r="F742" s="4">
        <f>F743+F785+F790</f>
        <v>57844.87999999999</v>
      </c>
      <c r="G742" s="4">
        <f>G743+G785+G790</f>
        <v>59070.079999999994</v>
      </c>
      <c r="H742" s="232">
        <f>H741-F741</f>
        <v>-4041.2799999999988</v>
      </c>
      <c r="I742" s="232">
        <f>I741-G741</f>
        <v>-4035.2799999999988</v>
      </c>
    </row>
    <row r="743" spans="1:9" ht="47.25" x14ac:dyDescent="0.25">
      <c r="A743" s="23" t="s">
        <v>1351</v>
      </c>
      <c r="B743" s="24" t="s">
        <v>299</v>
      </c>
      <c r="C743" s="24" t="s">
        <v>118</v>
      </c>
      <c r="D743" s="24" t="s">
        <v>267</v>
      </c>
      <c r="E743" s="24"/>
      <c r="F743" s="4">
        <f>F744+F752+F758+F762+F769+F773+F777+F781</f>
        <v>56956.179999999993</v>
      </c>
      <c r="G743" s="4">
        <f>G744+G752+G758+G762+G769+G773+G777+G781</f>
        <v>58156.179999999993</v>
      </c>
    </row>
    <row r="744" spans="1:9" ht="47.25" x14ac:dyDescent="0.25">
      <c r="A744" s="23" t="s">
        <v>1299</v>
      </c>
      <c r="B744" s="24" t="s">
        <v>299</v>
      </c>
      <c r="C744" s="24" t="s">
        <v>118</v>
      </c>
      <c r="D744" s="24" t="s">
        <v>1203</v>
      </c>
      <c r="E744" s="24"/>
      <c r="F744" s="4">
        <f>F745</f>
        <v>51840.479999999996</v>
      </c>
      <c r="G744" s="4">
        <f>G745</f>
        <v>51840.479999999996</v>
      </c>
    </row>
    <row r="745" spans="1:9" ht="31.5" x14ac:dyDescent="0.25">
      <c r="A745" s="25" t="s">
        <v>800</v>
      </c>
      <c r="B745" s="20" t="s">
        <v>299</v>
      </c>
      <c r="C745" s="20" t="s">
        <v>118</v>
      </c>
      <c r="D745" s="20" t="s">
        <v>1204</v>
      </c>
      <c r="E745" s="20"/>
      <c r="F745" s="6">
        <f>F746+F748+F750</f>
        <v>51840.479999999996</v>
      </c>
      <c r="G745" s="6">
        <f>G746+G748+G750</f>
        <v>51840.479999999996</v>
      </c>
    </row>
    <row r="746" spans="1:9" ht="94.5" x14ac:dyDescent="0.25">
      <c r="A746" s="25" t="s">
        <v>127</v>
      </c>
      <c r="B746" s="20" t="s">
        <v>299</v>
      </c>
      <c r="C746" s="20" t="s">
        <v>118</v>
      </c>
      <c r="D746" s="20" t="s">
        <v>1204</v>
      </c>
      <c r="E746" s="20" t="s">
        <v>128</v>
      </c>
      <c r="F746" s="6">
        <f>F747</f>
        <v>43271.28</v>
      </c>
      <c r="G746" s="6">
        <f>G747</f>
        <v>43271.28</v>
      </c>
    </row>
    <row r="747" spans="1:9" ht="31.5" x14ac:dyDescent="0.25">
      <c r="A747" s="25" t="s">
        <v>208</v>
      </c>
      <c r="B747" s="20" t="s">
        <v>299</v>
      </c>
      <c r="C747" s="20" t="s">
        <v>118</v>
      </c>
      <c r="D747" s="20" t="s">
        <v>1204</v>
      </c>
      <c r="E747" s="20" t="s">
        <v>209</v>
      </c>
      <c r="F747" s="6">
        <f>'пр.6.1.ведом.22-23'!G363</f>
        <v>43271.28</v>
      </c>
      <c r="G747" s="6">
        <f>'пр.6.1.ведом.22-23'!H363</f>
        <v>43271.28</v>
      </c>
    </row>
    <row r="748" spans="1:9" ht="31.5" x14ac:dyDescent="0.25">
      <c r="A748" s="25" t="s">
        <v>131</v>
      </c>
      <c r="B748" s="20" t="s">
        <v>299</v>
      </c>
      <c r="C748" s="20" t="s">
        <v>118</v>
      </c>
      <c r="D748" s="20" t="s">
        <v>1204</v>
      </c>
      <c r="E748" s="20" t="s">
        <v>132</v>
      </c>
      <c r="F748" s="6">
        <f>F749</f>
        <v>8506.2000000000007</v>
      </c>
      <c r="G748" s="6">
        <f>G749</f>
        <v>8506.2000000000007</v>
      </c>
    </row>
    <row r="749" spans="1:9" ht="47.25" x14ac:dyDescent="0.25">
      <c r="A749" s="25" t="s">
        <v>133</v>
      </c>
      <c r="B749" s="20" t="s">
        <v>299</v>
      </c>
      <c r="C749" s="20" t="s">
        <v>118</v>
      </c>
      <c r="D749" s="20" t="s">
        <v>1204</v>
      </c>
      <c r="E749" s="20" t="s">
        <v>134</v>
      </c>
      <c r="F749" s="6">
        <f>'пр.6.1.ведом.22-23'!G365</f>
        <v>8506.2000000000007</v>
      </c>
      <c r="G749" s="6">
        <f>'пр.6.1.ведом.22-23'!H365</f>
        <v>8506.2000000000007</v>
      </c>
    </row>
    <row r="750" spans="1:9" ht="15.75" x14ac:dyDescent="0.25">
      <c r="A750" s="25" t="s">
        <v>135</v>
      </c>
      <c r="B750" s="20" t="s">
        <v>299</v>
      </c>
      <c r="C750" s="20" t="s">
        <v>118</v>
      </c>
      <c r="D750" s="20" t="s">
        <v>1204</v>
      </c>
      <c r="E750" s="20" t="s">
        <v>145</v>
      </c>
      <c r="F750" s="6">
        <f>F751</f>
        <v>63</v>
      </c>
      <c r="G750" s="6">
        <f>G751</f>
        <v>63</v>
      </c>
    </row>
    <row r="751" spans="1:9" ht="15.75" x14ac:dyDescent="0.25">
      <c r="A751" s="25" t="s">
        <v>568</v>
      </c>
      <c r="B751" s="20" t="s">
        <v>299</v>
      </c>
      <c r="C751" s="20" t="s">
        <v>118</v>
      </c>
      <c r="D751" s="20" t="s">
        <v>1204</v>
      </c>
      <c r="E751" s="20" t="s">
        <v>138</v>
      </c>
      <c r="F751" s="6">
        <f>'пр.6.1.ведом.22-23'!G367</f>
        <v>63</v>
      </c>
      <c r="G751" s="6">
        <f>'пр.6.1.ведом.22-23'!H367</f>
        <v>63</v>
      </c>
    </row>
    <row r="752" spans="1:9" ht="31.5" x14ac:dyDescent="0.25">
      <c r="A752" s="217" t="s">
        <v>1301</v>
      </c>
      <c r="B752" s="24" t="s">
        <v>299</v>
      </c>
      <c r="C752" s="24" t="s">
        <v>118</v>
      </c>
      <c r="D752" s="24" t="s">
        <v>1205</v>
      </c>
      <c r="E752" s="24"/>
      <c r="F752" s="4">
        <f>F753</f>
        <v>1380</v>
      </c>
      <c r="G752" s="4">
        <f>G753</f>
        <v>1380</v>
      </c>
    </row>
    <row r="753" spans="1:7" ht="31.5" x14ac:dyDescent="0.25">
      <c r="A753" s="31" t="s">
        <v>816</v>
      </c>
      <c r="B753" s="20" t="s">
        <v>299</v>
      </c>
      <c r="C753" s="20" t="s">
        <v>118</v>
      </c>
      <c r="D753" s="20" t="s">
        <v>1207</v>
      </c>
      <c r="E753" s="20"/>
      <c r="F753" s="6">
        <f>F756</f>
        <v>1380</v>
      </c>
      <c r="G753" s="6">
        <f>G756</f>
        <v>1380</v>
      </c>
    </row>
    <row r="754" spans="1:7" ht="94.5" hidden="1" x14ac:dyDescent="0.25">
      <c r="A754" s="25" t="s">
        <v>127</v>
      </c>
      <c r="B754" s="20" t="s">
        <v>299</v>
      </c>
      <c r="C754" s="20" t="s">
        <v>118</v>
      </c>
      <c r="D754" s="20" t="s">
        <v>1207</v>
      </c>
      <c r="E754" s="20" t="s">
        <v>128</v>
      </c>
      <c r="F754" s="6">
        <f>'Пр.3 Рд,пр, ЦС,ВР 22'!F823</f>
        <v>280</v>
      </c>
      <c r="G754" s="6">
        <f>'Пр.3 Рд,пр, ЦС,ВР 22'!G823</f>
        <v>0</v>
      </c>
    </row>
    <row r="755" spans="1:7" ht="31.5" hidden="1" x14ac:dyDescent="0.25">
      <c r="A755" s="25" t="s">
        <v>208</v>
      </c>
      <c r="B755" s="20" t="s">
        <v>299</v>
      </c>
      <c r="C755" s="20" t="s">
        <v>118</v>
      </c>
      <c r="D755" s="20" t="s">
        <v>1207</v>
      </c>
      <c r="E755" s="20" t="s">
        <v>209</v>
      </c>
      <c r="F755" s="6">
        <f>'Пр.3 Рд,пр, ЦС,ВР 22'!F824</f>
        <v>280</v>
      </c>
      <c r="G755" s="6">
        <f>'Пр.3 Рд,пр, ЦС,ВР 22'!G824</f>
        <v>0</v>
      </c>
    </row>
    <row r="756" spans="1:7" ht="31.5" x14ac:dyDescent="0.25">
      <c r="A756" s="25" t="s">
        <v>131</v>
      </c>
      <c r="B756" s="20" t="s">
        <v>299</v>
      </c>
      <c r="C756" s="20" t="s">
        <v>118</v>
      </c>
      <c r="D756" s="20" t="s">
        <v>1207</v>
      </c>
      <c r="E756" s="20" t="s">
        <v>132</v>
      </c>
      <c r="F756" s="6">
        <f>F757</f>
        <v>1380</v>
      </c>
      <c r="G756" s="6">
        <f>G757</f>
        <v>1380</v>
      </c>
    </row>
    <row r="757" spans="1:7" ht="47.25" x14ac:dyDescent="0.25">
      <c r="A757" s="25" t="s">
        <v>133</v>
      </c>
      <c r="B757" s="20" t="s">
        <v>299</v>
      </c>
      <c r="C757" s="20" t="s">
        <v>118</v>
      </c>
      <c r="D757" s="20" t="s">
        <v>1207</v>
      </c>
      <c r="E757" s="20" t="s">
        <v>134</v>
      </c>
      <c r="F757" s="6">
        <f>'пр.6.1.ведом.22-23'!G373</f>
        <v>1380</v>
      </c>
      <c r="G757" s="6">
        <f>'пр.6.1.ведом.22-23'!H373</f>
        <v>1380</v>
      </c>
    </row>
    <row r="758" spans="1:7" ht="47.25" x14ac:dyDescent="0.25">
      <c r="A758" s="23" t="s">
        <v>947</v>
      </c>
      <c r="B758" s="24" t="s">
        <v>299</v>
      </c>
      <c r="C758" s="24" t="s">
        <v>118</v>
      </c>
      <c r="D758" s="24" t="s">
        <v>1208</v>
      </c>
      <c r="E758" s="24"/>
      <c r="F758" s="4">
        <f t="shared" ref="F758:G760" si="74">F759</f>
        <v>875</v>
      </c>
      <c r="G758" s="4">
        <f t="shared" si="74"/>
        <v>875</v>
      </c>
    </row>
    <row r="759" spans="1:7" ht="47.25" x14ac:dyDescent="0.25">
      <c r="A759" s="25" t="s">
        <v>839</v>
      </c>
      <c r="B759" s="20" t="s">
        <v>299</v>
      </c>
      <c r="C759" s="20" t="s">
        <v>118</v>
      </c>
      <c r="D759" s="20" t="s">
        <v>1209</v>
      </c>
      <c r="E759" s="20"/>
      <c r="F759" s="6">
        <f t="shared" si="74"/>
        <v>875</v>
      </c>
      <c r="G759" s="6">
        <f t="shared" si="74"/>
        <v>875</v>
      </c>
    </row>
    <row r="760" spans="1:7" ht="94.5" x14ac:dyDescent="0.25">
      <c r="A760" s="25" t="s">
        <v>127</v>
      </c>
      <c r="B760" s="20" t="s">
        <v>299</v>
      </c>
      <c r="C760" s="20" t="s">
        <v>118</v>
      </c>
      <c r="D760" s="20" t="s">
        <v>1209</v>
      </c>
      <c r="E760" s="20" t="s">
        <v>128</v>
      </c>
      <c r="F760" s="6">
        <f t="shared" si="74"/>
        <v>875</v>
      </c>
      <c r="G760" s="6">
        <f t="shared" si="74"/>
        <v>875</v>
      </c>
    </row>
    <row r="761" spans="1:7" ht="33.75" customHeight="1" x14ac:dyDescent="0.25">
      <c r="A761" s="25" t="s">
        <v>129</v>
      </c>
      <c r="B761" s="20" t="s">
        <v>299</v>
      </c>
      <c r="C761" s="20" t="s">
        <v>118</v>
      </c>
      <c r="D761" s="20" t="s">
        <v>1209</v>
      </c>
      <c r="E761" s="20" t="s">
        <v>209</v>
      </c>
      <c r="F761" s="6">
        <f>'пр.6.1.ведом.22-23'!G377</f>
        <v>875</v>
      </c>
      <c r="G761" s="6">
        <f>'пр.6.1.ведом.22-23'!H377</f>
        <v>875</v>
      </c>
    </row>
    <row r="762" spans="1:7" ht="50.25" customHeight="1" x14ac:dyDescent="0.25">
      <c r="A762" s="218" t="s">
        <v>900</v>
      </c>
      <c r="B762" s="24" t="s">
        <v>299</v>
      </c>
      <c r="C762" s="24" t="s">
        <v>118</v>
      </c>
      <c r="D762" s="24" t="s">
        <v>1210</v>
      </c>
      <c r="E762" s="24"/>
      <c r="F762" s="4">
        <f>F763+F766</f>
        <v>2442</v>
      </c>
      <c r="G762" s="4">
        <f>G763+G766</f>
        <v>2442</v>
      </c>
    </row>
    <row r="763" spans="1:7" s="203" customFormat="1" ht="110.85" customHeight="1" x14ac:dyDescent="0.25">
      <c r="A763" s="31" t="s">
        <v>293</v>
      </c>
      <c r="B763" s="20" t="s">
        <v>299</v>
      </c>
      <c r="C763" s="20" t="s">
        <v>118</v>
      </c>
      <c r="D763" s="20" t="s">
        <v>1403</v>
      </c>
      <c r="E763" s="20"/>
      <c r="F763" s="6">
        <f t="shared" ref="F763:G764" si="75">F764</f>
        <v>2100.6</v>
      </c>
      <c r="G763" s="6">
        <f t="shared" si="75"/>
        <v>2100.6</v>
      </c>
    </row>
    <row r="764" spans="1:7" s="203" customFormat="1" ht="100.15" customHeight="1" x14ac:dyDescent="0.25">
      <c r="A764" s="25" t="s">
        <v>127</v>
      </c>
      <c r="B764" s="20" t="s">
        <v>299</v>
      </c>
      <c r="C764" s="20" t="s">
        <v>118</v>
      </c>
      <c r="D764" s="20" t="s">
        <v>1403</v>
      </c>
      <c r="E764" s="20" t="s">
        <v>128</v>
      </c>
      <c r="F764" s="6">
        <f t="shared" si="75"/>
        <v>2100.6</v>
      </c>
      <c r="G764" s="6">
        <f t="shared" si="75"/>
        <v>2100.6</v>
      </c>
    </row>
    <row r="765" spans="1:7" s="203" customFormat="1" ht="40.15" customHeight="1" x14ac:dyDescent="0.25">
      <c r="A765" s="25" t="s">
        <v>208</v>
      </c>
      <c r="B765" s="20" t="s">
        <v>299</v>
      </c>
      <c r="C765" s="20" t="s">
        <v>118</v>
      </c>
      <c r="D765" s="20" t="s">
        <v>1403</v>
      </c>
      <c r="E765" s="20" t="s">
        <v>209</v>
      </c>
      <c r="F765" s="6">
        <f>'пр.6.1.ведом.22-23'!G381</f>
        <v>2100.6</v>
      </c>
      <c r="G765" s="6">
        <f>'пр.6.1.ведом.22-23'!H381</f>
        <v>2100.6</v>
      </c>
    </row>
    <row r="766" spans="1:7" s="203" customFormat="1" ht="78" customHeight="1" x14ac:dyDescent="0.25">
      <c r="A766" s="25" t="s">
        <v>331</v>
      </c>
      <c r="B766" s="20" t="s">
        <v>299</v>
      </c>
      <c r="C766" s="20" t="s">
        <v>118</v>
      </c>
      <c r="D766" s="20" t="s">
        <v>1291</v>
      </c>
      <c r="E766" s="20"/>
      <c r="F766" s="26">
        <f>F767</f>
        <v>341.4</v>
      </c>
      <c r="G766" s="26">
        <f>G767</f>
        <v>341.4</v>
      </c>
    </row>
    <row r="767" spans="1:7" s="203" customFormat="1" ht="98.45" customHeight="1" x14ac:dyDescent="0.25">
      <c r="A767" s="25" t="s">
        <v>127</v>
      </c>
      <c r="B767" s="20" t="s">
        <v>299</v>
      </c>
      <c r="C767" s="20" t="s">
        <v>118</v>
      </c>
      <c r="D767" s="20" t="s">
        <v>1291</v>
      </c>
      <c r="E767" s="20" t="s">
        <v>128</v>
      </c>
      <c r="F767" s="26">
        <f>F768</f>
        <v>341.4</v>
      </c>
      <c r="G767" s="26">
        <f>G768</f>
        <v>341.4</v>
      </c>
    </row>
    <row r="768" spans="1:7" s="203" customFormat="1" ht="50.25" customHeight="1" x14ac:dyDescent="0.25">
      <c r="A768" s="25" t="s">
        <v>208</v>
      </c>
      <c r="B768" s="20" t="s">
        <v>299</v>
      </c>
      <c r="C768" s="20" t="s">
        <v>118</v>
      </c>
      <c r="D768" s="20" t="s">
        <v>1291</v>
      </c>
      <c r="E768" s="20" t="s">
        <v>209</v>
      </c>
      <c r="F768" s="26">
        <f>'пр.6.1.ведом.22-23'!G384</f>
        <v>341.4</v>
      </c>
      <c r="G768" s="26">
        <f>'пр.6.1.ведом.22-23'!H384</f>
        <v>341.4</v>
      </c>
    </row>
    <row r="769" spans="1:7" s="203" customFormat="1" ht="31.5" x14ac:dyDescent="0.25">
      <c r="A769" s="23" t="s">
        <v>902</v>
      </c>
      <c r="B769" s="24" t="s">
        <v>299</v>
      </c>
      <c r="C769" s="24" t="s">
        <v>118</v>
      </c>
      <c r="D769" s="24" t="s">
        <v>1215</v>
      </c>
      <c r="E769" s="24"/>
      <c r="F769" s="21">
        <f t="shared" ref="F769:G771" si="76">F770</f>
        <v>50</v>
      </c>
      <c r="G769" s="21">
        <f t="shared" si="76"/>
        <v>50</v>
      </c>
    </row>
    <row r="770" spans="1:7" s="203" customFormat="1" ht="31.5" x14ac:dyDescent="0.25">
      <c r="A770" s="25" t="s">
        <v>821</v>
      </c>
      <c r="B770" s="20" t="s">
        <v>299</v>
      </c>
      <c r="C770" s="20" t="s">
        <v>118</v>
      </c>
      <c r="D770" s="20" t="s">
        <v>1216</v>
      </c>
      <c r="E770" s="20"/>
      <c r="F770" s="26">
        <f t="shared" si="76"/>
        <v>50</v>
      </c>
      <c r="G770" s="26">
        <f t="shared" si="76"/>
        <v>50</v>
      </c>
    </row>
    <row r="771" spans="1:7" s="203" customFormat="1" ht="31.5" x14ac:dyDescent="0.25">
      <c r="A771" s="25" t="s">
        <v>131</v>
      </c>
      <c r="B771" s="20" t="s">
        <v>299</v>
      </c>
      <c r="C771" s="20" t="s">
        <v>118</v>
      </c>
      <c r="D771" s="20" t="s">
        <v>1216</v>
      </c>
      <c r="E771" s="20" t="s">
        <v>132</v>
      </c>
      <c r="F771" s="26">
        <f t="shared" si="76"/>
        <v>50</v>
      </c>
      <c r="G771" s="26">
        <f t="shared" si="76"/>
        <v>50</v>
      </c>
    </row>
    <row r="772" spans="1:7" s="203" customFormat="1" ht="47.25" x14ac:dyDescent="0.25">
      <c r="A772" s="25" t="s">
        <v>133</v>
      </c>
      <c r="B772" s="20" t="s">
        <v>299</v>
      </c>
      <c r="C772" s="20" t="s">
        <v>118</v>
      </c>
      <c r="D772" s="20" t="s">
        <v>1216</v>
      </c>
      <c r="E772" s="20" t="s">
        <v>134</v>
      </c>
      <c r="F772" s="26">
        <f>'пр.6.1.ведом.22-23'!G388</f>
        <v>50</v>
      </c>
      <c r="G772" s="26">
        <f>'пр.6.1.ведом.22-23'!H388</f>
        <v>50</v>
      </c>
    </row>
    <row r="773" spans="1:7" s="203" customFormat="1" ht="31.5" x14ac:dyDescent="0.25">
      <c r="A773" s="23" t="s">
        <v>1010</v>
      </c>
      <c r="B773" s="24" t="s">
        <v>299</v>
      </c>
      <c r="C773" s="24" t="s">
        <v>118</v>
      </c>
      <c r="D773" s="24" t="s">
        <v>1217</v>
      </c>
      <c r="E773" s="24"/>
      <c r="F773" s="21">
        <f t="shared" ref="F773:G775" si="77">F774</f>
        <v>68.7</v>
      </c>
      <c r="G773" s="21">
        <f t="shared" si="77"/>
        <v>68.7</v>
      </c>
    </row>
    <row r="774" spans="1:7" s="203" customFormat="1" ht="47.25" x14ac:dyDescent="0.25">
      <c r="A774" s="25" t="s">
        <v>1484</v>
      </c>
      <c r="B774" s="20" t="s">
        <v>299</v>
      </c>
      <c r="C774" s="20" t="s">
        <v>118</v>
      </c>
      <c r="D774" s="20" t="s">
        <v>1218</v>
      </c>
      <c r="E774" s="20"/>
      <c r="F774" s="26">
        <f t="shared" si="77"/>
        <v>68.7</v>
      </c>
      <c r="G774" s="26">
        <f t="shared" si="77"/>
        <v>68.7</v>
      </c>
    </row>
    <row r="775" spans="1:7" s="203" customFormat="1" ht="31.5" x14ac:dyDescent="0.25">
      <c r="A775" s="25" t="s">
        <v>131</v>
      </c>
      <c r="B775" s="20" t="s">
        <v>299</v>
      </c>
      <c r="C775" s="20" t="s">
        <v>118</v>
      </c>
      <c r="D775" s="20" t="s">
        <v>1218</v>
      </c>
      <c r="E775" s="20" t="s">
        <v>132</v>
      </c>
      <c r="F775" s="26">
        <f t="shared" si="77"/>
        <v>68.7</v>
      </c>
      <c r="G775" s="26">
        <f t="shared" si="77"/>
        <v>68.7</v>
      </c>
    </row>
    <row r="776" spans="1:7" s="203" customFormat="1" ht="47.25" x14ac:dyDescent="0.25">
      <c r="A776" s="25" t="s">
        <v>133</v>
      </c>
      <c r="B776" s="20" t="s">
        <v>299</v>
      </c>
      <c r="C776" s="20" t="s">
        <v>118</v>
      </c>
      <c r="D776" s="20" t="s">
        <v>1218</v>
      </c>
      <c r="E776" s="20" t="s">
        <v>134</v>
      </c>
      <c r="F776" s="26">
        <f>'пр.6.1.ведом.22-23'!G392</f>
        <v>68.7</v>
      </c>
      <c r="G776" s="26">
        <f>'пр.6.1.ведом.22-23'!H392</f>
        <v>68.7</v>
      </c>
    </row>
    <row r="777" spans="1:7" s="203" customFormat="1" ht="31.5" x14ac:dyDescent="0.25">
      <c r="A777" s="211" t="s">
        <v>1179</v>
      </c>
      <c r="B777" s="24" t="s">
        <v>299</v>
      </c>
      <c r="C777" s="24" t="s">
        <v>118</v>
      </c>
      <c r="D777" s="24" t="s">
        <v>1311</v>
      </c>
      <c r="E777" s="24"/>
      <c r="F777" s="21">
        <f t="shared" ref="F777:G777" si="78">F778</f>
        <v>300</v>
      </c>
      <c r="G777" s="21">
        <f t="shared" si="78"/>
        <v>1500</v>
      </c>
    </row>
    <row r="778" spans="1:7" s="203" customFormat="1" ht="63" x14ac:dyDescent="0.25">
      <c r="A778" s="98" t="s">
        <v>1167</v>
      </c>
      <c r="B778" s="20" t="s">
        <v>299</v>
      </c>
      <c r="C778" s="20" t="s">
        <v>118</v>
      </c>
      <c r="D778" s="20" t="s">
        <v>1214</v>
      </c>
      <c r="E778" s="20"/>
      <c r="F778" s="26">
        <f>F779</f>
        <v>300</v>
      </c>
      <c r="G778" s="26">
        <f>G779</f>
        <v>1500</v>
      </c>
    </row>
    <row r="779" spans="1:7" s="203" customFormat="1" ht="31.5" x14ac:dyDescent="0.25">
      <c r="A779" s="25" t="s">
        <v>131</v>
      </c>
      <c r="B779" s="20" t="s">
        <v>299</v>
      </c>
      <c r="C779" s="20" t="s">
        <v>118</v>
      </c>
      <c r="D779" s="20" t="s">
        <v>1214</v>
      </c>
      <c r="E779" s="20" t="s">
        <v>132</v>
      </c>
      <c r="F779" s="26">
        <f>F780</f>
        <v>300</v>
      </c>
      <c r="G779" s="26">
        <f>G780</f>
        <v>1500</v>
      </c>
    </row>
    <row r="780" spans="1:7" s="203" customFormat="1" ht="47.25" x14ac:dyDescent="0.25">
      <c r="A780" s="25" t="s">
        <v>133</v>
      </c>
      <c r="B780" s="20" t="s">
        <v>299</v>
      </c>
      <c r="C780" s="20" t="s">
        <v>118</v>
      </c>
      <c r="D780" s="20" t="s">
        <v>1214</v>
      </c>
      <c r="E780" s="20" t="s">
        <v>134</v>
      </c>
      <c r="F780" s="26">
        <f>'пр.6.1.ведом.22-23'!G396</f>
        <v>300</v>
      </c>
      <c r="G780" s="26">
        <f>'пр.6.1.ведом.22-23'!H396</f>
        <v>1500</v>
      </c>
    </row>
    <row r="781" spans="1:7" s="203" customFormat="1" ht="31.5" hidden="1" x14ac:dyDescent="0.25">
      <c r="A781" s="354" t="s">
        <v>1332</v>
      </c>
      <c r="B781" s="24" t="s">
        <v>299</v>
      </c>
      <c r="C781" s="24" t="s">
        <v>118</v>
      </c>
      <c r="D781" s="24"/>
      <c r="E781" s="24"/>
      <c r="F781" s="21">
        <f t="shared" ref="F781:G783" si="79">F782</f>
        <v>0</v>
      </c>
      <c r="G781" s="21">
        <f t="shared" si="79"/>
        <v>0</v>
      </c>
    </row>
    <row r="782" spans="1:7" s="203" customFormat="1" ht="15.75" hidden="1" x14ac:dyDescent="0.25">
      <c r="A782" s="25"/>
      <c r="B782" s="20" t="s">
        <v>299</v>
      </c>
      <c r="C782" s="20" t="s">
        <v>118</v>
      </c>
      <c r="D782" s="20"/>
      <c r="E782" s="20"/>
      <c r="F782" s="26">
        <f t="shared" si="79"/>
        <v>0</v>
      </c>
      <c r="G782" s="26">
        <f t="shared" si="79"/>
        <v>0</v>
      </c>
    </row>
    <row r="783" spans="1:7" s="203" customFormat="1" ht="15.75" hidden="1" x14ac:dyDescent="0.25">
      <c r="A783" s="25"/>
      <c r="B783" s="20" t="s">
        <v>299</v>
      </c>
      <c r="C783" s="20" t="s">
        <v>118</v>
      </c>
      <c r="D783" s="20"/>
      <c r="E783" s="20" t="s">
        <v>132</v>
      </c>
      <c r="F783" s="26">
        <f t="shared" si="79"/>
        <v>0</v>
      </c>
      <c r="G783" s="26">
        <f t="shared" si="79"/>
        <v>0</v>
      </c>
    </row>
    <row r="784" spans="1:7" s="203" customFormat="1" ht="15.75" hidden="1" x14ac:dyDescent="0.25">
      <c r="A784" s="25"/>
      <c r="B784" s="20" t="s">
        <v>299</v>
      </c>
      <c r="C784" s="20" t="s">
        <v>118</v>
      </c>
      <c r="D784" s="20"/>
      <c r="E784" s="20" t="s">
        <v>134</v>
      </c>
      <c r="F784" s="26">
        <f>'пр.6.1.ведом.22-23'!G400</f>
        <v>0</v>
      </c>
      <c r="G784" s="26">
        <f>'пр.6.1.ведом.22-23'!H400</f>
        <v>0</v>
      </c>
    </row>
    <row r="785" spans="1:7" ht="63" x14ac:dyDescent="0.25">
      <c r="A785" s="34" t="s">
        <v>1357</v>
      </c>
      <c r="B785" s="24" t="s">
        <v>299</v>
      </c>
      <c r="C785" s="24" t="s">
        <v>118</v>
      </c>
      <c r="D785" s="24" t="s">
        <v>324</v>
      </c>
      <c r="E785" s="24"/>
      <c r="F785" s="388">
        <f t="shared" ref="F785:G788" si="80">F786</f>
        <v>10</v>
      </c>
      <c r="G785" s="388">
        <f t="shared" si="80"/>
        <v>0</v>
      </c>
    </row>
    <row r="786" spans="1:7" ht="63" x14ac:dyDescent="0.25">
      <c r="A786" s="34" t="s">
        <v>1025</v>
      </c>
      <c r="B786" s="24" t="s">
        <v>299</v>
      </c>
      <c r="C786" s="24" t="s">
        <v>118</v>
      </c>
      <c r="D786" s="24" t="s">
        <v>934</v>
      </c>
      <c r="E786" s="24"/>
      <c r="F786" s="4">
        <f t="shared" si="80"/>
        <v>10</v>
      </c>
      <c r="G786" s="4">
        <f t="shared" si="80"/>
        <v>0</v>
      </c>
    </row>
    <row r="787" spans="1:7" ht="47.25" x14ac:dyDescent="0.25">
      <c r="A787" s="31" t="s">
        <v>1079</v>
      </c>
      <c r="B787" s="20" t="s">
        <v>299</v>
      </c>
      <c r="C787" s="20" t="s">
        <v>118</v>
      </c>
      <c r="D787" s="20" t="s">
        <v>1026</v>
      </c>
      <c r="E787" s="20"/>
      <c r="F787" s="6">
        <f t="shared" si="80"/>
        <v>10</v>
      </c>
      <c r="G787" s="6">
        <f t="shared" si="80"/>
        <v>0</v>
      </c>
    </row>
    <row r="788" spans="1:7" ht="31.5" x14ac:dyDescent="0.25">
      <c r="A788" s="25" t="s">
        <v>131</v>
      </c>
      <c r="B788" s="20" t="s">
        <v>299</v>
      </c>
      <c r="C788" s="20" t="s">
        <v>118</v>
      </c>
      <c r="D788" s="20" t="s">
        <v>1026</v>
      </c>
      <c r="E788" s="20" t="s">
        <v>132</v>
      </c>
      <c r="F788" s="6">
        <f t="shared" si="80"/>
        <v>10</v>
      </c>
      <c r="G788" s="6">
        <f t="shared" si="80"/>
        <v>0</v>
      </c>
    </row>
    <row r="789" spans="1:7" ht="47.25" x14ac:dyDescent="0.25">
      <c r="A789" s="25" t="s">
        <v>133</v>
      </c>
      <c r="B789" s="20" t="s">
        <v>299</v>
      </c>
      <c r="C789" s="20" t="s">
        <v>118</v>
      </c>
      <c r="D789" s="20" t="s">
        <v>1026</v>
      </c>
      <c r="E789" s="20" t="s">
        <v>134</v>
      </c>
      <c r="F789" s="6">
        <f>'пр.6.1.ведом.22-23'!G405</f>
        <v>10</v>
      </c>
      <c r="G789" s="6">
        <f>'пр.6.1.ведом.22-23'!H405</f>
        <v>0</v>
      </c>
    </row>
    <row r="790" spans="1:7" ht="63" x14ac:dyDescent="0.25">
      <c r="A790" s="41" t="s">
        <v>1352</v>
      </c>
      <c r="B790" s="24" t="s">
        <v>299</v>
      </c>
      <c r="C790" s="24" t="s">
        <v>118</v>
      </c>
      <c r="D790" s="24" t="s">
        <v>705</v>
      </c>
      <c r="E790" s="222"/>
      <c r="F790" s="4">
        <f t="shared" ref="F790:G790" si="81">F791</f>
        <v>878.7</v>
      </c>
      <c r="G790" s="4">
        <f t="shared" si="81"/>
        <v>913.9</v>
      </c>
    </row>
    <row r="791" spans="1:7" ht="63" x14ac:dyDescent="0.25">
      <c r="A791" s="41" t="s">
        <v>890</v>
      </c>
      <c r="B791" s="24" t="s">
        <v>299</v>
      </c>
      <c r="C791" s="24" t="s">
        <v>118</v>
      </c>
      <c r="D791" s="24" t="s">
        <v>888</v>
      </c>
      <c r="E791" s="222"/>
      <c r="F791" s="4">
        <f t="shared" ref="F791:G793" si="82">F792</f>
        <v>878.7</v>
      </c>
      <c r="G791" s="4">
        <f t="shared" si="82"/>
        <v>913.9</v>
      </c>
    </row>
    <row r="792" spans="1:7" ht="47.25" x14ac:dyDescent="0.25">
      <c r="A792" s="98" t="s">
        <v>1022</v>
      </c>
      <c r="B792" s="20" t="s">
        <v>299</v>
      </c>
      <c r="C792" s="20" t="s">
        <v>118</v>
      </c>
      <c r="D792" s="20" t="s">
        <v>889</v>
      </c>
      <c r="E792" s="32"/>
      <c r="F792" s="6">
        <f t="shared" si="82"/>
        <v>878.7</v>
      </c>
      <c r="G792" s="6">
        <f t="shared" si="82"/>
        <v>913.9</v>
      </c>
    </row>
    <row r="793" spans="1:7" ht="31.5" x14ac:dyDescent="0.25">
      <c r="A793" s="25" t="s">
        <v>131</v>
      </c>
      <c r="B793" s="20" t="s">
        <v>299</v>
      </c>
      <c r="C793" s="20" t="s">
        <v>118</v>
      </c>
      <c r="D793" s="20" t="s">
        <v>889</v>
      </c>
      <c r="E793" s="32" t="s">
        <v>132</v>
      </c>
      <c r="F793" s="6">
        <f t="shared" si="82"/>
        <v>878.7</v>
      </c>
      <c r="G793" s="6">
        <f t="shared" si="82"/>
        <v>913.9</v>
      </c>
    </row>
    <row r="794" spans="1:7" ht="47.25" x14ac:dyDescent="0.25">
      <c r="A794" s="25" t="s">
        <v>133</v>
      </c>
      <c r="B794" s="20" t="s">
        <v>299</v>
      </c>
      <c r="C794" s="20" t="s">
        <v>118</v>
      </c>
      <c r="D794" s="20" t="s">
        <v>889</v>
      </c>
      <c r="E794" s="32" t="s">
        <v>134</v>
      </c>
      <c r="F794" s="6">
        <f>'пр.6.1.ведом.22-23'!G410</f>
        <v>878.7</v>
      </c>
      <c r="G794" s="6">
        <f>'пр.6.1.ведом.22-23'!H410</f>
        <v>913.9</v>
      </c>
    </row>
    <row r="795" spans="1:7" ht="31.5" x14ac:dyDescent="0.25">
      <c r="A795" s="23" t="s">
        <v>333</v>
      </c>
      <c r="B795" s="24" t="s">
        <v>299</v>
      </c>
      <c r="C795" s="24" t="s">
        <v>150</v>
      </c>
      <c r="D795" s="24"/>
      <c r="E795" s="32"/>
      <c r="F795" s="4">
        <f>F796+F806+F818+F824</f>
        <v>18566.400000000001</v>
      </c>
      <c r="G795" s="4">
        <f>G796+G806+G818+G824</f>
        <v>18595.400000000001</v>
      </c>
    </row>
    <row r="796" spans="1:7" ht="31.5" x14ac:dyDescent="0.25">
      <c r="A796" s="23" t="s">
        <v>917</v>
      </c>
      <c r="B796" s="24" t="s">
        <v>299</v>
      </c>
      <c r="C796" s="24" t="s">
        <v>150</v>
      </c>
      <c r="D796" s="24" t="s">
        <v>858</v>
      </c>
      <c r="E796" s="32"/>
      <c r="F796" s="4">
        <f>F797</f>
        <v>7291.6</v>
      </c>
      <c r="G796" s="4">
        <f>G797</f>
        <v>7291.6</v>
      </c>
    </row>
    <row r="797" spans="1:7" ht="15.75" x14ac:dyDescent="0.25">
      <c r="A797" s="23" t="s">
        <v>918</v>
      </c>
      <c r="B797" s="24" t="s">
        <v>299</v>
      </c>
      <c r="C797" s="24" t="s">
        <v>150</v>
      </c>
      <c r="D797" s="24" t="s">
        <v>859</v>
      </c>
      <c r="E797" s="32"/>
      <c r="F797" s="4">
        <f>F798+F803</f>
        <v>7291.6</v>
      </c>
      <c r="G797" s="4">
        <f>G798+G803</f>
        <v>7291.6</v>
      </c>
    </row>
    <row r="798" spans="1:7" ht="31.5" x14ac:dyDescent="0.25">
      <c r="A798" s="25" t="s">
        <v>897</v>
      </c>
      <c r="B798" s="20" t="s">
        <v>299</v>
      </c>
      <c r="C798" s="20" t="s">
        <v>150</v>
      </c>
      <c r="D798" s="20" t="s">
        <v>860</v>
      </c>
      <c r="E798" s="32"/>
      <c r="F798" s="6">
        <f>F799</f>
        <v>7015.6</v>
      </c>
      <c r="G798" s="6">
        <f>G799</f>
        <v>7015.6</v>
      </c>
    </row>
    <row r="799" spans="1:7" ht="94.5" x14ac:dyDescent="0.25">
      <c r="A799" s="25" t="s">
        <v>127</v>
      </c>
      <c r="B799" s="20" t="s">
        <v>299</v>
      </c>
      <c r="C799" s="20" t="s">
        <v>150</v>
      </c>
      <c r="D799" s="20" t="s">
        <v>860</v>
      </c>
      <c r="E799" s="32" t="s">
        <v>128</v>
      </c>
      <c r="F799" s="6">
        <f>F800</f>
        <v>7015.6</v>
      </c>
      <c r="G799" s="6">
        <f>G800</f>
        <v>7015.6</v>
      </c>
    </row>
    <row r="800" spans="1:7" ht="31.5" x14ac:dyDescent="0.25">
      <c r="A800" s="25" t="s">
        <v>129</v>
      </c>
      <c r="B800" s="20" t="s">
        <v>299</v>
      </c>
      <c r="C800" s="20" t="s">
        <v>150</v>
      </c>
      <c r="D800" s="20" t="s">
        <v>860</v>
      </c>
      <c r="E800" s="40" t="s">
        <v>130</v>
      </c>
      <c r="F800" s="6">
        <f>'пр.6.1.ведом.22-23'!G416</f>
        <v>7015.6</v>
      </c>
      <c r="G800" s="6">
        <f>'пр.6.1.ведом.22-23'!H416</f>
        <v>7015.6</v>
      </c>
    </row>
    <row r="801" spans="1:7" ht="31.5" hidden="1" x14ac:dyDescent="0.25">
      <c r="A801" s="25" t="s">
        <v>131</v>
      </c>
      <c r="B801" s="20" t="s">
        <v>299</v>
      </c>
      <c r="C801" s="20" t="s">
        <v>150</v>
      </c>
      <c r="D801" s="20" t="s">
        <v>860</v>
      </c>
      <c r="E801" s="40" t="s">
        <v>132</v>
      </c>
      <c r="F801" s="6">
        <f>'Пр.3 Рд,пр, ЦС,ВР 22'!F879</f>
        <v>0</v>
      </c>
      <c r="G801" s="6">
        <f>'Пр.3 Рд,пр, ЦС,ВР 22'!G879</f>
        <v>0</v>
      </c>
    </row>
    <row r="802" spans="1:7" ht="47.25" hidden="1" x14ac:dyDescent="0.25">
      <c r="A802" s="25" t="s">
        <v>133</v>
      </c>
      <c r="B802" s="20" t="s">
        <v>299</v>
      </c>
      <c r="C802" s="20" t="s">
        <v>150</v>
      </c>
      <c r="D802" s="20" t="s">
        <v>860</v>
      </c>
      <c r="E802" s="40" t="s">
        <v>134</v>
      </c>
      <c r="F802" s="6">
        <f>'Пр.3 Рд,пр, ЦС,ВР 22'!F880</f>
        <v>0</v>
      </c>
      <c r="G802" s="6">
        <f>'Пр.3 Рд,пр, ЦС,ВР 22'!G880</f>
        <v>0</v>
      </c>
    </row>
    <row r="803" spans="1:7" ht="47.25" x14ac:dyDescent="0.25">
      <c r="A803" s="25" t="s">
        <v>839</v>
      </c>
      <c r="B803" s="20" t="s">
        <v>299</v>
      </c>
      <c r="C803" s="20" t="s">
        <v>150</v>
      </c>
      <c r="D803" s="20" t="s">
        <v>862</v>
      </c>
      <c r="E803" s="40"/>
      <c r="F803" s="6">
        <f>F804</f>
        <v>276</v>
      </c>
      <c r="G803" s="6">
        <f>G804</f>
        <v>276</v>
      </c>
    </row>
    <row r="804" spans="1:7" ht="94.5" x14ac:dyDescent="0.25">
      <c r="A804" s="25" t="s">
        <v>127</v>
      </c>
      <c r="B804" s="20" t="s">
        <v>299</v>
      </c>
      <c r="C804" s="20" t="s">
        <v>150</v>
      </c>
      <c r="D804" s="20" t="s">
        <v>862</v>
      </c>
      <c r="E804" s="40" t="s">
        <v>128</v>
      </c>
      <c r="F804" s="6">
        <f>F805</f>
        <v>276</v>
      </c>
      <c r="G804" s="6">
        <f>G805</f>
        <v>276</v>
      </c>
    </row>
    <row r="805" spans="1:7" ht="31.5" x14ac:dyDescent="0.25">
      <c r="A805" s="25" t="s">
        <v>129</v>
      </c>
      <c r="B805" s="20" t="s">
        <v>299</v>
      </c>
      <c r="C805" s="20" t="s">
        <v>150</v>
      </c>
      <c r="D805" s="20" t="s">
        <v>862</v>
      </c>
      <c r="E805" s="40" t="s">
        <v>130</v>
      </c>
      <c r="F805" s="6">
        <f>'пр.6.1.ведом.22-23'!G421</f>
        <v>276</v>
      </c>
      <c r="G805" s="6">
        <f>'пр.6.1.ведом.22-23'!H421</f>
        <v>276</v>
      </c>
    </row>
    <row r="806" spans="1:7" ht="15.75" x14ac:dyDescent="0.25">
      <c r="A806" s="23" t="s">
        <v>926</v>
      </c>
      <c r="B806" s="24" t="s">
        <v>299</v>
      </c>
      <c r="C806" s="24" t="s">
        <v>150</v>
      </c>
      <c r="D806" s="24" t="s">
        <v>866</v>
      </c>
      <c r="E806" s="40"/>
      <c r="F806" s="4">
        <f t="shared" ref="F806:G806" si="83">F807</f>
        <v>11014.8</v>
      </c>
      <c r="G806" s="4">
        <f t="shared" si="83"/>
        <v>11014.8</v>
      </c>
    </row>
    <row r="807" spans="1:7" ht="36.75" customHeight="1" x14ac:dyDescent="0.25">
      <c r="A807" s="23" t="s">
        <v>929</v>
      </c>
      <c r="B807" s="24" t="s">
        <v>299</v>
      </c>
      <c r="C807" s="24" t="s">
        <v>150</v>
      </c>
      <c r="D807" s="24" t="s">
        <v>914</v>
      </c>
      <c r="E807" s="40"/>
      <c r="F807" s="4">
        <f>F808+F815</f>
        <v>11014.8</v>
      </c>
      <c r="G807" s="4">
        <f>G808+G815</f>
        <v>11014.8</v>
      </c>
    </row>
    <row r="808" spans="1:7" ht="31.5" x14ac:dyDescent="0.25">
      <c r="A808" s="25" t="s">
        <v>903</v>
      </c>
      <c r="B808" s="20" t="s">
        <v>299</v>
      </c>
      <c r="C808" s="20" t="s">
        <v>150</v>
      </c>
      <c r="D808" s="20" t="s">
        <v>915</v>
      </c>
      <c r="E808" s="40"/>
      <c r="F808" s="6">
        <f>F809+F811+F813</f>
        <v>10804.8</v>
      </c>
      <c r="G808" s="6">
        <f>G809+G811+G813</f>
        <v>10804.8</v>
      </c>
    </row>
    <row r="809" spans="1:7" ht="94.5" x14ac:dyDescent="0.25">
      <c r="A809" s="25" t="s">
        <v>127</v>
      </c>
      <c r="B809" s="20" t="s">
        <v>299</v>
      </c>
      <c r="C809" s="20" t="s">
        <v>150</v>
      </c>
      <c r="D809" s="20" t="s">
        <v>915</v>
      </c>
      <c r="E809" s="40" t="s">
        <v>128</v>
      </c>
      <c r="F809" s="6">
        <f>F810</f>
        <v>8853.7999999999993</v>
      </c>
      <c r="G809" s="6">
        <f>G810</f>
        <v>8853.7999999999993</v>
      </c>
    </row>
    <row r="810" spans="1:7" ht="31.5" x14ac:dyDescent="0.25">
      <c r="A810" s="25" t="s">
        <v>342</v>
      </c>
      <c r="B810" s="20" t="s">
        <v>299</v>
      </c>
      <c r="C810" s="20" t="s">
        <v>150</v>
      </c>
      <c r="D810" s="20" t="s">
        <v>915</v>
      </c>
      <c r="E810" s="40" t="s">
        <v>209</v>
      </c>
      <c r="F810" s="6">
        <f>'пр.6.1.ведом.22-23'!G426</f>
        <v>8853.7999999999993</v>
      </c>
      <c r="G810" s="6">
        <f>'пр.6.1.ведом.22-23'!H426</f>
        <v>8853.7999999999993</v>
      </c>
    </row>
    <row r="811" spans="1:7" ht="31.5" x14ac:dyDescent="0.25">
      <c r="A811" s="25" t="s">
        <v>131</v>
      </c>
      <c r="B811" s="20" t="s">
        <v>299</v>
      </c>
      <c r="C811" s="20" t="s">
        <v>150</v>
      </c>
      <c r="D811" s="20" t="s">
        <v>915</v>
      </c>
      <c r="E811" s="40" t="s">
        <v>132</v>
      </c>
      <c r="F811" s="6">
        <f>F812</f>
        <v>1937</v>
      </c>
      <c r="G811" s="6">
        <f>G812</f>
        <v>1937</v>
      </c>
    </row>
    <row r="812" spans="1:7" ht="47.25" x14ac:dyDescent="0.25">
      <c r="A812" s="25" t="s">
        <v>133</v>
      </c>
      <c r="B812" s="20" t="s">
        <v>299</v>
      </c>
      <c r="C812" s="20" t="s">
        <v>150</v>
      </c>
      <c r="D812" s="20" t="s">
        <v>915</v>
      </c>
      <c r="E812" s="40" t="s">
        <v>134</v>
      </c>
      <c r="F812" s="6">
        <f>'пр.6.1.ведом.22-23'!G428</f>
        <v>1937</v>
      </c>
      <c r="G812" s="6">
        <f>'пр.6.1.ведом.22-23'!H428</f>
        <v>1937</v>
      </c>
    </row>
    <row r="813" spans="1:7" ht="15.75" x14ac:dyDescent="0.25">
      <c r="A813" s="25" t="s">
        <v>135</v>
      </c>
      <c r="B813" s="20" t="s">
        <v>299</v>
      </c>
      <c r="C813" s="20" t="s">
        <v>150</v>
      </c>
      <c r="D813" s="20" t="s">
        <v>915</v>
      </c>
      <c r="E813" s="40" t="s">
        <v>145</v>
      </c>
      <c r="F813" s="6">
        <f>F814</f>
        <v>14</v>
      </c>
      <c r="G813" s="6">
        <f>G814</f>
        <v>14</v>
      </c>
    </row>
    <row r="814" spans="1:7" ht="15.75" x14ac:dyDescent="0.25">
      <c r="A814" s="25" t="s">
        <v>568</v>
      </c>
      <c r="B814" s="20" t="s">
        <v>299</v>
      </c>
      <c r="C814" s="20" t="s">
        <v>150</v>
      </c>
      <c r="D814" s="20" t="s">
        <v>915</v>
      </c>
      <c r="E814" s="40" t="s">
        <v>138</v>
      </c>
      <c r="F814" s="6">
        <f>'пр.6.1.ведом.22-23'!G430</f>
        <v>14</v>
      </c>
      <c r="G814" s="6">
        <f>'пр.6.1.ведом.22-23'!H430</f>
        <v>14</v>
      </c>
    </row>
    <row r="815" spans="1:7" ht="47.25" x14ac:dyDescent="0.25">
      <c r="A815" s="25" t="s">
        <v>839</v>
      </c>
      <c r="B815" s="20" t="s">
        <v>299</v>
      </c>
      <c r="C815" s="20" t="s">
        <v>150</v>
      </c>
      <c r="D815" s="20" t="s">
        <v>916</v>
      </c>
      <c r="E815" s="40"/>
      <c r="F815" s="6">
        <f>F816</f>
        <v>210</v>
      </c>
      <c r="G815" s="6">
        <f>G816</f>
        <v>210</v>
      </c>
    </row>
    <row r="816" spans="1:7" ht="94.5" x14ac:dyDescent="0.25">
      <c r="A816" s="25" t="s">
        <v>127</v>
      </c>
      <c r="B816" s="20" t="s">
        <v>299</v>
      </c>
      <c r="C816" s="20" t="s">
        <v>150</v>
      </c>
      <c r="D816" s="20" t="s">
        <v>916</v>
      </c>
      <c r="E816" s="40" t="s">
        <v>128</v>
      </c>
      <c r="F816" s="6">
        <f>F817</f>
        <v>210</v>
      </c>
      <c r="G816" s="6">
        <f>G817</f>
        <v>210</v>
      </c>
    </row>
    <row r="817" spans="1:9" ht="31.5" x14ac:dyDescent="0.25">
      <c r="A817" s="25" t="s">
        <v>129</v>
      </c>
      <c r="B817" s="20" t="s">
        <v>299</v>
      </c>
      <c r="C817" s="20" t="s">
        <v>150</v>
      </c>
      <c r="D817" s="20" t="s">
        <v>916</v>
      </c>
      <c r="E817" s="40" t="s">
        <v>209</v>
      </c>
      <c r="F817" s="6">
        <f>'пр.6.1.ведом.22-23'!G433</f>
        <v>210</v>
      </c>
      <c r="G817" s="6">
        <f>'пр.6.1.ведом.22-23'!H433</f>
        <v>210</v>
      </c>
    </row>
    <row r="818" spans="1:9" ht="50.25" customHeight="1" x14ac:dyDescent="0.25">
      <c r="A818" s="23" t="s">
        <v>1347</v>
      </c>
      <c r="B818" s="24" t="s">
        <v>299</v>
      </c>
      <c r="C818" s="24" t="s">
        <v>150</v>
      </c>
      <c r="D818" s="24" t="s">
        <v>344</v>
      </c>
      <c r="E818" s="40"/>
      <c r="F818" s="4">
        <f>F819</f>
        <v>260</v>
      </c>
      <c r="G818" s="4">
        <f>G819</f>
        <v>285</v>
      </c>
    </row>
    <row r="819" spans="1:9" ht="54" customHeight="1" x14ac:dyDescent="0.25">
      <c r="A819" s="23" t="s">
        <v>1353</v>
      </c>
      <c r="B819" s="24" t="s">
        <v>299</v>
      </c>
      <c r="C819" s="24" t="s">
        <v>150</v>
      </c>
      <c r="D819" s="24" t="s">
        <v>362</v>
      </c>
      <c r="E819" s="24"/>
      <c r="F819" s="21">
        <f t="shared" ref="F819:G820" si="84">F820</f>
        <v>260</v>
      </c>
      <c r="G819" s="21">
        <f t="shared" si="84"/>
        <v>285</v>
      </c>
    </row>
    <row r="820" spans="1:9" ht="31.5" x14ac:dyDescent="0.25">
      <c r="A820" s="23" t="s">
        <v>997</v>
      </c>
      <c r="B820" s="24" t="s">
        <v>299</v>
      </c>
      <c r="C820" s="24" t="s">
        <v>150</v>
      </c>
      <c r="D820" s="24" t="s">
        <v>1221</v>
      </c>
      <c r="E820" s="24"/>
      <c r="F820" s="21">
        <f t="shared" si="84"/>
        <v>260</v>
      </c>
      <c r="G820" s="21">
        <f t="shared" si="84"/>
        <v>285</v>
      </c>
    </row>
    <row r="821" spans="1:9" ht="31.5" x14ac:dyDescent="0.25">
      <c r="A821" s="25" t="s">
        <v>996</v>
      </c>
      <c r="B821" s="20" t="s">
        <v>299</v>
      </c>
      <c r="C821" s="20" t="s">
        <v>150</v>
      </c>
      <c r="D821" s="20" t="s">
        <v>1222</v>
      </c>
      <c r="E821" s="20"/>
      <c r="F821" s="26">
        <f>F822</f>
        <v>260</v>
      </c>
      <c r="G821" s="26">
        <f>G822</f>
        <v>285</v>
      </c>
    </row>
    <row r="822" spans="1:9" ht="31.5" x14ac:dyDescent="0.25">
      <c r="A822" s="25" t="s">
        <v>131</v>
      </c>
      <c r="B822" s="20" t="s">
        <v>299</v>
      </c>
      <c r="C822" s="20" t="s">
        <v>150</v>
      </c>
      <c r="D822" s="20" t="s">
        <v>1222</v>
      </c>
      <c r="E822" s="20" t="s">
        <v>132</v>
      </c>
      <c r="F822" s="26">
        <f>F823</f>
        <v>260</v>
      </c>
      <c r="G822" s="26">
        <f>G823</f>
        <v>285</v>
      </c>
    </row>
    <row r="823" spans="1:9" ht="47.25" x14ac:dyDescent="0.25">
      <c r="A823" s="25" t="s">
        <v>133</v>
      </c>
      <c r="B823" s="20" t="s">
        <v>299</v>
      </c>
      <c r="C823" s="20" t="s">
        <v>150</v>
      </c>
      <c r="D823" s="20" t="s">
        <v>1222</v>
      </c>
      <c r="E823" s="20" t="s">
        <v>134</v>
      </c>
      <c r="F823" s="26">
        <f>'пр.6.1.ведом.22-23'!G439</f>
        <v>260</v>
      </c>
      <c r="G823" s="26">
        <f>'пр.6.1.ведом.22-23'!H439</f>
        <v>285</v>
      </c>
    </row>
    <row r="824" spans="1:9" s="203" customFormat="1" ht="63" x14ac:dyDescent="0.25">
      <c r="A824" s="34" t="s">
        <v>1434</v>
      </c>
      <c r="B824" s="24" t="s">
        <v>299</v>
      </c>
      <c r="C824" s="24" t="s">
        <v>150</v>
      </c>
      <c r="D824" s="24" t="s">
        <v>324</v>
      </c>
      <c r="E824" s="24"/>
      <c r="F824" s="21">
        <f>F826</f>
        <v>0</v>
      </c>
      <c r="G824" s="21">
        <f>G825</f>
        <v>4</v>
      </c>
    </row>
    <row r="825" spans="1:9" s="203" customFormat="1" ht="63" x14ac:dyDescent="0.25">
      <c r="A825" s="34" t="s">
        <v>1025</v>
      </c>
      <c r="B825" s="24" t="s">
        <v>299</v>
      </c>
      <c r="C825" s="24" t="s">
        <v>150</v>
      </c>
      <c r="D825" s="24" t="s">
        <v>934</v>
      </c>
      <c r="E825" s="24"/>
      <c r="F825" s="21">
        <f>F828</f>
        <v>0</v>
      </c>
      <c r="G825" s="21">
        <f>G826</f>
        <v>4</v>
      </c>
    </row>
    <row r="826" spans="1:9" s="203" customFormat="1" ht="47.25" x14ac:dyDescent="0.25">
      <c r="A826" s="31" t="s">
        <v>1080</v>
      </c>
      <c r="B826" s="20" t="s">
        <v>299</v>
      </c>
      <c r="C826" s="20" t="s">
        <v>150</v>
      </c>
      <c r="D826" s="20" t="s">
        <v>1026</v>
      </c>
      <c r="E826" s="20"/>
      <c r="F826" s="26">
        <f>F827</f>
        <v>0</v>
      </c>
      <c r="G826" s="26">
        <f>G827</f>
        <v>4</v>
      </c>
    </row>
    <row r="827" spans="1:9" s="203" customFormat="1" ht="31.5" x14ac:dyDescent="0.25">
      <c r="A827" s="25" t="s">
        <v>131</v>
      </c>
      <c r="B827" s="20" t="s">
        <v>299</v>
      </c>
      <c r="C827" s="20" t="s">
        <v>150</v>
      </c>
      <c r="D827" s="20" t="s">
        <v>1026</v>
      </c>
      <c r="E827" s="20" t="s">
        <v>132</v>
      </c>
      <c r="F827" s="26">
        <f>F828</f>
        <v>0</v>
      </c>
      <c r="G827" s="26">
        <f>G828</f>
        <v>4</v>
      </c>
    </row>
    <row r="828" spans="1:9" s="203" customFormat="1" ht="47.25" x14ac:dyDescent="0.25">
      <c r="A828" s="25" t="s">
        <v>133</v>
      </c>
      <c r="B828" s="20" t="s">
        <v>299</v>
      </c>
      <c r="C828" s="20" t="s">
        <v>150</v>
      </c>
      <c r="D828" s="20" t="s">
        <v>1026</v>
      </c>
      <c r="E828" s="20" t="s">
        <v>134</v>
      </c>
      <c r="F828" s="26">
        <f>'пр.6.1.ведом.22-23'!G444</f>
        <v>0</v>
      </c>
      <c r="G828" s="26">
        <f>'пр.6.1.ведом.22-23'!H444</f>
        <v>4</v>
      </c>
    </row>
    <row r="829" spans="1:9" ht="15.75" x14ac:dyDescent="0.25">
      <c r="A829" s="23" t="s">
        <v>243</v>
      </c>
      <c r="B829" s="24" t="s">
        <v>244</v>
      </c>
      <c r="C829" s="24"/>
      <c r="D829" s="24"/>
      <c r="E829" s="204"/>
      <c r="F829" s="4">
        <f>F830+F836+F872+F866</f>
        <v>18033.41</v>
      </c>
      <c r="G829" s="4">
        <f>G830+G836+G872+G866</f>
        <v>26348.010000000002</v>
      </c>
      <c r="H829">
        <v>17738.8</v>
      </c>
      <c r="I829" s="22">
        <v>26058.9</v>
      </c>
    </row>
    <row r="830" spans="1:9" ht="15.75" x14ac:dyDescent="0.25">
      <c r="A830" s="23" t="s">
        <v>245</v>
      </c>
      <c r="B830" s="24" t="s">
        <v>244</v>
      </c>
      <c r="C830" s="24" t="s">
        <v>118</v>
      </c>
      <c r="D830" s="24"/>
      <c r="E830" s="24"/>
      <c r="F830" s="4">
        <f t="shared" ref="F830:G832" si="85">F831</f>
        <v>9815.2999999999993</v>
      </c>
      <c r="G830" s="4">
        <f t="shared" si="85"/>
        <v>9815.2999999999993</v>
      </c>
      <c r="H830" s="232">
        <f>H829-F829</f>
        <v>-294.61000000000058</v>
      </c>
      <c r="I830" s="232">
        <f>I829-G829</f>
        <v>-289.11000000000058</v>
      </c>
    </row>
    <row r="831" spans="1:9" ht="15.75" x14ac:dyDescent="0.25">
      <c r="A831" s="23" t="s">
        <v>141</v>
      </c>
      <c r="B831" s="24" t="s">
        <v>244</v>
      </c>
      <c r="C831" s="24" t="s">
        <v>118</v>
      </c>
      <c r="D831" s="24" t="s">
        <v>866</v>
      </c>
      <c r="E831" s="24"/>
      <c r="F831" s="4">
        <f t="shared" si="85"/>
        <v>9815.2999999999993</v>
      </c>
      <c r="G831" s="4">
        <f t="shared" si="85"/>
        <v>9815.2999999999993</v>
      </c>
    </row>
    <row r="832" spans="1:9" ht="31.5" x14ac:dyDescent="0.25">
      <c r="A832" s="23" t="s">
        <v>870</v>
      </c>
      <c r="B832" s="24" t="s">
        <v>244</v>
      </c>
      <c r="C832" s="24" t="s">
        <v>118</v>
      </c>
      <c r="D832" s="24" t="s">
        <v>865</v>
      </c>
      <c r="E832" s="24"/>
      <c r="F832" s="4">
        <f t="shared" si="85"/>
        <v>9815.2999999999993</v>
      </c>
      <c r="G832" s="4">
        <f t="shared" si="85"/>
        <v>9815.2999999999993</v>
      </c>
    </row>
    <row r="833" spans="1:7" ht="15.75" x14ac:dyDescent="0.25">
      <c r="A833" s="25" t="s">
        <v>246</v>
      </c>
      <c r="B833" s="20" t="s">
        <v>244</v>
      </c>
      <c r="C833" s="20" t="s">
        <v>118</v>
      </c>
      <c r="D833" s="20" t="s">
        <v>881</v>
      </c>
      <c r="E833" s="20"/>
      <c r="F833" s="6">
        <f>F834</f>
        <v>9815.2999999999993</v>
      </c>
      <c r="G833" s="6">
        <f>G834</f>
        <v>9815.2999999999993</v>
      </c>
    </row>
    <row r="834" spans="1:7" ht="31.5" x14ac:dyDescent="0.25">
      <c r="A834" s="25" t="s">
        <v>248</v>
      </c>
      <c r="B834" s="20" t="s">
        <v>244</v>
      </c>
      <c r="C834" s="20" t="s">
        <v>118</v>
      </c>
      <c r="D834" s="20" t="s">
        <v>881</v>
      </c>
      <c r="E834" s="20" t="s">
        <v>249</v>
      </c>
      <c r="F834" s="6">
        <f>F835</f>
        <v>9815.2999999999993</v>
      </c>
      <c r="G834" s="6">
        <f>G835</f>
        <v>9815.2999999999993</v>
      </c>
    </row>
    <row r="835" spans="1:7" ht="31.5" x14ac:dyDescent="0.25">
      <c r="A835" s="25" t="s">
        <v>250</v>
      </c>
      <c r="B835" s="20" t="s">
        <v>244</v>
      </c>
      <c r="C835" s="20" t="s">
        <v>118</v>
      </c>
      <c r="D835" s="20" t="s">
        <v>881</v>
      </c>
      <c r="E835" s="20" t="s">
        <v>251</v>
      </c>
      <c r="F835" s="6">
        <f>'пр.6.1.ведом.22-23'!G224</f>
        <v>9815.2999999999993</v>
      </c>
      <c r="G835" s="6">
        <f>'пр.6.1.ведом.22-23'!H224</f>
        <v>9815.2999999999993</v>
      </c>
    </row>
    <row r="836" spans="1:7" ht="15.75" x14ac:dyDescent="0.25">
      <c r="A836" s="23" t="s">
        <v>252</v>
      </c>
      <c r="B836" s="24" t="s">
        <v>244</v>
      </c>
      <c r="C836" s="24" t="s">
        <v>215</v>
      </c>
      <c r="D836" s="24"/>
      <c r="E836" s="24"/>
      <c r="F836" s="4">
        <f>F837+F858</f>
        <v>2011.6100000000001</v>
      </c>
      <c r="G836" s="4">
        <f>G837+G858</f>
        <v>2036.1100000000001</v>
      </c>
    </row>
    <row r="837" spans="1:7" ht="50.25" customHeight="1" x14ac:dyDescent="0.25">
      <c r="A837" s="23" t="s">
        <v>1378</v>
      </c>
      <c r="B837" s="24" t="s">
        <v>244</v>
      </c>
      <c r="C837" s="24" t="s">
        <v>215</v>
      </c>
      <c r="D837" s="24" t="s">
        <v>344</v>
      </c>
      <c r="E837" s="24"/>
      <c r="F837" s="4">
        <f>F838+F843</f>
        <v>2001.6100000000001</v>
      </c>
      <c r="G837" s="4">
        <f>G838+G843</f>
        <v>2026.1100000000001</v>
      </c>
    </row>
    <row r="838" spans="1:7" ht="31.5" x14ac:dyDescent="0.25">
      <c r="A838" s="23" t="s">
        <v>352</v>
      </c>
      <c r="B838" s="24" t="s">
        <v>244</v>
      </c>
      <c r="C838" s="24" t="s">
        <v>215</v>
      </c>
      <c r="D838" s="24" t="s">
        <v>353</v>
      </c>
      <c r="E838" s="24"/>
      <c r="F838" s="21">
        <f t="shared" ref="F838:G841" si="86">F839</f>
        <v>294.61</v>
      </c>
      <c r="G838" s="21">
        <f t="shared" si="86"/>
        <v>289.11</v>
      </c>
    </row>
    <row r="839" spans="1:7" ht="31.5" x14ac:dyDescent="0.25">
      <c r="A839" s="23" t="s">
        <v>905</v>
      </c>
      <c r="B839" s="24" t="s">
        <v>244</v>
      </c>
      <c r="C839" s="24" t="s">
        <v>215</v>
      </c>
      <c r="D839" s="24" t="s">
        <v>904</v>
      </c>
      <c r="E839" s="24"/>
      <c r="F839" s="21">
        <f t="shared" si="86"/>
        <v>294.61</v>
      </c>
      <c r="G839" s="21">
        <f t="shared" si="86"/>
        <v>289.11</v>
      </c>
    </row>
    <row r="840" spans="1:7" ht="31.5" x14ac:dyDescent="0.25">
      <c r="A840" s="25" t="s">
        <v>824</v>
      </c>
      <c r="B840" s="20" t="s">
        <v>244</v>
      </c>
      <c r="C840" s="20" t="s">
        <v>215</v>
      </c>
      <c r="D840" s="20" t="s">
        <v>906</v>
      </c>
      <c r="E840" s="20"/>
      <c r="F840" s="26">
        <f t="shared" si="86"/>
        <v>294.61</v>
      </c>
      <c r="G840" s="26">
        <f t="shared" si="86"/>
        <v>289.11</v>
      </c>
    </row>
    <row r="841" spans="1:7" ht="31.5" x14ac:dyDescent="0.25">
      <c r="A841" s="25" t="s">
        <v>248</v>
      </c>
      <c r="B841" s="20" t="s">
        <v>244</v>
      </c>
      <c r="C841" s="20" t="s">
        <v>215</v>
      </c>
      <c r="D841" s="20" t="s">
        <v>906</v>
      </c>
      <c r="E841" s="20" t="s">
        <v>249</v>
      </c>
      <c r="F841" s="26">
        <f>F842</f>
        <v>294.61</v>
      </c>
      <c r="G841" s="26">
        <f t="shared" si="86"/>
        <v>289.11</v>
      </c>
    </row>
    <row r="842" spans="1:7" ht="31.5" x14ac:dyDescent="0.25">
      <c r="A842" s="25" t="s">
        <v>250</v>
      </c>
      <c r="B842" s="20" t="s">
        <v>244</v>
      </c>
      <c r="C842" s="20" t="s">
        <v>215</v>
      </c>
      <c r="D842" s="20" t="s">
        <v>906</v>
      </c>
      <c r="E842" s="20" t="s">
        <v>251</v>
      </c>
      <c r="F842" s="26">
        <f>'пр.6.1.ведом.22-23'!G452</f>
        <v>294.61</v>
      </c>
      <c r="G842" s="26">
        <f>'пр.6.1.ведом.22-23'!H452</f>
        <v>289.11</v>
      </c>
    </row>
    <row r="843" spans="1:7" ht="47.25" x14ac:dyDescent="0.25">
      <c r="A843" s="23" t="s">
        <v>355</v>
      </c>
      <c r="B843" s="19">
        <v>10</v>
      </c>
      <c r="C843" s="24" t="s">
        <v>215</v>
      </c>
      <c r="D843" s="24" t="s">
        <v>362</v>
      </c>
      <c r="E843" s="24"/>
      <c r="F843" s="21">
        <f>F845+F848+F854</f>
        <v>1707</v>
      </c>
      <c r="G843" s="21">
        <f>G845+G848+G854</f>
        <v>1737</v>
      </c>
    </row>
    <row r="844" spans="1:7" ht="31.5" x14ac:dyDescent="0.25">
      <c r="A844" s="23" t="s">
        <v>1038</v>
      </c>
      <c r="B844" s="19">
        <v>10</v>
      </c>
      <c r="C844" s="24" t="s">
        <v>215</v>
      </c>
      <c r="D844" s="24" t="s">
        <v>913</v>
      </c>
      <c r="E844" s="24"/>
      <c r="F844" s="21">
        <f t="shared" ref="F844:G846" si="87">F845</f>
        <v>630</v>
      </c>
      <c r="G844" s="21">
        <f t="shared" si="87"/>
        <v>630</v>
      </c>
    </row>
    <row r="845" spans="1:7" ht="47.25" x14ac:dyDescent="0.25">
      <c r="A845" s="98" t="s">
        <v>1039</v>
      </c>
      <c r="B845" s="20" t="s">
        <v>244</v>
      </c>
      <c r="C845" s="20" t="s">
        <v>215</v>
      </c>
      <c r="D845" s="20" t="s">
        <v>1224</v>
      </c>
      <c r="E845" s="20"/>
      <c r="F845" s="26">
        <f t="shared" si="87"/>
        <v>630</v>
      </c>
      <c r="G845" s="26">
        <f t="shared" si="87"/>
        <v>630</v>
      </c>
    </row>
    <row r="846" spans="1:7" ht="31.5" x14ac:dyDescent="0.25">
      <c r="A846" s="25" t="s">
        <v>248</v>
      </c>
      <c r="B846" s="20" t="s">
        <v>244</v>
      </c>
      <c r="C846" s="20" t="s">
        <v>215</v>
      </c>
      <c r="D846" s="20" t="s">
        <v>1224</v>
      </c>
      <c r="E846" s="20" t="s">
        <v>249</v>
      </c>
      <c r="F846" s="26">
        <f t="shared" si="87"/>
        <v>630</v>
      </c>
      <c r="G846" s="26">
        <f t="shared" si="87"/>
        <v>630</v>
      </c>
    </row>
    <row r="847" spans="1:7" ht="31.5" x14ac:dyDescent="0.25">
      <c r="A847" s="25" t="s">
        <v>348</v>
      </c>
      <c r="B847" s="20" t="s">
        <v>244</v>
      </c>
      <c r="C847" s="20" t="s">
        <v>215</v>
      </c>
      <c r="D847" s="20" t="s">
        <v>1224</v>
      </c>
      <c r="E847" s="20" t="s">
        <v>349</v>
      </c>
      <c r="F847" s="26">
        <f>'пр.6.1.ведом.22-23'!G457</f>
        <v>630</v>
      </c>
      <c r="G847" s="26">
        <f>'пр.6.1.ведом.22-23'!H457</f>
        <v>630</v>
      </c>
    </row>
    <row r="848" spans="1:7" ht="31.5" x14ac:dyDescent="0.25">
      <c r="A848" s="23" t="s">
        <v>1228</v>
      </c>
      <c r="B848" s="19">
        <v>10</v>
      </c>
      <c r="C848" s="24" t="s">
        <v>215</v>
      </c>
      <c r="D848" s="24" t="s">
        <v>1226</v>
      </c>
      <c r="E848" s="24"/>
      <c r="F848" s="21">
        <f>F849+F852</f>
        <v>657</v>
      </c>
      <c r="G848" s="21">
        <f>G849+G852</f>
        <v>657</v>
      </c>
    </row>
    <row r="849" spans="1:7" ht="31.5" x14ac:dyDescent="0.25">
      <c r="A849" s="25" t="s">
        <v>1225</v>
      </c>
      <c r="B849" s="20" t="s">
        <v>244</v>
      </c>
      <c r="C849" s="20" t="s">
        <v>215</v>
      </c>
      <c r="D849" s="20" t="s">
        <v>1227</v>
      </c>
      <c r="E849" s="20"/>
      <c r="F849" s="26">
        <f>F850</f>
        <v>400</v>
      </c>
      <c r="G849" s="26">
        <f>G850</f>
        <v>400</v>
      </c>
    </row>
    <row r="850" spans="1:7" ht="31.5" x14ac:dyDescent="0.25">
      <c r="A850" s="25" t="s">
        <v>131</v>
      </c>
      <c r="B850" s="20" t="s">
        <v>244</v>
      </c>
      <c r="C850" s="20" t="s">
        <v>215</v>
      </c>
      <c r="D850" s="20" t="s">
        <v>1227</v>
      </c>
      <c r="E850" s="20" t="s">
        <v>132</v>
      </c>
      <c r="F850" s="26">
        <f>F851</f>
        <v>400</v>
      </c>
      <c r="G850" s="26">
        <f>G851</f>
        <v>400</v>
      </c>
    </row>
    <row r="851" spans="1:7" ht="47.25" x14ac:dyDescent="0.25">
      <c r="A851" s="25" t="s">
        <v>133</v>
      </c>
      <c r="B851" s="20" t="s">
        <v>244</v>
      </c>
      <c r="C851" s="20" t="s">
        <v>215</v>
      </c>
      <c r="D851" s="20" t="s">
        <v>1227</v>
      </c>
      <c r="E851" s="20" t="s">
        <v>134</v>
      </c>
      <c r="F851" s="26">
        <f>'пр.6.1.ведом.22-23'!G461</f>
        <v>400</v>
      </c>
      <c r="G851" s="26">
        <f>'пр.6.1.ведом.22-23'!H461</f>
        <v>400</v>
      </c>
    </row>
    <row r="852" spans="1:7" s="203" customFormat="1" ht="31.5" x14ac:dyDescent="0.25">
      <c r="A852" s="25" t="s">
        <v>248</v>
      </c>
      <c r="B852" s="20" t="s">
        <v>244</v>
      </c>
      <c r="C852" s="20" t="s">
        <v>215</v>
      </c>
      <c r="D852" s="20" t="s">
        <v>1227</v>
      </c>
      <c r="E852" s="20" t="s">
        <v>249</v>
      </c>
      <c r="F852" s="26">
        <f>F853</f>
        <v>257</v>
      </c>
      <c r="G852" s="26">
        <f>G853</f>
        <v>257</v>
      </c>
    </row>
    <row r="853" spans="1:7" s="203" customFormat="1" ht="31.5" x14ac:dyDescent="0.25">
      <c r="A853" s="25" t="s">
        <v>348</v>
      </c>
      <c r="B853" s="20" t="s">
        <v>244</v>
      </c>
      <c r="C853" s="20" t="s">
        <v>215</v>
      </c>
      <c r="D853" s="20" t="s">
        <v>1227</v>
      </c>
      <c r="E853" s="20" t="s">
        <v>349</v>
      </c>
      <c r="F853" s="26">
        <f>'пр.6.1.ведом.22-23'!G463</f>
        <v>257</v>
      </c>
      <c r="G853" s="26">
        <f>'пр.6.1.ведом.22-23'!H463</f>
        <v>257</v>
      </c>
    </row>
    <row r="854" spans="1:7" ht="31.5" x14ac:dyDescent="0.25">
      <c r="A854" s="23" t="s">
        <v>997</v>
      </c>
      <c r="B854" s="19">
        <v>10</v>
      </c>
      <c r="C854" s="24" t="s">
        <v>215</v>
      </c>
      <c r="D854" s="24" t="s">
        <v>1221</v>
      </c>
      <c r="E854" s="24"/>
      <c r="F854" s="21">
        <f>F855</f>
        <v>420</v>
      </c>
      <c r="G854" s="21">
        <f t="shared" ref="G854:G856" si="88">G855</f>
        <v>450</v>
      </c>
    </row>
    <row r="855" spans="1:7" ht="22.7" customHeight="1" x14ac:dyDescent="0.25">
      <c r="A855" s="25" t="s">
        <v>1036</v>
      </c>
      <c r="B855" s="20" t="s">
        <v>244</v>
      </c>
      <c r="C855" s="20" t="s">
        <v>215</v>
      </c>
      <c r="D855" s="20" t="s">
        <v>1223</v>
      </c>
      <c r="E855" s="20"/>
      <c r="F855" s="26">
        <f>F856</f>
        <v>420</v>
      </c>
      <c r="G855" s="26">
        <f t="shared" si="88"/>
        <v>450</v>
      </c>
    </row>
    <row r="856" spans="1:7" ht="31.5" x14ac:dyDescent="0.25">
      <c r="A856" s="25" t="s">
        <v>248</v>
      </c>
      <c r="B856" s="20" t="s">
        <v>244</v>
      </c>
      <c r="C856" s="20" t="s">
        <v>215</v>
      </c>
      <c r="D856" s="20" t="s">
        <v>1223</v>
      </c>
      <c r="E856" s="20" t="s">
        <v>249</v>
      </c>
      <c r="F856" s="26">
        <f>F857</f>
        <v>420</v>
      </c>
      <c r="G856" s="26">
        <f t="shared" si="88"/>
        <v>450</v>
      </c>
    </row>
    <row r="857" spans="1:7" ht="31.5" x14ac:dyDescent="0.25">
      <c r="A857" s="25" t="s">
        <v>348</v>
      </c>
      <c r="B857" s="20" t="s">
        <v>244</v>
      </c>
      <c r="C857" s="20" t="s">
        <v>215</v>
      </c>
      <c r="D857" s="20" t="s">
        <v>1223</v>
      </c>
      <c r="E857" s="20" t="s">
        <v>349</v>
      </c>
      <c r="F857" s="26">
        <f>'пр.6.1.ведом.22-23'!G467</f>
        <v>420</v>
      </c>
      <c r="G857" s="26">
        <f>'пр.6.1.ведом.22-23'!H467</f>
        <v>450</v>
      </c>
    </row>
    <row r="858" spans="1:7" ht="63" x14ac:dyDescent="0.25">
      <c r="A858" s="23" t="s">
        <v>1346</v>
      </c>
      <c r="B858" s="24" t="s">
        <v>244</v>
      </c>
      <c r="C858" s="24" t="s">
        <v>215</v>
      </c>
      <c r="D858" s="24" t="s">
        <v>254</v>
      </c>
      <c r="E858" s="24"/>
      <c r="F858" s="4">
        <f t="shared" ref="F858:G858" si="89">F859</f>
        <v>10</v>
      </c>
      <c r="G858" s="4">
        <f t="shared" si="89"/>
        <v>10</v>
      </c>
    </row>
    <row r="859" spans="1:7" ht="53.45" customHeight="1" x14ac:dyDescent="0.25">
      <c r="A859" s="23" t="s">
        <v>884</v>
      </c>
      <c r="B859" s="24" t="s">
        <v>244</v>
      </c>
      <c r="C859" s="24" t="s">
        <v>215</v>
      </c>
      <c r="D859" s="24" t="s">
        <v>882</v>
      </c>
      <c r="E859" s="24"/>
      <c r="F859" s="4">
        <f>F860+F863</f>
        <v>10</v>
      </c>
      <c r="G859" s="4">
        <f>G860+G863</f>
        <v>10</v>
      </c>
    </row>
    <row r="860" spans="1:7" ht="31.5" x14ac:dyDescent="0.25">
      <c r="A860" s="25" t="s">
        <v>883</v>
      </c>
      <c r="B860" s="20" t="s">
        <v>244</v>
      </c>
      <c r="C860" s="20" t="s">
        <v>215</v>
      </c>
      <c r="D860" s="20" t="s">
        <v>1188</v>
      </c>
      <c r="E860" s="20"/>
      <c r="F860" s="6">
        <f>F861</f>
        <v>10</v>
      </c>
      <c r="G860" s="6">
        <f>G861</f>
        <v>10</v>
      </c>
    </row>
    <row r="861" spans="1:7" ht="31.5" x14ac:dyDescent="0.25">
      <c r="A861" s="25" t="s">
        <v>248</v>
      </c>
      <c r="B861" s="20" t="s">
        <v>244</v>
      </c>
      <c r="C861" s="20" t="s">
        <v>215</v>
      </c>
      <c r="D861" s="20" t="s">
        <v>1188</v>
      </c>
      <c r="E861" s="20" t="s">
        <v>249</v>
      </c>
      <c r="F861" s="6">
        <f>F862</f>
        <v>10</v>
      </c>
      <c r="G861" s="6">
        <f>G862</f>
        <v>10</v>
      </c>
    </row>
    <row r="862" spans="1:7" ht="31.5" x14ac:dyDescent="0.25">
      <c r="A862" s="25" t="s">
        <v>250</v>
      </c>
      <c r="B862" s="20" t="s">
        <v>244</v>
      </c>
      <c r="C862" s="20" t="s">
        <v>215</v>
      </c>
      <c r="D862" s="20" t="s">
        <v>1188</v>
      </c>
      <c r="E862" s="20" t="s">
        <v>251</v>
      </c>
      <c r="F862" s="6">
        <f>'пр.6.1.ведом.22-23'!G230</f>
        <v>10</v>
      </c>
      <c r="G862" s="6">
        <f>'пр.6.1.ведом.22-23'!H230</f>
        <v>10</v>
      </c>
    </row>
    <row r="863" spans="1:7" s="203" customFormat="1" ht="63" hidden="1" x14ac:dyDescent="0.25">
      <c r="A863" s="25" t="s">
        <v>1176</v>
      </c>
      <c r="B863" s="20" t="s">
        <v>244</v>
      </c>
      <c r="C863" s="20" t="s">
        <v>215</v>
      </c>
      <c r="D863" s="20" t="s">
        <v>1175</v>
      </c>
      <c r="E863" s="20"/>
      <c r="F863" s="26">
        <f>F864</f>
        <v>0</v>
      </c>
      <c r="G863" s="26">
        <f>G864</f>
        <v>0</v>
      </c>
    </row>
    <row r="864" spans="1:7" s="203" customFormat="1" ht="31.5" hidden="1" x14ac:dyDescent="0.25">
      <c r="A864" s="25" t="s">
        <v>248</v>
      </c>
      <c r="B864" s="20" t="s">
        <v>244</v>
      </c>
      <c r="C864" s="20" t="s">
        <v>215</v>
      </c>
      <c r="D864" s="20" t="s">
        <v>1175</v>
      </c>
      <c r="E864" s="20" t="s">
        <v>249</v>
      </c>
      <c r="F864" s="26">
        <f>F865</f>
        <v>0</v>
      </c>
      <c r="G864" s="26">
        <f>G865</f>
        <v>0</v>
      </c>
    </row>
    <row r="865" spans="1:7" s="203" customFormat="1" ht="31.5" hidden="1" x14ac:dyDescent="0.25">
      <c r="A865" s="25" t="s">
        <v>250</v>
      </c>
      <c r="B865" s="20" t="s">
        <v>244</v>
      </c>
      <c r="C865" s="20" t="s">
        <v>215</v>
      </c>
      <c r="D865" s="20" t="s">
        <v>1175</v>
      </c>
      <c r="E865" s="20" t="s">
        <v>251</v>
      </c>
      <c r="F865" s="26">
        <f>'пр.6.1.ведом.22-23'!G233</f>
        <v>0</v>
      </c>
      <c r="G865" s="26">
        <f>'пр.6.1.ведом.22-23'!H233</f>
        <v>0</v>
      </c>
    </row>
    <row r="866" spans="1:7" s="203" customFormat="1" ht="15.75" x14ac:dyDescent="0.25">
      <c r="A866" s="23" t="s">
        <v>243</v>
      </c>
      <c r="B866" s="24" t="s">
        <v>244</v>
      </c>
      <c r="C866" s="20"/>
      <c r="D866" s="20"/>
      <c r="E866" s="20"/>
      <c r="F866" s="21">
        <f t="shared" ref="F866:G870" si="90">F867</f>
        <v>2469.1</v>
      </c>
      <c r="G866" s="21">
        <f t="shared" si="90"/>
        <v>10803.2</v>
      </c>
    </row>
    <row r="867" spans="1:7" s="203" customFormat="1" ht="15.75" x14ac:dyDescent="0.25">
      <c r="A867" s="23" t="s">
        <v>400</v>
      </c>
      <c r="B867" s="24" t="s">
        <v>244</v>
      </c>
      <c r="C867" s="24" t="s">
        <v>150</v>
      </c>
      <c r="D867" s="20"/>
      <c r="E867" s="20"/>
      <c r="F867" s="21">
        <f t="shared" si="90"/>
        <v>2469.1</v>
      </c>
      <c r="G867" s="21">
        <f t="shared" si="90"/>
        <v>10803.2</v>
      </c>
    </row>
    <row r="868" spans="1:7" s="203" customFormat="1" ht="47.25" x14ac:dyDescent="0.25">
      <c r="A868" s="23" t="s">
        <v>885</v>
      </c>
      <c r="B868" s="24" t="s">
        <v>244</v>
      </c>
      <c r="C868" s="24" t="s">
        <v>150</v>
      </c>
      <c r="D868" s="24" t="s">
        <v>863</v>
      </c>
      <c r="E868" s="20"/>
      <c r="F868" s="21">
        <f t="shared" si="90"/>
        <v>2469.1</v>
      </c>
      <c r="G868" s="21">
        <f t="shared" si="90"/>
        <v>10803.2</v>
      </c>
    </row>
    <row r="869" spans="1:7" s="203" customFormat="1" ht="47.25" x14ac:dyDescent="0.25">
      <c r="A869" s="25" t="s">
        <v>1171</v>
      </c>
      <c r="B869" s="20" t="s">
        <v>244</v>
      </c>
      <c r="C869" s="20" t="s">
        <v>150</v>
      </c>
      <c r="D869" s="20" t="s">
        <v>1170</v>
      </c>
      <c r="E869" s="20"/>
      <c r="F869" s="26">
        <f t="shared" si="90"/>
        <v>2469.1</v>
      </c>
      <c r="G869" s="26">
        <f t="shared" si="90"/>
        <v>10803.2</v>
      </c>
    </row>
    <row r="870" spans="1:7" s="203" customFormat="1" ht="31.5" x14ac:dyDescent="0.25">
      <c r="A870" s="25" t="s">
        <v>131</v>
      </c>
      <c r="B870" s="20" t="s">
        <v>244</v>
      </c>
      <c r="C870" s="20" t="s">
        <v>150</v>
      </c>
      <c r="D870" s="20" t="s">
        <v>1170</v>
      </c>
      <c r="E870" s="20" t="s">
        <v>132</v>
      </c>
      <c r="F870" s="26">
        <f t="shared" si="90"/>
        <v>2469.1</v>
      </c>
      <c r="G870" s="26">
        <f t="shared" si="90"/>
        <v>10803.2</v>
      </c>
    </row>
    <row r="871" spans="1:7" s="203" customFormat="1" ht="47.25" x14ac:dyDescent="0.25">
      <c r="A871" s="25" t="s">
        <v>133</v>
      </c>
      <c r="B871" s="20" t="s">
        <v>244</v>
      </c>
      <c r="C871" s="20" t="s">
        <v>150</v>
      </c>
      <c r="D871" s="20" t="s">
        <v>1170</v>
      </c>
      <c r="E871" s="20" t="s">
        <v>134</v>
      </c>
      <c r="F871" s="26">
        <f>'пр.6.1.ведом.22-23'!G536</f>
        <v>2469.1</v>
      </c>
      <c r="G871" s="26">
        <f>'пр.6.1.ведом.22-23'!H536</f>
        <v>10803.2</v>
      </c>
    </row>
    <row r="872" spans="1:7" ht="31.5" x14ac:dyDescent="0.25">
      <c r="A872" s="23" t="s">
        <v>258</v>
      </c>
      <c r="B872" s="24" t="s">
        <v>244</v>
      </c>
      <c r="C872" s="24" t="s">
        <v>120</v>
      </c>
      <c r="D872" s="24"/>
      <c r="E872" s="24"/>
      <c r="F872" s="4">
        <f>F873+F880</f>
        <v>3737.4</v>
      </c>
      <c r="G872" s="4">
        <f>G873+G880</f>
        <v>3693.4</v>
      </c>
    </row>
    <row r="873" spans="1:7" ht="31.5" x14ac:dyDescent="0.25">
      <c r="A873" s="23" t="s">
        <v>917</v>
      </c>
      <c r="B873" s="24" t="s">
        <v>244</v>
      </c>
      <c r="C873" s="24" t="s">
        <v>120</v>
      </c>
      <c r="D873" s="24" t="s">
        <v>858</v>
      </c>
      <c r="E873" s="24"/>
      <c r="F873" s="4">
        <f>F874</f>
        <v>3650.4</v>
      </c>
      <c r="G873" s="4">
        <f>G874</f>
        <v>3606.4</v>
      </c>
    </row>
    <row r="874" spans="1:7" ht="47.25" x14ac:dyDescent="0.25">
      <c r="A874" s="23" t="s">
        <v>885</v>
      </c>
      <c r="B874" s="24" t="s">
        <v>244</v>
      </c>
      <c r="C874" s="24" t="s">
        <v>120</v>
      </c>
      <c r="D874" s="24" t="s">
        <v>863</v>
      </c>
      <c r="E874" s="24"/>
      <c r="F874" s="4">
        <f>F875</f>
        <v>3650.4</v>
      </c>
      <c r="G874" s="4">
        <f>G875</f>
        <v>3606.4</v>
      </c>
    </row>
    <row r="875" spans="1:7" ht="47.25" x14ac:dyDescent="0.25">
      <c r="A875" s="31" t="s">
        <v>259</v>
      </c>
      <c r="B875" s="20" t="s">
        <v>244</v>
      </c>
      <c r="C875" s="20" t="s">
        <v>120</v>
      </c>
      <c r="D875" s="20" t="s">
        <v>925</v>
      </c>
      <c r="E875" s="20"/>
      <c r="F875" s="6">
        <f>F876+F878</f>
        <v>3650.4</v>
      </c>
      <c r="G875" s="6">
        <f>G876+G878</f>
        <v>3606.4</v>
      </c>
    </row>
    <row r="876" spans="1:7" ht="94.5" x14ac:dyDescent="0.25">
      <c r="A876" s="25" t="s">
        <v>127</v>
      </c>
      <c r="B876" s="20" t="s">
        <v>244</v>
      </c>
      <c r="C876" s="20" t="s">
        <v>120</v>
      </c>
      <c r="D876" s="20" t="s">
        <v>925</v>
      </c>
      <c r="E876" s="20" t="s">
        <v>128</v>
      </c>
      <c r="F876" s="6">
        <f>F877</f>
        <v>3249.8</v>
      </c>
      <c r="G876" s="6">
        <f>G877</f>
        <v>3205.8</v>
      </c>
    </row>
    <row r="877" spans="1:7" ht="31.5" x14ac:dyDescent="0.25">
      <c r="A877" s="25" t="s">
        <v>129</v>
      </c>
      <c r="B877" s="20" t="s">
        <v>244</v>
      </c>
      <c r="C877" s="20" t="s">
        <v>120</v>
      </c>
      <c r="D877" s="20" t="s">
        <v>925</v>
      </c>
      <c r="E877" s="20" t="s">
        <v>130</v>
      </c>
      <c r="F877" s="6">
        <f>'пр.6.1.ведом.22-23'!G239</f>
        <v>3249.8</v>
      </c>
      <c r="G877" s="6">
        <f>'пр.6.1.ведом.22-23'!H239</f>
        <v>3205.8</v>
      </c>
    </row>
    <row r="878" spans="1:7" ht="31.5" x14ac:dyDescent="0.25">
      <c r="A878" s="25" t="s">
        <v>131</v>
      </c>
      <c r="B878" s="20" t="s">
        <v>244</v>
      </c>
      <c r="C878" s="20" t="s">
        <v>120</v>
      </c>
      <c r="D878" s="20" t="s">
        <v>925</v>
      </c>
      <c r="E878" s="20" t="s">
        <v>132</v>
      </c>
      <c r="F878" s="6">
        <f>F879</f>
        <v>400.6</v>
      </c>
      <c r="G878" s="6">
        <f>G879</f>
        <v>400.6</v>
      </c>
    </row>
    <row r="879" spans="1:7" ht="47.25" x14ac:dyDescent="0.25">
      <c r="A879" s="25" t="s">
        <v>133</v>
      </c>
      <c r="B879" s="20" t="s">
        <v>244</v>
      </c>
      <c r="C879" s="20" t="s">
        <v>120</v>
      </c>
      <c r="D879" s="20" t="s">
        <v>925</v>
      </c>
      <c r="E879" s="20" t="s">
        <v>134</v>
      </c>
      <c r="F879" s="6">
        <f>'пр.6.1.ведом.22-23'!G241</f>
        <v>400.6</v>
      </c>
      <c r="G879" s="6">
        <f>'пр.6.1.ведом.22-23'!H241</f>
        <v>400.6</v>
      </c>
    </row>
    <row r="880" spans="1:7" ht="15.75" x14ac:dyDescent="0.25">
      <c r="A880" s="23" t="s">
        <v>141</v>
      </c>
      <c r="B880" s="24" t="s">
        <v>244</v>
      </c>
      <c r="C880" s="24" t="s">
        <v>120</v>
      </c>
      <c r="D880" s="24" t="s">
        <v>866</v>
      </c>
      <c r="E880" s="24"/>
      <c r="F880" s="4">
        <f t="shared" ref="F880:G883" si="91">F881</f>
        <v>87</v>
      </c>
      <c r="G880" s="4">
        <f t="shared" si="91"/>
        <v>87</v>
      </c>
    </row>
    <row r="881" spans="1:7" ht="31.5" x14ac:dyDescent="0.25">
      <c r="A881" s="23" t="s">
        <v>870</v>
      </c>
      <c r="B881" s="24" t="s">
        <v>244</v>
      </c>
      <c r="C881" s="24" t="s">
        <v>120</v>
      </c>
      <c r="D881" s="24" t="s">
        <v>865</v>
      </c>
      <c r="E881" s="24"/>
      <c r="F881" s="4">
        <f t="shared" si="91"/>
        <v>87</v>
      </c>
      <c r="G881" s="4">
        <f t="shared" si="91"/>
        <v>87</v>
      </c>
    </row>
    <row r="882" spans="1:7" ht="15.75" x14ac:dyDescent="0.25">
      <c r="A882" s="25" t="s">
        <v>572</v>
      </c>
      <c r="B882" s="20" t="s">
        <v>244</v>
      </c>
      <c r="C882" s="20" t="s">
        <v>120</v>
      </c>
      <c r="D882" s="20" t="s">
        <v>985</v>
      </c>
      <c r="E882" s="20"/>
      <c r="F882" s="6">
        <f t="shared" si="91"/>
        <v>87</v>
      </c>
      <c r="G882" s="6">
        <f t="shared" si="91"/>
        <v>87</v>
      </c>
    </row>
    <row r="883" spans="1:7" ht="31.5" x14ac:dyDescent="0.25">
      <c r="A883" s="25" t="s">
        <v>131</v>
      </c>
      <c r="B883" s="20" t="s">
        <v>244</v>
      </c>
      <c r="C883" s="20" t="s">
        <v>120</v>
      </c>
      <c r="D883" s="20" t="s">
        <v>985</v>
      </c>
      <c r="E883" s="20" t="s">
        <v>132</v>
      </c>
      <c r="F883" s="6">
        <f t="shared" si="91"/>
        <v>87</v>
      </c>
      <c r="G883" s="6">
        <f t="shared" si="91"/>
        <v>87</v>
      </c>
    </row>
    <row r="884" spans="1:7" ht="47.25" x14ac:dyDescent="0.25">
      <c r="A884" s="25" t="s">
        <v>133</v>
      </c>
      <c r="B884" s="20" t="s">
        <v>244</v>
      </c>
      <c r="C884" s="20" t="s">
        <v>120</v>
      </c>
      <c r="D884" s="20" t="s">
        <v>985</v>
      </c>
      <c r="E884" s="20" t="s">
        <v>134</v>
      </c>
      <c r="F884" s="6">
        <f>'пр.6.1.ведом.22-23'!G1045</f>
        <v>87</v>
      </c>
      <c r="G884" s="6">
        <f>'пр.6.1.ведом.22-23'!H1045</f>
        <v>87</v>
      </c>
    </row>
    <row r="885" spans="1:7" ht="15.75" x14ac:dyDescent="0.25">
      <c r="A885" s="41" t="s">
        <v>490</v>
      </c>
      <c r="B885" s="7" t="s">
        <v>491</v>
      </c>
      <c r="C885" s="40"/>
      <c r="D885" s="40"/>
      <c r="E885" s="40"/>
      <c r="F885" s="4">
        <f>F886+F923</f>
        <v>63981.399999999994</v>
      </c>
      <c r="G885" s="4">
        <f>G886+G923</f>
        <v>64012.600000000006</v>
      </c>
    </row>
    <row r="886" spans="1:7" ht="15.75" x14ac:dyDescent="0.25">
      <c r="A886" s="23" t="s">
        <v>492</v>
      </c>
      <c r="B886" s="24" t="s">
        <v>491</v>
      </c>
      <c r="C886" s="24" t="s">
        <v>118</v>
      </c>
      <c r="D886" s="20"/>
      <c r="E886" s="20"/>
      <c r="F886" s="4">
        <f>F887+F918+F913</f>
        <v>50452.2</v>
      </c>
      <c r="G886" s="4">
        <f>G887+G918+G913</f>
        <v>50483.4</v>
      </c>
    </row>
    <row r="887" spans="1:7" ht="47.25" x14ac:dyDescent="0.25">
      <c r="A887" s="23" t="s">
        <v>1369</v>
      </c>
      <c r="B887" s="24" t="s">
        <v>491</v>
      </c>
      <c r="C887" s="24" t="s">
        <v>118</v>
      </c>
      <c r="D887" s="24" t="s">
        <v>482</v>
      </c>
      <c r="E887" s="24"/>
      <c r="F887" s="4">
        <f>F888+F892+F902+F909</f>
        <v>49873.1</v>
      </c>
      <c r="G887" s="4">
        <f>G888+G892+G902+G909</f>
        <v>49873.1</v>
      </c>
    </row>
    <row r="888" spans="1:7" ht="47.25" x14ac:dyDescent="0.25">
      <c r="A888" s="23" t="s">
        <v>937</v>
      </c>
      <c r="B888" s="24" t="s">
        <v>491</v>
      </c>
      <c r="C888" s="24" t="s">
        <v>118</v>
      </c>
      <c r="D888" s="24" t="s">
        <v>1263</v>
      </c>
      <c r="E888" s="24"/>
      <c r="F888" s="4">
        <f t="shared" ref="F888:G890" si="92">F889</f>
        <v>47819.6</v>
      </c>
      <c r="G888" s="4">
        <f t="shared" si="92"/>
        <v>47819.6</v>
      </c>
    </row>
    <row r="889" spans="1:7" ht="47.25" x14ac:dyDescent="0.25">
      <c r="A889" s="25" t="s">
        <v>1293</v>
      </c>
      <c r="B889" s="20" t="s">
        <v>491</v>
      </c>
      <c r="C889" s="20" t="s">
        <v>118</v>
      </c>
      <c r="D889" s="20" t="s">
        <v>1264</v>
      </c>
      <c r="E889" s="20"/>
      <c r="F889" s="6">
        <f t="shared" si="92"/>
        <v>47819.6</v>
      </c>
      <c r="G889" s="6">
        <f t="shared" si="92"/>
        <v>47819.6</v>
      </c>
    </row>
    <row r="890" spans="1:7" ht="47.25" x14ac:dyDescent="0.25">
      <c r="A890" s="25" t="s">
        <v>272</v>
      </c>
      <c r="B890" s="20" t="s">
        <v>491</v>
      </c>
      <c r="C890" s="20" t="s">
        <v>118</v>
      </c>
      <c r="D890" s="20" t="s">
        <v>1264</v>
      </c>
      <c r="E890" s="20" t="s">
        <v>273</v>
      </c>
      <c r="F890" s="6">
        <f t="shared" si="92"/>
        <v>47819.6</v>
      </c>
      <c r="G890" s="6">
        <f t="shared" si="92"/>
        <v>47819.6</v>
      </c>
    </row>
    <row r="891" spans="1:7" ht="15.75" x14ac:dyDescent="0.25">
      <c r="A891" s="25" t="s">
        <v>274</v>
      </c>
      <c r="B891" s="20" t="s">
        <v>491</v>
      </c>
      <c r="C891" s="20" t="s">
        <v>118</v>
      </c>
      <c r="D891" s="20" t="s">
        <v>1264</v>
      </c>
      <c r="E891" s="20" t="s">
        <v>275</v>
      </c>
      <c r="F891" s="6">
        <f>'пр.6.1.ведом.22-23'!G770</f>
        <v>47819.6</v>
      </c>
      <c r="G891" s="6">
        <f>'пр.6.1.ведом.22-23'!H770</f>
        <v>47819.6</v>
      </c>
    </row>
    <row r="892" spans="1:7" ht="31.5" x14ac:dyDescent="0.25">
      <c r="A892" s="23" t="s">
        <v>945</v>
      </c>
      <c r="B892" s="24" t="s">
        <v>491</v>
      </c>
      <c r="C892" s="24" t="s">
        <v>118</v>
      </c>
      <c r="D892" s="24" t="s">
        <v>1265</v>
      </c>
      <c r="E892" s="24"/>
      <c r="F892" s="4">
        <f>F893+F896+F899</f>
        <v>36</v>
      </c>
      <c r="G892" s="4">
        <f>G893+G896+G899</f>
        <v>36</v>
      </c>
    </row>
    <row r="893" spans="1:7" ht="47.25" hidden="1" x14ac:dyDescent="0.25">
      <c r="A893" s="25" t="s">
        <v>278</v>
      </c>
      <c r="B893" s="20" t="s">
        <v>491</v>
      </c>
      <c r="C893" s="20" t="s">
        <v>118</v>
      </c>
      <c r="D893" s="20" t="s">
        <v>1323</v>
      </c>
      <c r="E893" s="20"/>
      <c r="F893" s="6">
        <f>'Пр.3 Рд,пр, ЦС,ВР 22'!F976</f>
        <v>0</v>
      </c>
      <c r="G893" s="6">
        <f>'Пр.3 Рд,пр, ЦС,ВР 22'!G976</f>
        <v>0</v>
      </c>
    </row>
    <row r="894" spans="1:7" ht="47.25" hidden="1" x14ac:dyDescent="0.25">
      <c r="A894" s="25" t="s">
        <v>272</v>
      </c>
      <c r="B894" s="20" t="s">
        <v>491</v>
      </c>
      <c r="C894" s="20" t="s">
        <v>118</v>
      </c>
      <c r="D894" s="20" t="s">
        <v>1323</v>
      </c>
      <c r="E894" s="20" t="s">
        <v>273</v>
      </c>
      <c r="F894" s="6">
        <f>'Пр.3 Рд,пр, ЦС,ВР 22'!F977</f>
        <v>0</v>
      </c>
      <c r="G894" s="6">
        <f>'Пр.3 Рд,пр, ЦС,ВР 22'!G977</f>
        <v>0</v>
      </c>
    </row>
    <row r="895" spans="1:7" ht="15.75" hidden="1" x14ac:dyDescent="0.25">
      <c r="A895" s="25" t="s">
        <v>274</v>
      </c>
      <c r="B895" s="20" t="s">
        <v>491</v>
      </c>
      <c r="C895" s="20" t="s">
        <v>118</v>
      </c>
      <c r="D895" s="20" t="s">
        <v>1323</v>
      </c>
      <c r="E895" s="20" t="s">
        <v>275</v>
      </c>
      <c r="F895" s="6">
        <f>'Пр.3 Рд,пр, ЦС,ВР 22'!F978</f>
        <v>0</v>
      </c>
      <c r="G895" s="6">
        <f>'Пр.3 Рд,пр, ЦС,ВР 22'!G978</f>
        <v>0</v>
      </c>
    </row>
    <row r="896" spans="1:7" ht="31.5" hidden="1" x14ac:dyDescent="0.25">
      <c r="A896" s="25" t="s">
        <v>280</v>
      </c>
      <c r="B896" s="20" t="s">
        <v>491</v>
      </c>
      <c r="C896" s="20" t="s">
        <v>118</v>
      </c>
      <c r="D896" s="20" t="s">
        <v>1324</v>
      </c>
      <c r="E896" s="20"/>
      <c r="F896" s="6">
        <f>F897</f>
        <v>0</v>
      </c>
      <c r="G896" s="6">
        <f>G897</f>
        <v>0</v>
      </c>
    </row>
    <row r="897" spans="1:7" ht="47.25" hidden="1" x14ac:dyDescent="0.25">
      <c r="A897" s="25" t="s">
        <v>272</v>
      </c>
      <c r="B897" s="20" t="s">
        <v>491</v>
      </c>
      <c r="C897" s="20" t="s">
        <v>118</v>
      </c>
      <c r="D897" s="20" t="s">
        <v>1324</v>
      </c>
      <c r="E897" s="20" t="s">
        <v>273</v>
      </c>
      <c r="F897" s="6">
        <f>F898</f>
        <v>0</v>
      </c>
      <c r="G897" s="6">
        <f>G898</f>
        <v>0</v>
      </c>
    </row>
    <row r="898" spans="1:7" ht="15.75" hidden="1" x14ac:dyDescent="0.25">
      <c r="A898" s="25" t="s">
        <v>274</v>
      </c>
      <c r="B898" s="20" t="s">
        <v>491</v>
      </c>
      <c r="C898" s="20" t="s">
        <v>118</v>
      </c>
      <c r="D898" s="20" t="s">
        <v>1324</v>
      </c>
      <c r="E898" s="20" t="s">
        <v>275</v>
      </c>
      <c r="F898" s="6">
        <f>'пр.6.1.ведом.22-23'!G777</f>
        <v>0</v>
      </c>
      <c r="G898" s="6">
        <f>'пр.6.1.ведом.22-23'!H777</f>
        <v>0</v>
      </c>
    </row>
    <row r="899" spans="1:7" ht="15.75" x14ac:dyDescent="0.25">
      <c r="A899" s="25" t="s">
        <v>830</v>
      </c>
      <c r="B899" s="20" t="s">
        <v>491</v>
      </c>
      <c r="C899" s="20" t="s">
        <v>118</v>
      </c>
      <c r="D899" s="20" t="s">
        <v>1266</v>
      </c>
      <c r="E899" s="20"/>
      <c r="F899" s="6">
        <f>F900</f>
        <v>36</v>
      </c>
      <c r="G899" s="6">
        <f>G900</f>
        <v>36</v>
      </c>
    </row>
    <row r="900" spans="1:7" ht="47.25" x14ac:dyDescent="0.25">
      <c r="A900" s="25" t="s">
        <v>272</v>
      </c>
      <c r="B900" s="20" t="s">
        <v>491</v>
      </c>
      <c r="C900" s="20" t="s">
        <v>118</v>
      </c>
      <c r="D900" s="20" t="s">
        <v>1266</v>
      </c>
      <c r="E900" s="20" t="s">
        <v>273</v>
      </c>
      <c r="F900" s="6">
        <f>F901</f>
        <v>36</v>
      </c>
      <c r="G900" s="6">
        <f>G901</f>
        <v>36</v>
      </c>
    </row>
    <row r="901" spans="1:7" ht="15.75" x14ac:dyDescent="0.25">
      <c r="A901" s="25" t="s">
        <v>274</v>
      </c>
      <c r="B901" s="20" t="s">
        <v>491</v>
      </c>
      <c r="C901" s="20" t="s">
        <v>118</v>
      </c>
      <c r="D901" s="20" t="s">
        <v>1266</v>
      </c>
      <c r="E901" s="20" t="s">
        <v>275</v>
      </c>
      <c r="F901" s="6">
        <f>'пр.6.1.ведом.22-23'!G781</f>
        <v>36</v>
      </c>
      <c r="G901" s="6">
        <f>'пр.6.1.ведом.22-23'!H781</f>
        <v>36</v>
      </c>
    </row>
    <row r="902" spans="1:7" ht="47.25" x14ac:dyDescent="0.25">
      <c r="A902" s="23" t="s">
        <v>947</v>
      </c>
      <c r="B902" s="24" t="s">
        <v>491</v>
      </c>
      <c r="C902" s="24" t="s">
        <v>118</v>
      </c>
      <c r="D902" s="24" t="s">
        <v>1267</v>
      </c>
      <c r="E902" s="24"/>
      <c r="F902" s="4">
        <f>F903+F906</f>
        <v>1204</v>
      </c>
      <c r="G902" s="4">
        <f>G903+G906</f>
        <v>1204</v>
      </c>
    </row>
    <row r="903" spans="1:7" ht="31.5" hidden="1" x14ac:dyDescent="0.25">
      <c r="A903" s="25" t="s">
        <v>791</v>
      </c>
      <c r="B903" s="20" t="s">
        <v>491</v>
      </c>
      <c r="C903" s="20" t="s">
        <v>118</v>
      </c>
      <c r="D903" s="20" t="s">
        <v>1305</v>
      </c>
      <c r="E903" s="20"/>
      <c r="F903" s="6">
        <f>'Пр.3 Рд,пр, ЦС,ВР 22'!F989</f>
        <v>0</v>
      </c>
      <c r="G903" s="6">
        <f>'Пр.3 Рд,пр, ЦС,ВР 22'!G989</f>
        <v>0</v>
      </c>
    </row>
    <row r="904" spans="1:7" ht="47.25" hidden="1" x14ac:dyDescent="0.25">
      <c r="A904" s="25" t="s">
        <v>272</v>
      </c>
      <c r="B904" s="20" t="s">
        <v>491</v>
      </c>
      <c r="C904" s="20" t="s">
        <v>118</v>
      </c>
      <c r="D904" s="20" t="s">
        <v>1305</v>
      </c>
      <c r="E904" s="20" t="s">
        <v>273</v>
      </c>
      <c r="F904" s="6">
        <f>'Пр.3 Рд,пр, ЦС,ВР 22'!F990</f>
        <v>0</v>
      </c>
      <c r="G904" s="6">
        <f>'Пр.3 Рд,пр, ЦС,ВР 22'!G990</f>
        <v>0</v>
      </c>
    </row>
    <row r="905" spans="1:7" ht="15.75" hidden="1" x14ac:dyDescent="0.25">
      <c r="A905" s="25" t="s">
        <v>274</v>
      </c>
      <c r="B905" s="20" t="s">
        <v>491</v>
      </c>
      <c r="C905" s="20" t="s">
        <v>118</v>
      </c>
      <c r="D905" s="20" t="s">
        <v>1305</v>
      </c>
      <c r="E905" s="20" t="s">
        <v>275</v>
      </c>
      <c r="F905" s="6">
        <f>'Пр.3 Рд,пр, ЦС,ВР 22'!F991</f>
        <v>0</v>
      </c>
      <c r="G905" s="6">
        <f>'Пр.3 Рд,пр, ЦС,ВР 22'!G991</f>
        <v>0</v>
      </c>
    </row>
    <row r="906" spans="1:7" ht="47.25" x14ac:dyDescent="0.25">
      <c r="A906" s="45" t="s">
        <v>764</v>
      </c>
      <c r="B906" s="20" t="s">
        <v>491</v>
      </c>
      <c r="C906" s="20" t="s">
        <v>118</v>
      </c>
      <c r="D906" s="20" t="s">
        <v>1268</v>
      </c>
      <c r="E906" s="20"/>
      <c r="F906" s="6">
        <f>F907</f>
        <v>1204</v>
      </c>
      <c r="G906" s="6">
        <f>G907</f>
        <v>1204</v>
      </c>
    </row>
    <row r="907" spans="1:7" ht="47.25" x14ac:dyDescent="0.25">
      <c r="A907" s="31" t="s">
        <v>272</v>
      </c>
      <c r="B907" s="20" t="s">
        <v>491</v>
      </c>
      <c r="C907" s="20" t="s">
        <v>118</v>
      </c>
      <c r="D907" s="20" t="s">
        <v>1268</v>
      </c>
      <c r="E907" s="20" t="s">
        <v>273</v>
      </c>
      <c r="F907" s="6">
        <f>F908</f>
        <v>1204</v>
      </c>
      <c r="G907" s="6">
        <f>G908</f>
        <v>1204</v>
      </c>
    </row>
    <row r="908" spans="1:7" ht="15.75" x14ac:dyDescent="0.25">
      <c r="A908" s="31" t="s">
        <v>274</v>
      </c>
      <c r="B908" s="20" t="s">
        <v>491</v>
      </c>
      <c r="C908" s="20" t="s">
        <v>118</v>
      </c>
      <c r="D908" s="20" t="s">
        <v>1268</v>
      </c>
      <c r="E908" s="20" t="s">
        <v>275</v>
      </c>
      <c r="F908" s="6">
        <f>'пр.6.1.ведом.22-23'!G788</f>
        <v>1204</v>
      </c>
      <c r="G908" s="6">
        <f>'пр.6.1.ведом.22-23'!H788</f>
        <v>1204</v>
      </c>
    </row>
    <row r="909" spans="1:7" ht="54.75" customHeight="1" x14ac:dyDescent="0.25">
      <c r="A909" s="23" t="s">
        <v>900</v>
      </c>
      <c r="B909" s="24" t="s">
        <v>491</v>
      </c>
      <c r="C909" s="24" t="s">
        <v>118</v>
      </c>
      <c r="D909" s="24" t="s">
        <v>1269</v>
      </c>
      <c r="E909" s="24"/>
      <c r="F909" s="4">
        <f t="shared" ref="F909:G911" si="93">F910</f>
        <v>813.5</v>
      </c>
      <c r="G909" s="4">
        <f t="shared" si="93"/>
        <v>813.5</v>
      </c>
    </row>
    <row r="910" spans="1:7" ht="121.7" customHeight="1" x14ac:dyDescent="0.25">
      <c r="A910" s="31" t="s">
        <v>464</v>
      </c>
      <c r="B910" s="20" t="s">
        <v>491</v>
      </c>
      <c r="C910" s="20" t="s">
        <v>118</v>
      </c>
      <c r="D910" s="20" t="s">
        <v>1402</v>
      </c>
      <c r="E910" s="20"/>
      <c r="F910" s="6">
        <f t="shared" si="93"/>
        <v>813.5</v>
      </c>
      <c r="G910" s="6">
        <f t="shared" si="93"/>
        <v>813.5</v>
      </c>
    </row>
    <row r="911" spans="1:7" ht="47.25" x14ac:dyDescent="0.25">
      <c r="A911" s="25" t="s">
        <v>272</v>
      </c>
      <c r="B911" s="20" t="s">
        <v>491</v>
      </c>
      <c r="C911" s="20" t="s">
        <v>118</v>
      </c>
      <c r="D911" s="20" t="s">
        <v>1402</v>
      </c>
      <c r="E911" s="20" t="s">
        <v>273</v>
      </c>
      <c r="F911" s="6">
        <f t="shared" si="93"/>
        <v>813.5</v>
      </c>
      <c r="G911" s="6">
        <f t="shared" si="93"/>
        <v>813.5</v>
      </c>
    </row>
    <row r="912" spans="1:7" ht="15.75" x14ac:dyDescent="0.25">
      <c r="A912" s="25" t="s">
        <v>274</v>
      </c>
      <c r="B912" s="20" t="s">
        <v>491</v>
      </c>
      <c r="C912" s="20" t="s">
        <v>118</v>
      </c>
      <c r="D912" s="20" t="s">
        <v>1402</v>
      </c>
      <c r="E912" s="20" t="s">
        <v>275</v>
      </c>
      <c r="F912" s="6">
        <f>'пр.6.1.ведом.22-23'!G792</f>
        <v>813.5</v>
      </c>
      <c r="G912" s="6">
        <f>'пр.6.1.ведом.22-23'!H792</f>
        <v>813.5</v>
      </c>
    </row>
    <row r="913" spans="1:7" s="203" customFormat="1" ht="63" x14ac:dyDescent="0.25">
      <c r="A913" s="34" t="s">
        <v>1357</v>
      </c>
      <c r="B913" s="24" t="s">
        <v>491</v>
      </c>
      <c r="C913" s="24" t="s">
        <v>118</v>
      </c>
      <c r="D913" s="24" t="s">
        <v>324</v>
      </c>
      <c r="E913" s="24"/>
      <c r="F913" s="4">
        <f t="shared" ref="F913:G916" si="94">F914</f>
        <v>0</v>
      </c>
      <c r="G913" s="4">
        <f t="shared" si="94"/>
        <v>8</v>
      </c>
    </row>
    <row r="914" spans="1:7" s="203" customFormat="1" ht="63" x14ac:dyDescent="0.25">
      <c r="A914" s="34" t="s">
        <v>1024</v>
      </c>
      <c r="B914" s="24" t="s">
        <v>491</v>
      </c>
      <c r="C914" s="24" t="s">
        <v>118</v>
      </c>
      <c r="D914" s="24" t="s">
        <v>934</v>
      </c>
      <c r="E914" s="24"/>
      <c r="F914" s="4">
        <f t="shared" si="94"/>
        <v>0</v>
      </c>
      <c r="G914" s="4">
        <f t="shared" si="94"/>
        <v>8</v>
      </c>
    </row>
    <row r="915" spans="1:7" s="203" customFormat="1" ht="47.25" x14ac:dyDescent="0.25">
      <c r="A915" s="31" t="s">
        <v>1008</v>
      </c>
      <c r="B915" s="20" t="s">
        <v>491</v>
      </c>
      <c r="C915" s="20" t="s">
        <v>118</v>
      </c>
      <c r="D915" s="20" t="s">
        <v>935</v>
      </c>
      <c r="E915" s="20"/>
      <c r="F915" s="6">
        <f t="shared" si="94"/>
        <v>0</v>
      </c>
      <c r="G915" s="6">
        <f t="shared" si="94"/>
        <v>8</v>
      </c>
    </row>
    <row r="916" spans="1:7" s="203" customFormat="1" ht="47.25" x14ac:dyDescent="0.25">
      <c r="A916" s="31" t="s">
        <v>272</v>
      </c>
      <c r="B916" s="20" t="s">
        <v>491</v>
      </c>
      <c r="C916" s="20" t="s">
        <v>118</v>
      </c>
      <c r="D916" s="20" t="s">
        <v>935</v>
      </c>
      <c r="E916" s="20" t="s">
        <v>273</v>
      </c>
      <c r="F916" s="6">
        <f t="shared" si="94"/>
        <v>0</v>
      </c>
      <c r="G916" s="6">
        <f t="shared" si="94"/>
        <v>8</v>
      </c>
    </row>
    <row r="917" spans="1:7" s="203" customFormat="1" ht="15.75" x14ac:dyDescent="0.25">
      <c r="A917" s="31" t="s">
        <v>274</v>
      </c>
      <c r="B917" s="20" t="s">
        <v>491</v>
      </c>
      <c r="C917" s="20" t="s">
        <v>118</v>
      </c>
      <c r="D917" s="20" t="s">
        <v>935</v>
      </c>
      <c r="E917" s="20" t="s">
        <v>275</v>
      </c>
      <c r="F917" s="6">
        <f>'пр.6.1.ведом.22-23'!G797</f>
        <v>0</v>
      </c>
      <c r="G917" s="6">
        <f>'пр.6.1.ведом.22-23'!H797</f>
        <v>8</v>
      </c>
    </row>
    <row r="918" spans="1:7" ht="48.95" customHeight="1" x14ac:dyDescent="0.25">
      <c r="A918" s="41" t="s">
        <v>1352</v>
      </c>
      <c r="B918" s="24" t="s">
        <v>491</v>
      </c>
      <c r="C918" s="24" t="s">
        <v>118</v>
      </c>
      <c r="D918" s="24" t="s">
        <v>705</v>
      </c>
      <c r="E918" s="222"/>
      <c r="F918" s="4">
        <f t="shared" ref="F918:G918" si="95">F919</f>
        <v>579.1</v>
      </c>
      <c r="G918" s="4">
        <f t="shared" si="95"/>
        <v>602.29999999999995</v>
      </c>
    </row>
    <row r="919" spans="1:7" ht="63" x14ac:dyDescent="0.25">
      <c r="A919" s="41" t="s">
        <v>890</v>
      </c>
      <c r="B919" s="24" t="s">
        <v>491</v>
      </c>
      <c r="C919" s="24" t="s">
        <v>118</v>
      </c>
      <c r="D919" s="24" t="s">
        <v>888</v>
      </c>
      <c r="E919" s="222"/>
      <c r="F919" s="4">
        <f t="shared" ref="F919:G921" si="96">F920</f>
        <v>579.1</v>
      </c>
      <c r="G919" s="4">
        <f t="shared" si="96"/>
        <v>602.29999999999995</v>
      </c>
    </row>
    <row r="920" spans="1:7" ht="47.25" x14ac:dyDescent="0.25">
      <c r="A920" s="98" t="s">
        <v>780</v>
      </c>
      <c r="B920" s="20" t="s">
        <v>491</v>
      </c>
      <c r="C920" s="20" t="s">
        <v>118</v>
      </c>
      <c r="D920" s="20" t="s">
        <v>936</v>
      </c>
      <c r="E920" s="32"/>
      <c r="F920" s="6">
        <f t="shared" si="96"/>
        <v>579.1</v>
      </c>
      <c r="G920" s="6">
        <f t="shared" si="96"/>
        <v>602.29999999999995</v>
      </c>
    </row>
    <row r="921" spans="1:7" ht="47.25" x14ac:dyDescent="0.25">
      <c r="A921" s="29" t="s">
        <v>272</v>
      </c>
      <c r="B921" s="20" t="s">
        <v>491</v>
      </c>
      <c r="C921" s="20" t="s">
        <v>118</v>
      </c>
      <c r="D921" s="20" t="s">
        <v>936</v>
      </c>
      <c r="E921" s="32" t="s">
        <v>273</v>
      </c>
      <c r="F921" s="6">
        <f t="shared" si="96"/>
        <v>579.1</v>
      </c>
      <c r="G921" s="6">
        <f t="shared" si="96"/>
        <v>602.29999999999995</v>
      </c>
    </row>
    <row r="922" spans="1:7" ht="15.75" x14ac:dyDescent="0.25">
      <c r="A922" s="182" t="s">
        <v>274</v>
      </c>
      <c r="B922" s="20" t="s">
        <v>491</v>
      </c>
      <c r="C922" s="20" t="s">
        <v>118</v>
      </c>
      <c r="D922" s="20" t="s">
        <v>936</v>
      </c>
      <c r="E922" s="32" t="s">
        <v>275</v>
      </c>
      <c r="F922" s="6">
        <f>'пр.6.1.ведом.22-23'!G802</f>
        <v>579.1</v>
      </c>
      <c r="G922" s="6">
        <f>'пр.6.1.ведом.22-23'!H802</f>
        <v>602.29999999999995</v>
      </c>
    </row>
    <row r="923" spans="1:7" ht="31.5" x14ac:dyDescent="0.25">
      <c r="A923" s="23" t="s">
        <v>500</v>
      </c>
      <c r="B923" s="24" t="s">
        <v>491</v>
      </c>
      <c r="C923" s="24" t="s">
        <v>234</v>
      </c>
      <c r="D923" s="24"/>
      <c r="E923" s="24"/>
      <c r="F923" s="4">
        <f>F924+F932+F944</f>
        <v>13529.2</v>
      </c>
      <c r="G923" s="4">
        <f>G924+G932+G944</f>
        <v>13529.2</v>
      </c>
    </row>
    <row r="924" spans="1:7" ht="31.5" x14ac:dyDescent="0.25">
      <c r="A924" s="23" t="s">
        <v>917</v>
      </c>
      <c r="B924" s="24" t="s">
        <v>491</v>
      </c>
      <c r="C924" s="24" t="s">
        <v>234</v>
      </c>
      <c r="D924" s="24" t="s">
        <v>858</v>
      </c>
      <c r="E924" s="24"/>
      <c r="F924" s="4">
        <f>F925</f>
        <v>5224.5</v>
      </c>
      <c r="G924" s="4">
        <f>G925</f>
        <v>5224.5</v>
      </c>
    </row>
    <row r="925" spans="1:7" ht="15.75" x14ac:dyDescent="0.25">
      <c r="A925" s="23" t="s">
        <v>918</v>
      </c>
      <c r="B925" s="24" t="s">
        <v>491</v>
      </c>
      <c r="C925" s="24" t="s">
        <v>234</v>
      </c>
      <c r="D925" s="24" t="s">
        <v>859</v>
      </c>
      <c r="E925" s="24"/>
      <c r="F925" s="4">
        <f>F926+F929</f>
        <v>5224.5</v>
      </c>
      <c r="G925" s="4">
        <f>G926+G929</f>
        <v>5224.5</v>
      </c>
    </row>
    <row r="926" spans="1:7" ht="31.5" x14ac:dyDescent="0.25">
      <c r="A926" s="25" t="s">
        <v>897</v>
      </c>
      <c r="B926" s="20" t="s">
        <v>491</v>
      </c>
      <c r="C926" s="20" t="s">
        <v>234</v>
      </c>
      <c r="D926" s="20" t="s">
        <v>860</v>
      </c>
      <c r="E926" s="20"/>
      <c r="F926" s="6">
        <f>F927</f>
        <v>4888.5</v>
      </c>
      <c r="G926" s="6">
        <f>G927</f>
        <v>4888.5</v>
      </c>
    </row>
    <row r="927" spans="1:7" ht="94.5" x14ac:dyDescent="0.25">
      <c r="A927" s="25" t="s">
        <v>127</v>
      </c>
      <c r="B927" s="20" t="s">
        <v>491</v>
      </c>
      <c r="C927" s="20" t="s">
        <v>234</v>
      </c>
      <c r="D927" s="20" t="s">
        <v>860</v>
      </c>
      <c r="E927" s="20" t="s">
        <v>128</v>
      </c>
      <c r="F927" s="6">
        <f>F928</f>
        <v>4888.5</v>
      </c>
      <c r="G927" s="6">
        <f>G928</f>
        <v>4888.5</v>
      </c>
    </row>
    <row r="928" spans="1:7" ht="31.5" x14ac:dyDescent="0.25">
      <c r="A928" s="25" t="s">
        <v>129</v>
      </c>
      <c r="B928" s="20" t="s">
        <v>491</v>
      </c>
      <c r="C928" s="20" t="s">
        <v>234</v>
      </c>
      <c r="D928" s="20" t="s">
        <v>860</v>
      </c>
      <c r="E928" s="20" t="s">
        <v>130</v>
      </c>
      <c r="F928" s="6">
        <f>'пр.6.1.ведом.22-23'!G808</f>
        <v>4888.5</v>
      </c>
      <c r="G928" s="6">
        <f>'пр.6.1.ведом.22-23'!H808</f>
        <v>4888.5</v>
      </c>
    </row>
    <row r="929" spans="1:7" ht="47.25" x14ac:dyDescent="0.25">
      <c r="A929" s="25" t="s">
        <v>839</v>
      </c>
      <c r="B929" s="20" t="s">
        <v>491</v>
      </c>
      <c r="C929" s="20" t="s">
        <v>234</v>
      </c>
      <c r="D929" s="20" t="s">
        <v>862</v>
      </c>
      <c r="E929" s="20"/>
      <c r="F929" s="6">
        <f>F930</f>
        <v>336</v>
      </c>
      <c r="G929" s="6">
        <f>G930</f>
        <v>336</v>
      </c>
    </row>
    <row r="930" spans="1:7" ht="94.5" x14ac:dyDescent="0.25">
      <c r="A930" s="25" t="s">
        <v>127</v>
      </c>
      <c r="B930" s="20" t="s">
        <v>491</v>
      </c>
      <c r="C930" s="20" t="s">
        <v>234</v>
      </c>
      <c r="D930" s="20" t="s">
        <v>862</v>
      </c>
      <c r="E930" s="20" t="s">
        <v>128</v>
      </c>
      <c r="F930" s="6">
        <f>F931</f>
        <v>336</v>
      </c>
      <c r="G930" s="6">
        <f>G931</f>
        <v>336</v>
      </c>
    </row>
    <row r="931" spans="1:7" ht="31.5" x14ac:dyDescent="0.25">
      <c r="A931" s="25" t="s">
        <v>129</v>
      </c>
      <c r="B931" s="20" t="s">
        <v>491</v>
      </c>
      <c r="C931" s="20" t="s">
        <v>234</v>
      </c>
      <c r="D931" s="20" t="s">
        <v>862</v>
      </c>
      <c r="E931" s="20" t="s">
        <v>130</v>
      </c>
      <c r="F931" s="6">
        <f>'пр.6.1.ведом.22-23'!G811</f>
        <v>336</v>
      </c>
      <c r="G931" s="6">
        <f>'пр.6.1.ведом.22-23'!H811</f>
        <v>336</v>
      </c>
    </row>
    <row r="932" spans="1:7" ht="15.75" x14ac:dyDescent="0.25">
      <c r="A932" s="23" t="s">
        <v>141</v>
      </c>
      <c r="B932" s="24" t="s">
        <v>491</v>
      </c>
      <c r="C932" s="24" t="s">
        <v>234</v>
      </c>
      <c r="D932" s="24" t="s">
        <v>866</v>
      </c>
      <c r="E932" s="24"/>
      <c r="F932" s="4">
        <f>F933</f>
        <v>5304.7</v>
      </c>
      <c r="G932" s="4">
        <f>G933</f>
        <v>5304.7</v>
      </c>
    </row>
    <row r="933" spans="1:7" ht="32.65" customHeight="1" x14ac:dyDescent="0.25">
      <c r="A933" s="23" t="s">
        <v>929</v>
      </c>
      <c r="B933" s="24" t="s">
        <v>491</v>
      </c>
      <c r="C933" s="24" t="s">
        <v>234</v>
      </c>
      <c r="D933" s="24" t="s">
        <v>914</v>
      </c>
      <c r="E933" s="24"/>
      <c r="F933" s="4">
        <f>F934+F941</f>
        <v>5304.7</v>
      </c>
      <c r="G933" s="4">
        <f>G934+G941</f>
        <v>5304.7</v>
      </c>
    </row>
    <row r="934" spans="1:7" ht="31.5" x14ac:dyDescent="0.25">
      <c r="A934" s="25" t="s">
        <v>903</v>
      </c>
      <c r="B934" s="20" t="s">
        <v>491</v>
      </c>
      <c r="C934" s="20" t="s">
        <v>234</v>
      </c>
      <c r="D934" s="20" t="s">
        <v>915</v>
      </c>
      <c r="E934" s="20"/>
      <c r="F934" s="6">
        <f>F937+F939+F935</f>
        <v>5089.7</v>
      </c>
      <c r="G934" s="6">
        <f>G937+G939+G935</f>
        <v>5089.7</v>
      </c>
    </row>
    <row r="935" spans="1:7" ht="94.5" x14ac:dyDescent="0.25">
      <c r="A935" s="25" t="s">
        <v>127</v>
      </c>
      <c r="B935" s="20" t="s">
        <v>491</v>
      </c>
      <c r="C935" s="20" t="s">
        <v>234</v>
      </c>
      <c r="D935" s="20" t="s">
        <v>915</v>
      </c>
      <c r="E935" s="20" t="s">
        <v>128</v>
      </c>
      <c r="F935" s="6">
        <f>F936</f>
        <v>4695.3999999999996</v>
      </c>
      <c r="G935" s="6">
        <f>G936</f>
        <v>4695.3999999999996</v>
      </c>
    </row>
    <row r="936" spans="1:7" ht="31.5" x14ac:dyDescent="0.25">
      <c r="A936" s="25" t="s">
        <v>342</v>
      </c>
      <c r="B936" s="20" t="s">
        <v>491</v>
      </c>
      <c r="C936" s="20" t="s">
        <v>234</v>
      </c>
      <c r="D936" s="20" t="s">
        <v>915</v>
      </c>
      <c r="E936" s="20" t="s">
        <v>209</v>
      </c>
      <c r="F936" s="6">
        <f>'пр.6.1.ведом.22-23'!G816</f>
        <v>4695.3999999999996</v>
      </c>
      <c r="G936" s="6">
        <f>'пр.6.1.ведом.22-23'!H816</f>
        <v>4695.3999999999996</v>
      </c>
    </row>
    <row r="937" spans="1:7" ht="31.5" x14ac:dyDescent="0.25">
      <c r="A937" s="25" t="s">
        <v>131</v>
      </c>
      <c r="B937" s="20" t="s">
        <v>491</v>
      </c>
      <c r="C937" s="20" t="s">
        <v>234</v>
      </c>
      <c r="D937" s="20" t="s">
        <v>915</v>
      </c>
      <c r="E937" s="20" t="s">
        <v>132</v>
      </c>
      <c r="F937" s="6">
        <f>F938</f>
        <v>343.3</v>
      </c>
      <c r="G937" s="6">
        <f>G938</f>
        <v>343.3</v>
      </c>
    </row>
    <row r="938" spans="1:7" ht="47.25" x14ac:dyDescent="0.25">
      <c r="A938" s="25" t="s">
        <v>133</v>
      </c>
      <c r="B938" s="20" t="s">
        <v>491</v>
      </c>
      <c r="C938" s="20" t="s">
        <v>234</v>
      </c>
      <c r="D938" s="20" t="s">
        <v>915</v>
      </c>
      <c r="E938" s="20" t="s">
        <v>134</v>
      </c>
      <c r="F938" s="6">
        <f>'пр.6.1.ведом.22-23'!G818</f>
        <v>343.3</v>
      </c>
      <c r="G938" s="6">
        <f>'пр.6.1.ведом.22-23'!H818</f>
        <v>343.3</v>
      </c>
    </row>
    <row r="939" spans="1:7" ht="15.75" x14ac:dyDescent="0.25">
      <c r="A939" s="25" t="s">
        <v>135</v>
      </c>
      <c r="B939" s="20" t="s">
        <v>491</v>
      </c>
      <c r="C939" s="20" t="s">
        <v>234</v>
      </c>
      <c r="D939" s="20" t="s">
        <v>915</v>
      </c>
      <c r="E939" s="20" t="s">
        <v>145</v>
      </c>
      <c r="F939" s="6">
        <f>F940</f>
        <v>51</v>
      </c>
      <c r="G939" s="6">
        <f>G940</f>
        <v>51</v>
      </c>
    </row>
    <row r="940" spans="1:7" ht="15.75" x14ac:dyDescent="0.25">
      <c r="A940" s="25" t="s">
        <v>568</v>
      </c>
      <c r="B940" s="20" t="s">
        <v>491</v>
      </c>
      <c r="C940" s="20" t="s">
        <v>234</v>
      </c>
      <c r="D940" s="20" t="s">
        <v>915</v>
      </c>
      <c r="E940" s="20" t="s">
        <v>138</v>
      </c>
      <c r="F940" s="6">
        <f>'пр.6.1.ведом.22-23'!G820</f>
        <v>51</v>
      </c>
      <c r="G940" s="6">
        <f>'пр.6.1.ведом.22-23'!H820</f>
        <v>51</v>
      </c>
    </row>
    <row r="941" spans="1:7" ht="47.25" x14ac:dyDescent="0.25">
      <c r="A941" s="25" t="s">
        <v>839</v>
      </c>
      <c r="B941" s="20" t="s">
        <v>491</v>
      </c>
      <c r="C941" s="20" t="s">
        <v>234</v>
      </c>
      <c r="D941" s="20" t="s">
        <v>916</v>
      </c>
      <c r="E941" s="20"/>
      <c r="F941" s="6">
        <f>F942</f>
        <v>215</v>
      </c>
      <c r="G941" s="6">
        <f>G942</f>
        <v>215</v>
      </c>
    </row>
    <row r="942" spans="1:7" ht="94.5" x14ac:dyDescent="0.25">
      <c r="A942" s="25" t="s">
        <v>127</v>
      </c>
      <c r="B942" s="20" t="s">
        <v>491</v>
      </c>
      <c r="C942" s="20" t="s">
        <v>234</v>
      </c>
      <c r="D942" s="20" t="s">
        <v>916</v>
      </c>
      <c r="E942" s="20" t="s">
        <v>128</v>
      </c>
      <c r="F942" s="6">
        <f>F943</f>
        <v>215</v>
      </c>
      <c r="G942" s="6">
        <f>G943</f>
        <v>215</v>
      </c>
    </row>
    <row r="943" spans="1:7" ht="31.5" x14ac:dyDescent="0.25">
      <c r="A943" s="25" t="s">
        <v>129</v>
      </c>
      <c r="B943" s="20" t="s">
        <v>491</v>
      </c>
      <c r="C943" s="20" t="s">
        <v>234</v>
      </c>
      <c r="D943" s="20" t="s">
        <v>916</v>
      </c>
      <c r="E943" s="20" t="s">
        <v>130</v>
      </c>
      <c r="F943" s="6">
        <f>'пр.6.1.ведом.22-23'!G823</f>
        <v>215</v>
      </c>
      <c r="G943" s="6">
        <f>'пр.6.1.ведом.22-23'!H823</f>
        <v>215</v>
      </c>
    </row>
    <row r="944" spans="1:7" ht="47.25" x14ac:dyDescent="0.25">
      <c r="A944" s="41" t="s">
        <v>1369</v>
      </c>
      <c r="B944" s="24" t="s">
        <v>491</v>
      </c>
      <c r="C944" s="24" t="s">
        <v>234</v>
      </c>
      <c r="D944" s="7" t="s">
        <v>482</v>
      </c>
      <c r="E944" s="24"/>
      <c r="F944" s="4">
        <f>F945</f>
        <v>3000</v>
      </c>
      <c r="G944" s="4">
        <f>G945</f>
        <v>3000</v>
      </c>
    </row>
    <row r="945" spans="1:7" ht="31.5" x14ac:dyDescent="0.25">
      <c r="A945" s="58" t="s">
        <v>951</v>
      </c>
      <c r="B945" s="24" t="s">
        <v>491</v>
      </c>
      <c r="C945" s="24" t="s">
        <v>234</v>
      </c>
      <c r="D945" s="7" t="s">
        <v>1271</v>
      </c>
      <c r="E945" s="24"/>
      <c r="F945" s="4">
        <f t="shared" ref="F945:G945" si="97">F946</f>
        <v>3000</v>
      </c>
      <c r="G945" s="4">
        <f t="shared" si="97"/>
        <v>3000</v>
      </c>
    </row>
    <row r="946" spans="1:7" ht="31.5" x14ac:dyDescent="0.25">
      <c r="A946" s="29" t="s">
        <v>952</v>
      </c>
      <c r="B946" s="20" t="s">
        <v>491</v>
      </c>
      <c r="C946" s="20" t="s">
        <v>234</v>
      </c>
      <c r="D946" s="40" t="s">
        <v>1272</v>
      </c>
      <c r="E946" s="20"/>
      <c r="F946" s="6">
        <f>F947+F949</f>
        <v>3000</v>
      </c>
      <c r="G946" s="6">
        <f>G947+G949</f>
        <v>3000</v>
      </c>
    </row>
    <row r="947" spans="1:7" ht="94.5" x14ac:dyDescent="0.25">
      <c r="A947" s="25" t="s">
        <v>127</v>
      </c>
      <c r="B947" s="20" t="s">
        <v>491</v>
      </c>
      <c r="C947" s="20" t="s">
        <v>234</v>
      </c>
      <c r="D947" s="40" t="s">
        <v>1272</v>
      </c>
      <c r="E947" s="20" t="s">
        <v>128</v>
      </c>
      <c r="F947" s="6">
        <f>F948</f>
        <v>2500</v>
      </c>
      <c r="G947" s="6">
        <f>G948</f>
        <v>2500</v>
      </c>
    </row>
    <row r="948" spans="1:7" ht="31.5" x14ac:dyDescent="0.25">
      <c r="A948" s="25" t="s">
        <v>342</v>
      </c>
      <c r="B948" s="20" t="s">
        <v>491</v>
      </c>
      <c r="C948" s="20" t="s">
        <v>234</v>
      </c>
      <c r="D948" s="40" t="s">
        <v>1272</v>
      </c>
      <c r="E948" s="20" t="s">
        <v>209</v>
      </c>
      <c r="F948" s="6">
        <f>'пр.6.1.ведом.22-23'!G828</f>
        <v>2500</v>
      </c>
      <c r="G948" s="6">
        <f>'пр.6.1.ведом.22-23'!H828</f>
        <v>2500</v>
      </c>
    </row>
    <row r="949" spans="1:7" ht="31.5" x14ac:dyDescent="0.25">
      <c r="A949" s="29" t="s">
        <v>131</v>
      </c>
      <c r="B949" s="20" t="s">
        <v>491</v>
      </c>
      <c r="C949" s="20" t="s">
        <v>234</v>
      </c>
      <c r="D949" s="40" t="s">
        <v>1272</v>
      </c>
      <c r="E949" s="20" t="s">
        <v>132</v>
      </c>
      <c r="F949" s="6">
        <f>F950</f>
        <v>500</v>
      </c>
      <c r="G949" s="6">
        <f>G950</f>
        <v>500</v>
      </c>
    </row>
    <row r="950" spans="1:7" ht="47.25" x14ac:dyDescent="0.25">
      <c r="A950" s="29" t="s">
        <v>133</v>
      </c>
      <c r="B950" s="20" t="s">
        <v>491</v>
      </c>
      <c r="C950" s="20" t="s">
        <v>234</v>
      </c>
      <c r="D950" s="40" t="s">
        <v>1272</v>
      </c>
      <c r="E950" s="20" t="s">
        <v>134</v>
      </c>
      <c r="F950" s="6">
        <f>'пр.6.1.ведом.22-23'!G830</f>
        <v>500</v>
      </c>
      <c r="G950" s="6">
        <f>'пр.6.1.ведом.22-23'!H830</f>
        <v>500</v>
      </c>
    </row>
    <row r="951" spans="1:7" ht="15.75" x14ac:dyDescent="0.25">
      <c r="A951" s="41" t="s">
        <v>582</v>
      </c>
      <c r="B951" s="7" t="s">
        <v>238</v>
      </c>
      <c r="C951" s="40"/>
      <c r="D951" s="40"/>
      <c r="E951" s="40"/>
      <c r="F951" s="4">
        <f t="shared" ref="F951:G951" si="98">F952</f>
        <v>5873.2</v>
      </c>
      <c r="G951" s="4">
        <f t="shared" si="98"/>
        <v>5876.2</v>
      </c>
    </row>
    <row r="952" spans="1:7" ht="15.75" x14ac:dyDescent="0.25">
      <c r="A952" s="41" t="s">
        <v>583</v>
      </c>
      <c r="B952" s="7" t="s">
        <v>238</v>
      </c>
      <c r="C952" s="7" t="s">
        <v>213</v>
      </c>
      <c r="D952" s="7"/>
      <c r="E952" s="7"/>
      <c r="F952" s="4">
        <f>F953+F965</f>
        <v>5873.2</v>
      </c>
      <c r="G952" s="4">
        <f>G953+G965</f>
        <v>5876.2</v>
      </c>
    </row>
    <row r="953" spans="1:7" ht="47.25" x14ac:dyDescent="0.25">
      <c r="A953" s="23" t="s">
        <v>1351</v>
      </c>
      <c r="B953" s="24" t="s">
        <v>238</v>
      </c>
      <c r="C953" s="24" t="s">
        <v>213</v>
      </c>
      <c r="D953" s="24" t="s">
        <v>267</v>
      </c>
      <c r="E953" s="24"/>
      <c r="F953" s="4">
        <f>F954</f>
        <v>5798.3</v>
      </c>
      <c r="G953" s="4">
        <f>G954</f>
        <v>5798.3</v>
      </c>
    </row>
    <row r="954" spans="1:7" ht="47.25" x14ac:dyDescent="0.25">
      <c r="A954" s="23" t="s">
        <v>1300</v>
      </c>
      <c r="B954" s="24" t="s">
        <v>238</v>
      </c>
      <c r="C954" s="24" t="s">
        <v>213</v>
      </c>
      <c r="D954" s="24" t="s">
        <v>1203</v>
      </c>
      <c r="E954" s="24"/>
      <c r="F954" s="4">
        <f>F955+F962</f>
        <v>5798.3</v>
      </c>
      <c r="G954" s="4">
        <f>G955+G962</f>
        <v>5798.3</v>
      </c>
    </row>
    <row r="955" spans="1:7" ht="31.5" x14ac:dyDescent="0.25">
      <c r="A955" s="25" t="s">
        <v>801</v>
      </c>
      <c r="B955" s="20" t="s">
        <v>238</v>
      </c>
      <c r="C955" s="20" t="s">
        <v>213</v>
      </c>
      <c r="D955" s="20" t="s">
        <v>1204</v>
      </c>
      <c r="E955" s="20"/>
      <c r="F955" s="6">
        <f>F956+F958+F960</f>
        <v>5522.3</v>
      </c>
      <c r="G955" s="6">
        <f>G956+G958+G960</f>
        <v>5522.3</v>
      </c>
    </row>
    <row r="956" spans="1:7" ht="94.5" x14ac:dyDescent="0.25">
      <c r="A956" s="25" t="s">
        <v>127</v>
      </c>
      <c r="B956" s="20" t="s">
        <v>238</v>
      </c>
      <c r="C956" s="20" t="s">
        <v>213</v>
      </c>
      <c r="D956" s="20" t="s">
        <v>1204</v>
      </c>
      <c r="E956" s="20" t="s">
        <v>128</v>
      </c>
      <c r="F956" s="6">
        <f>F957</f>
        <v>4897.2</v>
      </c>
      <c r="G956" s="6">
        <f>G957</f>
        <v>4897.2</v>
      </c>
    </row>
    <row r="957" spans="1:7" ht="31.5" x14ac:dyDescent="0.25">
      <c r="A957" s="25" t="s">
        <v>208</v>
      </c>
      <c r="B957" s="20" t="s">
        <v>238</v>
      </c>
      <c r="C957" s="20" t="s">
        <v>213</v>
      </c>
      <c r="D957" s="20" t="s">
        <v>1204</v>
      </c>
      <c r="E957" s="20" t="s">
        <v>209</v>
      </c>
      <c r="F957" s="6">
        <f>'пр.6.1.ведом.22-23'!G474</f>
        <v>4897.2</v>
      </c>
      <c r="G957" s="6">
        <f>'пр.6.1.ведом.22-23'!H474</f>
        <v>4897.2</v>
      </c>
    </row>
    <row r="958" spans="1:7" ht="31.5" x14ac:dyDescent="0.25">
      <c r="A958" s="25" t="s">
        <v>131</v>
      </c>
      <c r="B958" s="20" t="s">
        <v>238</v>
      </c>
      <c r="C958" s="20" t="s">
        <v>213</v>
      </c>
      <c r="D958" s="20" t="s">
        <v>1204</v>
      </c>
      <c r="E958" s="20" t="s">
        <v>132</v>
      </c>
      <c r="F958" s="6">
        <f>F959</f>
        <v>595.1</v>
      </c>
      <c r="G958" s="6">
        <f>G959</f>
        <v>595.1</v>
      </c>
    </row>
    <row r="959" spans="1:7" ht="47.25" x14ac:dyDescent="0.25">
      <c r="A959" s="25" t="s">
        <v>133</v>
      </c>
      <c r="B959" s="20" t="s">
        <v>238</v>
      </c>
      <c r="C959" s="20" t="s">
        <v>213</v>
      </c>
      <c r="D959" s="20" t="s">
        <v>1204</v>
      </c>
      <c r="E959" s="20" t="s">
        <v>134</v>
      </c>
      <c r="F959" s="6">
        <f>'пр.6.1.ведом.22-23'!G476</f>
        <v>595.1</v>
      </c>
      <c r="G959" s="6">
        <f>'пр.6.1.ведом.22-23'!H476</f>
        <v>595.1</v>
      </c>
    </row>
    <row r="960" spans="1:7" ht="15.75" x14ac:dyDescent="0.25">
      <c r="A960" s="25" t="s">
        <v>135</v>
      </c>
      <c r="B960" s="20" t="s">
        <v>238</v>
      </c>
      <c r="C960" s="20" t="s">
        <v>213</v>
      </c>
      <c r="D960" s="20" t="s">
        <v>1204</v>
      </c>
      <c r="E960" s="20" t="s">
        <v>145</v>
      </c>
      <c r="F960" s="6">
        <f>F961</f>
        <v>30</v>
      </c>
      <c r="G960" s="6">
        <f>G961</f>
        <v>30</v>
      </c>
    </row>
    <row r="961" spans="1:7" ht="24.75" customHeight="1" x14ac:dyDescent="0.25">
      <c r="A961" s="25" t="s">
        <v>568</v>
      </c>
      <c r="B961" s="20" t="s">
        <v>238</v>
      </c>
      <c r="C961" s="20" t="s">
        <v>213</v>
      </c>
      <c r="D961" s="20" t="s">
        <v>1204</v>
      </c>
      <c r="E961" s="20" t="s">
        <v>138</v>
      </c>
      <c r="F961" s="6">
        <f>'пр.6.1.ведом.22-23'!G478</f>
        <v>30</v>
      </c>
      <c r="G961" s="6">
        <f>'пр.6.1.ведом.22-23'!H478</f>
        <v>30</v>
      </c>
    </row>
    <row r="962" spans="1:7" ht="47.25" x14ac:dyDescent="0.25">
      <c r="A962" s="25" t="s">
        <v>839</v>
      </c>
      <c r="B962" s="20" t="s">
        <v>238</v>
      </c>
      <c r="C962" s="20" t="s">
        <v>213</v>
      </c>
      <c r="D962" s="20" t="s">
        <v>1312</v>
      </c>
      <c r="E962" s="20"/>
      <c r="F962" s="6">
        <f>F963</f>
        <v>276</v>
      </c>
      <c r="G962" s="6">
        <f>G963</f>
        <v>276</v>
      </c>
    </row>
    <row r="963" spans="1:7" ht="94.5" x14ac:dyDescent="0.25">
      <c r="A963" s="25" t="s">
        <v>127</v>
      </c>
      <c r="B963" s="20" t="s">
        <v>238</v>
      </c>
      <c r="C963" s="20" t="s">
        <v>213</v>
      </c>
      <c r="D963" s="20" t="s">
        <v>1312</v>
      </c>
      <c r="E963" s="20" t="s">
        <v>128</v>
      </c>
      <c r="F963" s="6">
        <f>F964</f>
        <v>276</v>
      </c>
      <c r="G963" s="6">
        <f>G964</f>
        <v>276</v>
      </c>
    </row>
    <row r="964" spans="1:7" ht="31.5" x14ac:dyDescent="0.25">
      <c r="A964" s="25" t="s">
        <v>129</v>
      </c>
      <c r="B964" s="20" t="s">
        <v>238</v>
      </c>
      <c r="C964" s="20" t="s">
        <v>213</v>
      </c>
      <c r="D964" s="20" t="s">
        <v>1312</v>
      </c>
      <c r="E964" s="20" t="s">
        <v>209</v>
      </c>
      <c r="F964" s="6">
        <f>'пр.6.1.ведом.22-23'!G482</f>
        <v>276</v>
      </c>
      <c r="G964" s="6">
        <f>'пр.6.1.ведом.22-23'!H482</f>
        <v>276</v>
      </c>
    </row>
    <row r="965" spans="1:7" ht="63" x14ac:dyDescent="0.25">
      <c r="A965" s="41" t="s">
        <v>1352</v>
      </c>
      <c r="B965" s="24" t="s">
        <v>238</v>
      </c>
      <c r="C965" s="24" t="s">
        <v>213</v>
      </c>
      <c r="D965" s="24" t="s">
        <v>705</v>
      </c>
      <c r="E965" s="222"/>
      <c r="F965" s="4">
        <f t="shared" ref="F965:G968" si="99">F966</f>
        <v>74.900000000000006</v>
      </c>
      <c r="G965" s="4">
        <f t="shared" si="99"/>
        <v>77.900000000000006</v>
      </c>
    </row>
    <row r="966" spans="1:7" ht="53.1" customHeight="1" x14ac:dyDescent="0.25">
      <c r="A966" s="41" t="s">
        <v>890</v>
      </c>
      <c r="B966" s="24" t="s">
        <v>238</v>
      </c>
      <c r="C966" s="24" t="s">
        <v>213</v>
      </c>
      <c r="D966" s="24" t="s">
        <v>888</v>
      </c>
      <c r="E966" s="222"/>
      <c r="F966" s="4">
        <f t="shared" si="99"/>
        <v>74.900000000000006</v>
      </c>
      <c r="G966" s="4">
        <f t="shared" si="99"/>
        <v>77.900000000000006</v>
      </c>
    </row>
    <row r="967" spans="1:7" ht="47.25" x14ac:dyDescent="0.25">
      <c r="A967" s="98" t="s">
        <v>1004</v>
      </c>
      <c r="B967" s="20" t="s">
        <v>238</v>
      </c>
      <c r="C967" s="20" t="s">
        <v>213</v>
      </c>
      <c r="D967" s="20" t="s">
        <v>889</v>
      </c>
      <c r="E967" s="32"/>
      <c r="F967" s="6">
        <f t="shared" si="99"/>
        <v>74.900000000000006</v>
      </c>
      <c r="G967" s="6">
        <f t="shared" si="99"/>
        <v>77.900000000000006</v>
      </c>
    </row>
    <row r="968" spans="1:7" ht="31.5" x14ac:dyDescent="0.25">
      <c r="A968" s="25" t="s">
        <v>131</v>
      </c>
      <c r="B968" s="20" t="s">
        <v>238</v>
      </c>
      <c r="C968" s="20" t="s">
        <v>213</v>
      </c>
      <c r="D968" s="20" t="s">
        <v>889</v>
      </c>
      <c r="E968" s="32" t="s">
        <v>132</v>
      </c>
      <c r="F968" s="6">
        <f t="shared" si="99"/>
        <v>74.900000000000006</v>
      </c>
      <c r="G968" s="6">
        <f t="shared" si="99"/>
        <v>77.900000000000006</v>
      </c>
    </row>
    <row r="969" spans="1:7" ht="47.25" x14ac:dyDescent="0.25">
      <c r="A969" s="25" t="s">
        <v>133</v>
      </c>
      <c r="B969" s="20" t="s">
        <v>238</v>
      </c>
      <c r="C969" s="20" t="s">
        <v>213</v>
      </c>
      <c r="D969" s="20" t="s">
        <v>889</v>
      </c>
      <c r="E969" s="32" t="s">
        <v>134</v>
      </c>
      <c r="F969" s="6">
        <f>'пр.6.1.ведом.22-23'!G487</f>
        <v>74.900000000000006</v>
      </c>
      <c r="G969" s="6">
        <f>'пр.6.1.ведом.22-23'!H487</f>
        <v>77.900000000000006</v>
      </c>
    </row>
    <row r="970" spans="1:7" ht="15.75" x14ac:dyDescent="0.25">
      <c r="A970" s="61" t="s">
        <v>587</v>
      </c>
      <c r="B970" s="7"/>
      <c r="C970" s="7"/>
      <c r="D970" s="7"/>
      <c r="E970" s="7"/>
      <c r="F970" s="390">
        <f>F9+F230+F249+F314+F478+F741+F885+F951+F829+F8</f>
        <v>736179.97185000009</v>
      </c>
      <c r="G970" s="390">
        <f>G9+G230+G249+G314+G478+G741+G885+G951+G829+G8</f>
        <v>777187.39999999991</v>
      </c>
    </row>
    <row r="971" spans="1:7" ht="15.75" x14ac:dyDescent="0.25">
      <c r="A971" s="203"/>
      <c r="B971" s="203"/>
      <c r="C971" s="203"/>
      <c r="D971" s="203"/>
      <c r="E971" s="203"/>
      <c r="F971" s="4">
        <f>'пр.6.1.ведом.22-23'!G1094</f>
        <v>736200.59999999986</v>
      </c>
      <c r="G971" s="4">
        <f>'пр.6.1.ведом.22-23'!H1094</f>
        <v>777187.39999999991</v>
      </c>
    </row>
    <row r="972" spans="1:7" ht="15.75" x14ac:dyDescent="0.25">
      <c r="A972" s="203"/>
      <c r="B972" s="203"/>
      <c r="C972" s="203"/>
      <c r="D972" s="203"/>
      <c r="E972" s="203"/>
      <c r="F972" s="4">
        <f>F971-F970</f>
        <v>20.628149999771267</v>
      </c>
      <c r="G972" s="4">
        <f>G971-G970</f>
        <v>0</v>
      </c>
    </row>
  </sheetData>
  <autoFilter ref="A7:G972"/>
  <mergeCells count="4">
    <mergeCell ref="A5:G5"/>
    <mergeCell ref="F3:G3"/>
    <mergeCell ref="F2:G2"/>
    <mergeCell ref="F1:G1"/>
  </mergeCells>
  <pageMargins left="0.23622047244094491" right="0.23622047244094491" top="0.74803149606299213" bottom="0.74803149606299213" header="0.31496062992125984" footer="0.31496062992125984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28</vt:i4>
      </vt:variant>
      <vt:variant>
        <vt:lpstr>Именованные диапазоны</vt:lpstr>
      </vt:variant>
      <vt:variant>
        <vt:i4>20</vt:i4>
      </vt:variant>
    </vt:vector>
  </HeadingPairs>
  <TitlesOfParts>
    <vt:vector size="48" baseType="lpstr">
      <vt:lpstr>пр.1дох.22</vt:lpstr>
      <vt:lpstr>Пр.1.1. дох.22-23</vt:lpstr>
      <vt:lpstr>Пр.1.1. дох.23-24</vt:lpstr>
      <vt:lpstr>пр.4.1. рдпр 22-23</vt:lpstr>
      <vt:lpstr>пр.4.1. рдпр 22-23 (2)</vt:lpstr>
      <vt:lpstr>пр.2 Рд,пр 22</vt:lpstr>
      <vt:lpstr>пр.2 Рд,пр 23-24</vt:lpstr>
      <vt:lpstr>Пр.3 Рд,пр, ЦС,ВР 22</vt:lpstr>
      <vt:lpstr>пр.5.1.рдпрцс 22-23</vt:lpstr>
      <vt:lpstr>пр.5.1.рдпрцс 22-23 (2)</vt:lpstr>
      <vt:lpstr>Пр.3.1 Рд,пр, ЦС,ВР 23-24</vt:lpstr>
      <vt:lpstr>Пр.4 ведом.22</vt:lpstr>
      <vt:lpstr>Прил.№5 ведомств.старая</vt:lpstr>
      <vt:lpstr>пр.6.1.ведом.22-23</vt:lpstr>
      <vt:lpstr>пр.6.1.ведом.22-23 (2)</vt:lpstr>
      <vt:lpstr>Пр.4.1 ведом.23-24 </vt:lpstr>
      <vt:lpstr>пр.5 МП 22</vt:lpstr>
      <vt:lpstr>прил.№6 МП старая</vt:lpstr>
      <vt:lpstr>пр.7.1.МП 22-23</vt:lpstr>
      <vt:lpstr>пр.5.1. МП 23-24</vt:lpstr>
      <vt:lpstr>пр.6 публ. 22</vt:lpstr>
      <vt:lpstr>пр.8.1.публ.22-23</vt:lpstr>
      <vt:lpstr>пр.7.1.МП 22-23 (2)</vt:lpstr>
      <vt:lpstr>пр.7 ист-ки 22</vt:lpstr>
      <vt:lpstr>пр.8.1.ист-ки 22-23  (2)</vt:lpstr>
      <vt:lpstr>пр.8.1.ист-ки 22-23 </vt:lpstr>
      <vt:lpstr>пр.6.1 публ. 23</vt:lpstr>
      <vt:lpstr>Лист1</vt:lpstr>
      <vt:lpstr>'Пр.1.1. дох.22-23'!Область_печати</vt:lpstr>
      <vt:lpstr>'Пр.1.1. дох.23-24'!Область_печати</vt:lpstr>
      <vt:lpstr>пр.1дох.22!Область_печати</vt:lpstr>
      <vt:lpstr>'пр.2 Рд,пр 22'!Область_печати</vt:lpstr>
      <vt:lpstr>'пр.2 Рд,пр 23-24'!Область_печати</vt:lpstr>
      <vt:lpstr>'Пр.3 Рд,пр, ЦС,ВР 22'!Область_печати</vt:lpstr>
      <vt:lpstr>'Пр.3.1 Рд,пр, ЦС,ВР 23-24'!Область_печати</vt:lpstr>
      <vt:lpstr>'Пр.4 ведом.22'!Область_печати</vt:lpstr>
      <vt:lpstr>'Пр.4.1 ведом.23-24 '!Область_печати</vt:lpstr>
      <vt:lpstr>'пр.5 МП 22'!Область_печати</vt:lpstr>
      <vt:lpstr>'пр.5.1. МП 23-24'!Область_печати</vt:lpstr>
      <vt:lpstr>'пр.5.1.рдпрцс 22-23'!Область_печати</vt:lpstr>
      <vt:lpstr>'пр.5.1.рдпрцс 22-23 (2)'!Область_печати</vt:lpstr>
      <vt:lpstr>'пр.6.1.ведом.22-23'!Область_печати</vt:lpstr>
      <vt:lpstr>'пр.6.1.ведом.22-23 (2)'!Область_печати</vt:lpstr>
      <vt:lpstr>'пр.7 ист-ки 22'!Область_печати</vt:lpstr>
      <vt:lpstr>'пр.7.1.МП 22-23'!Область_печати</vt:lpstr>
      <vt:lpstr>'пр.7.1.МП 22-23 (2)'!Область_печати</vt:lpstr>
      <vt:lpstr>'Прил.№5 ведомств.старая'!Область_печати</vt:lpstr>
      <vt:lpstr>'прил.№6 МП старая'!Область_печати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2021-11-22T01:41:52Z</dcterms:modified>
</cp:coreProperties>
</file>